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ivotTables/pivotTable1.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omments5.xml" ContentType="application/vnd.openxmlformats-officedocument.spreadsheetml.comments+xml"/>
  <Override PartName="/xl/threadedComments/threadedComment3.xml" ContentType="application/vnd.ms-excel.threaded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4.xml" ContentType="application/vnd.ms-excel.threadedcomments+xml"/>
  <Override PartName="/xl/comments13.xml" ContentType="application/vnd.openxmlformats-officedocument.spreadsheetml.comments+xml"/>
  <Override PartName="/xl/comments14.xml" ContentType="application/vnd.openxmlformats-officedocument.spreadsheetml.comments+xml"/>
  <Override PartName="/xl/threadedComments/threadedComment5.xml" ContentType="application/vnd.ms-excel.threadedcomments+xml"/>
  <Override PartName="/xl/comments15.xml" ContentType="application/vnd.openxmlformats-officedocument.spreadsheetml.comments+xml"/>
  <Override PartName="/xl/threadedComments/threadedComment6.xml" ContentType="application/vnd.ms-excel.threaded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O:\Regional Community Fundraisers\End of Year\EoY 2020\"/>
    </mc:Choice>
  </mc:AlternateContent>
  <xr:revisionPtr revIDLastSave="0" documentId="13_ncr:1_{3391FBC4-459D-4A6F-B3E7-14A8AD744EF4}" xr6:coauthVersionLast="46" xr6:coauthVersionMax="46" xr10:uidLastSave="{00000000-0000-0000-0000-000000000000}"/>
  <bookViews>
    <workbookView xWindow="-120" yWindow="-120" windowWidth="29040" windowHeight="15840" tabRatio="865" firstSheet="7" activeTab="7" xr2:uid="{00000000-000D-0000-FFFF-FFFF00000000}"/>
  </bookViews>
  <sheets>
    <sheet name="Q and Notes" sheetId="19" state="hidden" r:id="rId1"/>
    <sheet name="Historic Data 2015 - 2018" sheetId="3" state="hidden" r:id="rId2"/>
    <sheet name="Historic Data - working" sheetId="18" state="hidden" r:id="rId3"/>
    <sheet name="Notes" sheetId="22" state="hidden" r:id="rId4"/>
    <sheet name="Direct donation" sheetId="20" state="hidden" r:id="rId5"/>
    <sheet name="Master Table" sheetId="2" state="hidden" r:id="rId6"/>
    <sheet name="Diocese Summary" sheetId="21" state="hidden" r:id="rId7"/>
    <sheet name="Overview" sheetId="30" r:id="rId8"/>
    <sheet name="ARU" sheetId="4" r:id="rId9"/>
    <sheet name="BIR" sheetId="5" r:id="rId10"/>
    <sheet name="BRE" sheetId="8" r:id="rId11"/>
    <sheet name="CAR" sheetId="6" r:id="rId12"/>
    <sheet name="CLF" sheetId="7" r:id="rId13"/>
    <sheet name="EAS" sheetId="9" r:id="rId14"/>
    <sheet name="HAL" sheetId="23" r:id="rId15"/>
    <sheet name="HEX" sheetId="24" r:id="rId16"/>
    <sheet name="LAN" sheetId="25" r:id="rId17"/>
    <sheet name="LEE" sheetId="26" r:id="rId18"/>
    <sheet name="LIV" sheetId="27" r:id="rId19"/>
    <sheet name="MEN" sheetId="10" r:id="rId20"/>
    <sheet name="MID" sheetId="28" r:id="rId21"/>
    <sheet name="NOR" sheetId="11" r:id="rId22"/>
    <sheet name="NOT" sheetId="12" r:id="rId23"/>
    <sheet name="PLY" sheetId="13" r:id="rId24"/>
    <sheet name="POR" sheetId="1" r:id="rId25"/>
    <sheet name="SAL" sheetId="29" r:id="rId26"/>
    <sheet name="SHR" sheetId="14" r:id="rId27"/>
    <sheet name="SOU" sheetId="15" r:id="rId28"/>
    <sheet name="WES" sheetId="16" r:id="rId29"/>
    <sheet name="WRX" sheetId="17" r:id="rId30"/>
  </sheets>
  <definedNames>
    <definedName name="_xlnm._FilterDatabase" localSheetId="8" hidden="1">ARU!$A$2:$T$119</definedName>
    <definedName name="_xlnm._FilterDatabase" localSheetId="9" hidden="1">BIR!$A$1:$Q$231</definedName>
    <definedName name="_xlnm._FilterDatabase" localSheetId="10" hidden="1">BRE!$A$2:$S$97</definedName>
    <definedName name="_xlnm._FilterDatabase" localSheetId="11" hidden="1">CAR!$A$1:$P$76</definedName>
    <definedName name="_xlnm._FilterDatabase" localSheetId="2" hidden="1">'Historic Data - working'!$A$1:$I$1696</definedName>
    <definedName name="_xlnm._FilterDatabase" localSheetId="5" hidden="1">'Master Table'!$A$1:$S$2065</definedName>
    <definedName name="_xlnm._FilterDatabase" localSheetId="19" hidden="1">MEN!$A$2:$U$44</definedName>
    <definedName name="_xlnm._FilterDatabase" localSheetId="21" hidden="1">NOR!$A$2:$T$84</definedName>
    <definedName name="_xlnm._FilterDatabase" localSheetId="22" hidden="1">NOT!$A$2:$U$123</definedName>
    <definedName name="_xlnm._FilterDatabase" localSheetId="23" hidden="1">PLY!$A$2:$S$98</definedName>
    <definedName name="_xlnm._FilterDatabase" localSheetId="24" hidden="1">POR!$A$1:$V$122</definedName>
    <definedName name="_xlnm._FilterDatabase" localSheetId="28" hidden="1">WES!$A$2:$U$206</definedName>
    <definedName name="_xlnm._FilterDatabase" localSheetId="29" hidden="1">WRX!$A$2:$T$45</definedName>
    <definedName name="_xlnm.Print_Area" localSheetId="8">ARU!$A$1:$R$119</definedName>
    <definedName name="_xlnm.Print_Area" localSheetId="9">BIR!$A$1:$Q$231</definedName>
    <definedName name="_xlnm.Print_Area" localSheetId="10">BRE!$A$1:$R$97</definedName>
    <definedName name="_xlnm.Print_Area" localSheetId="11">CAR!$A$1:$N$76</definedName>
    <definedName name="_xlnm.Print_Area" localSheetId="12">CLF!$A$1:$Q$105</definedName>
    <definedName name="_xlnm.Print_Area" localSheetId="13">EAS!$A$1:$O$59</definedName>
    <definedName name="_xlnm.Print_Area" localSheetId="19">MEN!$A$1:$R$44</definedName>
    <definedName name="_xlnm.Print_Area" localSheetId="21">NOR!$A$1:$Q$84</definedName>
    <definedName name="_xlnm.Print_Area" localSheetId="22">NOT!$A$1:$Q$122</definedName>
    <definedName name="_xlnm.Print_Area" localSheetId="23">PLY!$A$1:$Q$98</definedName>
    <definedName name="_xlnm.Print_Area" localSheetId="24">POR!$A$1:$R$122</definedName>
    <definedName name="_xlnm.Print_Area" localSheetId="26">SHR!$A$1:$N$113</definedName>
    <definedName name="_xlnm.Print_Area" localSheetId="27">SOU!$A$1:$Q$185</definedName>
    <definedName name="_xlnm.Print_Area" localSheetId="28">WES!$A$1:$R$206</definedName>
    <definedName name="_xlnm.Print_Area" localSheetId="29">WRX!$A$1:$Q$45</definedName>
    <definedName name="_xlnm.Print_Titles" localSheetId="8">ARU!$2:$2</definedName>
    <definedName name="_xlnm.Print_Titles" localSheetId="9">BIR!$2:$2</definedName>
    <definedName name="_xlnm.Print_Titles" localSheetId="10">BRE!$2:$2</definedName>
    <definedName name="_xlnm.Print_Titles" localSheetId="11">CAR!$2:$2</definedName>
    <definedName name="_xlnm.Print_Titles" localSheetId="12">CLF!$2:$2</definedName>
    <definedName name="_xlnm.Print_Titles" localSheetId="13">EAS!$2:$2</definedName>
    <definedName name="_xlnm.Print_Titles" localSheetId="19">MEN!$2:$2</definedName>
    <definedName name="_xlnm.Print_Titles" localSheetId="21">NOR!$2:$2</definedName>
    <definedName name="_xlnm.Print_Titles" localSheetId="22">NOT!$2:$2</definedName>
    <definedName name="_xlnm.Print_Titles" localSheetId="23">PLY!$2:$2</definedName>
    <definedName name="_xlnm.Print_Titles" localSheetId="24">POR!$2:$2</definedName>
    <definedName name="_xlnm.Print_Titles" localSheetId="26">SHR!$2:$2</definedName>
    <definedName name="_xlnm.Print_Titles" localSheetId="27">SOU!$2:$2</definedName>
    <definedName name="_xlnm.Print_Titles" localSheetId="28">WES!$2:$2</definedName>
    <definedName name="_xlnm.Print_Titles" localSheetId="29">WRX!$2:$2</definedName>
  </definedNames>
  <calcPr calcId="191029"/>
  <pivotCaches>
    <pivotCache cacheId="1" r:id="rId3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235" i="5" l="1"/>
  <c r="N234" i="5"/>
  <c r="N233" i="5"/>
  <c r="N232" i="5"/>
  <c r="N231" i="5"/>
  <c r="N230" i="5"/>
  <c r="N229" i="5"/>
  <c r="N228" i="5"/>
  <c r="N227" i="5"/>
  <c r="N226" i="5"/>
  <c r="N225" i="5"/>
  <c r="N224" i="5"/>
  <c r="N223" i="5"/>
  <c r="N222" i="5"/>
  <c r="N221" i="5"/>
  <c r="N220" i="5"/>
  <c r="N219" i="5"/>
  <c r="N218" i="5"/>
  <c r="N217" i="5"/>
  <c r="N216" i="5"/>
  <c r="N215" i="5"/>
  <c r="N214" i="5"/>
  <c r="N213" i="5"/>
  <c r="N212" i="5"/>
  <c r="N211" i="5"/>
  <c r="N210" i="5"/>
  <c r="N209" i="5"/>
  <c r="N208" i="5"/>
  <c r="N207" i="5"/>
  <c r="N206" i="5"/>
  <c r="N205" i="5"/>
  <c r="N204" i="5"/>
  <c r="N203" i="5"/>
  <c r="N202" i="5"/>
  <c r="N201" i="5"/>
  <c r="N200" i="5"/>
  <c r="N199" i="5"/>
  <c r="N198" i="5"/>
  <c r="N197" i="5"/>
  <c r="N78" i="5"/>
  <c r="N196" i="5"/>
  <c r="N195" i="5"/>
  <c r="N194" i="5"/>
  <c r="N193" i="5"/>
  <c r="N192" i="5"/>
  <c r="N191" i="5"/>
  <c r="N190" i="5"/>
  <c r="N189" i="5"/>
  <c r="N188" i="5"/>
  <c r="N187" i="5"/>
  <c r="N186" i="5"/>
  <c r="N185" i="5"/>
  <c r="N184" i="5"/>
  <c r="N183" i="5"/>
  <c r="N182" i="5"/>
  <c r="N181" i="5"/>
  <c r="N180" i="5"/>
  <c r="N179" i="5"/>
  <c r="N178" i="5"/>
  <c r="N177" i="5"/>
  <c r="N176" i="5"/>
  <c r="N175" i="5"/>
  <c r="N174" i="5"/>
  <c r="N173" i="5"/>
  <c r="N172" i="5"/>
  <c r="N171" i="5"/>
  <c r="N170" i="5"/>
  <c r="N169" i="5"/>
  <c r="N168" i="5"/>
  <c r="N167" i="5"/>
  <c r="N166" i="5"/>
  <c r="N165" i="5"/>
  <c r="N164" i="5"/>
  <c r="N163" i="5"/>
  <c r="N162" i="5"/>
  <c r="N161" i="5"/>
  <c r="N160" i="5"/>
  <c r="N159" i="5"/>
  <c r="N158" i="5"/>
  <c r="N157" i="5"/>
  <c r="N156" i="5"/>
  <c r="N155" i="5"/>
  <c r="N154" i="5"/>
  <c r="N153" i="5"/>
  <c r="N152" i="5"/>
  <c r="N151" i="5"/>
  <c r="N150" i="5"/>
  <c r="N149" i="5"/>
  <c r="N148" i="5"/>
  <c r="N147" i="5"/>
  <c r="N146" i="5"/>
  <c r="N145" i="5"/>
  <c r="N144" i="5"/>
  <c r="N143" i="5"/>
  <c r="N142" i="5"/>
  <c r="N62" i="5"/>
  <c r="N141" i="5"/>
  <c r="N140" i="5"/>
  <c r="N139" i="5"/>
  <c r="N138" i="5"/>
  <c r="N137" i="5"/>
  <c r="N136" i="5"/>
  <c r="N135" i="5"/>
  <c r="N134" i="5"/>
  <c r="N133" i="5"/>
  <c r="N132" i="5"/>
  <c r="N131" i="5"/>
  <c r="N130" i="5"/>
  <c r="N129" i="5"/>
  <c r="N128" i="5"/>
  <c r="N127" i="5"/>
  <c r="N126" i="5"/>
  <c r="N125" i="5"/>
  <c r="N124" i="5"/>
  <c r="N123" i="5"/>
  <c r="N122" i="5"/>
  <c r="N121" i="5"/>
  <c r="N120" i="5"/>
  <c r="N119" i="5"/>
  <c r="N118" i="5"/>
  <c r="N117" i="5"/>
  <c r="N116" i="5"/>
  <c r="N115" i="5"/>
  <c r="N114" i="5"/>
  <c r="N113" i="5"/>
  <c r="N112" i="5"/>
  <c r="N111" i="5"/>
  <c r="N110" i="5"/>
  <c r="N109" i="5"/>
  <c r="N108" i="5"/>
  <c r="N107" i="5"/>
  <c r="N106" i="5"/>
  <c r="N105" i="5"/>
  <c r="N104" i="5"/>
  <c r="N103" i="5"/>
  <c r="N102" i="5"/>
  <c r="N101" i="5"/>
  <c r="N100" i="5"/>
  <c r="N99" i="5"/>
  <c r="N98" i="5"/>
  <c r="N97" i="5"/>
  <c r="N96" i="5"/>
  <c r="N95" i="5"/>
  <c r="N94" i="5"/>
  <c r="N93" i="5"/>
  <c r="N92" i="5"/>
  <c r="N91" i="5"/>
  <c r="N90" i="5"/>
  <c r="N89" i="5"/>
  <c r="N88" i="5"/>
  <c r="N87" i="5"/>
  <c r="N86" i="5"/>
  <c r="N85" i="5"/>
  <c r="N84" i="5"/>
  <c r="N83" i="5"/>
  <c r="N81" i="5"/>
  <c r="N80" i="5"/>
  <c r="N79" i="5"/>
  <c r="N77" i="5"/>
  <c r="N76" i="5"/>
  <c r="N75" i="5"/>
  <c r="N74" i="5"/>
  <c r="N73" i="5"/>
  <c r="N72" i="5"/>
  <c r="N71" i="5"/>
  <c r="N70" i="5"/>
  <c r="N69" i="5"/>
  <c r="N68" i="5"/>
  <c r="N67" i="5"/>
  <c r="N66" i="5"/>
  <c r="N65" i="5"/>
  <c r="N64" i="5"/>
  <c r="N63" i="5"/>
  <c r="N61" i="5"/>
  <c r="N60" i="5"/>
  <c r="N59" i="5"/>
  <c r="N58" i="5"/>
  <c r="N57" i="5"/>
  <c r="N56" i="5"/>
  <c r="N55" i="5"/>
  <c r="N54" i="5"/>
  <c r="N53" i="5"/>
  <c r="N52" i="5"/>
  <c r="N51" i="5"/>
  <c r="N50" i="5"/>
  <c r="N82" i="5"/>
  <c r="N49" i="5"/>
  <c r="N48" i="5"/>
  <c r="N47" i="5"/>
  <c r="N46" i="5"/>
  <c r="N45" i="5"/>
  <c r="N44" i="5"/>
  <c r="N43" i="5"/>
  <c r="N42" i="5"/>
  <c r="N41" i="5"/>
  <c r="N40" i="5"/>
  <c r="N39" i="5"/>
  <c r="N38" i="5"/>
  <c r="N37" i="5"/>
  <c r="N36" i="5"/>
  <c r="N35" i="5"/>
  <c r="N34" i="5"/>
  <c r="N33" i="5"/>
  <c r="N32" i="5"/>
  <c r="N31" i="5"/>
  <c r="N30" i="5"/>
  <c r="N29" i="5"/>
  <c r="N28" i="5"/>
  <c r="N27" i="5"/>
  <c r="N26" i="5"/>
  <c r="N25" i="5"/>
  <c r="N24" i="5"/>
  <c r="N23" i="5"/>
  <c r="N22" i="5"/>
  <c r="N21" i="5"/>
  <c r="N20" i="5"/>
  <c r="N19" i="5"/>
  <c r="N18" i="5"/>
  <c r="N17" i="5"/>
  <c r="N16" i="5"/>
  <c r="N15" i="5"/>
  <c r="N14" i="5"/>
  <c r="N13" i="5"/>
  <c r="N12" i="5"/>
  <c r="N11" i="5"/>
  <c r="N10" i="5"/>
  <c r="N9" i="5"/>
  <c r="N8" i="5"/>
  <c r="N7" i="5"/>
  <c r="N6" i="5"/>
  <c r="N5" i="5"/>
  <c r="N4" i="5"/>
  <c r="N3" i="5"/>
  <c r="N46" i="17"/>
  <c r="N45" i="17"/>
  <c r="N44" i="17"/>
  <c r="N43" i="17"/>
  <c r="N42" i="17"/>
  <c r="N41" i="17"/>
  <c r="N40" i="17"/>
  <c r="N39" i="17"/>
  <c r="N38" i="17"/>
  <c r="N36" i="17"/>
  <c r="N37" i="17"/>
  <c r="N35" i="17"/>
  <c r="N34" i="17"/>
  <c r="N33" i="17"/>
  <c r="N32" i="17"/>
  <c r="N31" i="17"/>
  <c r="N30" i="17"/>
  <c r="N29" i="17"/>
  <c r="N28" i="17"/>
  <c r="N27" i="17"/>
  <c r="N26" i="17"/>
  <c r="N25" i="17"/>
  <c r="N24" i="17"/>
  <c r="N23" i="17"/>
  <c r="N22" i="17"/>
  <c r="N21" i="17"/>
  <c r="N20" i="17"/>
  <c r="N19" i="17"/>
  <c r="N18" i="17"/>
  <c r="N17" i="17"/>
  <c r="N16" i="17"/>
  <c r="N15" i="17"/>
  <c r="N14" i="17"/>
  <c r="N13" i="17"/>
  <c r="N12" i="17"/>
  <c r="N11" i="17"/>
  <c r="N10" i="17"/>
  <c r="N9" i="17"/>
  <c r="N8" i="17"/>
  <c r="N7" i="17"/>
  <c r="N6" i="17"/>
  <c r="N5" i="17"/>
  <c r="N4" i="17"/>
  <c r="N3" i="17"/>
  <c r="A1" i="17"/>
  <c r="A1" i="13"/>
  <c r="A1" i="11"/>
  <c r="A1" i="5"/>
  <c r="A1" i="9"/>
  <c r="A1" i="6"/>
  <c r="O97" i="8"/>
  <c r="O96" i="8"/>
  <c r="O95" i="8"/>
  <c r="O94" i="8"/>
  <c r="O93" i="8"/>
  <c r="O92" i="8"/>
  <c r="O91" i="8"/>
  <c r="O90" i="8"/>
  <c r="O89" i="8"/>
  <c r="O88" i="8"/>
  <c r="O87" i="8"/>
  <c r="O86" i="8"/>
  <c r="O85" i="8"/>
  <c r="O84" i="8"/>
  <c r="O83" i="8"/>
  <c r="O82" i="8"/>
  <c r="O81" i="8"/>
  <c r="O80" i="8"/>
  <c r="O79" i="8"/>
  <c r="O78" i="8"/>
  <c r="O77" i="8"/>
  <c r="O76" i="8"/>
  <c r="O75" i="8"/>
  <c r="O74" i="8"/>
  <c r="O73" i="8"/>
  <c r="O72" i="8"/>
  <c r="O71" i="8"/>
  <c r="O70" i="8"/>
  <c r="O69" i="8"/>
  <c r="O68" i="8"/>
  <c r="O67" i="8"/>
  <c r="O66" i="8"/>
  <c r="O65" i="8"/>
  <c r="O64" i="8"/>
  <c r="O63" i="8"/>
  <c r="O62" i="8"/>
  <c r="O61" i="8"/>
  <c r="O60" i="8"/>
  <c r="O59" i="8"/>
  <c r="O58" i="8"/>
  <c r="O57" i="8"/>
  <c r="O56" i="8"/>
  <c r="O55" i="8"/>
  <c r="O54" i="8"/>
  <c r="O53" i="8"/>
  <c r="O52" i="8"/>
  <c r="O51" i="8"/>
  <c r="O50" i="8"/>
  <c r="O49" i="8"/>
  <c r="O48" i="8"/>
  <c r="O47" i="8"/>
  <c r="O46" i="8"/>
  <c r="O45" i="8"/>
  <c r="O44" i="8"/>
  <c r="O43" i="8"/>
  <c r="O42" i="8"/>
  <c r="O41" i="8"/>
  <c r="O40" i="8"/>
  <c r="O39" i="8"/>
  <c r="O38" i="8"/>
  <c r="O37" i="8"/>
  <c r="O36" i="8"/>
  <c r="O35" i="8"/>
  <c r="O34" i="8"/>
  <c r="O33" i="8"/>
  <c r="O32" i="8"/>
  <c r="O31" i="8"/>
  <c r="O30" i="8"/>
  <c r="O29" i="8"/>
  <c r="O28" i="8"/>
  <c r="O27" i="8"/>
  <c r="O26" i="8"/>
  <c r="O25" i="8"/>
  <c r="O24" i="8"/>
  <c r="O23" i="8"/>
  <c r="O22" i="8"/>
  <c r="O20" i="8"/>
  <c r="O21" i="8"/>
  <c r="O19" i="8"/>
  <c r="O18" i="8"/>
  <c r="O17" i="8"/>
  <c r="O16" i="8"/>
  <c r="O15" i="8"/>
  <c r="O13" i="8"/>
  <c r="O12" i="8"/>
  <c r="O11" i="8"/>
  <c r="O10" i="8"/>
  <c r="O9" i="8"/>
  <c r="O8" i="8"/>
  <c r="O7" i="8"/>
  <c r="O6" i="8"/>
  <c r="O5" i="8"/>
  <c r="O4" i="8"/>
  <c r="O3" i="8"/>
  <c r="E3" i="8"/>
  <c r="A3" i="8" s="1"/>
  <c r="P3" i="8"/>
  <c r="E4" i="8"/>
  <c r="A4" i="8" s="1"/>
  <c r="P4" i="8"/>
  <c r="E5" i="8"/>
  <c r="A5" i="8" s="1"/>
  <c r="P5" i="8"/>
  <c r="E6" i="8"/>
  <c r="A6" i="8" s="1"/>
  <c r="P6" i="8"/>
  <c r="E7" i="8"/>
  <c r="A7" i="8" s="1"/>
  <c r="P7" i="8"/>
  <c r="E8" i="8"/>
  <c r="A8" i="8" s="1"/>
  <c r="P8" i="8"/>
  <c r="E9" i="8"/>
  <c r="A9" i="8" s="1"/>
  <c r="P9" i="8"/>
  <c r="E10" i="8"/>
  <c r="A10" i="8" s="1"/>
  <c r="P10" i="8"/>
  <c r="E11" i="8"/>
  <c r="A11" i="8" s="1"/>
  <c r="P11" i="8"/>
  <c r="E12" i="8"/>
  <c r="A12" i="8" s="1"/>
  <c r="P12" i="8"/>
  <c r="E13" i="8"/>
  <c r="A13" i="8" s="1"/>
  <c r="P13" i="8"/>
  <c r="E14" i="8"/>
  <c r="A14" i="8" s="1"/>
  <c r="P14" i="8"/>
  <c r="E15" i="8"/>
  <c r="A15" i="8" s="1"/>
  <c r="P15" i="8"/>
  <c r="E16" i="8"/>
  <c r="A16" i="8" s="1"/>
  <c r="P16" i="8"/>
  <c r="E17" i="8"/>
  <c r="A17" i="8" s="1"/>
  <c r="P17" i="8"/>
  <c r="E18" i="8"/>
  <c r="A18" i="8" s="1"/>
  <c r="P18" i="8"/>
  <c r="E19" i="8"/>
  <c r="A19" i="8" s="1"/>
  <c r="P19" i="8"/>
  <c r="E20" i="8"/>
  <c r="A20" i="8" s="1"/>
  <c r="P20" i="8"/>
  <c r="E21" i="8"/>
  <c r="A21" i="8" s="1"/>
  <c r="P21" i="8"/>
  <c r="E22" i="8"/>
  <c r="A22" i="8" s="1"/>
  <c r="P22" i="8"/>
  <c r="E23" i="8"/>
  <c r="A23" i="8" s="1"/>
  <c r="P23" i="8"/>
  <c r="E24" i="8"/>
  <c r="A24" i="8" s="1"/>
  <c r="P24" i="8"/>
  <c r="E25" i="8"/>
  <c r="A25" i="8" s="1"/>
  <c r="P25" i="8"/>
  <c r="E26" i="8"/>
  <c r="A26" i="8" s="1"/>
  <c r="P26" i="8"/>
  <c r="E27" i="8"/>
  <c r="A27" i="8" s="1"/>
  <c r="P27" i="8"/>
  <c r="E28" i="8"/>
  <c r="A28" i="8" s="1"/>
  <c r="P28" i="8"/>
  <c r="E29" i="8"/>
  <c r="A29" i="8" s="1"/>
  <c r="P29" i="8"/>
  <c r="E30" i="8"/>
  <c r="A30" i="8" s="1"/>
  <c r="P30" i="8"/>
  <c r="E31" i="8"/>
  <c r="A31" i="8" s="1"/>
  <c r="P31" i="8"/>
  <c r="E32" i="8"/>
  <c r="A32" i="8" s="1"/>
  <c r="P32" i="8"/>
  <c r="E33" i="8"/>
  <c r="A33" i="8" s="1"/>
  <c r="P33" i="8"/>
  <c r="E34" i="8"/>
  <c r="A34" i="8" s="1"/>
  <c r="P34" i="8"/>
  <c r="E35" i="8"/>
  <c r="A35" i="8" s="1"/>
  <c r="P35" i="8"/>
  <c r="E36" i="8"/>
  <c r="A36" i="8" s="1"/>
  <c r="P36" i="8"/>
  <c r="E37" i="8"/>
  <c r="A37" i="8" s="1"/>
  <c r="P37" i="8"/>
  <c r="E38" i="8"/>
  <c r="A38" i="8" s="1"/>
  <c r="P38" i="8"/>
  <c r="E39" i="8"/>
  <c r="A39" i="8" s="1"/>
  <c r="P39" i="8"/>
  <c r="E40" i="8"/>
  <c r="A40" i="8" s="1"/>
  <c r="P40" i="8"/>
  <c r="E41" i="8"/>
  <c r="A41" i="8" s="1"/>
  <c r="P41" i="8"/>
  <c r="E42" i="8"/>
  <c r="A42" i="8" s="1"/>
  <c r="P42" i="8"/>
  <c r="E43" i="8"/>
  <c r="A43" i="8" s="1"/>
  <c r="P43" i="8"/>
  <c r="E44" i="8"/>
  <c r="A44" i="8" s="1"/>
  <c r="P44" i="8"/>
  <c r="E45" i="8"/>
  <c r="A45" i="8" s="1"/>
  <c r="P45" i="8"/>
  <c r="E46" i="8"/>
  <c r="A46" i="8" s="1"/>
  <c r="P46" i="8"/>
  <c r="E47" i="8"/>
  <c r="A47" i="8" s="1"/>
  <c r="P47" i="8"/>
  <c r="E48" i="8"/>
  <c r="A48" i="8" s="1"/>
  <c r="P48" i="8"/>
  <c r="E49" i="8"/>
  <c r="A49" i="8" s="1"/>
  <c r="P49" i="8"/>
  <c r="E50" i="8"/>
  <c r="A50" i="8" s="1"/>
  <c r="P50" i="8"/>
  <c r="E51" i="8"/>
  <c r="A51" i="8" s="1"/>
  <c r="P51" i="8"/>
  <c r="E52" i="8"/>
  <c r="A52" i="8" s="1"/>
  <c r="P52" i="8"/>
  <c r="E53" i="8"/>
  <c r="A53" i="8" s="1"/>
  <c r="P53" i="8"/>
  <c r="E54" i="8"/>
  <c r="A54" i="8" s="1"/>
  <c r="P54" i="8"/>
  <c r="E55" i="8"/>
  <c r="A55" i="8" s="1"/>
  <c r="P55" i="8"/>
  <c r="E56" i="8"/>
  <c r="A56" i="8" s="1"/>
  <c r="P56" i="8"/>
  <c r="E57" i="8"/>
  <c r="A57" i="8" s="1"/>
  <c r="P57" i="8"/>
  <c r="E58" i="8"/>
  <c r="A58" i="8" s="1"/>
  <c r="P58" i="8"/>
  <c r="E59" i="8"/>
  <c r="A59" i="8" s="1"/>
  <c r="P59" i="8"/>
  <c r="E60" i="8"/>
  <c r="A60" i="8" s="1"/>
  <c r="P60" i="8"/>
  <c r="E61" i="8"/>
  <c r="A61" i="8" s="1"/>
  <c r="P61" i="8"/>
  <c r="E62" i="8"/>
  <c r="A62" i="8" s="1"/>
  <c r="P62" i="8"/>
  <c r="E63" i="8"/>
  <c r="A63" i="8" s="1"/>
  <c r="P63" i="8"/>
  <c r="E64" i="8"/>
  <c r="A64" i="8" s="1"/>
  <c r="P64" i="8"/>
  <c r="E65" i="8"/>
  <c r="A65" i="8" s="1"/>
  <c r="P65" i="8"/>
  <c r="E66" i="8"/>
  <c r="A66" i="8" s="1"/>
  <c r="P66" i="8"/>
  <c r="E67" i="8"/>
  <c r="A67" i="8" s="1"/>
  <c r="P67" i="8"/>
  <c r="E68" i="8"/>
  <c r="A68" i="8" s="1"/>
  <c r="P68" i="8"/>
  <c r="E69" i="8"/>
  <c r="A69" i="8" s="1"/>
  <c r="P69" i="8"/>
  <c r="E70" i="8"/>
  <c r="A70" i="8" s="1"/>
  <c r="P70" i="8"/>
  <c r="E71" i="8"/>
  <c r="A71" i="8" s="1"/>
  <c r="P71" i="8"/>
  <c r="E72" i="8"/>
  <c r="A72" i="8" s="1"/>
  <c r="P72" i="8"/>
  <c r="E73" i="8"/>
  <c r="A73" i="8" s="1"/>
  <c r="P73" i="8"/>
  <c r="E74" i="8"/>
  <c r="A74" i="8" s="1"/>
  <c r="P74" i="8"/>
  <c r="E75" i="8"/>
  <c r="A75" i="8" s="1"/>
  <c r="P75" i="8"/>
  <c r="E76" i="8"/>
  <c r="A76" i="8" s="1"/>
  <c r="P76" i="8"/>
  <c r="E77" i="8"/>
  <c r="A77" i="8" s="1"/>
  <c r="P77" i="8"/>
  <c r="E78" i="8"/>
  <c r="A78" i="8" s="1"/>
  <c r="P78" i="8"/>
  <c r="E79" i="8"/>
  <c r="A79" i="8" s="1"/>
  <c r="P79" i="8"/>
  <c r="E80" i="8"/>
  <c r="A80" i="8" s="1"/>
  <c r="P80" i="8"/>
  <c r="E81" i="8"/>
  <c r="A81" i="8" s="1"/>
  <c r="P81" i="8"/>
  <c r="E82" i="8"/>
  <c r="A82" i="8" s="1"/>
  <c r="P82" i="8"/>
  <c r="E83" i="8"/>
  <c r="A83" i="8" s="1"/>
  <c r="P83" i="8"/>
  <c r="E84" i="8"/>
  <c r="A84" i="8" s="1"/>
  <c r="P84" i="8"/>
  <c r="E85" i="8"/>
  <c r="A85" i="8" s="1"/>
  <c r="P85" i="8"/>
  <c r="E86" i="8"/>
  <c r="A86" i="8" s="1"/>
  <c r="P86" i="8"/>
  <c r="E87" i="8"/>
  <c r="A87" i="8" s="1"/>
  <c r="P87" i="8"/>
  <c r="E88" i="8"/>
  <c r="A88" i="8" s="1"/>
  <c r="P88" i="8"/>
  <c r="E89" i="8"/>
  <c r="A89" i="8" s="1"/>
  <c r="P89" i="8"/>
  <c r="E90" i="8"/>
  <c r="A90" i="8" s="1"/>
  <c r="P90" i="8"/>
  <c r="E91" i="8"/>
  <c r="A91" i="8" s="1"/>
  <c r="P91" i="8"/>
  <c r="E92" i="8"/>
  <c r="A92" i="8" s="1"/>
  <c r="P92" i="8"/>
  <c r="E93" i="8"/>
  <c r="A93" i="8" s="1"/>
  <c r="P93" i="8"/>
  <c r="E94" i="8"/>
  <c r="A94" i="8" s="1"/>
  <c r="P94" i="8"/>
  <c r="E95" i="8"/>
  <c r="A95" i="8" s="1"/>
  <c r="P95" i="8"/>
  <c r="E96" i="8"/>
  <c r="A96" i="8" s="1"/>
  <c r="P96" i="8"/>
  <c r="E97" i="8"/>
  <c r="A97" i="8" s="1"/>
  <c r="P97" i="8"/>
  <c r="Q71" i="8" l="1"/>
  <c r="A1" i="16" l="1"/>
  <c r="A1" i="15"/>
  <c r="N43" i="15"/>
  <c r="N44" i="15"/>
  <c r="N45" i="15"/>
  <c r="N46" i="15"/>
  <c r="N47" i="15"/>
  <c r="N48" i="15"/>
  <c r="N49" i="15"/>
  <c r="N50" i="15"/>
  <c r="N51" i="15"/>
  <c r="N52" i="15"/>
  <c r="N53" i="15"/>
  <c r="N54" i="15"/>
  <c r="N55" i="15"/>
  <c r="N56" i="15"/>
  <c r="N57" i="15"/>
  <c r="N58" i="15"/>
  <c r="N59" i="15"/>
  <c r="N60" i="15"/>
  <c r="N61" i="15"/>
  <c r="N62" i="15"/>
  <c r="N63" i="15"/>
  <c r="N64" i="15"/>
  <c r="N65" i="15"/>
  <c r="N66" i="15"/>
  <c r="N67" i="15"/>
  <c r="N68" i="15"/>
  <c r="N69" i="15"/>
  <c r="N70" i="15"/>
  <c r="N71" i="15"/>
  <c r="N72" i="15"/>
  <c r="N73" i="15"/>
  <c r="N74" i="15"/>
  <c r="N75" i="15"/>
  <c r="N76" i="15"/>
  <c r="N77" i="15"/>
  <c r="N78" i="15"/>
  <c r="N79" i="15"/>
  <c r="N80" i="15"/>
  <c r="N81" i="15"/>
  <c r="N82" i="15"/>
  <c r="N83" i="15"/>
  <c r="N84" i="15"/>
  <c r="N85" i="15"/>
  <c r="N86" i="15"/>
  <c r="N87" i="15"/>
  <c r="N88" i="15"/>
  <c r="N89" i="15"/>
  <c r="N90" i="15"/>
  <c r="N91" i="15"/>
  <c r="N92" i="15"/>
  <c r="N93" i="15"/>
  <c r="N94" i="15"/>
  <c r="N95" i="15"/>
  <c r="N96" i="15"/>
  <c r="N97" i="15"/>
  <c r="N98" i="15"/>
  <c r="N99" i="15"/>
  <c r="N100" i="15"/>
  <c r="N101" i="15"/>
  <c r="N102" i="15"/>
  <c r="N103" i="15"/>
  <c r="N104" i="15"/>
  <c r="N105" i="15"/>
  <c r="N106" i="15"/>
  <c r="N107" i="15"/>
  <c r="N108" i="15"/>
  <c r="N109" i="15"/>
  <c r="N110" i="15"/>
  <c r="N111" i="15"/>
  <c r="N112" i="15"/>
  <c r="N113" i="15"/>
  <c r="N114" i="15"/>
  <c r="N115" i="15"/>
  <c r="N116" i="15"/>
  <c r="N117" i="15"/>
  <c r="N118" i="15"/>
  <c r="N119" i="15"/>
  <c r="N120" i="15"/>
  <c r="N121" i="15"/>
  <c r="N122" i="15"/>
  <c r="N123" i="15"/>
  <c r="N124" i="15"/>
  <c r="N125" i="15"/>
  <c r="N126" i="15"/>
  <c r="N127" i="15"/>
  <c r="N128" i="15"/>
  <c r="N129" i="15"/>
  <c r="N130" i="15"/>
  <c r="N131" i="15"/>
  <c r="N132" i="15"/>
  <c r="N133" i="15"/>
  <c r="N134" i="15"/>
  <c r="N135" i="15"/>
  <c r="N136" i="15"/>
  <c r="N137" i="15"/>
  <c r="N138" i="15"/>
  <c r="N139" i="15"/>
  <c r="N140" i="15"/>
  <c r="N141" i="15"/>
  <c r="N142" i="15"/>
  <c r="N143" i="15"/>
  <c r="N144" i="15"/>
  <c r="N145" i="15"/>
  <c r="N146" i="15"/>
  <c r="N147" i="15"/>
  <c r="N148" i="15"/>
  <c r="N149" i="15"/>
  <c r="N150" i="15"/>
  <c r="N151" i="15"/>
  <c r="N152" i="15"/>
  <c r="N153" i="15"/>
  <c r="N154" i="15"/>
  <c r="N155" i="15"/>
  <c r="N156" i="15"/>
  <c r="N157" i="15"/>
  <c r="N158" i="15"/>
  <c r="N159" i="15"/>
  <c r="N160" i="15"/>
  <c r="N161" i="15"/>
  <c r="N162" i="15"/>
  <c r="N163" i="15"/>
  <c r="N164" i="15"/>
  <c r="N165" i="15"/>
  <c r="N166" i="15"/>
  <c r="N167" i="15"/>
  <c r="N168" i="15"/>
  <c r="N169" i="15"/>
  <c r="N170" i="15"/>
  <c r="N171" i="15"/>
  <c r="N172" i="15"/>
  <c r="N173" i="15"/>
  <c r="N174" i="15"/>
  <c r="N175" i="15"/>
  <c r="N176" i="15"/>
  <c r="N177" i="15"/>
  <c r="N178" i="15"/>
  <c r="N179" i="15"/>
  <c r="N180" i="15"/>
  <c r="N181" i="15"/>
  <c r="N182" i="15"/>
  <c r="N183" i="15"/>
  <c r="N184" i="15"/>
  <c r="N185" i="15"/>
  <c r="N186" i="15"/>
  <c r="N187" i="15"/>
  <c r="N188" i="15"/>
  <c r="N42" i="15"/>
  <c r="M189" i="15"/>
  <c r="L189" i="15"/>
  <c r="K189" i="15"/>
  <c r="N189" i="15"/>
  <c r="N41" i="15"/>
  <c r="N40" i="15"/>
  <c r="N39" i="15"/>
  <c r="N38" i="15"/>
  <c r="N37" i="15"/>
  <c r="N36" i="15"/>
  <c r="N35" i="15"/>
  <c r="N34" i="15"/>
  <c r="N33" i="15"/>
  <c r="N32" i="15"/>
  <c r="N31" i="15"/>
  <c r="N30" i="15"/>
  <c r="N29" i="15"/>
  <c r="N28" i="15"/>
  <c r="N27" i="15"/>
  <c r="N26" i="15"/>
  <c r="N25" i="15"/>
  <c r="N24" i="15"/>
  <c r="N23" i="15"/>
  <c r="N22" i="15"/>
  <c r="N21" i="15"/>
  <c r="N20" i="15"/>
  <c r="N19" i="15"/>
  <c r="N18" i="15"/>
  <c r="N17" i="15"/>
  <c r="N16" i="15"/>
  <c r="N15" i="15"/>
  <c r="N14" i="15"/>
  <c r="N13" i="15"/>
  <c r="N12" i="15"/>
  <c r="N11" i="15"/>
  <c r="N10" i="15"/>
  <c r="N9" i="15"/>
  <c r="N8" i="15"/>
  <c r="N7" i="15"/>
  <c r="N6" i="15"/>
  <c r="N5" i="15"/>
  <c r="N4" i="15"/>
  <c r="N3" i="15"/>
  <c r="A1" i="14"/>
  <c r="A1" i="1"/>
  <c r="N99" i="13"/>
  <c r="N98" i="13"/>
  <c r="N97" i="13"/>
  <c r="N96" i="13"/>
  <c r="N95" i="13"/>
  <c r="N94" i="13"/>
  <c r="N93" i="13"/>
  <c r="N92" i="13"/>
  <c r="N91" i="13"/>
  <c r="N90" i="13"/>
  <c r="N89" i="13"/>
  <c r="N88" i="13"/>
  <c r="N87" i="13"/>
  <c r="N85" i="13"/>
  <c r="N84" i="13"/>
  <c r="N83" i="13"/>
  <c r="N80" i="13"/>
  <c r="N79" i="13"/>
  <c r="N78" i="13"/>
  <c r="N77" i="13"/>
  <c r="N76" i="13"/>
  <c r="N75" i="13"/>
  <c r="N74" i="13"/>
  <c r="N73" i="13"/>
  <c r="N72" i="13"/>
  <c r="N71" i="13"/>
  <c r="N62" i="13"/>
  <c r="N70" i="13"/>
  <c r="N68" i="13"/>
  <c r="N67" i="13"/>
  <c r="N66" i="13"/>
  <c r="N65" i="13"/>
  <c r="N64" i="13"/>
  <c r="N63" i="13"/>
  <c r="N69" i="13"/>
  <c r="N61" i="13"/>
  <c r="N60" i="13"/>
  <c r="N59" i="13"/>
  <c r="N58" i="13"/>
  <c r="N57" i="13"/>
  <c r="N56" i="13"/>
  <c r="N55" i="13"/>
  <c r="N54" i="13"/>
  <c r="N53" i="13"/>
  <c r="N52" i="13"/>
  <c r="N51" i="13"/>
  <c r="N50" i="13"/>
  <c r="N49" i="13"/>
  <c r="N29" i="13"/>
  <c r="N48" i="13"/>
  <c r="N47" i="13"/>
  <c r="N46" i="13"/>
  <c r="N45" i="13"/>
  <c r="N44" i="13"/>
  <c r="N43" i="13"/>
  <c r="N42" i="13"/>
  <c r="N41" i="13"/>
  <c r="N40" i="13"/>
  <c r="N39" i="13"/>
  <c r="N38" i="13"/>
  <c r="N37" i="13"/>
  <c r="N36" i="13"/>
  <c r="N35" i="13"/>
  <c r="N34" i="13"/>
  <c r="N33" i="13"/>
  <c r="N32" i="13"/>
  <c r="N31" i="13"/>
  <c r="N28" i="13"/>
  <c r="N27" i="13"/>
  <c r="N26" i="13"/>
  <c r="N25" i="13"/>
  <c r="N24" i="13"/>
  <c r="N23" i="13"/>
  <c r="N22" i="13"/>
  <c r="N21" i="13"/>
  <c r="N20" i="13"/>
  <c r="N19" i="13"/>
  <c r="N18" i="13"/>
  <c r="N17" i="13"/>
  <c r="N16" i="13"/>
  <c r="N15" i="13"/>
  <c r="N14" i="13"/>
  <c r="N13" i="13"/>
  <c r="N12" i="13"/>
  <c r="N11" i="13"/>
  <c r="N10" i="13"/>
  <c r="N9" i="13"/>
  <c r="N4" i="13"/>
  <c r="N8" i="13"/>
  <c r="N7" i="13"/>
  <c r="N6" i="13"/>
  <c r="N5" i="13"/>
  <c r="N3" i="13"/>
  <c r="N191" i="15" l="1"/>
  <c r="A1" i="12" l="1"/>
  <c r="O123" i="12"/>
  <c r="O126" i="12"/>
  <c r="O125" i="12"/>
  <c r="O124" i="12"/>
  <c r="O122" i="12"/>
  <c r="O121" i="12"/>
  <c r="O120" i="12"/>
  <c r="O119" i="12"/>
  <c r="O66" i="12"/>
  <c r="O118" i="12"/>
  <c r="O117" i="12"/>
  <c r="O116" i="12"/>
  <c r="O114" i="12"/>
  <c r="O113" i="12"/>
  <c r="O112" i="12"/>
  <c r="O111" i="12"/>
  <c r="O110" i="12"/>
  <c r="O109" i="12"/>
  <c r="O108" i="12"/>
  <c r="O107" i="12"/>
  <c r="O106" i="12"/>
  <c r="O105" i="12"/>
  <c r="O104" i="12"/>
  <c r="O103" i="12"/>
  <c r="O102" i="12"/>
  <c r="O101" i="12"/>
  <c r="O100" i="12"/>
  <c r="O99" i="12"/>
  <c r="O98" i="12"/>
  <c r="O97" i="12"/>
  <c r="O96" i="12"/>
  <c r="O95" i="12"/>
  <c r="O94" i="12"/>
  <c r="O93" i="12"/>
  <c r="O92" i="12"/>
  <c r="O91" i="12"/>
  <c r="O90" i="12"/>
  <c r="O88" i="12"/>
  <c r="O87" i="12"/>
  <c r="O86" i="12"/>
  <c r="O85" i="12"/>
  <c r="O84" i="12"/>
  <c r="O83" i="12"/>
  <c r="O82" i="12"/>
  <c r="O81" i="12"/>
  <c r="O80" i="12"/>
  <c r="O79" i="12"/>
  <c r="O78" i="12"/>
  <c r="O77" i="12"/>
  <c r="O76" i="12"/>
  <c r="O75" i="12"/>
  <c r="O74" i="12"/>
  <c r="O73" i="12"/>
  <c r="O72" i="12"/>
  <c r="O71" i="12"/>
  <c r="O70" i="12"/>
  <c r="O69" i="12"/>
  <c r="O68" i="12"/>
  <c r="O67" i="12"/>
  <c r="O65" i="12"/>
  <c r="O64" i="12"/>
  <c r="O63" i="12"/>
  <c r="O62" i="12"/>
  <c r="O61" i="12"/>
  <c r="O60" i="12"/>
  <c r="O59" i="12"/>
  <c r="O57" i="12"/>
  <c r="O56" i="12"/>
  <c r="O55" i="12"/>
  <c r="O54" i="12"/>
  <c r="O53" i="12"/>
  <c r="O52" i="12"/>
  <c r="O51" i="12"/>
  <c r="O50" i="12"/>
  <c r="O49" i="12"/>
  <c r="O48" i="12"/>
  <c r="O47" i="12"/>
  <c r="O46" i="12"/>
  <c r="O45" i="12"/>
  <c r="O44" i="12"/>
  <c r="O43" i="12"/>
  <c r="O42" i="12"/>
  <c r="O41" i="12"/>
  <c r="O40" i="12"/>
  <c r="O39" i="12"/>
  <c r="O38" i="12"/>
  <c r="O37" i="12"/>
  <c r="O36" i="12"/>
  <c r="O35" i="12"/>
  <c r="O34" i="12"/>
  <c r="O33" i="12"/>
  <c r="O32" i="12"/>
  <c r="O31" i="12"/>
  <c r="O30" i="12"/>
  <c r="O29" i="12"/>
  <c r="O28" i="12"/>
  <c r="O27" i="12"/>
  <c r="O26" i="12"/>
  <c r="O25" i="12"/>
  <c r="O23" i="12"/>
  <c r="O22" i="12"/>
  <c r="O21" i="12"/>
  <c r="O20" i="12"/>
  <c r="O19" i="12"/>
  <c r="O18" i="12"/>
  <c r="O17" i="12"/>
  <c r="O15" i="12"/>
  <c r="O14" i="12"/>
  <c r="O13" i="12"/>
  <c r="O16" i="12"/>
  <c r="O12" i="12"/>
  <c r="O11" i="12"/>
  <c r="O10" i="12"/>
  <c r="O9" i="12"/>
  <c r="O8" i="12"/>
  <c r="O7" i="12"/>
  <c r="O5" i="12"/>
  <c r="O4" i="12"/>
  <c r="O3" i="12"/>
  <c r="A1" i="10" l="1"/>
  <c r="A1" i="7"/>
  <c r="N117" i="7"/>
  <c r="N110" i="7"/>
  <c r="N109" i="7"/>
  <c r="N108" i="7"/>
  <c r="N107" i="7"/>
  <c r="N106" i="7"/>
  <c r="N105" i="7"/>
  <c r="N104" i="7"/>
  <c r="N103" i="7"/>
  <c r="N102" i="7"/>
  <c r="N101" i="7"/>
  <c r="N100" i="7"/>
  <c r="N99" i="7"/>
  <c r="N98" i="7"/>
  <c r="N97" i="7"/>
  <c r="N96" i="7"/>
  <c r="N95" i="7"/>
  <c r="N94" i="7"/>
  <c r="N93" i="7"/>
  <c r="N92" i="7"/>
  <c r="N91" i="7"/>
  <c r="N90" i="7"/>
  <c r="N89" i="7"/>
  <c r="N88" i="7"/>
  <c r="N87" i="7"/>
  <c r="N86" i="7"/>
  <c r="N85" i="7"/>
  <c r="N84" i="7"/>
  <c r="N83" i="7"/>
  <c r="N82" i="7"/>
  <c r="N81" i="7"/>
  <c r="N80" i="7"/>
  <c r="N79" i="7"/>
  <c r="N76" i="7"/>
  <c r="N75" i="7"/>
  <c r="N74" i="7"/>
  <c r="N73" i="7"/>
  <c r="N72" i="7"/>
  <c r="N71" i="7"/>
  <c r="N70" i="7"/>
  <c r="N69" i="7"/>
  <c r="N68" i="7"/>
  <c r="N67" i="7"/>
  <c r="N66" i="7"/>
  <c r="N65" i="7"/>
  <c r="N64" i="7"/>
  <c r="N63" i="7"/>
  <c r="N62" i="7"/>
  <c r="N61" i="7"/>
  <c r="N60" i="7"/>
  <c r="N59" i="7"/>
  <c r="N58" i="7"/>
  <c r="N57" i="7"/>
  <c r="N55" i="7"/>
  <c r="N54" i="7"/>
  <c r="N53" i="7"/>
  <c r="N52" i="7"/>
  <c r="N51" i="7"/>
  <c r="N50" i="7"/>
  <c r="N49" i="7"/>
  <c r="N48" i="7"/>
  <c r="N47" i="7"/>
  <c r="N46" i="7"/>
  <c r="N45" i="7"/>
  <c r="N44" i="7"/>
  <c r="N43" i="7"/>
  <c r="N42" i="7"/>
  <c r="N41" i="7"/>
  <c r="N40" i="7"/>
  <c r="N39" i="7"/>
  <c r="N38" i="7"/>
  <c r="N37" i="7"/>
  <c r="N36" i="7"/>
  <c r="N35" i="7"/>
  <c r="N34" i="7"/>
  <c r="N33" i="7"/>
  <c r="N32" i="7"/>
  <c r="N31" i="7"/>
  <c r="N30" i="7"/>
  <c r="N29" i="7"/>
  <c r="N28" i="7"/>
  <c r="N27" i="7"/>
  <c r="N26" i="7"/>
  <c r="N25" i="7"/>
  <c r="N24" i="7"/>
  <c r="N23" i="7"/>
  <c r="N22" i="7"/>
  <c r="N21" i="7"/>
  <c r="N20" i="7"/>
  <c r="N19" i="7"/>
  <c r="N18" i="7"/>
  <c r="N17" i="7"/>
  <c r="N16" i="7"/>
  <c r="N15" i="7"/>
  <c r="N14" i="7"/>
  <c r="N13" i="7"/>
  <c r="N12" i="7"/>
  <c r="N11" i="7"/>
  <c r="N10" i="7"/>
  <c r="N9" i="7"/>
  <c r="N8" i="7"/>
  <c r="N7" i="7"/>
  <c r="N6" i="7"/>
  <c r="N5" i="7"/>
  <c r="N4" i="7"/>
  <c r="N3" i="7"/>
  <c r="K79" i="6"/>
  <c r="K78" i="6"/>
  <c r="K77" i="6"/>
  <c r="K76" i="6"/>
  <c r="K75" i="6"/>
  <c r="K74" i="6"/>
  <c r="K73" i="6"/>
  <c r="K72" i="6"/>
  <c r="K71" i="6"/>
  <c r="K70" i="6"/>
  <c r="K69" i="6"/>
  <c r="K68" i="6"/>
  <c r="K67" i="6"/>
  <c r="K66" i="6"/>
  <c r="K56" i="6"/>
  <c r="K64" i="6"/>
  <c r="K63" i="6"/>
  <c r="K62" i="6"/>
  <c r="K61" i="6"/>
  <c r="K60" i="6"/>
  <c r="K59" i="6"/>
  <c r="K58" i="6"/>
  <c r="K57" i="6"/>
  <c r="K55" i="6"/>
  <c r="K53" i="6"/>
  <c r="K52" i="6"/>
  <c r="K51" i="6"/>
  <c r="K50" i="6"/>
  <c r="K49" i="6"/>
  <c r="K48" i="6"/>
  <c r="K47" i="6"/>
  <c r="K46" i="6"/>
  <c r="K45" i="6"/>
  <c r="K44" i="6"/>
  <c r="K43" i="6"/>
  <c r="K42" i="6"/>
  <c r="K41" i="6"/>
  <c r="K40" i="6"/>
  <c r="K39" i="6"/>
  <c r="K38" i="6"/>
  <c r="K37" i="6"/>
  <c r="K36" i="6"/>
  <c r="K35" i="6"/>
  <c r="K34" i="6"/>
  <c r="K33" i="6"/>
  <c r="K32" i="6"/>
  <c r="K31" i="6"/>
  <c r="K30" i="6"/>
  <c r="K29" i="6"/>
  <c r="K28" i="6"/>
  <c r="K27" i="6"/>
  <c r="K25" i="6"/>
  <c r="K24" i="6"/>
  <c r="K23" i="6"/>
  <c r="K22" i="6"/>
  <c r="K21" i="6"/>
  <c r="K20" i="6"/>
  <c r="K19" i="6"/>
  <c r="K18" i="6"/>
  <c r="K17" i="6"/>
  <c r="K16" i="6"/>
  <c r="K15" i="6"/>
  <c r="K14" i="6"/>
  <c r="K13" i="6"/>
  <c r="K12" i="6"/>
  <c r="K11" i="6"/>
  <c r="K10" i="6"/>
  <c r="K9" i="6"/>
  <c r="K8" i="6"/>
  <c r="K7" i="6"/>
  <c r="K6" i="6"/>
  <c r="K5" i="6"/>
  <c r="K4" i="6"/>
  <c r="K3" i="6"/>
  <c r="L2" i="6"/>
  <c r="A1" i="4" l="1"/>
  <c r="N106" i="4"/>
  <c r="M121" i="4"/>
  <c r="L121" i="4"/>
  <c r="K121" i="4"/>
  <c r="N120" i="4"/>
  <c r="N119" i="4"/>
  <c r="N71" i="4"/>
  <c r="N118" i="4"/>
  <c r="N117" i="4"/>
  <c r="N116" i="4"/>
  <c r="N115" i="4"/>
  <c r="N114" i="4"/>
  <c r="N113" i="4"/>
  <c r="N112" i="4"/>
  <c r="N111" i="4"/>
  <c r="N110" i="4"/>
  <c r="N109" i="4"/>
  <c r="N107" i="4"/>
  <c r="N105" i="4"/>
  <c r="N104" i="4"/>
  <c r="N103" i="4"/>
  <c r="N102" i="4"/>
  <c r="N101" i="4"/>
  <c r="N100" i="4"/>
  <c r="N99" i="4"/>
  <c r="N98" i="4"/>
  <c r="N97" i="4"/>
  <c r="N96" i="4"/>
  <c r="N95" i="4"/>
  <c r="N94" i="4"/>
  <c r="N93" i="4"/>
  <c r="N92" i="4"/>
  <c r="N91" i="4"/>
  <c r="N80" i="4"/>
  <c r="N90" i="4"/>
  <c r="N89" i="4"/>
  <c r="N88" i="4"/>
  <c r="N87" i="4"/>
  <c r="N86" i="4"/>
  <c r="N85" i="4"/>
  <c r="N84" i="4"/>
  <c r="N83" i="4"/>
  <c r="N82" i="4"/>
  <c r="N81" i="4"/>
  <c r="N79" i="4"/>
  <c r="O79" i="4" s="1"/>
  <c r="N78" i="4"/>
  <c r="N77" i="4"/>
  <c r="N76" i="4"/>
  <c r="N75" i="4"/>
  <c r="N74" i="4"/>
  <c r="N73" i="4"/>
  <c r="N72" i="4"/>
  <c r="N70" i="4"/>
  <c r="N69" i="4"/>
  <c r="N68" i="4"/>
  <c r="N67" i="4"/>
  <c r="N66" i="4"/>
  <c r="N65" i="4"/>
  <c r="N64" i="4"/>
  <c r="N63" i="4"/>
  <c r="N62" i="4"/>
  <c r="N61" i="4"/>
  <c r="N60" i="4"/>
  <c r="N59" i="4"/>
  <c r="N58" i="4"/>
  <c r="N57" i="4"/>
  <c r="N56" i="4"/>
  <c r="N55" i="4"/>
  <c r="N54" i="4"/>
  <c r="N53" i="4"/>
  <c r="N52" i="4"/>
  <c r="N51" i="4"/>
  <c r="N50" i="4"/>
  <c r="N49" i="4"/>
  <c r="N48" i="4"/>
  <c r="N47" i="4"/>
  <c r="N46" i="4"/>
  <c r="N45" i="4"/>
  <c r="N44" i="4"/>
  <c r="N43" i="4"/>
  <c r="N42" i="4"/>
  <c r="N41" i="4"/>
  <c r="N40" i="4"/>
  <c r="N39" i="4"/>
  <c r="N38" i="4"/>
  <c r="N37" i="4"/>
  <c r="N36" i="4"/>
  <c r="N35" i="4"/>
  <c r="N34" i="4"/>
  <c r="N33" i="4"/>
  <c r="N32" i="4"/>
  <c r="N31" i="4"/>
  <c r="N30" i="4"/>
  <c r="N29" i="4"/>
  <c r="N28" i="4"/>
  <c r="N27" i="4"/>
  <c r="N26" i="4"/>
  <c r="N25" i="4"/>
  <c r="N24" i="4"/>
  <c r="N23" i="4"/>
  <c r="N22" i="4"/>
  <c r="N21" i="4"/>
  <c r="N20" i="4"/>
  <c r="N19" i="4"/>
  <c r="N18" i="4"/>
  <c r="N17" i="4"/>
  <c r="N16" i="4"/>
  <c r="N15" i="4"/>
  <c r="N14" i="4"/>
  <c r="N13" i="4"/>
  <c r="N12" i="4"/>
  <c r="N11" i="4"/>
  <c r="N10" i="4"/>
  <c r="N9" i="4"/>
  <c r="N8" i="4"/>
  <c r="N7" i="4"/>
  <c r="N6" i="4"/>
  <c r="N5" i="4"/>
  <c r="N4" i="4"/>
  <c r="N3" i="4"/>
  <c r="M34" i="30"/>
  <c r="N25" i="30"/>
  <c r="O25" i="30" s="1"/>
  <c r="N20" i="30"/>
  <c r="O20" i="30" s="1"/>
  <c r="N18" i="30"/>
  <c r="O18" i="30" s="1"/>
  <c r="N17" i="30"/>
  <c r="O17" i="30" s="1"/>
  <c r="N16" i="30"/>
  <c r="O16" i="30" s="1"/>
  <c r="N15" i="30"/>
  <c r="O15" i="30" s="1"/>
  <c r="N14" i="30"/>
  <c r="O14" i="30" s="1"/>
  <c r="M33" i="30" l="1"/>
  <c r="M31" i="30"/>
  <c r="N121" i="4"/>
  <c r="M35" i="30" l="1"/>
  <c r="M36" i="30"/>
  <c r="M37" i="30" s="1"/>
  <c r="F125" i="12"/>
  <c r="L34" i="30" l="1"/>
  <c r="N34" i="30" s="1"/>
  <c r="O34" i="30" s="1"/>
  <c r="K34" i="30"/>
  <c r="J34" i="30"/>
  <c r="H34" i="30"/>
  <c r="G34" i="30"/>
  <c r="F34" i="30"/>
  <c r="E34" i="30"/>
  <c r="D34" i="30"/>
  <c r="C34" i="30"/>
  <c r="B34" i="30"/>
  <c r="G33" i="30"/>
  <c r="G35" i="30" s="1"/>
  <c r="F33" i="30"/>
  <c r="E33" i="30"/>
  <c r="D33" i="30"/>
  <c r="C33" i="30"/>
  <c r="B33" i="30"/>
  <c r="G31" i="30"/>
  <c r="F31" i="30"/>
  <c r="E31" i="30"/>
  <c r="D31" i="30"/>
  <c r="C31" i="30"/>
  <c r="B31" i="30"/>
  <c r="N30" i="30"/>
  <c r="O30" i="30" s="1"/>
  <c r="I30" i="30"/>
  <c r="I33" i="30" s="1"/>
  <c r="H30" i="30"/>
  <c r="H33" i="30" s="1"/>
  <c r="N29" i="30"/>
  <c r="O29" i="30" s="1"/>
  <c r="N28" i="30"/>
  <c r="O28" i="30" s="1"/>
  <c r="N27" i="30"/>
  <c r="O27" i="30" s="1"/>
  <c r="N26" i="30"/>
  <c r="O26" i="30" s="1"/>
  <c r="N24" i="30"/>
  <c r="O24" i="30" s="1"/>
  <c r="N23" i="30"/>
  <c r="O23" i="30" s="1"/>
  <c r="N22" i="30"/>
  <c r="O22" i="30" s="1"/>
  <c r="N21" i="30"/>
  <c r="O21" i="30" s="1"/>
  <c r="I20" i="30"/>
  <c r="N19" i="30"/>
  <c r="O19" i="30" s="1"/>
  <c r="I17" i="30"/>
  <c r="I16" i="30"/>
  <c r="I15" i="30"/>
  <c r="I14" i="30"/>
  <c r="N13" i="30"/>
  <c r="O13" i="30" s="1"/>
  <c r="N12" i="30"/>
  <c r="O12" i="30" s="1"/>
  <c r="N11" i="30"/>
  <c r="O11" i="30" s="1"/>
  <c r="N10" i="30"/>
  <c r="O10" i="30" s="1"/>
  <c r="N9" i="30"/>
  <c r="O9" i="30" s="1"/>
  <c r="N8" i="30"/>
  <c r="O8" i="30" l="1"/>
  <c r="N31" i="30"/>
  <c r="B35" i="30"/>
  <c r="D35" i="30"/>
  <c r="J31" i="30"/>
  <c r="K33" i="30"/>
  <c r="K35" i="30" s="1"/>
  <c r="I34" i="30"/>
  <c r="I35" i="30" s="1"/>
  <c r="I36" i="30" s="1"/>
  <c r="I37" i="30" s="1"/>
  <c r="L33" i="30"/>
  <c r="C35" i="30"/>
  <c r="K31" i="30"/>
  <c r="H31" i="30"/>
  <c r="J33" i="30"/>
  <c r="F35" i="30"/>
  <c r="F36" i="30" s="1"/>
  <c r="E35" i="30"/>
  <c r="E37" i="30" s="1"/>
  <c r="H35" i="30"/>
  <c r="H37" i="30" s="1"/>
  <c r="G37" i="30"/>
  <c r="J35" i="30"/>
  <c r="J36" i="30" s="1"/>
  <c r="J37" i="30" s="1"/>
  <c r="D37" i="30"/>
  <c r="L31" i="30"/>
  <c r="I31" i="30"/>
  <c r="G36" i="30"/>
  <c r="D36" i="30"/>
  <c r="H36" i="30" l="1"/>
  <c r="L35" i="30"/>
  <c r="L36" i="30" s="1"/>
  <c r="L37" i="30" s="1"/>
  <c r="N33" i="30"/>
  <c r="O31" i="30"/>
  <c r="E36" i="30"/>
  <c r="K36" i="30"/>
  <c r="K37" i="30" s="1"/>
  <c r="F37" i="30"/>
  <c r="N35" i="30" l="1"/>
  <c r="O35" i="30" s="1"/>
  <c r="O33" i="30"/>
  <c r="K4" i="29" l="1"/>
  <c r="K5" i="29"/>
  <c r="K7" i="29"/>
  <c r="K8" i="29"/>
  <c r="K9" i="29"/>
  <c r="K10" i="29"/>
  <c r="K11" i="29"/>
  <c r="K12" i="29"/>
  <c r="K13" i="29"/>
  <c r="K14" i="29"/>
  <c r="K15" i="29"/>
  <c r="K16" i="29"/>
  <c r="K17" i="29"/>
  <c r="K19" i="29"/>
  <c r="K20" i="29"/>
  <c r="K21" i="29"/>
  <c r="K22" i="29"/>
  <c r="K23" i="29"/>
  <c r="K24" i="29"/>
  <c r="K25" i="29"/>
  <c r="K26" i="29"/>
  <c r="K27" i="29"/>
  <c r="K28" i="29"/>
  <c r="K29" i="29"/>
  <c r="K30" i="29"/>
  <c r="K31" i="29"/>
  <c r="K32" i="29"/>
  <c r="K33" i="29"/>
  <c r="K34" i="29"/>
  <c r="K35" i="29"/>
  <c r="K36" i="29"/>
  <c r="K37" i="29"/>
  <c r="K38" i="29"/>
  <c r="K39" i="29"/>
  <c r="K40" i="29"/>
  <c r="K41" i="29"/>
  <c r="K42" i="29"/>
  <c r="K43" i="29"/>
  <c r="K44" i="29"/>
  <c r="K45" i="29"/>
  <c r="K46" i="29"/>
  <c r="K47" i="29"/>
  <c r="K48" i="29"/>
  <c r="K49" i="29"/>
  <c r="K50" i="29"/>
  <c r="K51" i="29"/>
  <c r="K52" i="29"/>
  <c r="K53" i="29"/>
  <c r="K54" i="29"/>
  <c r="K55" i="29"/>
  <c r="K56" i="29"/>
  <c r="K57" i="29"/>
  <c r="K58" i="29"/>
  <c r="K60" i="29"/>
  <c r="K61" i="29"/>
  <c r="K62" i="29"/>
  <c r="K64" i="29"/>
  <c r="K65" i="29"/>
  <c r="K66" i="29"/>
  <c r="K67" i="29"/>
  <c r="K68" i="29"/>
  <c r="K69" i="29"/>
  <c r="K70" i="29"/>
  <c r="K71" i="29"/>
  <c r="K72" i="29"/>
  <c r="K73" i="29"/>
  <c r="K74" i="29"/>
  <c r="K75" i="29"/>
  <c r="K76" i="29"/>
  <c r="K77" i="29"/>
  <c r="K78" i="29"/>
  <c r="K79" i="29"/>
  <c r="K80" i="29"/>
  <c r="K81" i="29"/>
  <c r="K82" i="29"/>
  <c r="K83" i="29"/>
  <c r="K84" i="29"/>
  <c r="K85" i="29"/>
  <c r="K86" i="29"/>
  <c r="K87" i="29"/>
  <c r="K88" i="29"/>
  <c r="K89" i="29"/>
  <c r="K90" i="29"/>
  <c r="K91" i="29"/>
  <c r="K92" i="29"/>
  <c r="K93" i="29"/>
  <c r="K94" i="29"/>
  <c r="K95" i="29"/>
  <c r="K96" i="29"/>
  <c r="K97" i="29"/>
  <c r="K98" i="29"/>
  <c r="K99" i="29"/>
  <c r="K100" i="29"/>
  <c r="K102" i="29"/>
  <c r="K103" i="29"/>
  <c r="K105" i="29"/>
  <c r="K106" i="29"/>
  <c r="K107" i="29"/>
  <c r="K108" i="29"/>
  <c r="K109" i="29"/>
  <c r="K110" i="29"/>
  <c r="K111" i="29"/>
  <c r="K113" i="29"/>
  <c r="K114" i="29"/>
  <c r="K115" i="29"/>
  <c r="K116" i="29"/>
  <c r="K117" i="29"/>
  <c r="K118" i="29"/>
  <c r="K119" i="29"/>
  <c r="K120" i="29"/>
  <c r="K121" i="29"/>
  <c r="K122" i="29"/>
  <c r="K123" i="29"/>
  <c r="K124" i="29"/>
  <c r="K125" i="29"/>
  <c r="K127" i="29"/>
  <c r="K128" i="29"/>
  <c r="K129" i="29"/>
  <c r="K130" i="29"/>
  <c r="K131" i="29"/>
  <c r="K132" i="29"/>
  <c r="K133" i="29"/>
  <c r="K134" i="29"/>
  <c r="K135" i="29"/>
  <c r="K136" i="29"/>
  <c r="K137" i="29"/>
  <c r="K138" i="29"/>
  <c r="K139" i="29"/>
  <c r="K140" i="29"/>
  <c r="K141" i="29"/>
  <c r="K142" i="29"/>
  <c r="K143" i="29"/>
  <c r="K144" i="29"/>
  <c r="K145" i="29"/>
  <c r="K146" i="29"/>
  <c r="K147" i="29"/>
  <c r="K148" i="29"/>
  <c r="K149" i="29"/>
  <c r="K150" i="29"/>
  <c r="K151" i="29"/>
  <c r="K152" i="29"/>
  <c r="K153" i="29"/>
  <c r="K154" i="29"/>
  <c r="K155" i="29"/>
  <c r="K156" i="29"/>
  <c r="K157" i="29"/>
  <c r="K158" i="29"/>
  <c r="K159" i="29"/>
  <c r="K160" i="29"/>
  <c r="K161" i="29"/>
  <c r="K162" i="29"/>
  <c r="K163" i="29"/>
  <c r="K164" i="29"/>
  <c r="K165" i="29"/>
  <c r="K166" i="29"/>
  <c r="K167" i="29"/>
  <c r="K168" i="29"/>
  <c r="K169" i="29"/>
  <c r="K170" i="29"/>
  <c r="K171" i="29"/>
  <c r="K172" i="29"/>
  <c r="K173" i="29"/>
  <c r="K174" i="29"/>
  <c r="K175" i="29"/>
  <c r="K176" i="29"/>
  <c r="K4" i="28"/>
  <c r="K5" i="28"/>
  <c r="K6" i="28"/>
  <c r="K7" i="28"/>
  <c r="K8" i="28"/>
  <c r="K9" i="28"/>
  <c r="K10" i="28"/>
  <c r="K11" i="28"/>
  <c r="K12" i="28"/>
  <c r="K13" i="28"/>
  <c r="K14" i="28"/>
  <c r="K15" i="28"/>
  <c r="K16" i="28"/>
  <c r="K17" i="28"/>
  <c r="K18" i="28"/>
  <c r="K19" i="28"/>
  <c r="K20" i="28"/>
  <c r="K21" i="28"/>
  <c r="K22" i="28"/>
  <c r="K23" i="28"/>
  <c r="K24" i="28"/>
  <c r="K25" i="28"/>
  <c r="K26" i="28"/>
  <c r="K27" i="28"/>
  <c r="K29" i="28"/>
  <c r="K30" i="28"/>
  <c r="K31" i="28"/>
  <c r="K32" i="28"/>
  <c r="K33" i="28"/>
  <c r="K34" i="28"/>
  <c r="K35" i="28"/>
  <c r="K36" i="28"/>
  <c r="K37" i="28"/>
  <c r="K38" i="28"/>
  <c r="K40" i="28"/>
  <c r="K42" i="28"/>
  <c r="K43" i="28"/>
  <c r="K44" i="28"/>
  <c r="K45" i="28"/>
  <c r="K46" i="28"/>
  <c r="K47" i="28"/>
  <c r="K48" i="28"/>
  <c r="K49" i="28"/>
  <c r="K50" i="28"/>
  <c r="K51" i="28"/>
  <c r="K52" i="28"/>
  <c r="K53" i="28"/>
  <c r="K54" i="28"/>
  <c r="K55" i="28"/>
  <c r="K56" i="28"/>
  <c r="K57" i="28"/>
  <c r="K58" i="28"/>
  <c r="K59" i="28"/>
  <c r="K60" i="28"/>
  <c r="K61" i="28"/>
  <c r="K62" i="28"/>
  <c r="K63" i="28"/>
  <c r="K64" i="28"/>
  <c r="K65" i="28"/>
  <c r="K66" i="28"/>
  <c r="K67" i="28"/>
  <c r="K68" i="28"/>
  <c r="K69" i="28"/>
  <c r="K70" i="28"/>
  <c r="K71" i="28"/>
  <c r="K72" i="28"/>
  <c r="K73" i="28"/>
  <c r="K74" i="28"/>
  <c r="K75" i="28"/>
  <c r="K76" i="28"/>
  <c r="K77" i="28"/>
  <c r="K5" i="27"/>
  <c r="K6" i="27"/>
  <c r="K7" i="27"/>
  <c r="K8" i="27"/>
  <c r="K9" i="27"/>
  <c r="K10" i="27"/>
  <c r="K11" i="27"/>
  <c r="K12" i="27"/>
  <c r="K13" i="27"/>
  <c r="K14" i="27"/>
  <c r="K15" i="27"/>
  <c r="K16" i="27"/>
  <c r="K18" i="27"/>
  <c r="K19" i="27"/>
  <c r="K20" i="27"/>
  <c r="K21" i="27"/>
  <c r="K22" i="27"/>
  <c r="K23" i="27"/>
  <c r="K24" i="27"/>
  <c r="K25" i="27"/>
  <c r="K26" i="27"/>
  <c r="K27" i="27"/>
  <c r="K28" i="27"/>
  <c r="K29" i="27"/>
  <c r="K30" i="27"/>
  <c r="K31" i="27"/>
  <c r="K33" i="27"/>
  <c r="K34" i="27"/>
  <c r="K35" i="27"/>
  <c r="K36" i="27"/>
  <c r="K37" i="27"/>
  <c r="K38" i="27"/>
  <c r="K39" i="27"/>
  <c r="K40" i="27"/>
  <c r="K41" i="27"/>
  <c r="K42" i="27"/>
  <c r="K43" i="27"/>
  <c r="K44" i="27"/>
  <c r="K45" i="27"/>
  <c r="K46" i="27"/>
  <c r="K47" i="27"/>
  <c r="K48" i="27"/>
  <c r="K49" i="27"/>
  <c r="K50" i="27"/>
  <c r="K51" i="27"/>
  <c r="K52" i="27"/>
  <c r="K53" i="27"/>
  <c r="K54" i="27"/>
  <c r="K55" i="27"/>
  <c r="K56" i="27"/>
  <c r="K57" i="27"/>
  <c r="K58" i="27"/>
  <c r="K59" i="27"/>
  <c r="K60" i="27"/>
  <c r="K61" i="27"/>
  <c r="K62" i="27"/>
  <c r="K63" i="27"/>
  <c r="K64" i="27"/>
  <c r="K65" i="27"/>
  <c r="K66" i="27"/>
  <c r="K67" i="27"/>
  <c r="K68" i="27"/>
  <c r="K69" i="27"/>
  <c r="K70" i="27"/>
  <c r="K71" i="27"/>
  <c r="K72" i="27"/>
  <c r="K73" i="27"/>
  <c r="K74" i="27"/>
  <c r="K75"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5" i="27"/>
  <c r="K106" i="27"/>
  <c r="K107" i="27"/>
  <c r="K108" i="27"/>
  <c r="K109" i="27"/>
  <c r="K110" i="27"/>
  <c r="K111" i="27"/>
  <c r="K112" i="27"/>
  <c r="K113" i="27"/>
  <c r="K114" i="27"/>
  <c r="K115" i="27"/>
  <c r="K116" i="27"/>
  <c r="K117" i="27"/>
  <c r="K118" i="27"/>
  <c r="K119" i="27"/>
  <c r="K120" i="27"/>
  <c r="K121" i="27"/>
  <c r="K122" i="27"/>
  <c r="K123" i="27"/>
  <c r="K124" i="27"/>
  <c r="K125" i="27"/>
  <c r="K127" i="27"/>
  <c r="K129" i="27"/>
  <c r="K130" i="27"/>
  <c r="K131" i="27"/>
  <c r="K132" i="27"/>
  <c r="K133" i="27"/>
  <c r="K134" i="27"/>
  <c r="K137" i="27"/>
  <c r="K138" i="27"/>
  <c r="K139" i="27"/>
  <c r="K140" i="27"/>
  <c r="K141" i="27"/>
  <c r="K143" i="27"/>
  <c r="K144" i="27"/>
  <c r="K145" i="27"/>
  <c r="K146" i="27"/>
  <c r="K147" i="27"/>
  <c r="K148" i="27"/>
  <c r="K149" i="27"/>
  <c r="K150" i="27"/>
  <c r="K151" i="27"/>
  <c r="K152" i="27"/>
  <c r="K153" i="27"/>
  <c r="K154" i="27"/>
  <c r="K155" i="27"/>
  <c r="K156" i="27"/>
  <c r="K157" i="27"/>
  <c r="K158" i="27"/>
  <c r="K159" i="27"/>
  <c r="K160" i="27"/>
  <c r="K161" i="27"/>
  <c r="K162" i="27"/>
  <c r="K163" i="27"/>
  <c r="K164" i="27"/>
  <c r="K165" i="27"/>
  <c r="K166" i="27"/>
  <c r="K167" i="27"/>
  <c r="K168" i="27"/>
  <c r="K169" i="27"/>
  <c r="K170" i="27"/>
  <c r="K171" i="27"/>
  <c r="K172" i="27"/>
  <c r="K173" i="27"/>
  <c r="K174" i="27"/>
  <c r="K175" i="27"/>
  <c r="K176" i="27"/>
  <c r="K177" i="27"/>
  <c r="K178" i="27"/>
  <c r="K179" i="27"/>
  <c r="K180" i="27"/>
  <c r="K181" i="27"/>
  <c r="K182" i="27"/>
  <c r="K183" i="27"/>
  <c r="K184" i="27"/>
  <c r="K185" i="27"/>
  <c r="K186" i="27"/>
  <c r="K187" i="27"/>
  <c r="K188" i="27"/>
  <c r="K190" i="27"/>
  <c r="K191" i="27"/>
  <c r="K192" i="27"/>
  <c r="K4" i="26"/>
  <c r="K5" i="26"/>
  <c r="K6" i="26"/>
  <c r="K7" i="26"/>
  <c r="K8" i="26"/>
  <c r="K9" i="26"/>
  <c r="K10" i="26"/>
  <c r="K11" i="26"/>
  <c r="K12" i="26"/>
  <c r="K13" i="26"/>
  <c r="K14" i="26"/>
  <c r="K15" i="26"/>
  <c r="K16" i="26"/>
  <c r="K17" i="26"/>
  <c r="K18" i="26"/>
  <c r="K19" i="26"/>
  <c r="K20" i="26"/>
  <c r="K21" i="26"/>
  <c r="K22" i="26"/>
  <c r="K23" i="26"/>
  <c r="K24" i="26"/>
  <c r="K25" i="26"/>
  <c r="K26" i="26"/>
  <c r="K27" i="26"/>
  <c r="K28" i="26"/>
  <c r="K29" i="26"/>
  <c r="K30" i="26"/>
  <c r="K32" i="26"/>
  <c r="K33" i="26"/>
  <c r="K35" i="26"/>
  <c r="K36" i="26"/>
  <c r="K37" i="26"/>
  <c r="K38" i="26"/>
  <c r="K39" i="26"/>
  <c r="K40" i="26"/>
  <c r="K41" i="26"/>
  <c r="K42" i="26"/>
  <c r="K43" i="26"/>
  <c r="K44" i="26"/>
  <c r="K45" i="26"/>
  <c r="K46" i="26"/>
  <c r="K47" i="26"/>
  <c r="K48" i="26"/>
  <c r="K49" i="26"/>
  <c r="K50" i="26"/>
  <c r="K51" i="26"/>
  <c r="K52" i="26"/>
  <c r="K53" i="26"/>
  <c r="K54" i="26"/>
  <c r="K55" i="26"/>
  <c r="K56" i="26"/>
  <c r="K59" i="26"/>
  <c r="K60" i="26"/>
  <c r="K61" i="26"/>
  <c r="K62" i="26"/>
  <c r="K63" i="26"/>
  <c r="K64" i="26"/>
  <c r="K65" i="26"/>
  <c r="K66" i="26"/>
  <c r="K68" i="26"/>
  <c r="K69" i="26"/>
  <c r="K70" i="26"/>
  <c r="K71" i="26"/>
  <c r="K72" i="26"/>
  <c r="K75" i="26"/>
  <c r="K76" i="26"/>
  <c r="K77" i="26"/>
  <c r="K78" i="26"/>
  <c r="K79" i="26"/>
  <c r="K80" i="26"/>
  <c r="K82" i="26"/>
  <c r="K83" i="26"/>
  <c r="K84" i="26"/>
  <c r="K85" i="26"/>
  <c r="K86" i="26"/>
  <c r="K87" i="26"/>
  <c r="K88" i="26"/>
  <c r="K89" i="26"/>
  <c r="K90" i="26"/>
  <c r="K91" i="26"/>
  <c r="K92" i="26"/>
  <c r="K93" i="26"/>
  <c r="K94" i="26"/>
  <c r="K95" i="26"/>
  <c r="K96" i="26"/>
  <c r="K97" i="26"/>
  <c r="K98" i="26"/>
  <c r="K99" i="26"/>
  <c r="K100" i="26"/>
  <c r="K101" i="26"/>
  <c r="K102" i="26"/>
  <c r="K103" i="26"/>
  <c r="K104" i="26"/>
  <c r="K105" i="26"/>
  <c r="K4" i="25"/>
  <c r="K5" i="25"/>
  <c r="K6" i="25"/>
  <c r="K7" i="25"/>
  <c r="K8" i="25"/>
  <c r="K9" i="25"/>
  <c r="K10" i="25"/>
  <c r="K11" i="25"/>
  <c r="K13" i="25"/>
  <c r="K15" i="25"/>
  <c r="K16" i="25"/>
  <c r="K17" i="25"/>
  <c r="K18" i="25"/>
  <c r="K19" i="25"/>
  <c r="K20" i="25"/>
  <c r="K21" i="25"/>
  <c r="K22" i="25"/>
  <c r="K23" i="25"/>
  <c r="K24" i="25"/>
  <c r="K25" i="25"/>
  <c r="K26" i="25"/>
  <c r="K27" i="25"/>
  <c r="K28" i="25"/>
  <c r="K29" i="25"/>
  <c r="K30" i="25"/>
  <c r="K31" i="25"/>
  <c r="K32" i="25"/>
  <c r="K33" i="25"/>
  <c r="K35" i="25"/>
  <c r="K36" i="25"/>
  <c r="K37" i="25"/>
  <c r="K38" i="25"/>
  <c r="K39" i="25"/>
  <c r="K40" i="25"/>
  <c r="K41" i="25"/>
  <c r="K42" i="25"/>
  <c r="K43" i="25"/>
  <c r="K44" i="25"/>
  <c r="K45" i="25"/>
  <c r="K46" i="25"/>
  <c r="K47" i="25"/>
  <c r="K48" i="25"/>
  <c r="K49" i="25"/>
  <c r="K50" i="25"/>
  <c r="K51" i="25"/>
  <c r="K52" i="25"/>
  <c r="K53" i="25"/>
  <c r="K54" i="25"/>
  <c r="K55" i="25"/>
  <c r="K56" i="25"/>
  <c r="K57" i="25"/>
  <c r="K58" i="25"/>
  <c r="K59" i="25"/>
  <c r="K60" i="25"/>
  <c r="K61" i="25"/>
  <c r="K62" i="25"/>
  <c r="K63" i="25"/>
  <c r="K64" i="25"/>
  <c r="K65" i="25"/>
  <c r="K66" i="25"/>
  <c r="K67" i="25"/>
  <c r="K68" i="25"/>
  <c r="K69" i="25"/>
  <c r="K70" i="25"/>
  <c r="K71" i="25"/>
  <c r="K72" i="25"/>
  <c r="K73" i="25"/>
  <c r="K75" i="25"/>
  <c r="K76" i="25"/>
  <c r="K77" i="25"/>
  <c r="K78" i="25"/>
  <c r="K79" i="25"/>
  <c r="K80" i="25"/>
  <c r="K81" i="25"/>
  <c r="K82" i="25"/>
  <c r="K83" i="25"/>
  <c r="K84" i="25"/>
  <c r="K85" i="25"/>
  <c r="K86" i="25"/>
  <c r="K87" i="25"/>
  <c r="K88" i="25"/>
  <c r="K89" i="25"/>
  <c r="K90" i="25"/>
  <c r="K92" i="25"/>
  <c r="K93" i="25"/>
  <c r="K94" i="25"/>
  <c r="K95" i="25"/>
  <c r="K96" i="25"/>
  <c r="K97" i="25"/>
  <c r="K99" i="25"/>
  <c r="K4" i="24"/>
  <c r="K5" i="24"/>
  <c r="K6" i="24"/>
  <c r="K7" i="24"/>
  <c r="K8" i="24"/>
  <c r="K9" i="24"/>
  <c r="K10" i="24"/>
  <c r="K11" i="24"/>
  <c r="K12" i="24"/>
  <c r="K13" i="24"/>
  <c r="K14" i="24"/>
  <c r="K15" i="24"/>
  <c r="K16" i="24"/>
  <c r="K17" i="24"/>
  <c r="K18" i="24"/>
  <c r="K19" i="24"/>
  <c r="K20" i="24"/>
  <c r="K21" i="24"/>
  <c r="K22" i="24"/>
  <c r="K23" i="24"/>
  <c r="K24" i="24"/>
  <c r="K25" i="24"/>
  <c r="K26" i="24"/>
  <c r="K27" i="24"/>
  <c r="K28" i="24"/>
  <c r="K29" i="24"/>
  <c r="K30" i="24"/>
  <c r="K32" i="24"/>
  <c r="K33" i="24"/>
  <c r="K34" i="24"/>
  <c r="K35" i="24"/>
  <c r="K36" i="24"/>
  <c r="K37" i="24"/>
  <c r="K38" i="24"/>
  <c r="K39" i="24"/>
  <c r="K40" i="24"/>
  <c r="K41" i="24"/>
  <c r="K42" i="24"/>
  <c r="K43" i="24"/>
  <c r="K45" i="24"/>
  <c r="K46" i="24"/>
  <c r="K48" i="24"/>
  <c r="K49" i="24"/>
  <c r="K50" i="24"/>
  <c r="K52" i="24"/>
  <c r="K53" i="24"/>
  <c r="K54" i="24"/>
  <c r="K55" i="24"/>
  <c r="K56" i="24"/>
  <c r="K57" i="24"/>
  <c r="K58" i="24"/>
  <c r="K59" i="24"/>
  <c r="K60" i="24"/>
  <c r="K61" i="24"/>
  <c r="K62" i="24"/>
  <c r="K63" i="24"/>
  <c r="K64" i="24"/>
  <c r="K65" i="24"/>
  <c r="K66" i="24"/>
  <c r="K67" i="24"/>
  <c r="K68" i="24"/>
  <c r="K69" i="24"/>
  <c r="K70" i="24"/>
  <c r="K71" i="24"/>
  <c r="K72" i="24"/>
  <c r="K73" i="24"/>
  <c r="K74" i="24"/>
  <c r="K75" i="24"/>
  <c r="K76" i="24"/>
  <c r="K77" i="24"/>
  <c r="K78" i="24"/>
  <c r="K79" i="24"/>
  <c r="K80" i="24"/>
  <c r="K81" i="24"/>
  <c r="K82" i="24"/>
  <c r="K83" i="24"/>
  <c r="K84" i="24"/>
  <c r="K85" i="24"/>
  <c r="K86" i="24"/>
  <c r="K87" i="24"/>
  <c r="K88" i="24"/>
  <c r="K90" i="24"/>
  <c r="K91" i="24"/>
  <c r="K92" i="24"/>
  <c r="K93" i="24"/>
  <c r="K94" i="24"/>
  <c r="K95" i="24"/>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K136" i="24"/>
  <c r="K137" i="24"/>
  <c r="K138" i="24"/>
  <c r="K139" i="24"/>
  <c r="K140" i="24"/>
  <c r="K141" i="24"/>
  <c r="K144" i="24"/>
  <c r="K145" i="24"/>
  <c r="K146" i="24"/>
  <c r="K147" i="24"/>
  <c r="K148" i="24"/>
  <c r="K149" i="24"/>
  <c r="K150" i="24"/>
  <c r="K151" i="24"/>
  <c r="K152" i="24"/>
  <c r="K153" i="24"/>
  <c r="K154" i="24"/>
  <c r="K155" i="24"/>
  <c r="K156" i="24"/>
  <c r="K157" i="24"/>
  <c r="K158" i="24"/>
  <c r="K159" i="24"/>
  <c r="K160" i="24"/>
  <c r="K161" i="24"/>
  <c r="K162" i="24"/>
  <c r="K163" i="24"/>
  <c r="K164" i="24"/>
  <c r="K165" i="24"/>
  <c r="K166" i="24"/>
  <c r="K167" i="24"/>
  <c r="K168" i="24"/>
  <c r="K171" i="24"/>
  <c r="K172" i="24"/>
  <c r="K173" i="24"/>
  <c r="J4" i="23"/>
  <c r="J5" i="23"/>
  <c r="J6" i="23"/>
  <c r="J7" i="23"/>
  <c r="J8" i="23"/>
  <c r="J9" i="23"/>
  <c r="J10" i="23"/>
  <c r="J11" i="23"/>
  <c r="J12" i="23"/>
  <c r="J13" i="23"/>
  <c r="J14" i="23"/>
  <c r="J15" i="23"/>
  <c r="J16" i="23"/>
  <c r="J17" i="23"/>
  <c r="J18" i="23"/>
  <c r="J19" i="23"/>
  <c r="J20" i="23"/>
  <c r="J21" i="23"/>
  <c r="J22" i="23"/>
  <c r="J23" i="23"/>
  <c r="J24" i="23"/>
  <c r="J25" i="23"/>
  <c r="J28" i="23"/>
  <c r="J29" i="23"/>
  <c r="J30" i="23"/>
  <c r="J31" i="23"/>
  <c r="J32" i="23"/>
  <c r="J33" i="23"/>
  <c r="J34" i="23"/>
  <c r="J35" i="23"/>
  <c r="J36" i="23"/>
  <c r="J37" i="23"/>
  <c r="J38" i="23"/>
  <c r="J39" i="23"/>
  <c r="J40" i="23"/>
  <c r="J41" i="23"/>
  <c r="J42" i="23"/>
  <c r="J43" i="23"/>
  <c r="J44" i="23"/>
  <c r="J45" i="23"/>
  <c r="J46" i="23"/>
  <c r="J47" i="23"/>
  <c r="J48" i="23"/>
  <c r="J50" i="23"/>
  <c r="J51" i="23"/>
  <c r="J52" i="23"/>
  <c r="K53" i="23"/>
  <c r="K54" i="23"/>
  <c r="K55" i="23"/>
  <c r="K56" i="23"/>
  <c r="K57" i="23"/>
  <c r="K59" i="23"/>
  <c r="K60" i="23"/>
  <c r="K61" i="23"/>
  <c r="K62" i="23"/>
  <c r="E120" i="4" l="1"/>
  <c r="A120" i="4" s="1"/>
  <c r="E119" i="4"/>
  <c r="A119" i="4" s="1"/>
  <c r="E118" i="4"/>
  <c r="A118" i="4" s="1"/>
  <c r="E117" i="4"/>
  <c r="A117" i="4" s="1"/>
  <c r="E116" i="4"/>
  <c r="A116" i="4" s="1"/>
  <c r="E115" i="4"/>
  <c r="A115" i="4" s="1"/>
  <c r="E114" i="4"/>
  <c r="A114" i="4" s="1"/>
  <c r="E113" i="4"/>
  <c r="A113" i="4" s="1"/>
  <c r="E112" i="4"/>
  <c r="A112" i="4" s="1"/>
  <c r="E111" i="4"/>
  <c r="A111" i="4" s="1"/>
  <c r="E110" i="4"/>
  <c r="A110" i="4" s="1"/>
  <c r="E109" i="4"/>
  <c r="A109" i="4" s="1"/>
  <c r="E108" i="4"/>
  <c r="A108" i="4" s="1"/>
  <c r="E107" i="4"/>
  <c r="A107" i="4" s="1"/>
  <c r="E106" i="4"/>
  <c r="A106" i="4" s="1"/>
  <c r="E105" i="4"/>
  <c r="A105" i="4" s="1"/>
  <c r="E104" i="4"/>
  <c r="A104" i="4" s="1"/>
  <c r="E103" i="4"/>
  <c r="A103" i="4" s="1"/>
  <c r="E102" i="4"/>
  <c r="A102" i="4" s="1"/>
  <c r="E101" i="4"/>
  <c r="A101" i="4" s="1"/>
  <c r="E100" i="4"/>
  <c r="A100" i="4" s="1"/>
  <c r="E99" i="4"/>
  <c r="A99" i="4" s="1"/>
  <c r="E98" i="4"/>
  <c r="A98" i="4" s="1"/>
  <c r="E97" i="4"/>
  <c r="A97" i="4" s="1"/>
  <c r="E96" i="4"/>
  <c r="A96" i="4" s="1"/>
  <c r="E95" i="4"/>
  <c r="A95" i="4" s="1"/>
  <c r="E94" i="4"/>
  <c r="A94" i="4" s="1"/>
  <c r="E93" i="4"/>
  <c r="A93" i="4" s="1"/>
  <c r="E92" i="4"/>
  <c r="A92" i="4" s="1"/>
  <c r="E91" i="4"/>
  <c r="A91" i="4" s="1"/>
  <c r="E90" i="4"/>
  <c r="A90" i="4" s="1"/>
  <c r="E89" i="4"/>
  <c r="A89" i="4" s="1"/>
  <c r="E88" i="4"/>
  <c r="A88" i="4" s="1"/>
  <c r="E87" i="4"/>
  <c r="A87" i="4" s="1"/>
  <c r="E86" i="4"/>
  <c r="A86" i="4" s="1"/>
  <c r="E85" i="4"/>
  <c r="A85" i="4" s="1"/>
  <c r="E84" i="4"/>
  <c r="A84" i="4" s="1"/>
  <c r="E83" i="4"/>
  <c r="A83" i="4" s="1"/>
  <c r="E82" i="4"/>
  <c r="A82" i="4" s="1"/>
  <c r="E81" i="4"/>
  <c r="A81" i="4" s="1"/>
  <c r="E80" i="4"/>
  <c r="A80" i="4" s="1"/>
  <c r="E79" i="4"/>
  <c r="A79" i="4" s="1"/>
  <c r="E78" i="4"/>
  <c r="A78" i="4" s="1"/>
  <c r="E77" i="4"/>
  <c r="A77" i="4" s="1"/>
  <c r="E76" i="4"/>
  <c r="A76" i="4" s="1"/>
  <c r="E75" i="4"/>
  <c r="A75" i="4" s="1"/>
  <c r="E74" i="4"/>
  <c r="A74" i="4" s="1"/>
  <c r="E73" i="4"/>
  <c r="A73" i="4" s="1"/>
  <c r="E72" i="4"/>
  <c r="A72" i="4" s="1"/>
  <c r="E71" i="4"/>
  <c r="A71" i="4" s="1"/>
  <c r="E70" i="4"/>
  <c r="A70" i="4" s="1"/>
  <c r="E69" i="4"/>
  <c r="A69" i="4" s="1"/>
  <c r="E68" i="4"/>
  <c r="A68" i="4" s="1"/>
  <c r="E67" i="4"/>
  <c r="A67" i="4" s="1"/>
  <c r="E66" i="4"/>
  <c r="A66" i="4" s="1"/>
  <c r="E65" i="4"/>
  <c r="A65" i="4" s="1"/>
  <c r="E64" i="4"/>
  <c r="A64" i="4" s="1"/>
  <c r="E63" i="4"/>
  <c r="A63" i="4" s="1"/>
  <c r="E62" i="4"/>
  <c r="A62" i="4" s="1"/>
  <c r="E61" i="4"/>
  <c r="A61" i="4" s="1"/>
  <c r="E60" i="4"/>
  <c r="A60" i="4" s="1"/>
  <c r="E59" i="4"/>
  <c r="A59" i="4" s="1"/>
  <c r="E58" i="4"/>
  <c r="A58" i="4" s="1"/>
  <c r="E57" i="4"/>
  <c r="A57" i="4" s="1"/>
  <c r="E56" i="4"/>
  <c r="A56" i="4" s="1"/>
  <c r="E55" i="4"/>
  <c r="A55" i="4" s="1"/>
  <c r="E54" i="4"/>
  <c r="A54" i="4" s="1"/>
  <c r="E53" i="4"/>
  <c r="A53" i="4" s="1"/>
  <c r="E52" i="4"/>
  <c r="A52" i="4" s="1"/>
  <c r="E51" i="4"/>
  <c r="A51" i="4" s="1"/>
  <c r="E50" i="4"/>
  <c r="A50" i="4" s="1"/>
  <c r="E49" i="4"/>
  <c r="A49" i="4" s="1"/>
  <c r="E48" i="4"/>
  <c r="A48" i="4" s="1"/>
  <c r="E47" i="4"/>
  <c r="A47" i="4" s="1"/>
  <c r="E46" i="4"/>
  <c r="A46" i="4" s="1"/>
  <c r="E45" i="4"/>
  <c r="A45" i="4" s="1"/>
  <c r="E44" i="4"/>
  <c r="A44" i="4" s="1"/>
  <c r="E43" i="4"/>
  <c r="A43" i="4" s="1"/>
  <c r="E42" i="4"/>
  <c r="A42" i="4" s="1"/>
  <c r="E40" i="4"/>
  <c r="A40" i="4" s="1"/>
  <c r="E39" i="4"/>
  <c r="A39" i="4" s="1"/>
  <c r="E38" i="4"/>
  <c r="A38" i="4" s="1"/>
  <c r="E37" i="4"/>
  <c r="A37" i="4" s="1"/>
  <c r="E36" i="4"/>
  <c r="A36" i="4" s="1"/>
  <c r="E35" i="4"/>
  <c r="A35" i="4" s="1"/>
  <c r="E34" i="4"/>
  <c r="A34" i="4" s="1"/>
  <c r="E33" i="4"/>
  <c r="A33" i="4" s="1"/>
  <c r="E32" i="4"/>
  <c r="A32" i="4" s="1"/>
  <c r="E31" i="4"/>
  <c r="A31" i="4" s="1"/>
  <c r="E30" i="4"/>
  <c r="A30" i="4" s="1"/>
  <c r="E29" i="4"/>
  <c r="A29" i="4" s="1"/>
  <c r="E28" i="4"/>
  <c r="A28" i="4" s="1"/>
  <c r="E27" i="4"/>
  <c r="A27" i="4" s="1"/>
  <c r="E26" i="4"/>
  <c r="A26" i="4" s="1"/>
  <c r="E25" i="4"/>
  <c r="A25" i="4" s="1"/>
  <c r="E24" i="4"/>
  <c r="A24" i="4" s="1"/>
  <c r="E23" i="4"/>
  <c r="A23" i="4" s="1"/>
  <c r="E22" i="4"/>
  <c r="A22" i="4" s="1"/>
  <c r="E21" i="4"/>
  <c r="A21" i="4" s="1"/>
  <c r="E20" i="4"/>
  <c r="A20" i="4" s="1"/>
  <c r="E19" i="4"/>
  <c r="A19" i="4" s="1"/>
  <c r="E18" i="4"/>
  <c r="A18" i="4" s="1"/>
  <c r="E17" i="4"/>
  <c r="A17" i="4" s="1"/>
  <c r="E16" i="4"/>
  <c r="A16" i="4" s="1"/>
  <c r="E15" i="4"/>
  <c r="A15" i="4" s="1"/>
  <c r="E14" i="4"/>
  <c r="A14" i="4" s="1"/>
  <c r="E13" i="4"/>
  <c r="A13" i="4" s="1"/>
  <c r="E12" i="4"/>
  <c r="A12" i="4" s="1"/>
  <c r="E11" i="4"/>
  <c r="A11" i="4" s="1"/>
  <c r="E10" i="4"/>
  <c r="A10" i="4" s="1"/>
  <c r="E9" i="4"/>
  <c r="A9" i="4" s="1"/>
  <c r="E8" i="4"/>
  <c r="A8" i="4" s="1"/>
  <c r="E7" i="4"/>
  <c r="A7" i="4" s="1"/>
  <c r="E6" i="4"/>
  <c r="A6" i="4" s="1"/>
  <c r="E5" i="4"/>
  <c r="A5" i="4" s="1"/>
  <c r="E4" i="4"/>
  <c r="A4" i="4" s="1"/>
  <c r="E3" i="4"/>
  <c r="A3" i="4" s="1"/>
  <c r="E30" i="13" l="1"/>
  <c r="Q28" i="13" l="1"/>
  <c r="E65" i="1" l="1"/>
  <c r="A65" i="1" s="1"/>
  <c r="E103" i="1"/>
  <c r="A103" i="1" s="1"/>
  <c r="M2062" i="2" l="1"/>
  <c r="M2061" i="2"/>
  <c r="J2061" i="2"/>
  <c r="M2060" i="2"/>
  <c r="J2060" i="2"/>
  <c r="M2059" i="2"/>
  <c r="J2059" i="2"/>
  <c r="M2058" i="2"/>
  <c r="J2058" i="2"/>
  <c r="M2057" i="2"/>
  <c r="J2057" i="2"/>
  <c r="M2056" i="2"/>
  <c r="J2056" i="2"/>
  <c r="M2055" i="2"/>
  <c r="J2055" i="2"/>
  <c r="M2054" i="2"/>
  <c r="J2054" i="2"/>
  <c r="L2053" i="2"/>
  <c r="M2053" i="2" s="1"/>
  <c r="J2053" i="2"/>
  <c r="M2052" i="2"/>
  <c r="J2052" i="2"/>
  <c r="M2051" i="2"/>
  <c r="J2051" i="2"/>
  <c r="M2050" i="2"/>
  <c r="J2050" i="2"/>
  <c r="J2049" i="2"/>
  <c r="H2049" i="2"/>
  <c r="M2049" i="2" s="1"/>
  <c r="J2048" i="2"/>
  <c r="H2048" i="2"/>
  <c r="M2048" i="2" s="1"/>
  <c r="M2047" i="2"/>
  <c r="J2047" i="2"/>
  <c r="M2046" i="2"/>
  <c r="J2046" i="2"/>
  <c r="J2045" i="2"/>
  <c r="H2045" i="2"/>
  <c r="M2045" i="2" s="1"/>
  <c r="J2044" i="2"/>
  <c r="H2044" i="2"/>
  <c r="M2044" i="2" s="1"/>
  <c r="L2043" i="2"/>
  <c r="J2043" i="2"/>
  <c r="H2043" i="2"/>
  <c r="J2042" i="2"/>
  <c r="H2042" i="2"/>
  <c r="M2042" i="2" s="1"/>
  <c r="M2041" i="2"/>
  <c r="J2041" i="2"/>
  <c r="M2040" i="2"/>
  <c r="J2040" i="2"/>
  <c r="M2039" i="2"/>
  <c r="J2039" i="2"/>
  <c r="M2038" i="2"/>
  <c r="J2038" i="2"/>
  <c r="M2037" i="2"/>
  <c r="J2037" i="2"/>
  <c r="M2036" i="2"/>
  <c r="J2036" i="2"/>
  <c r="M2035" i="2"/>
  <c r="J2035" i="2"/>
  <c r="M2034" i="2"/>
  <c r="J2034" i="2"/>
  <c r="M2033" i="2"/>
  <c r="J2033" i="2"/>
  <c r="J2032" i="2"/>
  <c r="H2032" i="2"/>
  <c r="M2032" i="2" s="1"/>
  <c r="J2031" i="2"/>
  <c r="H2031" i="2"/>
  <c r="M2031" i="2" s="1"/>
  <c r="M2030" i="2"/>
  <c r="J2030" i="2"/>
  <c r="M2029" i="2"/>
  <c r="J2029" i="2"/>
  <c r="J2028" i="2"/>
  <c r="H2028" i="2"/>
  <c r="M2028" i="2" s="1"/>
  <c r="M2027" i="2"/>
  <c r="J2027" i="2"/>
  <c r="M2026" i="2"/>
  <c r="J2026" i="2"/>
  <c r="J2025" i="2"/>
  <c r="H2025" i="2"/>
  <c r="M2025" i="2" s="1"/>
  <c r="J2024" i="2"/>
  <c r="H2024" i="2"/>
  <c r="M2024" i="2" s="1"/>
  <c r="J2023" i="2"/>
  <c r="H2023" i="2"/>
  <c r="M2023" i="2" s="1"/>
  <c r="M2022" i="2"/>
  <c r="J2022" i="2"/>
  <c r="M2021" i="2"/>
  <c r="J2021" i="2"/>
  <c r="J2020" i="2"/>
  <c r="H2020" i="2"/>
  <c r="M2020" i="2" s="1"/>
  <c r="J2019" i="2"/>
  <c r="H2019" i="2"/>
  <c r="M2019" i="2" s="1"/>
  <c r="M2018" i="2"/>
  <c r="J2018" i="2"/>
  <c r="M2017" i="2"/>
  <c r="J2017" i="2"/>
  <c r="M2016" i="2"/>
  <c r="J2016" i="2"/>
  <c r="J2015" i="2"/>
  <c r="H2015" i="2"/>
  <c r="M2015" i="2" s="1"/>
  <c r="M2014" i="2"/>
  <c r="J2014" i="2"/>
  <c r="I2014" i="2"/>
  <c r="J2013" i="2"/>
  <c r="H2013" i="2"/>
  <c r="M2013" i="2" s="1"/>
  <c r="M2012" i="2"/>
  <c r="J2012" i="2"/>
  <c r="J2011" i="2"/>
  <c r="H2011" i="2"/>
  <c r="M2011" i="2" s="1"/>
  <c r="M2010" i="2"/>
  <c r="J2010" i="2"/>
  <c r="J2009" i="2"/>
  <c r="H2009" i="2"/>
  <c r="M2009" i="2" s="1"/>
  <c r="M2008" i="2"/>
  <c r="J2008" i="2"/>
  <c r="J2007" i="2"/>
  <c r="H2007" i="2"/>
  <c r="M2007" i="2" s="1"/>
  <c r="J2006" i="2"/>
  <c r="H2006" i="2"/>
  <c r="M2006" i="2" s="1"/>
  <c r="M2005" i="2"/>
  <c r="J2005" i="2"/>
  <c r="M2004" i="2"/>
  <c r="J2004" i="2"/>
  <c r="M2003" i="2"/>
  <c r="J2003" i="2"/>
  <c r="M2002" i="2"/>
  <c r="J2002" i="2"/>
  <c r="M2001" i="2"/>
  <c r="J2001" i="2"/>
  <c r="M2000" i="2"/>
  <c r="J2000" i="2"/>
  <c r="M1999" i="2"/>
  <c r="J1999" i="2"/>
  <c r="M1998" i="2"/>
  <c r="J1998" i="2"/>
  <c r="H1998" i="2"/>
  <c r="M1997" i="2"/>
  <c r="J1997" i="2"/>
  <c r="M1996" i="2"/>
  <c r="J1996" i="2"/>
  <c r="M1995" i="2"/>
  <c r="J1995" i="2"/>
  <c r="M1994" i="2"/>
  <c r="J1994" i="2"/>
  <c r="M1993" i="2"/>
  <c r="J1993" i="2"/>
  <c r="M1992" i="2"/>
  <c r="J1992" i="2"/>
  <c r="J1991" i="2"/>
  <c r="H1991" i="2"/>
  <c r="M1991" i="2" s="1"/>
  <c r="M1990" i="2"/>
  <c r="J1990" i="2"/>
  <c r="M1989" i="2"/>
  <c r="J1989" i="2"/>
  <c r="J1988" i="2"/>
  <c r="H1988" i="2"/>
  <c r="M1988" i="2" s="1"/>
  <c r="M1987" i="2"/>
  <c r="J1987" i="2"/>
  <c r="M1986" i="2"/>
  <c r="J1986" i="2"/>
  <c r="M1985" i="2"/>
  <c r="J1985" i="2"/>
  <c r="M1984" i="2"/>
  <c r="J1984" i="2"/>
  <c r="M1983" i="2"/>
  <c r="J1983" i="2"/>
  <c r="M1982" i="2"/>
  <c r="J1982" i="2"/>
  <c r="M1981" i="2"/>
  <c r="J1981" i="2"/>
  <c r="M1980" i="2"/>
  <c r="J1980" i="2"/>
  <c r="M1979" i="2"/>
  <c r="J1979" i="2"/>
  <c r="M1978" i="2"/>
  <c r="J1978" i="2"/>
  <c r="M1977" i="2"/>
  <c r="J1977" i="2"/>
  <c r="M1976" i="2"/>
  <c r="J1976" i="2"/>
  <c r="M1975" i="2"/>
  <c r="J1975" i="2"/>
  <c r="M1974" i="2"/>
  <c r="J1974" i="2"/>
  <c r="M1973" i="2"/>
  <c r="J1973" i="2"/>
  <c r="J1972" i="2"/>
  <c r="H1972" i="2"/>
  <c r="M1972" i="2" s="1"/>
  <c r="J1971" i="2"/>
  <c r="H1971" i="2"/>
  <c r="M1971" i="2" s="1"/>
  <c r="M1970" i="2"/>
  <c r="J1970" i="2"/>
  <c r="M1969" i="2"/>
  <c r="J1969" i="2"/>
  <c r="J1968" i="2"/>
  <c r="H1968" i="2"/>
  <c r="M1968" i="2" s="1"/>
  <c r="M1967" i="2"/>
  <c r="J1967" i="2"/>
  <c r="J1966" i="2"/>
  <c r="H1966" i="2"/>
  <c r="M1966" i="2" s="1"/>
  <c r="M1965" i="2"/>
  <c r="J1965" i="2"/>
  <c r="J1964" i="2"/>
  <c r="H1964" i="2"/>
  <c r="M1964" i="2" s="1"/>
  <c r="J1963" i="2"/>
  <c r="H1963" i="2"/>
  <c r="M1963" i="2" s="1"/>
  <c r="M1962" i="2"/>
  <c r="J1962" i="2"/>
  <c r="M1961" i="2"/>
  <c r="J1961" i="2"/>
  <c r="M1960" i="2"/>
  <c r="J1960" i="2"/>
  <c r="J1959" i="2"/>
  <c r="H1959" i="2"/>
  <c r="M1959" i="2" s="1"/>
  <c r="M1958" i="2"/>
  <c r="J1958" i="2"/>
  <c r="M1957" i="2"/>
  <c r="J1957" i="2"/>
  <c r="M1956" i="2"/>
  <c r="J1956" i="2"/>
  <c r="M1955" i="2"/>
  <c r="J1955" i="2"/>
  <c r="M1954" i="2"/>
  <c r="J1954" i="2"/>
  <c r="M1953" i="2"/>
  <c r="J1953" i="2"/>
  <c r="H1953" i="2"/>
  <c r="M1952" i="2"/>
  <c r="J1952" i="2"/>
  <c r="M1951" i="2"/>
  <c r="J1951" i="2"/>
  <c r="M1950" i="2"/>
  <c r="J1950" i="2"/>
  <c r="M1949" i="2"/>
  <c r="J1949" i="2"/>
  <c r="M1948" i="2"/>
  <c r="J1948" i="2"/>
  <c r="M1947" i="2"/>
  <c r="J1947" i="2"/>
  <c r="J1946" i="2"/>
  <c r="H1946" i="2"/>
  <c r="M1946" i="2" s="1"/>
  <c r="M1945" i="2"/>
  <c r="J1945" i="2"/>
  <c r="M1944" i="2"/>
  <c r="J1944" i="2"/>
  <c r="M1943" i="2"/>
  <c r="J1943" i="2"/>
  <c r="M1942" i="2"/>
  <c r="J1942" i="2"/>
  <c r="J1941" i="2"/>
  <c r="H1941" i="2"/>
  <c r="M1941" i="2" s="1"/>
  <c r="M1940" i="2"/>
  <c r="J1940" i="2"/>
  <c r="M1939" i="2"/>
  <c r="J1939" i="2"/>
  <c r="M1938" i="2"/>
  <c r="J1938" i="2"/>
  <c r="M1937" i="2"/>
  <c r="J1937" i="2"/>
  <c r="M1936" i="2"/>
  <c r="J1936" i="2"/>
  <c r="M1935" i="2"/>
  <c r="J1935" i="2"/>
  <c r="M1934" i="2"/>
  <c r="J1934" i="2"/>
  <c r="M1933" i="2"/>
  <c r="J1933" i="2"/>
  <c r="M1932" i="2"/>
  <c r="J1932" i="2"/>
  <c r="M1931" i="2"/>
  <c r="J1931" i="2"/>
  <c r="M1930" i="2"/>
  <c r="J1930" i="2"/>
  <c r="M1929" i="2"/>
  <c r="J1929" i="2"/>
  <c r="M1928" i="2"/>
  <c r="J1928" i="2"/>
  <c r="M1927" i="2"/>
  <c r="J1927" i="2"/>
  <c r="M1926" i="2"/>
  <c r="J1926" i="2"/>
  <c r="M1925" i="2"/>
  <c r="J1925" i="2"/>
  <c r="J1924" i="2"/>
  <c r="H1924" i="2"/>
  <c r="M1924" i="2" s="1"/>
  <c r="J1923" i="2"/>
  <c r="H1923" i="2"/>
  <c r="M1923" i="2" s="1"/>
  <c r="M1922" i="2"/>
  <c r="J1922" i="2"/>
  <c r="J1921" i="2"/>
  <c r="H1921" i="2"/>
  <c r="M1921" i="2" s="1"/>
  <c r="M1920" i="2"/>
  <c r="J1920" i="2"/>
  <c r="J1919" i="2"/>
  <c r="H1919" i="2"/>
  <c r="M1919" i="2" s="1"/>
  <c r="J1918" i="2"/>
  <c r="H1918" i="2"/>
  <c r="M1918" i="2" s="1"/>
  <c r="M1917" i="2"/>
  <c r="J1917" i="2"/>
  <c r="M1916" i="2"/>
  <c r="J1916" i="2"/>
  <c r="M1915" i="2"/>
  <c r="J1915" i="2"/>
  <c r="M1914" i="2"/>
  <c r="J1914" i="2"/>
  <c r="M1913" i="2"/>
  <c r="J1913" i="2"/>
  <c r="M1912" i="2"/>
  <c r="J1912" i="2"/>
  <c r="M1911" i="2"/>
  <c r="J1911" i="2"/>
  <c r="M1910" i="2"/>
  <c r="J1910" i="2"/>
  <c r="M1909" i="2"/>
  <c r="J1909" i="2"/>
  <c r="J1908" i="2"/>
  <c r="H1908" i="2"/>
  <c r="M1908" i="2" s="1"/>
  <c r="M1907" i="2"/>
  <c r="J1907" i="2"/>
  <c r="M1906" i="2"/>
  <c r="J1906" i="2"/>
  <c r="M1905" i="2"/>
  <c r="J1905" i="2"/>
  <c r="M1904" i="2"/>
  <c r="J1904" i="2"/>
  <c r="M1903" i="2"/>
  <c r="J1903" i="2"/>
  <c r="J1902" i="2"/>
  <c r="H1902" i="2"/>
  <c r="M1902" i="2" s="1"/>
  <c r="M1901" i="2"/>
  <c r="J1901" i="2"/>
  <c r="M1900" i="2"/>
  <c r="J1900" i="2"/>
  <c r="M1899" i="2"/>
  <c r="J1899" i="2"/>
  <c r="M1898" i="2"/>
  <c r="J1898" i="2"/>
  <c r="M1897" i="2"/>
  <c r="J1897" i="2"/>
  <c r="M1896" i="2"/>
  <c r="J1896" i="2"/>
  <c r="M1895" i="2"/>
  <c r="J1895" i="2"/>
  <c r="M1894" i="2"/>
  <c r="J1894" i="2"/>
  <c r="M1893" i="2"/>
  <c r="J1893" i="2"/>
  <c r="J1892" i="2"/>
  <c r="H1892" i="2"/>
  <c r="M1892" i="2" s="1"/>
  <c r="J1891" i="2"/>
  <c r="H1891" i="2"/>
  <c r="M1891" i="2" s="1"/>
  <c r="M1890" i="2"/>
  <c r="J1890" i="2"/>
  <c r="J1889" i="2"/>
  <c r="H1889" i="2"/>
  <c r="M1889" i="2" s="1"/>
  <c r="M1888" i="2"/>
  <c r="J1888" i="2"/>
  <c r="M1887" i="2"/>
  <c r="J1887" i="2"/>
  <c r="M1886" i="2"/>
  <c r="J1886" i="2"/>
  <c r="M1885" i="2"/>
  <c r="J1885" i="2"/>
  <c r="J1884" i="2"/>
  <c r="H1884" i="2"/>
  <c r="M1884" i="2" s="1"/>
  <c r="M1883" i="2"/>
  <c r="J1883" i="2"/>
  <c r="M1882" i="2"/>
  <c r="J1882" i="2"/>
  <c r="I1882" i="2"/>
  <c r="M1881" i="2"/>
  <c r="J1881" i="2"/>
  <c r="I1881" i="2"/>
  <c r="M1880" i="2"/>
  <c r="J1880" i="2"/>
  <c r="M1879" i="2"/>
  <c r="J1879" i="2"/>
  <c r="M1878" i="2"/>
  <c r="J1878" i="2"/>
  <c r="M1877" i="2"/>
  <c r="J1877" i="2"/>
  <c r="J1876" i="2"/>
  <c r="H1876" i="2"/>
  <c r="M1876" i="2" s="1"/>
  <c r="M1875" i="2"/>
  <c r="J1875" i="2"/>
  <c r="M1874" i="2"/>
  <c r="J1874" i="2"/>
  <c r="M1873" i="2"/>
  <c r="J1873" i="2"/>
  <c r="M1872" i="2"/>
  <c r="J1872" i="2"/>
  <c r="M1871" i="2"/>
  <c r="J1871" i="2"/>
  <c r="M1870" i="2"/>
  <c r="J1870" i="2"/>
  <c r="M1869" i="2"/>
  <c r="J1869" i="2"/>
  <c r="J1868" i="2"/>
  <c r="H1868" i="2"/>
  <c r="M1868" i="2" s="1"/>
  <c r="M1867" i="2"/>
  <c r="J1867" i="2"/>
  <c r="M1866" i="2"/>
  <c r="J1866" i="2"/>
  <c r="J1865" i="2"/>
  <c r="H1865" i="2"/>
  <c r="M1865" i="2" s="1"/>
  <c r="M1864" i="2"/>
  <c r="J1864" i="2"/>
  <c r="M1863" i="2"/>
  <c r="J1863" i="2"/>
  <c r="M1862" i="2"/>
  <c r="J1862" i="2"/>
  <c r="M1861" i="2"/>
  <c r="J1861" i="2"/>
  <c r="M1860" i="2"/>
  <c r="J1860" i="2"/>
  <c r="J1859" i="2"/>
  <c r="H1859" i="2"/>
  <c r="M1859" i="2" s="1"/>
  <c r="M1858" i="2"/>
  <c r="J1858" i="2"/>
  <c r="J1857" i="2"/>
  <c r="H1857" i="2"/>
  <c r="M1857" i="2" s="1"/>
  <c r="M1856" i="2"/>
  <c r="J1856" i="2"/>
  <c r="M1855" i="2"/>
  <c r="J1855" i="2"/>
  <c r="I1855" i="2"/>
  <c r="M1854" i="2"/>
  <c r="J1854" i="2"/>
  <c r="M1853" i="2"/>
  <c r="J1853" i="2"/>
  <c r="M1852" i="2"/>
  <c r="J1852" i="2"/>
  <c r="M1851" i="2"/>
  <c r="J1851" i="2"/>
  <c r="M1850" i="2"/>
  <c r="J1850" i="2"/>
  <c r="M1849" i="2"/>
  <c r="J1849" i="2"/>
  <c r="M1848" i="2"/>
  <c r="J1848" i="2"/>
  <c r="M1847" i="2"/>
  <c r="J1847" i="2"/>
  <c r="M1846" i="2"/>
  <c r="J1846" i="2"/>
  <c r="J1845" i="2"/>
  <c r="H1845" i="2"/>
  <c r="M1845" i="2" s="1"/>
  <c r="M1844" i="2"/>
  <c r="J1844" i="2"/>
  <c r="M1843" i="2"/>
  <c r="J1843" i="2"/>
  <c r="J1842" i="2"/>
  <c r="H1842" i="2"/>
  <c r="M1842" i="2" s="1"/>
  <c r="M1841" i="2"/>
  <c r="J1841" i="2"/>
  <c r="J1840" i="2"/>
  <c r="H1840" i="2"/>
  <c r="M1840" i="2" s="1"/>
  <c r="M1839" i="2"/>
  <c r="J1839" i="2"/>
  <c r="M1838" i="2"/>
  <c r="J1838" i="2"/>
  <c r="M1837" i="2"/>
  <c r="J1837" i="2"/>
  <c r="J1836" i="2"/>
  <c r="H1836" i="2"/>
  <c r="M1836" i="2" s="1"/>
  <c r="M1835" i="2"/>
  <c r="J1835" i="2"/>
  <c r="M1834" i="2"/>
  <c r="J1834" i="2"/>
  <c r="M1833" i="2"/>
  <c r="J1833" i="2"/>
  <c r="M1832" i="2"/>
  <c r="J1832" i="2"/>
  <c r="J1831" i="2"/>
  <c r="H1831" i="2"/>
  <c r="M1831" i="2" s="1"/>
  <c r="M1830" i="2"/>
  <c r="J1830" i="2"/>
  <c r="J1829" i="2"/>
  <c r="H1829" i="2"/>
  <c r="M1829" i="2" s="1"/>
  <c r="M1828" i="2"/>
  <c r="J1828" i="2"/>
  <c r="M1827" i="2"/>
  <c r="J1827" i="2"/>
  <c r="M1826" i="2"/>
  <c r="J1826" i="2"/>
  <c r="J1825" i="2"/>
  <c r="H1825" i="2"/>
  <c r="M1825" i="2" s="1"/>
  <c r="M1824" i="2"/>
  <c r="J1824" i="2"/>
  <c r="M1823" i="2"/>
  <c r="J1823" i="2"/>
  <c r="M1822" i="2"/>
  <c r="J1822" i="2"/>
  <c r="M1821" i="2"/>
  <c r="J1821" i="2"/>
  <c r="M1820" i="2"/>
  <c r="J1820" i="2"/>
  <c r="M1819" i="2"/>
  <c r="J1819" i="2"/>
  <c r="M1818" i="2"/>
  <c r="J1818" i="2"/>
  <c r="M1817" i="2"/>
  <c r="J1817" i="2"/>
  <c r="H1817" i="2"/>
  <c r="M1816" i="2"/>
  <c r="J1816" i="2"/>
  <c r="M1815" i="2"/>
  <c r="J1815" i="2"/>
  <c r="M1814" i="2"/>
  <c r="J1814" i="2"/>
  <c r="M1813" i="2"/>
  <c r="J1813" i="2"/>
  <c r="M1812" i="2"/>
  <c r="J1812" i="2"/>
  <c r="M1811" i="2"/>
  <c r="J1811" i="2"/>
  <c r="M1810" i="2"/>
  <c r="J1810" i="2"/>
  <c r="M1809" i="2"/>
  <c r="J1809" i="2"/>
  <c r="M1808" i="2"/>
  <c r="J1808" i="2"/>
  <c r="M1807" i="2"/>
  <c r="J1807" i="2"/>
  <c r="M1806" i="2"/>
  <c r="J1806" i="2"/>
  <c r="I1806" i="2"/>
  <c r="M1805" i="2"/>
  <c r="J1805" i="2"/>
  <c r="M1804" i="2"/>
  <c r="J1804" i="2"/>
  <c r="M1803" i="2"/>
  <c r="J1803" i="2"/>
  <c r="M1802" i="2"/>
  <c r="J1802" i="2"/>
  <c r="M1801" i="2"/>
  <c r="J1801" i="2"/>
  <c r="M1800" i="2"/>
  <c r="J1800" i="2"/>
  <c r="M1799" i="2"/>
  <c r="J1799" i="2"/>
  <c r="M1798" i="2"/>
  <c r="J1798" i="2"/>
  <c r="I1798" i="2"/>
  <c r="J1797" i="2"/>
  <c r="H1797" i="2"/>
  <c r="M1797" i="2" s="1"/>
  <c r="M1796" i="2"/>
  <c r="J1796" i="2"/>
  <c r="M1795" i="2"/>
  <c r="J1795" i="2"/>
  <c r="J1794" i="2"/>
  <c r="H1794" i="2"/>
  <c r="M1794" i="2" s="1"/>
  <c r="M1793" i="2"/>
  <c r="J1793" i="2"/>
  <c r="M1792" i="2"/>
  <c r="J1792" i="2"/>
  <c r="M1791" i="2"/>
  <c r="J1791" i="2"/>
  <c r="M1790" i="2"/>
  <c r="J1790" i="2"/>
  <c r="J1789" i="2"/>
  <c r="H1789" i="2"/>
  <c r="M1789" i="2" s="1"/>
  <c r="M1788" i="2"/>
  <c r="J1788" i="2"/>
  <c r="M1787" i="2"/>
  <c r="J1787" i="2"/>
  <c r="M1786" i="2"/>
  <c r="J1786" i="2"/>
  <c r="M1785" i="2"/>
  <c r="J1785" i="2"/>
  <c r="M1784" i="2"/>
  <c r="J1784" i="2"/>
  <c r="M1783" i="2"/>
  <c r="J1783" i="2"/>
  <c r="M1782" i="2"/>
  <c r="J1782" i="2"/>
  <c r="M1781" i="2"/>
  <c r="J1781" i="2"/>
  <c r="M1780" i="2"/>
  <c r="J1780" i="2"/>
  <c r="M1779" i="2"/>
  <c r="J1779" i="2"/>
  <c r="M1778" i="2"/>
  <c r="J1778" i="2"/>
  <c r="J1777" i="2"/>
  <c r="H1777" i="2"/>
  <c r="M1777" i="2" s="1"/>
  <c r="M1776" i="2"/>
  <c r="J1776" i="2"/>
  <c r="M1775" i="2"/>
  <c r="J1775" i="2"/>
  <c r="M1774" i="2"/>
  <c r="J1774" i="2"/>
  <c r="I1774" i="2"/>
  <c r="M1773" i="2"/>
  <c r="J1773" i="2"/>
  <c r="H1773" i="2"/>
  <c r="M1772" i="2"/>
  <c r="J1772" i="2"/>
  <c r="M1771" i="2"/>
  <c r="J1771" i="2"/>
  <c r="J1770" i="2"/>
  <c r="H1770" i="2"/>
  <c r="M1770" i="2" s="1"/>
  <c r="M1769" i="2"/>
  <c r="J1769" i="2"/>
  <c r="M1768" i="2"/>
  <c r="J1768" i="2"/>
  <c r="M1767" i="2"/>
  <c r="J1767" i="2"/>
  <c r="M1766" i="2"/>
  <c r="J1766" i="2"/>
  <c r="M1765" i="2"/>
  <c r="J1765" i="2"/>
  <c r="M1764" i="2"/>
  <c r="J1764" i="2"/>
  <c r="J1763" i="2"/>
  <c r="H1763" i="2"/>
  <c r="M1763" i="2" s="1"/>
  <c r="M1762" i="2"/>
  <c r="J1762" i="2"/>
  <c r="M1761" i="2"/>
  <c r="J1761" i="2"/>
  <c r="M1760" i="2"/>
  <c r="J1760" i="2"/>
  <c r="J1759" i="2"/>
  <c r="H1759" i="2"/>
  <c r="M1759" i="2" s="1"/>
  <c r="J1758" i="2"/>
  <c r="H1758" i="2"/>
  <c r="M1758" i="2" s="1"/>
  <c r="M1757" i="2"/>
  <c r="J1757" i="2"/>
  <c r="M1756" i="2"/>
  <c r="J1756" i="2"/>
  <c r="M1755" i="2"/>
  <c r="J1755" i="2"/>
  <c r="M1754" i="2"/>
  <c r="J1754" i="2"/>
  <c r="J1753" i="2"/>
  <c r="H1753" i="2"/>
  <c r="M1753" i="2" s="1"/>
  <c r="J1752" i="2"/>
  <c r="H1752" i="2"/>
  <c r="M1752" i="2" s="1"/>
  <c r="M1751" i="2"/>
  <c r="J1751" i="2"/>
  <c r="M1750" i="2"/>
  <c r="J1750" i="2"/>
  <c r="J1749" i="2"/>
  <c r="H1749" i="2"/>
  <c r="M1749" i="2" s="1"/>
  <c r="M1748" i="2"/>
  <c r="J1748" i="2"/>
  <c r="M1747" i="2"/>
  <c r="J1747" i="2"/>
  <c r="I1747" i="2"/>
  <c r="M1746" i="2"/>
  <c r="J1746" i="2"/>
  <c r="M1745" i="2"/>
  <c r="J1745" i="2"/>
  <c r="M1744" i="2"/>
  <c r="J1744" i="2"/>
  <c r="J1743" i="2"/>
  <c r="H1743" i="2"/>
  <c r="M1743" i="2" s="1"/>
  <c r="J1742" i="2"/>
  <c r="H1742" i="2"/>
  <c r="M1742" i="2" s="1"/>
  <c r="J1741" i="2"/>
  <c r="H1741" i="2"/>
  <c r="M1741" i="2" s="1"/>
  <c r="M1740" i="2"/>
  <c r="J1740" i="2"/>
  <c r="M1739" i="2"/>
  <c r="J1739" i="2"/>
  <c r="M1738" i="2"/>
  <c r="J1738" i="2"/>
  <c r="I1738" i="2"/>
  <c r="M1737" i="2"/>
  <c r="J1737" i="2"/>
  <c r="M1736" i="2"/>
  <c r="J1736" i="2"/>
  <c r="J1735" i="2"/>
  <c r="H1735" i="2"/>
  <c r="M1735" i="2" s="1"/>
  <c r="J1734" i="2"/>
  <c r="H1734" i="2"/>
  <c r="M1734" i="2" s="1"/>
  <c r="M1733" i="2"/>
  <c r="J1733" i="2"/>
  <c r="J1732" i="2"/>
  <c r="H1732" i="2"/>
  <c r="M1732" i="2" s="1"/>
  <c r="M1731" i="2"/>
  <c r="J1731" i="2"/>
  <c r="M1730" i="2"/>
  <c r="J1730" i="2"/>
  <c r="M1729" i="2"/>
  <c r="J1729" i="2"/>
  <c r="M1728" i="2"/>
  <c r="J1728" i="2"/>
  <c r="J1727" i="2"/>
  <c r="H1727" i="2"/>
  <c r="M1727" i="2" s="1"/>
  <c r="M1726" i="2"/>
  <c r="J1726" i="2"/>
  <c r="J1725" i="2"/>
  <c r="H1725" i="2"/>
  <c r="M1725" i="2" s="1"/>
  <c r="M1724" i="2"/>
  <c r="J1724" i="2"/>
  <c r="M1723" i="2"/>
  <c r="J1723" i="2"/>
  <c r="M1722" i="2"/>
  <c r="J1722" i="2"/>
  <c r="M1721" i="2"/>
  <c r="J1721" i="2"/>
  <c r="M1720" i="2"/>
  <c r="J1720" i="2"/>
  <c r="J1719" i="2"/>
  <c r="H1719" i="2"/>
  <c r="M1719" i="2" s="1"/>
  <c r="M1718" i="2"/>
  <c r="J1718" i="2"/>
  <c r="J1717" i="2"/>
  <c r="H1717" i="2"/>
  <c r="M1717" i="2" s="1"/>
  <c r="J1716" i="2"/>
  <c r="H1716" i="2"/>
  <c r="M1716" i="2" s="1"/>
  <c r="M1715" i="2"/>
  <c r="J1715" i="2"/>
  <c r="M1714" i="2"/>
  <c r="J1714" i="2"/>
  <c r="M1713" i="2"/>
  <c r="J1713" i="2"/>
  <c r="M1712" i="2"/>
  <c r="J1712" i="2"/>
  <c r="M1711" i="2"/>
  <c r="J1711" i="2"/>
  <c r="M1710" i="2"/>
  <c r="J1710" i="2"/>
  <c r="M1709" i="2"/>
  <c r="J1709" i="2"/>
  <c r="J1708" i="2"/>
  <c r="H1708" i="2"/>
  <c r="M1708" i="2" s="1"/>
  <c r="M1707" i="2"/>
  <c r="J1707" i="2"/>
  <c r="J1706" i="2"/>
  <c r="H1706" i="2"/>
  <c r="M1706" i="2" s="1"/>
  <c r="M1705" i="2"/>
  <c r="J1705" i="2"/>
  <c r="M1704" i="2"/>
  <c r="J1704" i="2"/>
  <c r="M1703" i="2"/>
  <c r="J1703" i="2"/>
  <c r="J1702" i="2"/>
  <c r="H1702" i="2"/>
  <c r="M1702" i="2" s="1"/>
  <c r="M1701" i="2"/>
  <c r="J1701" i="2"/>
  <c r="M1700" i="2"/>
  <c r="J1700" i="2"/>
  <c r="J1699" i="2"/>
  <c r="H1699" i="2"/>
  <c r="M1699" i="2" s="1"/>
  <c r="J1698" i="2"/>
  <c r="H1698" i="2"/>
  <c r="M1698" i="2" s="1"/>
  <c r="M1697" i="2"/>
  <c r="J1697" i="2"/>
  <c r="M1696" i="2"/>
  <c r="J1696" i="2"/>
  <c r="M1695" i="2"/>
  <c r="J1695" i="2"/>
  <c r="M1694" i="2"/>
  <c r="J1694" i="2"/>
  <c r="J1693" i="2"/>
  <c r="H1693" i="2"/>
  <c r="M1693" i="2" s="1"/>
  <c r="M1692" i="2"/>
  <c r="J1692" i="2"/>
  <c r="J1691" i="2"/>
  <c r="H1691" i="2"/>
  <c r="M1691" i="2" s="1"/>
  <c r="J1690" i="2"/>
  <c r="H1690" i="2"/>
  <c r="M1690" i="2" s="1"/>
  <c r="M1689" i="2"/>
  <c r="J1689" i="2"/>
  <c r="M1688" i="2"/>
  <c r="J1688" i="2"/>
  <c r="M1687" i="2"/>
  <c r="J1687" i="2"/>
  <c r="M1686" i="2"/>
  <c r="J1686" i="2"/>
  <c r="M1685" i="2"/>
  <c r="J1685" i="2"/>
  <c r="J1684" i="2"/>
  <c r="H1684" i="2"/>
  <c r="M1684" i="2" s="1"/>
  <c r="M1683" i="2"/>
  <c r="J1683" i="2"/>
  <c r="M1682" i="2"/>
  <c r="J1682" i="2"/>
  <c r="M1681" i="2"/>
  <c r="J1681" i="2"/>
  <c r="M1680" i="2"/>
  <c r="J1680" i="2"/>
  <c r="M1679" i="2"/>
  <c r="J1679" i="2"/>
  <c r="M1678" i="2"/>
  <c r="J1678" i="2"/>
  <c r="M1677" i="2"/>
  <c r="J1677" i="2"/>
  <c r="M1676" i="2"/>
  <c r="J1676" i="2"/>
  <c r="J1675" i="2"/>
  <c r="H1675" i="2"/>
  <c r="M1675" i="2" s="1"/>
  <c r="J1674" i="2"/>
  <c r="H1674" i="2"/>
  <c r="M1674" i="2" s="1"/>
  <c r="M1673" i="2"/>
  <c r="J1673" i="2"/>
  <c r="J1672" i="2"/>
  <c r="H1672" i="2"/>
  <c r="M1672" i="2" s="1"/>
  <c r="J1671" i="2"/>
  <c r="H1671" i="2"/>
  <c r="M1671" i="2" s="1"/>
  <c r="M1670" i="2"/>
  <c r="J1670" i="2"/>
  <c r="M1669" i="2"/>
  <c r="J1669" i="2"/>
  <c r="I1669" i="2"/>
  <c r="M1668" i="2"/>
  <c r="J1668" i="2"/>
  <c r="J1667" i="2"/>
  <c r="H1667" i="2"/>
  <c r="M1667" i="2" s="1"/>
  <c r="M1666" i="2"/>
  <c r="J1666" i="2"/>
  <c r="M1665" i="2"/>
  <c r="J1665" i="2"/>
  <c r="M1664" i="2"/>
  <c r="J1664" i="2"/>
  <c r="M1663" i="2"/>
  <c r="J1663" i="2"/>
  <c r="M1662" i="2"/>
  <c r="J1662" i="2"/>
  <c r="M1661" i="2"/>
  <c r="J1661" i="2"/>
  <c r="M1660" i="2"/>
  <c r="J1660" i="2"/>
  <c r="M1659" i="2"/>
  <c r="J1659" i="2"/>
  <c r="M1658" i="2"/>
  <c r="J1658" i="2"/>
  <c r="M1657" i="2"/>
  <c r="J1657" i="2"/>
  <c r="M1656" i="2"/>
  <c r="J1656" i="2"/>
  <c r="M1655" i="2"/>
  <c r="J1655" i="2"/>
  <c r="M1654" i="2"/>
  <c r="J1654" i="2"/>
  <c r="M1653" i="2"/>
  <c r="J1653" i="2"/>
  <c r="M1652" i="2"/>
  <c r="J1652" i="2"/>
  <c r="J1651" i="2"/>
  <c r="H1651" i="2"/>
  <c r="M1651" i="2" s="1"/>
  <c r="M1650" i="2"/>
  <c r="J1650" i="2"/>
  <c r="M1649" i="2"/>
  <c r="J1649" i="2"/>
  <c r="M1648" i="2"/>
  <c r="J1648" i="2"/>
  <c r="M1647" i="2"/>
  <c r="J1647" i="2"/>
  <c r="M1646" i="2"/>
  <c r="J1646" i="2"/>
  <c r="M1645" i="2"/>
  <c r="J1645" i="2"/>
  <c r="M1644" i="2"/>
  <c r="J1644" i="2"/>
  <c r="I1644" i="2"/>
  <c r="J1643" i="2"/>
  <c r="H1643" i="2"/>
  <c r="M1643" i="2" s="1"/>
  <c r="M1642" i="2"/>
  <c r="J1642" i="2"/>
  <c r="M1641" i="2"/>
  <c r="J1641" i="2"/>
  <c r="M1640" i="2"/>
  <c r="J1640" i="2"/>
  <c r="M1639" i="2"/>
  <c r="J1639" i="2"/>
  <c r="I1639" i="2"/>
  <c r="J1638" i="2"/>
  <c r="H1638" i="2"/>
  <c r="M1638" i="2" s="1"/>
  <c r="M1637" i="2"/>
  <c r="J1637" i="2"/>
  <c r="M1636" i="2"/>
  <c r="J1636" i="2"/>
  <c r="M1635" i="2"/>
  <c r="J1635" i="2"/>
  <c r="M1634" i="2"/>
  <c r="J1634" i="2"/>
  <c r="J1633" i="2"/>
  <c r="H1633" i="2"/>
  <c r="M1633" i="2" s="1"/>
  <c r="J1632" i="2"/>
  <c r="H1632" i="2"/>
  <c r="M1632" i="2" s="1"/>
  <c r="M1631" i="2"/>
  <c r="J1631" i="2"/>
  <c r="M1630" i="2"/>
  <c r="J1630" i="2"/>
  <c r="J1629" i="2"/>
  <c r="H1629" i="2"/>
  <c r="M1629" i="2" s="1"/>
  <c r="M1628" i="2"/>
  <c r="J1628" i="2"/>
  <c r="M1627" i="2"/>
  <c r="J1627" i="2"/>
  <c r="M1626" i="2"/>
  <c r="J1626" i="2"/>
  <c r="M1625" i="2"/>
  <c r="J1625" i="2"/>
  <c r="M1624" i="2"/>
  <c r="J1624" i="2"/>
  <c r="J1623" i="2"/>
  <c r="H1623" i="2"/>
  <c r="M1623" i="2" s="1"/>
  <c r="M1622" i="2"/>
  <c r="J1622" i="2"/>
  <c r="M1621" i="2"/>
  <c r="J1621" i="2"/>
  <c r="J1620" i="2"/>
  <c r="H1620" i="2"/>
  <c r="M1620" i="2" s="1"/>
  <c r="J1619" i="2"/>
  <c r="H1619" i="2"/>
  <c r="M1619" i="2" s="1"/>
  <c r="J1618" i="2"/>
  <c r="I1618" i="2"/>
  <c r="H1618" i="2"/>
  <c r="M1618" i="2" s="1"/>
  <c r="M1617" i="2"/>
  <c r="J1617" i="2"/>
  <c r="J1616" i="2"/>
  <c r="H1616" i="2"/>
  <c r="M1616" i="2" s="1"/>
  <c r="M1615" i="2"/>
  <c r="J1615" i="2"/>
  <c r="J1614" i="2"/>
  <c r="H1614" i="2"/>
  <c r="M1614" i="2" s="1"/>
  <c r="J1613" i="2"/>
  <c r="H1613" i="2"/>
  <c r="M1613" i="2" s="1"/>
  <c r="M1612" i="2"/>
  <c r="J1612" i="2"/>
  <c r="J1611" i="2"/>
  <c r="H1611" i="2"/>
  <c r="M1611" i="2" s="1"/>
  <c r="M1610" i="2"/>
  <c r="J1610" i="2"/>
  <c r="J1609" i="2"/>
  <c r="H1609" i="2"/>
  <c r="M1609" i="2" s="1"/>
  <c r="M1608" i="2"/>
  <c r="J1608" i="2"/>
  <c r="J1607" i="2"/>
  <c r="H1607" i="2"/>
  <c r="M1607" i="2" s="1"/>
  <c r="J1606" i="2"/>
  <c r="H1606" i="2"/>
  <c r="M1606" i="2" s="1"/>
  <c r="M1605" i="2"/>
  <c r="J1605" i="2"/>
  <c r="I1605" i="2"/>
  <c r="M1604" i="2"/>
  <c r="J1604" i="2"/>
  <c r="M1603" i="2"/>
  <c r="J1603" i="2"/>
  <c r="M1602" i="2"/>
  <c r="J1602" i="2"/>
  <c r="M1601" i="2"/>
  <c r="J1601" i="2"/>
  <c r="M1600" i="2"/>
  <c r="J1600" i="2"/>
  <c r="M1599" i="2"/>
  <c r="J1599" i="2"/>
  <c r="J1598" i="2"/>
  <c r="H1598" i="2"/>
  <c r="M1598" i="2" s="1"/>
  <c r="M1597" i="2"/>
  <c r="J1597" i="2"/>
  <c r="M1596" i="2"/>
  <c r="J1596" i="2"/>
  <c r="M1595" i="2"/>
  <c r="J1595" i="2"/>
  <c r="M1594" i="2"/>
  <c r="J1594" i="2"/>
  <c r="M1593" i="2"/>
  <c r="J1593" i="2"/>
  <c r="M1592" i="2"/>
  <c r="J1592" i="2"/>
  <c r="M1591" i="2"/>
  <c r="J1591" i="2"/>
  <c r="M1590" i="2"/>
  <c r="J1590" i="2"/>
  <c r="M1589" i="2"/>
  <c r="J1589" i="2"/>
  <c r="M1588" i="2"/>
  <c r="J1588" i="2"/>
  <c r="J1587" i="2"/>
  <c r="H1587" i="2"/>
  <c r="M1587" i="2" s="1"/>
  <c r="J1586" i="2"/>
  <c r="H1586" i="2"/>
  <c r="M1586" i="2" s="1"/>
  <c r="M1585" i="2"/>
  <c r="J1585" i="2"/>
  <c r="H1585" i="2"/>
  <c r="M1584" i="2"/>
  <c r="J1584" i="2"/>
  <c r="M1583" i="2"/>
  <c r="J1583" i="2"/>
  <c r="J1582" i="2"/>
  <c r="H1582" i="2"/>
  <c r="M1582" i="2" s="1"/>
  <c r="M1581" i="2"/>
  <c r="J1581" i="2"/>
  <c r="M1580" i="2"/>
  <c r="J1580" i="2"/>
  <c r="J1579" i="2"/>
  <c r="H1579" i="2"/>
  <c r="M1579" i="2" s="1"/>
  <c r="M1578" i="2"/>
  <c r="J1578" i="2"/>
  <c r="M1577" i="2"/>
  <c r="J1577" i="2"/>
  <c r="M1576" i="2"/>
  <c r="J1576" i="2"/>
  <c r="J1575" i="2"/>
  <c r="H1575" i="2"/>
  <c r="M1575" i="2" s="1"/>
  <c r="M1574" i="2"/>
  <c r="J1574" i="2"/>
  <c r="M1573" i="2"/>
  <c r="J1573" i="2"/>
  <c r="M1572" i="2"/>
  <c r="J1572" i="2"/>
  <c r="M1571" i="2"/>
  <c r="J1571" i="2"/>
  <c r="M1570" i="2"/>
  <c r="J1570" i="2"/>
  <c r="J1569" i="2"/>
  <c r="H1569" i="2"/>
  <c r="M1569" i="2" s="1"/>
  <c r="M1568" i="2"/>
  <c r="J1568" i="2"/>
  <c r="M1567" i="2"/>
  <c r="J1567" i="2"/>
  <c r="M1566" i="2"/>
  <c r="J1566" i="2"/>
  <c r="H1566" i="2"/>
  <c r="J1565" i="2"/>
  <c r="H1565" i="2"/>
  <c r="M1565" i="2" s="1"/>
  <c r="M1564" i="2"/>
  <c r="J1564" i="2"/>
  <c r="M1563" i="2"/>
  <c r="J1563" i="2"/>
  <c r="M1562" i="2"/>
  <c r="J1562" i="2"/>
  <c r="M1561" i="2"/>
  <c r="J1561" i="2"/>
  <c r="M1560" i="2"/>
  <c r="J1560" i="2"/>
  <c r="M1559" i="2"/>
  <c r="J1559" i="2"/>
  <c r="J1558" i="2"/>
  <c r="H1558" i="2"/>
  <c r="M1558" i="2" s="1"/>
  <c r="M1557" i="2"/>
  <c r="J1557" i="2"/>
  <c r="M1556" i="2"/>
  <c r="J1556" i="2"/>
  <c r="M1555" i="2"/>
  <c r="J1555" i="2"/>
  <c r="I1555" i="2"/>
  <c r="J1554" i="2"/>
  <c r="H1554" i="2"/>
  <c r="M1554" i="2" s="1"/>
  <c r="J1553" i="2"/>
  <c r="H1553" i="2"/>
  <c r="M1553" i="2" s="1"/>
  <c r="M1552" i="2"/>
  <c r="J1552" i="2"/>
  <c r="M1551" i="2"/>
  <c r="J1551" i="2"/>
  <c r="M1550" i="2"/>
  <c r="J1550" i="2"/>
  <c r="L1549" i="2"/>
  <c r="M1549" i="2" s="1"/>
  <c r="J1549" i="2"/>
  <c r="J1548" i="2"/>
  <c r="H1548" i="2"/>
  <c r="M1548" i="2" s="1"/>
  <c r="M1547" i="2"/>
  <c r="J1547" i="2"/>
  <c r="J1546" i="2"/>
  <c r="H1546" i="2"/>
  <c r="M1546" i="2" s="1"/>
  <c r="M1545" i="2"/>
  <c r="J1545" i="2"/>
  <c r="M1544" i="2"/>
  <c r="J1544" i="2"/>
  <c r="M1543" i="2"/>
  <c r="J1543" i="2"/>
  <c r="J1542" i="2"/>
  <c r="H1542" i="2"/>
  <c r="M1542" i="2" s="1"/>
  <c r="J1541" i="2"/>
  <c r="H1541" i="2"/>
  <c r="M1541" i="2" s="1"/>
  <c r="M1540" i="2"/>
  <c r="J1540" i="2"/>
  <c r="M1539" i="2"/>
  <c r="J1539" i="2"/>
  <c r="J1538" i="2"/>
  <c r="H1538" i="2"/>
  <c r="M1538" i="2" s="1"/>
  <c r="M1537" i="2"/>
  <c r="J1537" i="2"/>
  <c r="J1536" i="2"/>
  <c r="H1536" i="2"/>
  <c r="M1536" i="2" s="1"/>
  <c r="J1535" i="2"/>
  <c r="H1535" i="2"/>
  <c r="M1535" i="2" s="1"/>
  <c r="M1534" i="2"/>
  <c r="J1534" i="2"/>
  <c r="M1533" i="2"/>
  <c r="J1533" i="2"/>
  <c r="M1532" i="2"/>
  <c r="J1532" i="2"/>
  <c r="M1531" i="2"/>
  <c r="J1531" i="2"/>
  <c r="M1530" i="2"/>
  <c r="J1530" i="2"/>
  <c r="J1529" i="2"/>
  <c r="H1529" i="2"/>
  <c r="M1529" i="2" s="1"/>
  <c r="M1528" i="2"/>
  <c r="J1528" i="2"/>
  <c r="M1527" i="2"/>
  <c r="J1527" i="2"/>
  <c r="M1526" i="2"/>
  <c r="J1526" i="2"/>
  <c r="J1525" i="2"/>
  <c r="H1525" i="2"/>
  <c r="M1525" i="2" s="1"/>
  <c r="J1524" i="2"/>
  <c r="H1524" i="2"/>
  <c r="M1524" i="2" s="1"/>
  <c r="M1523" i="2"/>
  <c r="J1523" i="2"/>
  <c r="J1522" i="2"/>
  <c r="H1522" i="2"/>
  <c r="M1522" i="2" s="1"/>
  <c r="M1521" i="2"/>
  <c r="J1521" i="2"/>
  <c r="M1520" i="2"/>
  <c r="J1520" i="2"/>
  <c r="I1520" i="2"/>
  <c r="M1519" i="2"/>
  <c r="J1519" i="2"/>
  <c r="M1518" i="2"/>
  <c r="J1518" i="2"/>
  <c r="J1517" i="2"/>
  <c r="H1517" i="2"/>
  <c r="M1517" i="2" s="1"/>
  <c r="M1516" i="2"/>
  <c r="J1516" i="2"/>
  <c r="I1516" i="2"/>
  <c r="M1515" i="2"/>
  <c r="J1515" i="2"/>
  <c r="M1514" i="2"/>
  <c r="J1514" i="2"/>
  <c r="M1513" i="2"/>
  <c r="J1513" i="2"/>
  <c r="M1512" i="2"/>
  <c r="J1512" i="2"/>
  <c r="M1511" i="2"/>
  <c r="J1511" i="2"/>
  <c r="M1510" i="2"/>
  <c r="J1510" i="2"/>
  <c r="J1509" i="2"/>
  <c r="H1509" i="2"/>
  <c r="M1509" i="2" s="1"/>
  <c r="M1508" i="2"/>
  <c r="J1508" i="2"/>
  <c r="M1507" i="2"/>
  <c r="J1507" i="2"/>
  <c r="J1506" i="2"/>
  <c r="H1506" i="2"/>
  <c r="M1506" i="2" s="1"/>
  <c r="M1505" i="2"/>
  <c r="J1505" i="2"/>
  <c r="J1504" i="2"/>
  <c r="H1504" i="2"/>
  <c r="M1504" i="2" s="1"/>
  <c r="M1503" i="2"/>
  <c r="J1503" i="2"/>
  <c r="M1502" i="2"/>
  <c r="J1502" i="2"/>
  <c r="J1501" i="2"/>
  <c r="H1501" i="2"/>
  <c r="M1501" i="2" s="1"/>
  <c r="M1500" i="2"/>
  <c r="J1500" i="2"/>
  <c r="J1499" i="2"/>
  <c r="H1499" i="2"/>
  <c r="M1499" i="2" s="1"/>
  <c r="M1498" i="2"/>
  <c r="J1498" i="2"/>
  <c r="M1497" i="2"/>
  <c r="J1497" i="2"/>
  <c r="M1496" i="2"/>
  <c r="J1496" i="2"/>
  <c r="J1495" i="2"/>
  <c r="H1495" i="2"/>
  <c r="M1495" i="2" s="1"/>
  <c r="M1494" i="2"/>
  <c r="J1494" i="2"/>
  <c r="J1493" i="2"/>
  <c r="H1493" i="2"/>
  <c r="M1493" i="2" s="1"/>
  <c r="M1492" i="2"/>
  <c r="J1492" i="2"/>
  <c r="M1491" i="2"/>
  <c r="J1491" i="2"/>
  <c r="M1490" i="2"/>
  <c r="J1490" i="2"/>
  <c r="M1489" i="2"/>
  <c r="J1489" i="2"/>
  <c r="M1488" i="2"/>
  <c r="J1488" i="2"/>
  <c r="M1487" i="2"/>
  <c r="J1487" i="2"/>
  <c r="M1486" i="2"/>
  <c r="J1486" i="2"/>
  <c r="M1485" i="2"/>
  <c r="J1485" i="2"/>
  <c r="M1484" i="2"/>
  <c r="J1484" i="2"/>
  <c r="M1483" i="2"/>
  <c r="J1483" i="2"/>
  <c r="M1482" i="2"/>
  <c r="J1482" i="2"/>
  <c r="H1482" i="2"/>
  <c r="J1481" i="2"/>
  <c r="H1481" i="2"/>
  <c r="M1481" i="2" s="1"/>
  <c r="M1480" i="2"/>
  <c r="J1480" i="2"/>
  <c r="M1479" i="2"/>
  <c r="J1479" i="2"/>
  <c r="M1478" i="2"/>
  <c r="J1478" i="2"/>
  <c r="M1477" i="2"/>
  <c r="J1477" i="2"/>
  <c r="M1476" i="2"/>
  <c r="J1476" i="2"/>
  <c r="M1475" i="2"/>
  <c r="J1475" i="2"/>
  <c r="J1474" i="2"/>
  <c r="H1474" i="2"/>
  <c r="M1474" i="2" s="1"/>
  <c r="M1473" i="2"/>
  <c r="J1473" i="2"/>
  <c r="M1472" i="2"/>
  <c r="J1472" i="2"/>
  <c r="M1471" i="2"/>
  <c r="J1471" i="2"/>
  <c r="H1471" i="2"/>
  <c r="M1470" i="2"/>
  <c r="J1470" i="2"/>
  <c r="M1469" i="2"/>
  <c r="J1469" i="2"/>
  <c r="J1468" i="2"/>
  <c r="H1468" i="2"/>
  <c r="M1468" i="2" s="1"/>
  <c r="M1467" i="2"/>
  <c r="J1467" i="2"/>
  <c r="M1466" i="2"/>
  <c r="J1466" i="2"/>
  <c r="M1465" i="2"/>
  <c r="J1465" i="2"/>
  <c r="J1464" i="2"/>
  <c r="H1464" i="2"/>
  <c r="M1464" i="2" s="1"/>
  <c r="M1463" i="2"/>
  <c r="J1463" i="2"/>
  <c r="J1462" i="2"/>
  <c r="H1462" i="2"/>
  <c r="M1462" i="2" s="1"/>
  <c r="J1461" i="2"/>
  <c r="H1461" i="2"/>
  <c r="M1461" i="2" s="1"/>
  <c r="M1460" i="2"/>
  <c r="J1460" i="2"/>
  <c r="M1459" i="2"/>
  <c r="J1459" i="2"/>
  <c r="J1458" i="2"/>
  <c r="H1458" i="2"/>
  <c r="M1458" i="2" s="1"/>
  <c r="M1457" i="2"/>
  <c r="J1457" i="2"/>
  <c r="M1456" i="2"/>
  <c r="J1456" i="2"/>
  <c r="M1455" i="2"/>
  <c r="J1455" i="2"/>
  <c r="M1454" i="2"/>
  <c r="J1454" i="2"/>
  <c r="M1453" i="2"/>
  <c r="J1453" i="2"/>
  <c r="M1452" i="2"/>
  <c r="J1452" i="2"/>
  <c r="M1451" i="2"/>
  <c r="J1451" i="2"/>
  <c r="M1450" i="2"/>
  <c r="J1450" i="2"/>
  <c r="J1449" i="2"/>
  <c r="H1449" i="2"/>
  <c r="M1449" i="2" s="1"/>
  <c r="M1448" i="2"/>
  <c r="J1448" i="2"/>
  <c r="J1447" i="2"/>
  <c r="H1447" i="2"/>
  <c r="M1447" i="2" s="1"/>
  <c r="J1446" i="2"/>
  <c r="H1446" i="2"/>
  <c r="M1446" i="2" s="1"/>
  <c r="M1445" i="2"/>
  <c r="J1445" i="2"/>
  <c r="M1444" i="2"/>
  <c r="J1444" i="2"/>
  <c r="M1443" i="2"/>
  <c r="J1443" i="2"/>
  <c r="J1442" i="2"/>
  <c r="H1442" i="2"/>
  <c r="M1442" i="2" s="1"/>
  <c r="M1441" i="2"/>
  <c r="J1441" i="2"/>
  <c r="M1440" i="2"/>
  <c r="J1440" i="2"/>
  <c r="J1439" i="2"/>
  <c r="H1439" i="2"/>
  <c r="M1439" i="2" s="1"/>
  <c r="M1438" i="2"/>
  <c r="J1438" i="2"/>
  <c r="M1437" i="2"/>
  <c r="J1437" i="2"/>
  <c r="M1436" i="2"/>
  <c r="J1436" i="2"/>
  <c r="J1435" i="2"/>
  <c r="H1435" i="2"/>
  <c r="M1435" i="2" s="1"/>
  <c r="J1434" i="2"/>
  <c r="H1434" i="2"/>
  <c r="M1434" i="2" s="1"/>
  <c r="M1433" i="2"/>
  <c r="J1433" i="2"/>
  <c r="J1432" i="2"/>
  <c r="H1432" i="2"/>
  <c r="M1432" i="2" s="1"/>
  <c r="J1431" i="2"/>
  <c r="H1431" i="2"/>
  <c r="M1431" i="2" s="1"/>
  <c r="M1430" i="2"/>
  <c r="J1430" i="2"/>
  <c r="J1429" i="2"/>
  <c r="H1429" i="2"/>
  <c r="M1429" i="2" s="1"/>
  <c r="J1428" i="2"/>
  <c r="H1428" i="2"/>
  <c r="M1428" i="2" s="1"/>
  <c r="L1427" i="2"/>
  <c r="M1427" i="2" s="1"/>
  <c r="J1427" i="2"/>
  <c r="M1426" i="2"/>
  <c r="J1426" i="2"/>
  <c r="M1425" i="2"/>
  <c r="J1425" i="2"/>
  <c r="M1424" i="2"/>
  <c r="J1424" i="2"/>
  <c r="J1423" i="2"/>
  <c r="H1423" i="2"/>
  <c r="M1423" i="2" s="1"/>
  <c r="J1422" i="2"/>
  <c r="H1422" i="2"/>
  <c r="M1422" i="2" s="1"/>
  <c r="J1421" i="2"/>
  <c r="H1421" i="2"/>
  <c r="M1421" i="2" s="1"/>
  <c r="M1420" i="2"/>
  <c r="J1420" i="2"/>
  <c r="M1419" i="2"/>
  <c r="J1419" i="2"/>
  <c r="M1418" i="2"/>
  <c r="J1418" i="2"/>
  <c r="M1417" i="2"/>
  <c r="J1417" i="2"/>
  <c r="J1416" i="2"/>
  <c r="H1416" i="2"/>
  <c r="M1416" i="2" s="1"/>
  <c r="J1415" i="2"/>
  <c r="H1415" i="2"/>
  <c r="M1415" i="2" s="1"/>
  <c r="M1414" i="2"/>
  <c r="J1414" i="2"/>
  <c r="M1413" i="2"/>
  <c r="J1413" i="2"/>
  <c r="M1412" i="2"/>
  <c r="J1412" i="2"/>
  <c r="M1411" i="2"/>
  <c r="J1411" i="2"/>
  <c r="M1410" i="2"/>
  <c r="J1410" i="2"/>
  <c r="M1409" i="2"/>
  <c r="J1409" i="2"/>
  <c r="J1408" i="2"/>
  <c r="H1408" i="2"/>
  <c r="M1408" i="2" s="1"/>
  <c r="M1407" i="2"/>
  <c r="J1407" i="2"/>
  <c r="I1407" i="2"/>
  <c r="M1406" i="2"/>
  <c r="J1406" i="2"/>
  <c r="M1405" i="2"/>
  <c r="J1405" i="2"/>
  <c r="J1404" i="2"/>
  <c r="H1404" i="2"/>
  <c r="M1404" i="2" s="1"/>
  <c r="M1403" i="2"/>
  <c r="J1403" i="2"/>
  <c r="M1402" i="2"/>
  <c r="J1402" i="2"/>
  <c r="M1401" i="2"/>
  <c r="J1401" i="2"/>
  <c r="M1400" i="2"/>
  <c r="J1400" i="2"/>
  <c r="M1399" i="2"/>
  <c r="J1399" i="2"/>
  <c r="M1398" i="2"/>
  <c r="J1398" i="2"/>
  <c r="M1397" i="2"/>
  <c r="J1397" i="2"/>
  <c r="M1396" i="2"/>
  <c r="J1396" i="2"/>
  <c r="J1395" i="2"/>
  <c r="H1395" i="2"/>
  <c r="M1395" i="2" s="1"/>
  <c r="M1394" i="2"/>
  <c r="J1394" i="2"/>
  <c r="M1393" i="2"/>
  <c r="J1393" i="2"/>
  <c r="M1392" i="2"/>
  <c r="J1392" i="2"/>
  <c r="M1391" i="2"/>
  <c r="J1391" i="2"/>
  <c r="M1390" i="2"/>
  <c r="J1390" i="2"/>
  <c r="M1389" i="2"/>
  <c r="J1389" i="2"/>
  <c r="M1388" i="2"/>
  <c r="J1388" i="2"/>
  <c r="M1387" i="2"/>
  <c r="J1387" i="2"/>
  <c r="J1386" i="2"/>
  <c r="H1386" i="2"/>
  <c r="M1386" i="2" s="1"/>
  <c r="M1385" i="2"/>
  <c r="J1385" i="2"/>
  <c r="M1384" i="2"/>
  <c r="J1384" i="2"/>
  <c r="M1383" i="2"/>
  <c r="J1383" i="2"/>
  <c r="M1382" i="2"/>
  <c r="J1382" i="2"/>
  <c r="M1381" i="2"/>
  <c r="J1381" i="2"/>
  <c r="M1380" i="2"/>
  <c r="J1380" i="2"/>
  <c r="M1379" i="2"/>
  <c r="J1379" i="2"/>
  <c r="J1378" i="2"/>
  <c r="H1378" i="2"/>
  <c r="M1378" i="2" s="1"/>
  <c r="M1377" i="2"/>
  <c r="J1377" i="2"/>
  <c r="M1376" i="2"/>
  <c r="J1376" i="2"/>
  <c r="M1375" i="2"/>
  <c r="J1375" i="2"/>
  <c r="M1374" i="2"/>
  <c r="J1374" i="2"/>
  <c r="J1373" i="2"/>
  <c r="H1373" i="2"/>
  <c r="M1373" i="2" s="1"/>
  <c r="M1372" i="2"/>
  <c r="J1372" i="2"/>
  <c r="M1371" i="2"/>
  <c r="J1371" i="2"/>
  <c r="J1370" i="2"/>
  <c r="H1370" i="2"/>
  <c r="M1370" i="2" s="1"/>
  <c r="M1369" i="2"/>
  <c r="J1369" i="2"/>
  <c r="M1368" i="2"/>
  <c r="J1368" i="2"/>
  <c r="M1367" i="2"/>
  <c r="J1367" i="2"/>
  <c r="M1366" i="2"/>
  <c r="J1366" i="2"/>
  <c r="M1365" i="2"/>
  <c r="J1365" i="2"/>
  <c r="M1364" i="2"/>
  <c r="J1364" i="2"/>
  <c r="M1363" i="2"/>
  <c r="J1363" i="2"/>
  <c r="M1362" i="2"/>
  <c r="J1362" i="2"/>
  <c r="J1361" i="2"/>
  <c r="H1361" i="2"/>
  <c r="M1361" i="2" s="1"/>
  <c r="M1360" i="2"/>
  <c r="J1360" i="2"/>
  <c r="M1359" i="2"/>
  <c r="J1359" i="2"/>
  <c r="J1358" i="2"/>
  <c r="I1358" i="2"/>
  <c r="H1358" i="2"/>
  <c r="M1358" i="2" s="1"/>
  <c r="M1357" i="2"/>
  <c r="J1357" i="2"/>
  <c r="M1356" i="2"/>
  <c r="J1356" i="2"/>
  <c r="J1355" i="2"/>
  <c r="H1355" i="2"/>
  <c r="M1355" i="2" s="1"/>
  <c r="J1354" i="2"/>
  <c r="H1354" i="2"/>
  <c r="M1354" i="2" s="1"/>
  <c r="M1353" i="2"/>
  <c r="J1353" i="2"/>
  <c r="J1352" i="2"/>
  <c r="H1352" i="2"/>
  <c r="M1352" i="2" s="1"/>
  <c r="M1351" i="2"/>
  <c r="J1351" i="2"/>
  <c r="M1350" i="2"/>
  <c r="J1350" i="2"/>
  <c r="M1349" i="2"/>
  <c r="J1349" i="2"/>
  <c r="M1348" i="2"/>
  <c r="J1348" i="2"/>
  <c r="M1347" i="2"/>
  <c r="J1347" i="2"/>
  <c r="J1346" i="2"/>
  <c r="H1346" i="2"/>
  <c r="M1346" i="2" s="1"/>
  <c r="M1345" i="2"/>
  <c r="J1345" i="2"/>
  <c r="M1344" i="2"/>
  <c r="J1344" i="2"/>
  <c r="M1343" i="2"/>
  <c r="J1343" i="2"/>
  <c r="J1342" i="2"/>
  <c r="H1342" i="2"/>
  <c r="M1342" i="2" s="1"/>
  <c r="J1341" i="2"/>
  <c r="H1341" i="2"/>
  <c r="M1341" i="2" s="1"/>
  <c r="M1340" i="2"/>
  <c r="J1340" i="2"/>
  <c r="M1339" i="2"/>
  <c r="J1339" i="2"/>
  <c r="M1338" i="2"/>
  <c r="J1338" i="2"/>
  <c r="M1337" i="2"/>
  <c r="J1337" i="2"/>
  <c r="J1336" i="2"/>
  <c r="H1336" i="2"/>
  <c r="M1336" i="2" s="1"/>
  <c r="M1335" i="2"/>
  <c r="J1335" i="2"/>
  <c r="J1334" i="2"/>
  <c r="H1334" i="2"/>
  <c r="M1334" i="2" s="1"/>
  <c r="M1333" i="2"/>
  <c r="J1333" i="2"/>
  <c r="J1332" i="2"/>
  <c r="H1332" i="2"/>
  <c r="M1332" i="2" s="1"/>
  <c r="M1331" i="2"/>
  <c r="J1331" i="2"/>
  <c r="M1330" i="2"/>
  <c r="J1330" i="2"/>
  <c r="J1329" i="2"/>
  <c r="H1329" i="2"/>
  <c r="M1329" i="2" s="1"/>
  <c r="M1328" i="2"/>
  <c r="J1328" i="2"/>
  <c r="M1327" i="2"/>
  <c r="J1327" i="2"/>
  <c r="J1326" i="2"/>
  <c r="H1326" i="2"/>
  <c r="M1326" i="2" s="1"/>
  <c r="M1325" i="2"/>
  <c r="J1325" i="2"/>
  <c r="M1324" i="2"/>
  <c r="J1324" i="2"/>
  <c r="M1323" i="2"/>
  <c r="J1323" i="2"/>
  <c r="M1322" i="2"/>
  <c r="J1322" i="2"/>
  <c r="J1321" i="2"/>
  <c r="H1321" i="2"/>
  <c r="M1321" i="2" s="1"/>
  <c r="M1320" i="2"/>
  <c r="J1320" i="2"/>
  <c r="J1319" i="2"/>
  <c r="H1319" i="2"/>
  <c r="M1319" i="2" s="1"/>
  <c r="M1318" i="2"/>
  <c r="J1318" i="2"/>
  <c r="M1317" i="2"/>
  <c r="J1317" i="2"/>
  <c r="M1316" i="2"/>
  <c r="J1316" i="2"/>
  <c r="M1315" i="2"/>
  <c r="J1315" i="2"/>
  <c r="M1314" i="2"/>
  <c r="J1314" i="2"/>
  <c r="J1313" i="2"/>
  <c r="H1313" i="2"/>
  <c r="M1313" i="2" s="1"/>
  <c r="M1312" i="2"/>
  <c r="J1312" i="2"/>
  <c r="M1311" i="2"/>
  <c r="J1311" i="2"/>
  <c r="J1310" i="2"/>
  <c r="H1310" i="2"/>
  <c r="M1310" i="2" s="1"/>
  <c r="J1309" i="2"/>
  <c r="H1309" i="2"/>
  <c r="M1309" i="2" s="1"/>
  <c r="J1308" i="2"/>
  <c r="H1308" i="2"/>
  <c r="M1308" i="2" s="1"/>
  <c r="M1307" i="2"/>
  <c r="J1307" i="2"/>
  <c r="M1306" i="2"/>
  <c r="J1306" i="2"/>
  <c r="M1305" i="2"/>
  <c r="J1305" i="2"/>
  <c r="M1304" i="2"/>
  <c r="J1304" i="2"/>
  <c r="J1303" i="2"/>
  <c r="H1303" i="2"/>
  <c r="M1303" i="2" s="1"/>
  <c r="M1302" i="2"/>
  <c r="J1302" i="2"/>
  <c r="J1301" i="2"/>
  <c r="H1301" i="2"/>
  <c r="M1301" i="2" s="1"/>
  <c r="M1300" i="2"/>
  <c r="J1300" i="2"/>
  <c r="M1299" i="2"/>
  <c r="J1299" i="2"/>
  <c r="M1298" i="2"/>
  <c r="J1298" i="2"/>
  <c r="J1297" i="2"/>
  <c r="H1297" i="2"/>
  <c r="M1297" i="2" s="1"/>
  <c r="M1296" i="2"/>
  <c r="J1296" i="2"/>
  <c r="M1295" i="2"/>
  <c r="J1295" i="2"/>
  <c r="M1294" i="2"/>
  <c r="J1294" i="2"/>
  <c r="M1293" i="2"/>
  <c r="J1293" i="2"/>
  <c r="J1292" i="2"/>
  <c r="H1292" i="2"/>
  <c r="M1292" i="2" s="1"/>
  <c r="M1291" i="2"/>
  <c r="J1291" i="2"/>
  <c r="M1290" i="2"/>
  <c r="J1290" i="2"/>
  <c r="M1289" i="2"/>
  <c r="J1289" i="2"/>
  <c r="I1289" i="2"/>
  <c r="M1288" i="2"/>
  <c r="J1288" i="2"/>
  <c r="M1287" i="2"/>
  <c r="J1287" i="2"/>
  <c r="M1286" i="2"/>
  <c r="J1286" i="2"/>
  <c r="M1285" i="2"/>
  <c r="J1285" i="2"/>
  <c r="M1284" i="2"/>
  <c r="J1284" i="2"/>
  <c r="J1283" i="2"/>
  <c r="H1283" i="2"/>
  <c r="M1283" i="2" s="1"/>
  <c r="J1282" i="2"/>
  <c r="H1282" i="2"/>
  <c r="M1282" i="2" s="1"/>
  <c r="M1281" i="2"/>
  <c r="J1281" i="2"/>
  <c r="J1280" i="2"/>
  <c r="H1280" i="2"/>
  <c r="M1280" i="2" s="1"/>
  <c r="J1279" i="2"/>
  <c r="H1279" i="2"/>
  <c r="M1279" i="2" s="1"/>
  <c r="M1278" i="2"/>
  <c r="J1278" i="2"/>
  <c r="L1277" i="2"/>
  <c r="M1277" i="2" s="1"/>
  <c r="J1277" i="2"/>
  <c r="M1276" i="2"/>
  <c r="J1276" i="2"/>
  <c r="J1275" i="2"/>
  <c r="H1275" i="2"/>
  <c r="M1275" i="2" s="1"/>
  <c r="J1274" i="2"/>
  <c r="H1274" i="2"/>
  <c r="M1274" i="2" s="1"/>
  <c r="M1273" i="2"/>
  <c r="J1273" i="2"/>
  <c r="J1272" i="2"/>
  <c r="H1272" i="2"/>
  <c r="M1272" i="2" s="1"/>
  <c r="J1271" i="2"/>
  <c r="H1271" i="2"/>
  <c r="M1271" i="2" s="1"/>
  <c r="J1270" i="2"/>
  <c r="H1270" i="2"/>
  <c r="M1270" i="2" s="1"/>
  <c r="M1269" i="2"/>
  <c r="J1269" i="2"/>
  <c r="M1268" i="2"/>
  <c r="J1268" i="2"/>
  <c r="M1267" i="2"/>
  <c r="J1267" i="2"/>
  <c r="M1266" i="2"/>
  <c r="J1266" i="2"/>
  <c r="H1266" i="2"/>
  <c r="J1265" i="2"/>
  <c r="H1265" i="2"/>
  <c r="M1265" i="2" s="1"/>
  <c r="J1264" i="2"/>
  <c r="H1264" i="2"/>
  <c r="M1264" i="2" s="1"/>
  <c r="J1263" i="2"/>
  <c r="H1263" i="2"/>
  <c r="M1263" i="2" s="1"/>
  <c r="M1262" i="2"/>
  <c r="J1262" i="2"/>
  <c r="M1261" i="2"/>
  <c r="J1261" i="2"/>
  <c r="M1260" i="2"/>
  <c r="J1260" i="2"/>
  <c r="M1259" i="2"/>
  <c r="J1259" i="2"/>
  <c r="J1258" i="2"/>
  <c r="H1258" i="2"/>
  <c r="M1258" i="2" s="1"/>
  <c r="J1257" i="2"/>
  <c r="H1257" i="2"/>
  <c r="M1257" i="2" s="1"/>
  <c r="J1256" i="2"/>
  <c r="H1256" i="2"/>
  <c r="M1256" i="2" s="1"/>
  <c r="J1255" i="2"/>
  <c r="H1255" i="2"/>
  <c r="M1255" i="2" s="1"/>
  <c r="M1254" i="2"/>
  <c r="J1254" i="2"/>
  <c r="M1253" i="2"/>
  <c r="J1253" i="2"/>
  <c r="M1252" i="2"/>
  <c r="J1252" i="2"/>
  <c r="J1251" i="2"/>
  <c r="H1251" i="2"/>
  <c r="M1251" i="2" s="1"/>
  <c r="J1250" i="2"/>
  <c r="H1250" i="2"/>
  <c r="M1250" i="2" s="1"/>
  <c r="M1249" i="2"/>
  <c r="J1249" i="2"/>
  <c r="M1248" i="2"/>
  <c r="J1248" i="2"/>
  <c r="J1247" i="2"/>
  <c r="H1247" i="2"/>
  <c r="M1247" i="2" s="1"/>
  <c r="J1246" i="2"/>
  <c r="H1246" i="2"/>
  <c r="M1246" i="2" s="1"/>
  <c r="J1245" i="2"/>
  <c r="H1245" i="2"/>
  <c r="M1245" i="2" s="1"/>
  <c r="J1244" i="2"/>
  <c r="H1244" i="2"/>
  <c r="M1244" i="2" s="1"/>
  <c r="M1243" i="2"/>
  <c r="J1243" i="2"/>
  <c r="M1242" i="2"/>
  <c r="J1242" i="2"/>
  <c r="M1241" i="2"/>
  <c r="J1241" i="2"/>
  <c r="J1240" i="2"/>
  <c r="H1240" i="2"/>
  <c r="M1240" i="2" s="1"/>
  <c r="M1239" i="2"/>
  <c r="J1239" i="2"/>
  <c r="M1238" i="2"/>
  <c r="J1238" i="2"/>
  <c r="M1237" i="2"/>
  <c r="J1237" i="2"/>
  <c r="M1236" i="2"/>
  <c r="J1236" i="2"/>
  <c r="M1235" i="2"/>
  <c r="J1235" i="2"/>
  <c r="J1234" i="2"/>
  <c r="H1234" i="2"/>
  <c r="M1234" i="2" s="1"/>
  <c r="M1233" i="2"/>
  <c r="J1233" i="2"/>
  <c r="M1232" i="2"/>
  <c r="J1232" i="2"/>
  <c r="M1231" i="2"/>
  <c r="J1231" i="2"/>
  <c r="M1230" i="2"/>
  <c r="J1230" i="2"/>
  <c r="J1229" i="2"/>
  <c r="H1229" i="2"/>
  <c r="M1229" i="2" s="1"/>
  <c r="M1228" i="2"/>
  <c r="J1228" i="2"/>
  <c r="M1227" i="2"/>
  <c r="J1227" i="2"/>
  <c r="M1226" i="2"/>
  <c r="J1226" i="2"/>
  <c r="J1225" i="2"/>
  <c r="H1225" i="2"/>
  <c r="M1225" i="2" s="1"/>
  <c r="M1224" i="2"/>
  <c r="J1224" i="2"/>
  <c r="M1223" i="2"/>
  <c r="J1223" i="2"/>
  <c r="J1222" i="2"/>
  <c r="H1222" i="2"/>
  <c r="M1222" i="2" s="1"/>
  <c r="M1221" i="2"/>
  <c r="J1221" i="2"/>
  <c r="M1220" i="2"/>
  <c r="J1220" i="2"/>
  <c r="M1219" i="2"/>
  <c r="J1219" i="2"/>
  <c r="M1218" i="2"/>
  <c r="J1218" i="2"/>
  <c r="M1217" i="2"/>
  <c r="J1217" i="2"/>
  <c r="J1216" i="2"/>
  <c r="H1216" i="2"/>
  <c r="M1216" i="2" s="1"/>
  <c r="J1215" i="2"/>
  <c r="H1215" i="2"/>
  <c r="M1215" i="2" s="1"/>
  <c r="M1214" i="2"/>
  <c r="J1214" i="2"/>
  <c r="M1213" i="2"/>
  <c r="J1213" i="2"/>
  <c r="H1213" i="2"/>
  <c r="M1212" i="2"/>
  <c r="J1212" i="2"/>
  <c r="M1211" i="2"/>
  <c r="J1211" i="2"/>
  <c r="M1210" i="2"/>
  <c r="J1210" i="2"/>
  <c r="J1209" i="2"/>
  <c r="H1209" i="2"/>
  <c r="M1209" i="2" s="1"/>
  <c r="J1208" i="2"/>
  <c r="H1208" i="2"/>
  <c r="M1208" i="2" s="1"/>
  <c r="M1207" i="2"/>
  <c r="J1207" i="2"/>
  <c r="M1206" i="2"/>
  <c r="J1206" i="2"/>
  <c r="M1205" i="2"/>
  <c r="J1205" i="2"/>
  <c r="M1204" i="2"/>
  <c r="J1203" i="2"/>
  <c r="H1203" i="2"/>
  <c r="M1203" i="2" s="1"/>
  <c r="M1202" i="2"/>
  <c r="J1202" i="2"/>
  <c r="M1201" i="2"/>
  <c r="J1201" i="2"/>
  <c r="M1200" i="2"/>
  <c r="J1200" i="2"/>
  <c r="J1199" i="2"/>
  <c r="H1199" i="2"/>
  <c r="M1199" i="2" s="1"/>
  <c r="J1198" i="2"/>
  <c r="H1198" i="2"/>
  <c r="M1198" i="2" s="1"/>
  <c r="J1197" i="2"/>
  <c r="H1197" i="2"/>
  <c r="M1197" i="2" s="1"/>
  <c r="J1196" i="2"/>
  <c r="H1196" i="2"/>
  <c r="M1196" i="2" s="1"/>
  <c r="J1195" i="2"/>
  <c r="H1195" i="2"/>
  <c r="M1195" i="2" s="1"/>
  <c r="M1194" i="2"/>
  <c r="J1194" i="2"/>
  <c r="J1193" i="2"/>
  <c r="H1193" i="2"/>
  <c r="M1193" i="2" s="1"/>
  <c r="M1192" i="2"/>
  <c r="J1192" i="2"/>
  <c r="J1191" i="2"/>
  <c r="H1191" i="2"/>
  <c r="M1191" i="2" s="1"/>
  <c r="J1190" i="2"/>
  <c r="H1190" i="2"/>
  <c r="M1190" i="2" s="1"/>
  <c r="M1189" i="2"/>
  <c r="J1189" i="2"/>
  <c r="M1188" i="2"/>
  <c r="J1188" i="2"/>
  <c r="M1187" i="2"/>
  <c r="J1187" i="2"/>
  <c r="M1186" i="2"/>
  <c r="J1186" i="2"/>
  <c r="M1185" i="2"/>
  <c r="J1185" i="2"/>
  <c r="M1184" i="2"/>
  <c r="J1184" i="2"/>
  <c r="M1183" i="2"/>
  <c r="J1183" i="2"/>
  <c r="M1182" i="2"/>
  <c r="J1182" i="2"/>
  <c r="J1181" i="2"/>
  <c r="H1181" i="2"/>
  <c r="M1181" i="2" s="1"/>
  <c r="M1180" i="2"/>
  <c r="J1180" i="2"/>
  <c r="M1179" i="2"/>
  <c r="J1179" i="2"/>
  <c r="J1178" i="2"/>
  <c r="H1178" i="2"/>
  <c r="M1178" i="2" s="1"/>
  <c r="M1177" i="2"/>
  <c r="J1177" i="2"/>
  <c r="J1176" i="2"/>
  <c r="H1176" i="2"/>
  <c r="M1176" i="2" s="1"/>
  <c r="M1175" i="2"/>
  <c r="J1175" i="2"/>
  <c r="J1174" i="2"/>
  <c r="H1174" i="2"/>
  <c r="M1174" i="2" s="1"/>
  <c r="J1173" i="2"/>
  <c r="H1173" i="2"/>
  <c r="M1173" i="2" s="1"/>
  <c r="M1172" i="2"/>
  <c r="J1172" i="2"/>
  <c r="J1171" i="2"/>
  <c r="H1171" i="2"/>
  <c r="M1171" i="2" s="1"/>
  <c r="J1170" i="2"/>
  <c r="H1170" i="2"/>
  <c r="M1170" i="2" s="1"/>
  <c r="M1169" i="2"/>
  <c r="J1169" i="2"/>
  <c r="M1168" i="2"/>
  <c r="J1168" i="2"/>
  <c r="M1167" i="2"/>
  <c r="J1167" i="2"/>
  <c r="J1166" i="2"/>
  <c r="H1166" i="2"/>
  <c r="M1166" i="2" s="1"/>
  <c r="L1165" i="2"/>
  <c r="M1165" i="2" s="1"/>
  <c r="J1165" i="2"/>
  <c r="M1164" i="2"/>
  <c r="J1164" i="2"/>
  <c r="J1163" i="2"/>
  <c r="H1163" i="2"/>
  <c r="M1163" i="2" s="1"/>
  <c r="M1162" i="2"/>
  <c r="J1162" i="2"/>
  <c r="M1161" i="2"/>
  <c r="J1161" i="2"/>
  <c r="J1160" i="2"/>
  <c r="H1160" i="2"/>
  <c r="M1160" i="2" s="1"/>
  <c r="M1159" i="2"/>
  <c r="J1159" i="2"/>
  <c r="M1158" i="2"/>
  <c r="J1158" i="2"/>
  <c r="M1157" i="2"/>
  <c r="J1157" i="2"/>
  <c r="M1156" i="2"/>
  <c r="J1156" i="2"/>
  <c r="M1155" i="2"/>
  <c r="J1155" i="2"/>
  <c r="J1154" i="2"/>
  <c r="H1154" i="2"/>
  <c r="M1154" i="2" s="1"/>
  <c r="M1153" i="2"/>
  <c r="J1153" i="2"/>
  <c r="J1152" i="2"/>
  <c r="H1152" i="2"/>
  <c r="M1152" i="2" s="1"/>
  <c r="M1151" i="2"/>
  <c r="J1151" i="2"/>
  <c r="J1150" i="2"/>
  <c r="H1150" i="2"/>
  <c r="M1150" i="2" s="1"/>
  <c r="M1149" i="2"/>
  <c r="J1149" i="2"/>
  <c r="I1149" i="2"/>
  <c r="M1148" i="2"/>
  <c r="J1148" i="2"/>
  <c r="J1147" i="2"/>
  <c r="H1147" i="2"/>
  <c r="M1147" i="2" s="1"/>
  <c r="M1146" i="2"/>
  <c r="J1146" i="2"/>
  <c r="J1145" i="2"/>
  <c r="H1145" i="2"/>
  <c r="M1145" i="2" s="1"/>
  <c r="M1144" i="2"/>
  <c r="J1144" i="2"/>
  <c r="M1143" i="2"/>
  <c r="J1143" i="2"/>
  <c r="J1142" i="2"/>
  <c r="H1142" i="2"/>
  <c r="M1142" i="2" s="1"/>
  <c r="M1141" i="2"/>
  <c r="J1141" i="2"/>
  <c r="M1140" i="2"/>
  <c r="J1140" i="2"/>
  <c r="M1139" i="2"/>
  <c r="J1139" i="2"/>
  <c r="M1138" i="2"/>
  <c r="J1138" i="2"/>
  <c r="M1137" i="2"/>
  <c r="J1137" i="2"/>
  <c r="M1136" i="2"/>
  <c r="J1136" i="2"/>
  <c r="M1135" i="2"/>
  <c r="J1135" i="2"/>
  <c r="J1134" i="2"/>
  <c r="H1134" i="2"/>
  <c r="M1134" i="2" s="1"/>
  <c r="J1133" i="2"/>
  <c r="H1133" i="2"/>
  <c r="M1133" i="2" s="1"/>
  <c r="M1132" i="2"/>
  <c r="J1132" i="2"/>
  <c r="M1131" i="2"/>
  <c r="J1131" i="2"/>
  <c r="H1131" i="2"/>
  <c r="M1130" i="2"/>
  <c r="J1130" i="2"/>
  <c r="J1129" i="2"/>
  <c r="H1129" i="2"/>
  <c r="M1129" i="2" s="1"/>
  <c r="M1128" i="2"/>
  <c r="J1128" i="2"/>
  <c r="M1127" i="2"/>
  <c r="J1127" i="2"/>
  <c r="M1126" i="2"/>
  <c r="J1126" i="2"/>
  <c r="M1125" i="2"/>
  <c r="J1125" i="2"/>
  <c r="M1124" i="2"/>
  <c r="J1124" i="2"/>
  <c r="M1123" i="2"/>
  <c r="J1123" i="2"/>
  <c r="M1122" i="2"/>
  <c r="J1122" i="2"/>
  <c r="H1122" i="2"/>
  <c r="M1121" i="2"/>
  <c r="J1121" i="2"/>
  <c r="M1120" i="2"/>
  <c r="J1120" i="2"/>
  <c r="M1119" i="2"/>
  <c r="J1119" i="2"/>
  <c r="J1118" i="2"/>
  <c r="H1118" i="2"/>
  <c r="M1118" i="2" s="1"/>
  <c r="M1117" i="2"/>
  <c r="J1117" i="2"/>
  <c r="M1116" i="2"/>
  <c r="J1116" i="2"/>
  <c r="M1115" i="2"/>
  <c r="J1115" i="2"/>
  <c r="M1114" i="2"/>
  <c r="J1114" i="2"/>
  <c r="M1113" i="2"/>
  <c r="J1113" i="2"/>
  <c r="J1112" i="2"/>
  <c r="H1112" i="2"/>
  <c r="M1112" i="2" s="1"/>
  <c r="M1111" i="2"/>
  <c r="J1111" i="2"/>
  <c r="J1110" i="2"/>
  <c r="H1110" i="2"/>
  <c r="M1110" i="2" s="1"/>
  <c r="M1109" i="2"/>
  <c r="J1109" i="2"/>
  <c r="J1108" i="2"/>
  <c r="H1108" i="2"/>
  <c r="M1108" i="2" s="1"/>
  <c r="J1107" i="2"/>
  <c r="H1107" i="2"/>
  <c r="M1107" i="2" s="1"/>
  <c r="M1106" i="2"/>
  <c r="J1106" i="2"/>
  <c r="J1105" i="2"/>
  <c r="H1105" i="2"/>
  <c r="M1105" i="2" s="1"/>
  <c r="M1104" i="2"/>
  <c r="J1104" i="2"/>
  <c r="M1103" i="2"/>
  <c r="J1103" i="2"/>
  <c r="J1102" i="2"/>
  <c r="H1102" i="2"/>
  <c r="M1102" i="2" s="1"/>
  <c r="J1101" i="2"/>
  <c r="H1101" i="2"/>
  <c r="M1101" i="2" s="1"/>
  <c r="M1100" i="2"/>
  <c r="J1100" i="2"/>
  <c r="M1099" i="2"/>
  <c r="J1099" i="2"/>
  <c r="J1098" i="2"/>
  <c r="H1098" i="2"/>
  <c r="M1098" i="2" s="1"/>
  <c r="J1097" i="2"/>
  <c r="H1097" i="2"/>
  <c r="M1097" i="2" s="1"/>
  <c r="M1096" i="2"/>
  <c r="J1096" i="2"/>
  <c r="M1095" i="2"/>
  <c r="J1095" i="2"/>
  <c r="J1094" i="2"/>
  <c r="H1094" i="2"/>
  <c r="M1094" i="2" s="1"/>
  <c r="M1093" i="2"/>
  <c r="J1093" i="2"/>
  <c r="M1092" i="2"/>
  <c r="J1092" i="2"/>
  <c r="M1091" i="2"/>
  <c r="J1091" i="2"/>
  <c r="M1090" i="2"/>
  <c r="J1090" i="2"/>
  <c r="M1089" i="2"/>
  <c r="J1089" i="2"/>
  <c r="M1088" i="2"/>
  <c r="J1088" i="2"/>
  <c r="M1087" i="2"/>
  <c r="J1087" i="2"/>
  <c r="M1086" i="2"/>
  <c r="J1086" i="2"/>
  <c r="M1085" i="2"/>
  <c r="J1085" i="2"/>
  <c r="J1084" i="2"/>
  <c r="H1084" i="2"/>
  <c r="M1084" i="2" s="1"/>
  <c r="J1083" i="2"/>
  <c r="H1083" i="2"/>
  <c r="M1083" i="2" s="1"/>
  <c r="M1082" i="2"/>
  <c r="J1082" i="2"/>
  <c r="J1081" i="2"/>
  <c r="H1081" i="2"/>
  <c r="M1081" i="2" s="1"/>
  <c r="M1080" i="2"/>
  <c r="J1080" i="2"/>
  <c r="J1079" i="2"/>
  <c r="H1079" i="2"/>
  <c r="M1079" i="2" s="1"/>
  <c r="M1078" i="2"/>
  <c r="J1078" i="2"/>
  <c r="M1077" i="2"/>
  <c r="J1077" i="2"/>
  <c r="M1076" i="2"/>
  <c r="J1076" i="2"/>
  <c r="M1075" i="2"/>
  <c r="J1075" i="2"/>
  <c r="M1074" i="2"/>
  <c r="J1074" i="2"/>
  <c r="M1073" i="2"/>
  <c r="J1073" i="2"/>
  <c r="M1072" i="2"/>
  <c r="J1072" i="2"/>
  <c r="M1071" i="2"/>
  <c r="J1071" i="2"/>
  <c r="M1070" i="2"/>
  <c r="J1070" i="2"/>
  <c r="M1069" i="2"/>
  <c r="J1069" i="2"/>
  <c r="M1068" i="2"/>
  <c r="J1068" i="2"/>
  <c r="J1067" i="2"/>
  <c r="H1067" i="2"/>
  <c r="M1067" i="2" s="1"/>
  <c r="J1066" i="2"/>
  <c r="H1066" i="2"/>
  <c r="M1066" i="2" s="1"/>
  <c r="J1065" i="2"/>
  <c r="H1065" i="2"/>
  <c r="M1065" i="2" s="1"/>
  <c r="M1064" i="2"/>
  <c r="J1064" i="2"/>
  <c r="J1063" i="2"/>
  <c r="H1063" i="2"/>
  <c r="M1063" i="2" s="1"/>
  <c r="M1062" i="2"/>
  <c r="J1062" i="2"/>
  <c r="M1061" i="2"/>
  <c r="J1061" i="2"/>
  <c r="M1060" i="2"/>
  <c r="J1060" i="2"/>
  <c r="M1059" i="2"/>
  <c r="J1059" i="2"/>
  <c r="J1058" i="2"/>
  <c r="H1058" i="2"/>
  <c r="M1058" i="2" s="1"/>
  <c r="M1057" i="2"/>
  <c r="J1057" i="2"/>
  <c r="M1056" i="2"/>
  <c r="J1056" i="2"/>
  <c r="J1055" i="2"/>
  <c r="H1055" i="2"/>
  <c r="M1055" i="2" s="1"/>
  <c r="J1054" i="2"/>
  <c r="H1054" i="2"/>
  <c r="M1054" i="2" s="1"/>
  <c r="M1053" i="2"/>
  <c r="J1053" i="2"/>
  <c r="M1052" i="2"/>
  <c r="J1052" i="2"/>
  <c r="M1051" i="2"/>
  <c r="J1051" i="2"/>
  <c r="H1051" i="2"/>
  <c r="M1050" i="2"/>
  <c r="J1050" i="2"/>
  <c r="M1049" i="2"/>
  <c r="J1049" i="2"/>
  <c r="M1048" i="2"/>
  <c r="J1048" i="2"/>
  <c r="M1047" i="2"/>
  <c r="J1047" i="2"/>
  <c r="M1046" i="2"/>
  <c r="J1046" i="2"/>
  <c r="M1045" i="2"/>
  <c r="J1045" i="2"/>
  <c r="M1044" i="2"/>
  <c r="J1044" i="2"/>
  <c r="J1043" i="2"/>
  <c r="H1043" i="2"/>
  <c r="M1043" i="2" s="1"/>
  <c r="M1042" i="2"/>
  <c r="J1042" i="2"/>
  <c r="M1041" i="2"/>
  <c r="J1041" i="2"/>
  <c r="J1040" i="2"/>
  <c r="H1040" i="2"/>
  <c r="M1040" i="2" s="1"/>
  <c r="M1039" i="2"/>
  <c r="J1039" i="2"/>
  <c r="M1038" i="2"/>
  <c r="J1038" i="2"/>
  <c r="J1037" i="2"/>
  <c r="H1037" i="2"/>
  <c r="M1037" i="2" s="1"/>
  <c r="M1036" i="2"/>
  <c r="J1036" i="2"/>
  <c r="J1035" i="2"/>
  <c r="H1035" i="2"/>
  <c r="M1035" i="2" s="1"/>
  <c r="J1034" i="2"/>
  <c r="H1034" i="2"/>
  <c r="M1034" i="2" s="1"/>
  <c r="J1033" i="2"/>
  <c r="H1033" i="2"/>
  <c r="M1033" i="2" s="1"/>
  <c r="M1032" i="2"/>
  <c r="J1032" i="2"/>
  <c r="M1031" i="2"/>
  <c r="J1031" i="2"/>
  <c r="M1030" i="2"/>
  <c r="J1030" i="2"/>
  <c r="M1029" i="2"/>
  <c r="J1029" i="2"/>
  <c r="J1028" i="2"/>
  <c r="H1028" i="2"/>
  <c r="M1028" i="2" s="1"/>
  <c r="M1027" i="2"/>
  <c r="J1027" i="2"/>
  <c r="I1027" i="2"/>
  <c r="M1026" i="2"/>
  <c r="J1026" i="2"/>
  <c r="J1025" i="2"/>
  <c r="H1025" i="2"/>
  <c r="M1025" i="2" s="1"/>
  <c r="J1024" i="2"/>
  <c r="H1024" i="2"/>
  <c r="M1024" i="2" s="1"/>
  <c r="M1023" i="2"/>
  <c r="J1023" i="2"/>
  <c r="M1022" i="2"/>
  <c r="J1022" i="2"/>
  <c r="M1021" i="2"/>
  <c r="J1021" i="2"/>
  <c r="M1020" i="2"/>
  <c r="J1020" i="2"/>
  <c r="M1019" i="2"/>
  <c r="J1019" i="2"/>
  <c r="J1018" i="2"/>
  <c r="I1018" i="2"/>
  <c r="H1018" i="2"/>
  <c r="M1018" i="2" s="1"/>
  <c r="J1017" i="2"/>
  <c r="H1017" i="2"/>
  <c r="M1017" i="2" s="1"/>
  <c r="M1016" i="2"/>
  <c r="J1016" i="2"/>
  <c r="M1015" i="2"/>
  <c r="J1015" i="2"/>
  <c r="J1014" i="2"/>
  <c r="H1014" i="2"/>
  <c r="M1014" i="2" s="1"/>
  <c r="L1013" i="2"/>
  <c r="M1013" i="2" s="1"/>
  <c r="J1013" i="2"/>
  <c r="M1012" i="2"/>
  <c r="J1012" i="2"/>
  <c r="J1011" i="2"/>
  <c r="H1011" i="2"/>
  <c r="M1011" i="2" s="1"/>
  <c r="M1010" i="2"/>
  <c r="J1010" i="2"/>
  <c r="M1009" i="2"/>
  <c r="J1009" i="2"/>
  <c r="M1008" i="2"/>
  <c r="J1008" i="2"/>
  <c r="M1007" i="2"/>
  <c r="J1007" i="2"/>
  <c r="M1006" i="2"/>
  <c r="J1006" i="2"/>
  <c r="M1005" i="2"/>
  <c r="J1005" i="2"/>
  <c r="M1004" i="2"/>
  <c r="J1004" i="2"/>
  <c r="J1003" i="2"/>
  <c r="H1003" i="2"/>
  <c r="M1003" i="2" s="1"/>
  <c r="M1002" i="2"/>
  <c r="J1002" i="2"/>
  <c r="M1001" i="2"/>
  <c r="J1001" i="2"/>
  <c r="M1000" i="2"/>
  <c r="J1000" i="2"/>
  <c r="L999" i="2"/>
  <c r="J999" i="2"/>
  <c r="H999" i="2"/>
  <c r="J998" i="2"/>
  <c r="H998" i="2"/>
  <c r="M998" i="2" s="1"/>
  <c r="M997" i="2"/>
  <c r="J997" i="2"/>
  <c r="H997" i="2"/>
  <c r="J996" i="2"/>
  <c r="H996" i="2"/>
  <c r="M996" i="2" s="1"/>
  <c r="J995" i="2"/>
  <c r="H995" i="2"/>
  <c r="M995" i="2" s="1"/>
  <c r="M994" i="2"/>
  <c r="J994" i="2"/>
  <c r="I994" i="2"/>
  <c r="M993" i="2"/>
  <c r="J993" i="2"/>
  <c r="M992" i="2"/>
  <c r="J992" i="2"/>
  <c r="M991" i="2"/>
  <c r="J991" i="2"/>
  <c r="M990" i="2"/>
  <c r="J990" i="2"/>
  <c r="J989" i="2"/>
  <c r="H989" i="2"/>
  <c r="M989" i="2" s="1"/>
  <c r="M988" i="2"/>
  <c r="J988" i="2"/>
  <c r="M987" i="2"/>
  <c r="J987" i="2"/>
  <c r="J986" i="2"/>
  <c r="H986" i="2"/>
  <c r="M986" i="2" s="1"/>
  <c r="M985" i="2"/>
  <c r="J985" i="2"/>
  <c r="M984" i="2"/>
  <c r="J984" i="2"/>
  <c r="M983" i="2"/>
  <c r="J983" i="2"/>
  <c r="M982" i="2"/>
  <c r="J982" i="2"/>
  <c r="M981" i="2"/>
  <c r="J981" i="2"/>
  <c r="M980" i="2"/>
  <c r="J980" i="2"/>
  <c r="J979" i="2"/>
  <c r="H979" i="2"/>
  <c r="M979" i="2" s="1"/>
  <c r="M978" i="2"/>
  <c r="J978" i="2"/>
  <c r="M977" i="2"/>
  <c r="J977" i="2"/>
  <c r="J976" i="2"/>
  <c r="H976" i="2"/>
  <c r="M976" i="2" s="1"/>
  <c r="M975" i="2"/>
  <c r="J975" i="2"/>
  <c r="M974" i="2"/>
  <c r="J974" i="2"/>
  <c r="M973" i="2"/>
  <c r="J973" i="2"/>
  <c r="M972" i="2"/>
  <c r="J972" i="2"/>
  <c r="M971" i="2"/>
  <c r="J971" i="2"/>
  <c r="M970" i="2"/>
  <c r="J970" i="2"/>
  <c r="M969" i="2"/>
  <c r="J969" i="2"/>
  <c r="M968" i="2"/>
  <c r="J968" i="2"/>
  <c r="M967" i="2"/>
  <c r="J967" i="2"/>
  <c r="M966" i="2"/>
  <c r="J966" i="2"/>
  <c r="M965" i="2"/>
  <c r="J965" i="2"/>
  <c r="M964" i="2"/>
  <c r="J964" i="2"/>
  <c r="J963" i="2"/>
  <c r="H963" i="2"/>
  <c r="M963" i="2" s="1"/>
  <c r="M962" i="2"/>
  <c r="J962" i="2"/>
  <c r="M961" i="2"/>
  <c r="J961" i="2"/>
  <c r="M960" i="2"/>
  <c r="J960" i="2"/>
  <c r="M959" i="2"/>
  <c r="J959" i="2"/>
  <c r="M958" i="2"/>
  <c r="J958" i="2"/>
  <c r="J957" i="2"/>
  <c r="H957" i="2"/>
  <c r="M957" i="2" s="1"/>
  <c r="M956" i="2"/>
  <c r="J956" i="2"/>
  <c r="M955" i="2"/>
  <c r="J955" i="2"/>
  <c r="M954" i="2"/>
  <c r="J954" i="2"/>
  <c r="M953" i="2"/>
  <c r="J953" i="2"/>
  <c r="M952" i="2"/>
  <c r="J952" i="2"/>
  <c r="M951" i="2"/>
  <c r="J951" i="2"/>
  <c r="M950" i="2"/>
  <c r="J950" i="2"/>
  <c r="M949" i="2"/>
  <c r="J949" i="2"/>
  <c r="M948" i="2"/>
  <c r="J948" i="2"/>
  <c r="M947" i="2"/>
  <c r="J947" i="2"/>
  <c r="M946" i="2"/>
  <c r="J946" i="2"/>
  <c r="J945" i="2"/>
  <c r="H945" i="2"/>
  <c r="M945" i="2" s="1"/>
  <c r="M944" i="2"/>
  <c r="J944" i="2"/>
  <c r="M943" i="2"/>
  <c r="J943" i="2"/>
  <c r="J942" i="2"/>
  <c r="H942" i="2"/>
  <c r="M942" i="2" s="1"/>
  <c r="M941" i="2"/>
  <c r="J941" i="2"/>
  <c r="M940" i="2"/>
  <c r="J940" i="2"/>
  <c r="M939" i="2"/>
  <c r="J939" i="2"/>
  <c r="M938" i="2"/>
  <c r="J938" i="2"/>
  <c r="J937" i="2"/>
  <c r="H937" i="2"/>
  <c r="M937" i="2" s="1"/>
  <c r="M936" i="2"/>
  <c r="J936" i="2"/>
  <c r="M935" i="2"/>
  <c r="J935" i="2"/>
  <c r="J934" i="2"/>
  <c r="H934" i="2"/>
  <c r="M934" i="2" s="1"/>
  <c r="M933" i="2"/>
  <c r="J933" i="2"/>
  <c r="M932" i="2"/>
  <c r="J932" i="2"/>
  <c r="M931" i="2"/>
  <c r="J931" i="2"/>
  <c r="M930" i="2"/>
  <c r="J930" i="2"/>
  <c r="M929" i="2"/>
  <c r="J929" i="2"/>
  <c r="J928" i="2"/>
  <c r="H928" i="2"/>
  <c r="M928" i="2" s="1"/>
  <c r="M927" i="2"/>
  <c r="J927" i="2"/>
  <c r="M926" i="2"/>
  <c r="J926" i="2"/>
  <c r="J925" i="2"/>
  <c r="H925" i="2"/>
  <c r="M925" i="2" s="1"/>
  <c r="J924" i="2"/>
  <c r="H924" i="2"/>
  <c r="M924" i="2" s="1"/>
  <c r="M923" i="2"/>
  <c r="J923" i="2"/>
  <c r="M922" i="2"/>
  <c r="J922" i="2"/>
  <c r="J921" i="2"/>
  <c r="H921" i="2"/>
  <c r="M921" i="2" s="1"/>
  <c r="J920" i="2"/>
  <c r="H920" i="2"/>
  <c r="M920" i="2" s="1"/>
  <c r="M919" i="2"/>
  <c r="J919" i="2"/>
  <c r="M918" i="2"/>
  <c r="J918" i="2"/>
  <c r="M917" i="2"/>
  <c r="J917" i="2"/>
  <c r="M916" i="2"/>
  <c r="J916" i="2"/>
  <c r="M915" i="2"/>
  <c r="J915" i="2"/>
  <c r="M914" i="2"/>
  <c r="J914" i="2"/>
  <c r="M913" i="2"/>
  <c r="J913" i="2"/>
  <c r="M912" i="2"/>
  <c r="J912" i="2"/>
  <c r="M911" i="2"/>
  <c r="J911" i="2"/>
  <c r="M910" i="2"/>
  <c r="J910" i="2"/>
  <c r="M909" i="2"/>
  <c r="J909" i="2"/>
  <c r="M908" i="2"/>
  <c r="J908" i="2"/>
  <c r="M907" i="2"/>
  <c r="J907" i="2"/>
  <c r="M906" i="2"/>
  <c r="J906" i="2"/>
  <c r="M905" i="2"/>
  <c r="J905" i="2"/>
  <c r="M904" i="2"/>
  <c r="J904" i="2"/>
  <c r="M903" i="2"/>
  <c r="J903" i="2"/>
  <c r="M902" i="2"/>
  <c r="J902" i="2"/>
  <c r="M901" i="2"/>
  <c r="J901" i="2"/>
  <c r="M900" i="2"/>
  <c r="J900" i="2"/>
  <c r="M899" i="2"/>
  <c r="J899" i="2"/>
  <c r="M898" i="2"/>
  <c r="J898" i="2"/>
  <c r="J897" i="2"/>
  <c r="H897" i="2"/>
  <c r="M897" i="2" s="1"/>
  <c r="M896" i="2"/>
  <c r="J896" i="2"/>
  <c r="M895" i="2"/>
  <c r="J895" i="2"/>
  <c r="J894" i="2"/>
  <c r="H894" i="2"/>
  <c r="M894" i="2" s="1"/>
  <c r="M893" i="2"/>
  <c r="J893" i="2"/>
  <c r="M892" i="2"/>
  <c r="J892" i="2"/>
  <c r="M891" i="2"/>
  <c r="J891" i="2"/>
  <c r="J890" i="2"/>
  <c r="H890" i="2"/>
  <c r="M890" i="2" s="1"/>
  <c r="M889" i="2"/>
  <c r="J889" i="2"/>
  <c r="J888" i="2"/>
  <c r="H888" i="2"/>
  <c r="M888" i="2" s="1"/>
  <c r="M887" i="2"/>
  <c r="J887" i="2"/>
  <c r="M886" i="2"/>
  <c r="J886" i="2"/>
  <c r="M885" i="2"/>
  <c r="J885" i="2"/>
  <c r="J884" i="2"/>
  <c r="H884" i="2"/>
  <c r="M884" i="2" s="1"/>
  <c r="J883" i="2"/>
  <c r="H883" i="2"/>
  <c r="M883" i="2" s="1"/>
  <c r="M882" i="2"/>
  <c r="J882" i="2"/>
  <c r="J881" i="2"/>
  <c r="H881" i="2"/>
  <c r="M881" i="2" s="1"/>
  <c r="M880" i="2"/>
  <c r="J880" i="2"/>
  <c r="M879" i="2"/>
  <c r="J879" i="2"/>
  <c r="M878" i="2"/>
  <c r="J878" i="2"/>
  <c r="J877" i="2"/>
  <c r="H877" i="2"/>
  <c r="M877" i="2" s="1"/>
  <c r="M876" i="2"/>
  <c r="J876" i="2"/>
  <c r="J875" i="2"/>
  <c r="H875" i="2"/>
  <c r="M875" i="2" s="1"/>
  <c r="M874" i="2"/>
  <c r="J874" i="2"/>
  <c r="M873" i="2"/>
  <c r="J873" i="2"/>
  <c r="M872" i="2"/>
  <c r="J872" i="2"/>
  <c r="M871" i="2"/>
  <c r="J871" i="2"/>
  <c r="M870" i="2"/>
  <c r="J870" i="2"/>
  <c r="J869" i="2"/>
  <c r="H869" i="2"/>
  <c r="M869" i="2" s="1"/>
  <c r="J868" i="2"/>
  <c r="H868" i="2"/>
  <c r="M868" i="2" s="1"/>
  <c r="M867" i="2"/>
  <c r="J867" i="2"/>
  <c r="M866" i="2"/>
  <c r="J866" i="2"/>
  <c r="M865" i="2"/>
  <c r="J865" i="2"/>
  <c r="M864" i="2"/>
  <c r="J864" i="2"/>
  <c r="M863" i="2"/>
  <c r="J863" i="2"/>
  <c r="M862" i="2"/>
  <c r="J862" i="2"/>
  <c r="M861" i="2"/>
  <c r="J861" i="2"/>
  <c r="J860" i="2"/>
  <c r="H860" i="2"/>
  <c r="M860" i="2" s="1"/>
  <c r="M859" i="2"/>
  <c r="J859" i="2"/>
  <c r="M858" i="2"/>
  <c r="J858" i="2"/>
  <c r="M857" i="2"/>
  <c r="J857" i="2"/>
  <c r="M856" i="2"/>
  <c r="J856" i="2"/>
  <c r="M855" i="2"/>
  <c r="J855" i="2"/>
  <c r="I855" i="2"/>
  <c r="M854" i="2"/>
  <c r="J854" i="2"/>
  <c r="M853" i="2"/>
  <c r="J853" i="2"/>
  <c r="J852" i="2"/>
  <c r="H852" i="2"/>
  <c r="M852" i="2" s="1"/>
  <c r="M851" i="2"/>
  <c r="J851" i="2"/>
  <c r="J850" i="2"/>
  <c r="H850" i="2"/>
  <c r="M850" i="2" s="1"/>
  <c r="J849" i="2"/>
  <c r="H849" i="2"/>
  <c r="M849" i="2" s="1"/>
  <c r="J848" i="2"/>
  <c r="H848" i="2"/>
  <c r="M848" i="2" s="1"/>
  <c r="M847" i="2"/>
  <c r="J847" i="2"/>
  <c r="M846" i="2"/>
  <c r="J846" i="2"/>
  <c r="M845" i="2"/>
  <c r="J845" i="2"/>
  <c r="M844" i="2"/>
  <c r="J844" i="2"/>
  <c r="J843" i="2"/>
  <c r="H843" i="2"/>
  <c r="M843" i="2" s="1"/>
  <c r="M842" i="2"/>
  <c r="J842" i="2"/>
  <c r="M841" i="2"/>
  <c r="J841" i="2"/>
  <c r="M840" i="2"/>
  <c r="J840" i="2"/>
  <c r="H840" i="2"/>
  <c r="M839" i="2"/>
  <c r="J839" i="2"/>
  <c r="M838" i="2"/>
  <c r="J838" i="2"/>
  <c r="J837" i="2"/>
  <c r="H837" i="2"/>
  <c r="M837" i="2" s="1"/>
  <c r="M836" i="2"/>
  <c r="J836" i="2"/>
  <c r="M835" i="2"/>
  <c r="J835" i="2"/>
  <c r="J834" i="2"/>
  <c r="H834" i="2"/>
  <c r="M834" i="2" s="1"/>
  <c r="M833" i="2"/>
  <c r="J833" i="2"/>
  <c r="M832" i="2"/>
  <c r="J832" i="2"/>
  <c r="M831" i="2"/>
  <c r="J831" i="2"/>
  <c r="M830" i="2"/>
  <c r="J830" i="2"/>
  <c r="M829" i="2"/>
  <c r="J829" i="2"/>
  <c r="M828" i="2"/>
  <c r="J828" i="2"/>
  <c r="M827" i="2"/>
  <c r="J827" i="2"/>
  <c r="M826" i="2"/>
  <c r="J826" i="2"/>
  <c r="M825" i="2"/>
  <c r="J825" i="2"/>
  <c r="M824" i="2"/>
  <c r="J824" i="2"/>
  <c r="M823" i="2"/>
  <c r="J823" i="2"/>
  <c r="M822" i="2"/>
  <c r="J822" i="2"/>
  <c r="J821" i="2"/>
  <c r="H821" i="2"/>
  <c r="M821" i="2" s="1"/>
  <c r="J820" i="2"/>
  <c r="H820" i="2"/>
  <c r="M820" i="2" s="1"/>
  <c r="M819" i="2"/>
  <c r="J819" i="2"/>
  <c r="M818" i="2"/>
  <c r="J818" i="2"/>
  <c r="M817" i="2"/>
  <c r="J817" i="2"/>
  <c r="M816" i="2"/>
  <c r="J816" i="2"/>
  <c r="M815" i="2"/>
  <c r="J815" i="2"/>
  <c r="M814" i="2"/>
  <c r="J814" i="2"/>
  <c r="I814" i="2"/>
  <c r="M813" i="2"/>
  <c r="J813" i="2"/>
  <c r="J812" i="2"/>
  <c r="H812" i="2"/>
  <c r="M812" i="2" s="1"/>
  <c r="M811" i="2"/>
  <c r="J811" i="2"/>
  <c r="M810" i="2"/>
  <c r="J810" i="2"/>
  <c r="M809" i="2"/>
  <c r="J809" i="2"/>
  <c r="M808" i="2"/>
  <c r="J808" i="2"/>
  <c r="M807" i="2"/>
  <c r="J807" i="2"/>
  <c r="M806" i="2"/>
  <c r="J806" i="2"/>
  <c r="M805" i="2"/>
  <c r="J805" i="2"/>
  <c r="M804" i="2"/>
  <c r="J804" i="2"/>
  <c r="J803" i="2"/>
  <c r="H803" i="2"/>
  <c r="M803" i="2" s="1"/>
  <c r="J802" i="2"/>
  <c r="H802" i="2"/>
  <c r="M802" i="2" s="1"/>
  <c r="M801" i="2"/>
  <c r="J801" i="2"/>
  <c r="M800" i="2"/>
  <c r="J800" i="2"/>
  <c r="J799" i="2"/>
  <c r="H799" i="2"/>
  <c r="M799" i="2" s="1"/>
  <c r="M798" i="2"/>
  <c r="J798" i="2"/>
  <c r="M797" i="2"/>
  <c r="J797" i="2"/>
  <c r="J796" i="2"/>
  <c r="H796" i="2"/>
  <c r="M796" i="2" s="1"/>
  <c r="M795" i="2"/>
  <c r="J795" i="2"/>
  <c r="M794" i="2"/>
  <c r="J794" i="2"/>
  <c r="J793" i="2"/>
  <c r="H793" i="2"/>
  <c r="M793" i="2" s="1"/>
  <c r="J792" i="2"/>
  <c r="H792" i="2"/>
  <c r="M792" i="2" s="1"/>
  <c r="J791" i="2"/>
  <c r="H791" i="2"/>
  <c r="M791" i="2" s="1"/>
  <c r="M790" i="2"/>
  <c r="J790" i="2"/>
  <c r="M789" i="2"/>
  <c r="J789" i="2"/>
  <c r="J788" i="2"/>
  <c r="H788" i="2"/>
  <c r="M788" i="2" s="1"/>
  <c r="M787" i="2"/>
  <c r="J787" i="2"/>
  <c r="M786" i="2"/>
  <c r="J786" i="2"/>
  <c r="M785" i="2"/>
  <c r="J785" i="2"/>
  <c r="M784" i="2"/>
  <c r="J784" i="2"/>
  <c r="J783" i="2"/>
  <c r="H783" i="2"/>
  <c r="M783" i="2" s="1"/>
  <c r="M782" i="2"/>
  <c r="J782" i="2"/>
  <c r="M781" i="2"/>
  <c r="J781" i="2"/>
  <c r="M780" i="2"/>
  <c r="J780" i="2"/>
  <c r="M779" i="2"/>
  <c r="J779" i="2"/>
  <c r="M778" i="2"/>
  <c r="J778" i="2"/>
  <c r="M777" i="2"/>
  <c r="J777" i="2"/>
  <c r="M776" i="2"/>
  <c r="J776" i="2"/>
  <c r="M775" i="2"/>
  <c r="J775" i="2"/>
  <c r="M774" i="2"/>
  <c r="J774" i="2"/>
  <c r="M773" i="2"/>
  <c r="J773" i="2"/>
  <c r="M772" i="2"/>
  <c r="J772" i="2"/>
  <c r="M771" i="2"/>
  <c r="J771" i="2"/>
  <c r="J770" i="2"/>
  <c r="H770" i="2"/>
  <c r="M770" i="2" s="1"/>
  <c r="M769" i="2"/>
  <c r="J769" i="2"/>
  <c r="M768" i="2"/>
  <c r="J768" i="2"/>
  <c r="J767" i="2"/>
  <c r="H767" i="2"/>
  <c r="M767" i="2" s="1"/>
  <c r="M766" i="2"/>
  <c r="J766" i="2"/>
  <c r="M765" i="2"/>
  <c r="J765" i="2"/>
  <c r="M764" i="2"/>
  <c r="J764" i="2"/>
  <c r="M763" i="2"/>
  <c r="J763" i="2"/>
  <c r="J762" i="2"/>
  <c r="H762" i="2"/>
  <c r="M762" i="2" s="1"/>
  <c r="M761" i="2"/>
  <c r="J761" i="2"/>
  <c r="M760" i="2"/>
  <c r="J760" i="2"/>
  <c r="M759" i="2"/>
  <c r="J759" i="2"/>
  <c r="M758" i="2"/>
  <c r="J758" i="2"/>
  <c r="M757" i="2"/>
  <c r="J757" i="2"/>
  <c r="M756" i="2"/>
  <c r="J756" i="2"/>
  <c r="M755" i="2"/>
  <c r="J755" i="2"/>
  <c r="M754" i="2"/>
  <c r="J754" i="2"/>
  <c r="J753" i="2"/>
  <c r="H753" i="2"/>
  <c r="M753" i="2" s="1"/>
  <c r="M752" i="2"/>
  <c r="J752" i="2"/>
  <c r="J751" i="2"/>
  <c r="H751" i="2"/>
  <c r="M751" i="2" s="1"/>
  <c r="J750" i="2"/>
  <c r="H750" i="2"/>
  <c r="M750" i="2" s="1"/>
  <c r="M749" i="2"/>
  <c r="J749" i="2"/>
  <c r="J748" i="2"/>
  <c r="H748" i="2"/>
  <c r="M748" i="2" s="1"/>
  <c r="M747" i="2"/>
  <c r="J747" i="2"/>
  <c r="M746" i="2"/>
  <c r="J746" i="2"/>
  <c r="M745" i="2"/>
  <c r="J745" i="2"/>
  <c r="M744" i="2"/>
  <c r="J744" i="2"/>
  <c r="M743" i="2"/>
  <c r="J743" i="2"/>
  <c r="M742" i="2"/>
  <c r="J742" i="2"/>
  <c r="H742" i="2"/>
  <c r="M741" i="2"/>
  <c r="J741" i="2"/>
  <c r="M740" i="2"/>
  <c r="J740" i="2"/>
  <c r="J739" i="2"/>
  <c r="H739" i="2"/>
  <c r="M739" i="2" s="1"/>
  <c r="M738" i="2"/>
  <c r="J738" i="2"/>
  <c r="M737" i="2"/>
  <c r="J737" i="2"/>
  <c r="M736" i="2"/>
  <c r="J736" i="2"/>
  <c r="M735" i="2"/>
  <c r="J735" i="2"/>
  <c r="M734" i="2"/>
  <c r="J734" i="2"/>
  <c r="M733" i="2"/>
  <c r="J733" i="2"/>
  <c r="J732" i="2"/>
  <c r="H732" i="2"/>
  <c r="M732" i="2" s="1"/>
  <c r="J731" i="2"/>
  <c r="H731" i="2"/>
  <c r="M731" i="2" s="1"/>
  <c r="J730" i="2"/>
  <c r="H730" i="2"/>
  <c r="M730" i="2" s="1"/>
  <c r="M729" i="2"/>
  <c r="J729" i="2"/>
  <c r="M728" i="2"/>
  <c r="J728" i="2"/>
  <c r="J727" i="2"/>
  <c r="H727" i="2"/>
  <c r="M727" i="2" s="1"/>
  <c r="M726" i="2"/>
  <c r="J726" i="2"/>
  <c r="M725" i="2"/>
  <c r="J725" i="2"/>
  <c r="J724" i="2"/>
  <c r="H724" i="2"/>
  <c r="M724" i="2" s="1"/>
  <c r="J723" i="2"/>
  <c r="H723" i="2"/>
  <c r="M723" i="2" s="1"/>
  <c r="M722" i="2"/>
  <c r="J722" i="2"/>
  <c r="M721" i="2"/>
  <c r="J721" i="2"/>
  <c r="M720" i="2"/>
  <c r="J720" i="2"/>
  <c r="M719" i="2"/>
  <c r="J719" i="2"/>
  <c r="M718" i="2"/>
  <c r="J718" i="2"/>
  <c r="M717" i="2"/>
  <c r="J717" i="2"/>
  <c r="M716" i="2"/>
  <c r="J716" i="2"/>
  <c r="M715" i="2"/>
  <c r="J715" i="2"/>
  <c r="H715" i="2"/>
  <c r="M714" i="2"/>
  <c r="J714" i="2"/>
  <c r="M713" i="2"/>
  <c r="J713" i="2"/>
  <c r="M712" i="2"/>
  <c r="J712" i="2"/>
  <c r="M711" i="2"/>
  <c r="J711" i="2"/>
  <c r="M710" i="2"/>
  <c r="J710" i="2"/>
  <c r="J709" i="2"/>
  <c r="H709" i="2"/>
  <c r="M709" i="2" s="1"/>
  <c r="J708" i="2"/>
  <c r="H708" i="2"/>
  <c r="M708" i="2" s="1"/>
  <c r="M707" i="2"/>
  <c r="J707" i="2"/>
  <c r="J706" i="2"/>
  <c r="H706" i="2"/>
  <c r="M706" i="2" s="1"/>
  <c r="M705" i="2"/>
  <c r="J705" i="2"/>
  <c r="M704" i="2"/>
  <c r="J704" i="2"/>
  <c r="M703" i="2"/>
  <c r="J703" i="2"/>
  <c r="M702" i="2"/>
  <c r="J702" i="2"/>
  <c r="M701" i="2"/>
  <c r="J701" i="2"/>
  <c r="M700" i="2"/>
  <c r="J700" i="2"/>
  <c r="M699" i="2"/>
  <c r="J699" i="2"/>
  <c r="M698" i="2"/>
  <c r="J698" i="2"/>
  <c r="M697" i="2"/>
  <c r="J697" i="2"/>
  <c r="M696" i="2"/>
  <c r="J696" i="2"/>
  <c r="J695" i="2"/>
  <c r="H695" i="2"/>
  <c r="M695" i="2" s="1"/>
  <c r="M694" i="2"/>
  <c r="J694" i="2"/>
  <c r="M693" i="2"/>
  <c r="J693" i="2"/>
  <c r="M692" i="2"/>
  <c r="J692" i="2"/>
  <c r="M691" i="2"/>
  <c r="J691" i="2"/>
  <c r="J690" i="2"/>
  <c r="H690" i="2"/>
  <c r="M690" i="2" s="1"/>
  <c r="M689" i="2"/>
  <c r="J689" i="2"/>
  <c r="M688" i="2"/>
  <c r="J688" i="2"/>
  <c r="J687" i="2"/>
  <c r="H687" i="2"/>
  <c r="M687" i="2" s="1"/>
  <c r="M686" i="2"/>
  <c r="J686" i="2"/>
  <c r="M685" i="2"/>
  <c r="J685" i="2"/>
  <c r="M684" i="2"/>
  <c r="J684" i="2"/>
  <c r="M683" i="2"/>
  <c r="J683" i="2"/>
  <c r="M682" i="2"/>
  <c r="J682" i="2"/>
  <c r="M681" i="2"/>
  <c r="J681" i="2"/>
  <c r="M680" i="2"/>
  <c r="J680" i="2"/>
  <c r="M679" i="2"/>
  <c r="J679" i="2"/>
  <c r="J678" i="2"/>
  <c r="H678" i="2"/>
  <c r="M678" i="2" s="1"/>
  <c r="M677" i="2"/>
  <c r="J677" i="2"/>
  <c r="M676" i="2"/>
  <c r="J676" i="2"/>
  <c r="J675" i="2"/>
  <c r="H675" i="2"/>
  <c r="M675" i="2" s="1"/>
  <c r="M674" i="2"/>
  <c r="J674" i="2"/>
  <c r="M673" i="2"/>
  <c r="J673" i="2"/>
  <c r="M672" i="2"/>
  <c r="J672" i="2"/>
  <c r="J671" i="2"/>
  <c r="H671" i="2"/>
  <c r="M671" i="2" s="1"/>
  <c r="M670" i="2"/>
  <c r="J670" i="2"/>
  <c r="M669" i="2"/>
  <c r="J669" i="2"/>
  <c r="M668" i="2"/>
  <c r="J668" i="2"/>
  <c r="M667" i="2"/>
  <c r="J667" i="2"/>
  <c r="J666" i="2"/>
  <c r="H666" i="2"/>
  <c r="M666" i="2" s="1"/>
  <c r="M665" i="2"/>
  <c r="J665" i="2"/>
  <c r="M664" i="2"/>
  <c r="J664" i="2"/>
  <c r="J663" i="2"/>
  <c r="H663" i="2"/>
  <c r="M663" i="2" s="1"/>
  <c r="J662" i="2"/>
  <c r="H662" i="2"/>
  <c r="M662" i="2" s="1"/>
  <c r="J661" i="2"/>
  <c r="H661" i="2"/>
  <c r="M661" i="2" s="1"/>
  <c r="J660" i="2"/>
  <c r="H660" i="2"/>
  <c r="M660" i="2" s="1"/>
  <c r="M659" i="2"/>
  <c r="J659" i="2"/>
  <c r="M658" i="2"/>
  <c r="J658" i="2"/>
  <c r="M657" i="2"/>
  <c r="J657" i="2"/>
  <c r="M656" i="2"/>
  <c r="J656" i="2"/>
  <c r="J655" i="2"/>
  <c r="H655" i="2"/>
  <c r="M655" i="2" s="1"/>
  <c r="M654" i="2"/>
  <c r="J654" i="2"/>
  <c r="M653" i="2"/>
  <c r="J653" i="2"/>
  <c r="J652" i="2"/>
  <c r="H652" i="2"/>
  <c r="M652" i="2" s="1"/>
  <c r="M651" i="2"/>
  <c r="J651" i="2"/>
  <c r="M650" i="2"/>
  <c r="J650" i="2"/>
  <c r="M649" i="2"/>
  <c r="J649" i="2"/>
  <c r="M648" i="2"/>
  <c r="J648" i="2"/>
  <c r="J647" i="2"/>
  <c r="H647" i="2"/>
  <c r="M647" i="2" s="1"/>
  <c r="J646" i="2"/>
  <c r="H646" i="2"/>
  <c r="M646" i="2" s="1"/>
  <c r="M645" i="2"/>
  <c r="J645" i="2"/>
  <c r="M644" i="2"/>
  <c r="J644" i="2"/>
  <c r="M643" i="2"/>
  <c r="J643" i="2"/>
  <c r="M642" i="2"/>
  <c r="J642" i="2"/>
  <c r="M641" i="2"/>
  <c r="J641" i="2"/>
  <c r="M640" i="2"/>
  <c r="J640" i="2"/>
  <c r="J639" i="2"/>
  <c r="H639" i="2"/>
  <c r="M639" i="2" s="1"/>
  <c r="M638" i="2"/>
  <c r="J638" i="2"/>
  <c r="M637" i="2"/>
  <c r="J637" i="2"/>
  <c r="M636" i="2"/>
  <c r="J636" i="2"/>
  <c r="M635" i="2"/>
  <c r="J635" i="2"/>
  <c r="M634" i="2"/>
  <c r="J634" i="2"/>
  <c r="M633" i="2"/>
  <c r="J633" i="2"/>
  <c r="M632" i="2"/>
  <c r="J632" i="2"/>
  <c r="M631" i="2"/>
  <c r="J631" i="2"/>
  <c r="J630" i="2"/>
  <c r="H630" i="2"/>
  <c r="M630" i="2" s="1"/>
  <c r="M629" i="2"/>
  <c r="J629" i="2"/>
  <c r="M628" i="2"/>
  <c r="J628" i="2"/>
  <c r="M627" i="2"/>
  <c r="J627" i="2"/>
  <c r="M626" i="2"/>
  <c r="J626" i="2"/>
  <c r="M625" i="2"/>
  <c r="J625" i="2"/>
  <c r="M624" i="2"/>
  <c r="J624" i="2"/>
  <c r="M623" i="2"/>
  <c r="J623" i="2"/>
  <c r="M622" i="2"/>
  <c r="J622" i="2"/>
  <c r="H622" i="2"/>
  <c r="M621" i="2"/>
  <c r="J621" i="2"/>
  <c r="M620" i="2"/>
  <c r="J620" i="2"/>
  <c r="M619" i="2"/>
  <c r="J619" i="2"/>
  <c r="M618" i="2"/>
  <c r="L618" i="2"/>
  <c r="J618" i="2"/>
  <c r="M617" i="2"/>
  <c r="J617" i="2"/>
  <c r="M616" i="2"/>
  <c r="J616" i="2"/>
  <c r="M615" i="2"/>
  <c r="J615" i="2"/>
  <c r="M614" i="2"/>
  <c r="J614" i="2"/>
  <c r="M613" i="2"/>
  <c r="J613" i="2"/>
  <c r="M612" i="2"/>
  <c r="J612" i="2"/>
  <c r="M611" i="2"/>
  <c r="J611" i="2"/>
  <c r="J610" i="2"/>
  <c r="H610" i="2"/>
  <c r="M610" i="2" s="1"/>
  <c r="M609" i="2"/>
  <c r="J609" i="2"/>
  <c r="J608" i="2"/>
  <c r="H608" i="2"/>
  <c r="M608" i="2" s="1"/>
  <c r="J607" i="2"/>
  <c r="H607" i="2"/>
  <c r="M607" i="2" s="1"/>
  <c r="M606" i="2"/>
  <c r="J606" i="2"/>
  <c r="M605" i="2"/>
  <c r="J605" i="2"/>
  <c r="H605" i="2"/>
  <c r="J604" i="2"/>
  <c r="H604" i="2"/>
  <c r="M604" i="2" s="1"/>
  <c r="J603" i="2"/>
  <c r="H603" i="2"/>
  <c r="M603" i="2" s="1"/>
  <c r="M602" i="2"/>
  <c r="J602" i="2"/>
  <c r="M601" i="2"/>
  <c r="J601" i="2"/>
  <c r="M600" i="2"/>
  <c r="J600" i="2"/>
  <c r="M599" i="2"/>
  <c r="J599" i="2"/>
  <c r="J598" i="2"/>
  <c r="H598" i="2"/>
  <c r="M598" i="2" s="1"/>
  <c r="M597" i="2"/>
  <c r="J597" i="2"/>
  <c r="J596" i="2"/>
  <c r="H596" i="2"/>
  <c r="M596" i="2" s="1"/>
  <c r="M595" i="2"/>
  <c r="J595" i="2"/>
  <c r="M594" i="2"/>
  <c r="J594" i="2"/>
  <c r="M593" i="2"/>
  <c r="J593" i="2"/>
  <c r="M592" i="2"/>
  <c r="J592" i="2"/>
  <c r="M591" i="2"/>
  <c r="J591" i="2"/>
  <c r="M590" i="2"/>
  <c r="J590" i="2"/>
  <c r="M589" i="2"/>
  <c r="J589" i="2"/>
  <c r="M588" i="2"/>
  <c r="J588" i="2"/>
  <c r="M587" i="2"/>
  <c r="J587" i="2"/>
  <c r="M586" i="2"/>
  <c r="J586" i="2"/>
  <c r="J585" i="2"/>
  <c r="H585" i="2"/>
  <c r="M585" i="2" s="1"/>
  <c r="M584" i="2"/>
  <c r="J584" i="2"/>
  <c r="J583" i="2"/>
  <c r="H583" i="2"/>
  <c r="M583" i="2" s="1"/>
  <c r="M582" i="2"/>
  <c r="J582" i="2"/>
  <c r="J581" i="2"/>
  <c r="H581" i="2"/>
  <c r="M581" i="2" s="1"/>
  <c r="M580" i="2"/>
  <c r="J580" i="2"/>
  <c r="M579" i="2"/>
  <c r="J579" i="2"/>
  <c r="M578" i="2"/>
  <c r="J578" i="2"/>
  <c r="I578" i="2"/>
  <c r="J577" i="2"/>
  <c r="H577" i="2"/>
  <c r="M577" i="2" s="1"/>
  <c r="M576" i="2"/>
  <c r="J576" i="2"/>
  <c r="M575" i="2"/>
  <c r="J575" i="2"/>
  <c r="J574" i="2"/>
  <c r="H574" i="2"/>
  <c r="M574" i="2" s="1"/>
  <c r="J573" i="2"/>
  <c r="H573" i="2"/>
  <c r="M573" i="2" s="1"/>
  <c r="J572" i="2"/>
  <c r="H572" i="2"/>
  <c r="M572" i="2" s="1"/>
  <c r="M571" i="2"/>
  <c r="J571" i="2"/>
  <c r="M570" i="2"/>
  <c r="J570" i="2"/>
  <c r="J569" i="2"/>
  <c r="H569" i="2"/>
  <c r="M569" i="2" s="1"/>
  <c r="J568" i="2"/>
  <c r="H568" i="2"/>
  <c r="M568" i="2" s="1"/>
  <c r="M567" i="2"/>
  <c r="J567" i="2"/>
  <c r="J566" i="2"/>
  <c r="H566" i="2"/>
  <c r="M566" i="2" s="1"/>
  <c r="M565" i="2"/>
  <c r="J565" i="2"/>
  <c r="M564" i="2"/>
  <c r="J564" i="2"/>
  <c r="M563" i="2"/>
  <c r="J563" i="2"/>
  <c r="J562" i="2"/>
  <c r="H562" i="2"/>
  <c r="M562" i="2" s="1"/>
  <c r="M561" i="2"/>
  <c r="J561" i="2"/>
  <c r="J560" i="2"/>
  <c r="H560" i="2"/>
  <c r="M560" i="2" s="1"/>
  <c r="J559" i="2"/>
  <c r="H559" i="2"/>
  <c r="M559" i="2" s="1"/>
  <c r="J558" i="2"/>
  <c r="H558" i="2"/>
  <c r="M558" i="2" s="1"/>
  <c r="M557" i="2"/>
  <c r="J557" i="2"/>
  <c r="M556" i="2"/>
  <c r="J556" i="2"/>
  <c r="M555" i="2"/>
  <c r="J555" i="2"/>
  <c r="J554" i="2"/>
  <c r="H554" i="2"/>
  <c r="M554" i="2" s="1"/>
  <c r="M553" i="2"/>
  <c r="J553" i="2"/>
  <c r="M552" i="2"/>
  <c r="J552" i="2"/>
  <c r="J551" i="2"/>
  <c r="H551" i="2"/>
  <c r="M551" i="2" s="1"/>
  <c r="J550" i="2"/>
  <c r="H550" i="2"/>
  <c r="M550" i="2" s="1"/>
  <c r="M549" i="2"/>
  <c r="J549" i="2"/>
  <c r="J548" i="2"/>
  <c r="H548" i="2"/>
  <c r="M548" i="2" s="1"/>
  <c r="M547" i="2"/>
  <c r="J547" i="2"/>
  <c r="M546" i="2"/>
  <c r="J546" i="2"/>
  <c r="J545" i="2"/>
  <c r="H545" i="2"/>
  <c r="M545" i="2" s="1"/>
  <c r="M544" i="2"/>
  <c r="J544" i="2"/>
  <c r="M543" i="2"/>
  <c r="J543" i="2"/>
  <c r="J542" i="2"/>
  <c r="H542" i="2"/>
  <c r="M542" i="2" s="1"/>
  <c r="M541" i="2"/>
  <c r="J541" i="2"/>
  <c r="M540" i="2"/>
  <c r="J540" i="2"/>
  <c r="J539" i="2"/>
  <c r="H539" i="2"/>
  <c r="M539" i="2" s="1"/>
  <c r="M538" i="2"/>
  <c r="J538" i="2"/>
  <c r="J537" i="2"/>
  <c r="H537" i="2"/>
  <c r="M537" i="2" s="1"/>
  <c r="M536" i="2"/>
  <c r="J536" i="2"/>
  <c r="M535" i="2"/>
  <c r="J535" i="2"/>
  <c r="M534" i="2"/>
  <c r="J534" i="2"/>
  <c r="M533" i="2"/>
  <c r="J533" i="2"/>
  <c r="M532" i="2"/>
  <c r="J532" i="2"/>
  <c r="M531" i="2"/>
  <c r="J531" i="2"/>
  <c r="M530" i="2"/>
  <c r="J530" i="2"/>
  <c r="M529" i="2"/>
  <c r="J529" i="2"/>
  <c r="M528" i="2"/>
  <c r="J528" i="2"/>
  <c r="M527" i="2"/>
  <c r="J527" i="2"/>
  <c r="M526" i="2"/>
  <c r="J526" i="2"/>
  <c r="M525" i="2"/>
  <c r="J525" i="2"/>
  <c r="M524" i="2"/>
  <c r="J524" i="2"/>
  <c r="M523" i="2"/>
  <c r="J523" i="2"/>
  <c r="M522" i="2"/>
  <c r="J522" i="2"/>
  <c r="M521" i="2"/>
  <c r="J521" i="2"/>
  <c r="M520" i="2"/>
  <c r="J520" i="2"/>
  <c r="M519" i="2"/>
  <c r="J519" i="2"/>
  <c r="J518" i="2"/>
  <c r="H518" i="2"/>
  <c r="M518" i="2" s="1"/>
  <c r="J517" i="2"/>
  <c r="H517" i="2"/>
  <c r="M517" i="2" s="1"/>
  <c r="M516" i="2"/>
  <c r="J516" i="2"/>
  <c r="M515" i="2"/>
  <c r="J515" i="2"/>
  <c r="M514" i="2"/>
  <c r="J514" i="2"/>
  <c r="M513" i="2"/>
  <c r="J513" i="2"/>
  <c r="M512" i="2"/>
  <c r="J512" i="2"/>
  <c r="M511" i="2"/>
  <c r="J511" i="2"/>
  <c r="J510" i="2"/>
  <c r="H510" i="2"/>
  <c r="M510" i="2" s="1"/>
  <c r="M509" i="2"/>
  <c r="J509" i="2"/>
  <c r="M508" i="2"/>
  <c r="J508" i="2"/>
  <c r="J507" i="2"/>
  <c r="H507" i="2"/>
  <c r="M507" i="2" s="1"/>
  <c r="M506" i="2"/>
  <c r="J506" i="2"/>
  <c r="M505" i="2"/>
  <c r="J505" i="2"/>
  <c r="M504" i="2"/>
  <c r="J504" i="2"/>
  <c r="M503" i="2"/>
  <c r="J503" i="2"/>
  <c r="M502" i="2"/>
  <c r="J502" i="2"/>
  <c r="J501" i="2"/>
  <c r="H501" i="2"/>
  <c r="M501" i="2" s="1"/>
  <c r="M500" i="2"/>
  <c r="J500" i="2"/>
  <c r="M499" i="2"/>
  <c r="J499" i="2"/>
  <c r="M498" i="2"/>
  <c r="J498" i="2"/>
  <c r="M497" i="2"/>
  <c r="J497" i="2"/>
  <c r="J496" i="2"/>
  <c r="H496" i="2"/>
  <c r="M496" i="2" s="1"/>
  <c r="J495" i="2"/>
  <c r="H495" i="2"/>
  <c r="M495" i="2" s="1"/>
  <c r="M494" i="2"/>
  <c r="J494" i="2"/>
  <c r="J493" i="2"/>
  <c r="H493" i="2"/>
  <c r="M493" i="2" s="1"/>
  <c r="M492" i="2"/>
  <c r="J492" i="2"/>
  <c r="M491" i="2"/>
  <c r="J491" i="2"/>
  <c r="M490" i="2"/>
  <c r="J490" i="2"/>
  <c r="M489" i="2"/>
  <c r="J489" i="2"/>
  <c r="M488" i="2"/>
  <c r="J488" i="2"/>
  <c r="J487" i="2"/>
  <c r="H487" i="2"/>
  <c r="M487" i="2" s="1"/>
  <c r="M486" i="2"/>
  <c r="J486" i="2"/>
  <c r="M485" i="2"/>
  <c r="J485" i="2"/>
  <c r="J484" i="2"/>
  <c r="H484" i="2"/>
  <c r="M484" i="2" s="1"/>
  <c r="M483" i="2"/>
  <c r="J483" i="2"/>
  <c r="M482" i="2"/>
  <c r="J482" i="2"/>
  <c r="H482" i="2"/>
  <c r="M481" i="2"/>
  <c r="J481" i="2"/>
  <c r="M480" i="2"/>
  <c r="J480" i="2"/>
  <c r="J479" i="2"/>
  <c r="H479" i="2"/>
  <c r="M479" i="2" s="1"/>
  <c r="J478" i="2"/>
  <c r="H478" i="2"/>
  <c r="M478" i="2" s="1"/>
  <c r="M477" i="2"/>
  <c r="J477" i="2"/>
  <c r="J476" i="2"/>
  <c r="H476" i="2"/>
  <c r="M476" i="2" s="1"/>
  <c r="M475" i="2"/>
  <c r="J475" i="2"/>
  <c r="M474" i="2"/>
  <c r="J474" i="2"/>
  <c r="M473" i="2"/>
  <c r="J473" i="2"/>
  <c r="M472" i="2"/>
  <c r="J472" i="2"/>
  <c r="J471" i="2"/>
  <c r="H471" i="2"/>
  <c r="M471" i="2" s="1"/>
  <c r="M470" i="2"/>
  <c r="J470" i="2"/>
  <c r="M469" i="2"/>
  <c r="J469" i="2"/>
  <c r="M468" i="2"/>
  <c r="J468" i="2"/>
  <c r="M467" i="2"/>
  <c r="J467" i="2"/>
  <c r="I467" i="2"/>
  <c r="J466" i="2"/>
  <c r="H466" i="2"/>
  <c r="M466" i="2" s="1"/>
  <c r="M465" i="2"/>
  <c r="J465" i="2"/>
  <c r="M464" i="2"/>
  <c r="J464" i="2"/>
  <c r="M463" i="2"/>
  <c r="J463" i="2"/>
  <c r="M462" i="2"/>
  <c r="J462" i="2"/>
  <c r="M461" i="2"/>
  <c r="J461" i="2"/>
  <c r="M460" i="2"/>
  <c r="J460" i="2"/>
  <c r="M459" i="2"/>
  <c r="J459" i="2"/>
  <c r="M458" i="2"/>
  <c r="J458" i="2"/>
  <c r="M457" i="2"/>
  <c r="J457" i="2"/>
  <c r="H457" i="2"/>
  <c r="M456" i="2"/>
  <c r="J456" i="2"/>
  <c r="M455" i="2"/>
  <c r="J455" i="2"/>
  <c r="M454" i="2"/>
  <c r="J454" i="2"/>
  <c r="M453" i="2"/>
  <c r="J453" i="2"/>
  <c r="M452" i="2"/>
  <c r="J452" i="2"/>
  <c r="J451" i="2"/>
  <c r="H451" i="2"/>
  <c r="M451" i="2" s="1"/>
  <c r="M450" i="2"/>
  <c r="J450" i="2"/>
  <c r="M449" i="2"/>
  <c r="J449" i="2"/>
  <c r="M448" i="2"/>
  <c r="J448" i="2"/>
  <c r="J447" i="2"/>
  <c r="H447" i="2"/>
  <c r="M447" i="2" s="1"/>
  <c r="M446" i="2"/>
  <c r="J446" i="2"/>
  <c r="M445" i="2"/>
  <c r="J445" i="2"/>
  <c r="M444" i="2"/>
  <c r="J444" i="2"/>
  <c r="J443" i="2"/>
  <c r="H443" i="2"/>
  <c r="M443" i="2" s="1"/>
  <c r="M442" i="2"/>
  <c r="J442" i="2"/>
  <c r="M441" i="2"/>
  <c r="J441" i="2"/>
  <c r="J440" i="2"/>
  <c r="H440" i="2"/>
  <c r="M440" i="2" s="1"/>
  <c r="J439" i="2"/>
  <c r="H439" i="2"/>
  <c r="M439" i="2" s="1"/>
  <c r="M438" i="2"/>
  <c r="J438" i="2"/>
  <c r="M437" i="2"/>
  <c r="J437" i="2"/>
  <c r="M436" i="2"/>
  <c r="J436" i="2"/>
  <c r="M435" i="2"/>
  <c r="J435" i="2"/>
  <c r="M434" i="2"/>
  <c r="J434" i="2"/>
  <c r="M433" i="2"/>
  <c r="J433" i="2"/>
  <c r="M432" i="2"/>
  <c r="J432" i="2"/>
  <c r="J431" i="2"/>
  <c r="H431" i="2"/>
  <c r="M431" i="2" s="1"/>
  <c r="M430" i="2"/>
  <c r="J430" i="2"/>
  <c r="M429" i="2"/>
  <c r="J429" i="2"/>
  <c r="J428" i="2"/>
  <c r="H428" i="2"/>
  <c r="M428" i="2" s="1"/>
  <c r="H427" i="2"/>
  <c r="M427" i="2" s="1"/>
  <c r="M426" i="2"/>
  <c r="J426" i="2"/>
  <c r="M425" i="2"/>
  <c r="J425" i="2"/>
  <c r="M424" i="2"/>
  <c r="J424" i="2"/>
  <c r="M423" i="2"/>
  <c r="J423" i="2"/>
  <c r="M422" i="2"/>
  <c r="J422" i="2"/>
  <c r="J421" i="2"/>
  <c r="H421" i="2"/>
  <c r="M421" i="2" s="1"/>
  <c r="J420" i="2"/>
  <c r="H420" i="2"/>
  <c r="M420" i="2" s="1"/>
  <c r="M419" i="2"/>
  <c r="J419" i="2"/>
  <c r="M418" i="2"/>
  <c r="J418" i="2"/>
  <c r="J417" i="2"/>
  <c r="H417" i="2"/>
  <c r="M417" i="2" s="1"/>
  <c r="J416" i="2"/>
  <c r="H416" i="2"/>
  <c r="M416" i="2" s="1"/>
  <c r="J415" i="2"/>
  <c r="H415" i="2"/>
  <c r="M415" i="2" s="1"/>
  <c r="J414" i="2"/>
  <c r="I414" i="2"/>
  <c r="H414" i="2"/>
  <c r="M414" i="2" s="1"/>
  <c r="M413" i="2"/>
  <c r="J413" i="2"/>
  <c r="L412" i="2"/>
  <c r="M412" i="2" s="1"/>
  <c r="J412" i="2"/>
  <c r="J411" i="2"/>
  <c r="H411" i="2"/>
  <c r="M411" i="2" s="1"/>
  <c r="M410" i="2"/>
  <c r="J410" i="2"/>
  <c r="M409" i="2"/>
  <c r="J409" i="2"/>
  <c r="L408" i="2"/>
  <c r="M408" i="2" s="1"/>
  <c r="J408" i="2"/>
  <c r="M407" i="2"/>
  <c r="J407" i="2"/>
  <c r="M406" i="2"/>
  <c r="J406" i="2"/>
  <c r="M405" i="2"/>
  <c r="J405" i="2"/>
  <c r="M404" i="2"/>
  <c r="J404" i="2"/>
  <c r="M403" i="2"/>
  <c r="J403" i="2"/>
  <c r="M402" i="2"/>
  <c r="J402" i="2"/>
  <c r="J401" i="2"/>
  <c r="H401" i="2"/>
  <c r="M401" i="2" s="1"/>
  <c r="M400" i="2"/>
  <c r="J400" i="2"/>
  <c r="M399" i="2"/>
  <c r="J399" i="2"/>
  <c r="J398" i="2"/>
  <c r="H398" i="2"/>
  <c r="M398" i="2" s="1"/>
  <c r="M397" i="2"/>
  <c r="J397" i="2"/>
  <c r="M396" i="2"/>
  <c r="J396" i="2"/>
  <c r="J395" i="2"/>
  <c r="H395" i="2"/>
  <c r="M395" i="2" s="1"/>
  <c r="M394" i="2"/>
  <c r="J394" i="2"/>
  <c r="H394" i="2"/>
  <c r="M393" i="2"/>
  <c r="J393" i="2"/>
  <c r="M392" i="2"/>
  <c r="J392" i="2"/>
  <c r="M391" i="2"/>
  <c r="J391" i="2"/>
  <c r="M390" i="2"/>
  <c r="J390" i="2"/>
  <c r="I390" i="2"/>
  <c r="M389" i="2"/>
  <c r="J389" i="2"/>
  <c r="H389" i="2"/>
  <c r="M388" i="2"/>
  <c r="J388" i="2"/>
  <c r="M387" i="2"/>
  <c r="J387" i="2"/>
  <c r="M386" i="2"/>
  <c r="J386" i="2"/>
  <c r="M385" i="2"/>
  <c r="J385" i="2"/>
  <c r="M384" i="2"/>
  <c r="J384" i="2"/>
  <c r="M383" i="2"/>
  <c r="J383" i="2"/>
  <c r="M382" i="2"/>
  <c r="J382" i="2"/>
  <c r="J381" i="2"/>
  <c r="H381" i="2"/>
  <c r="M381" i="2" s="1"/>
  <c r="M380" i="2"/>
  <c r="J380" i="2"/>
  <c r="L379" i="2"/>
  <c r="J379" i="2"/>
  <c r="H379" i="2"/>
  <c r="M378" i="2"/>
  <c r="J378" i="2"/>
  <c r="M377" i="2"/>
  <c r="J377" i="2"/>
  <c r="J376" i="2"/>
  <c r="H376" i="2"/>
  <c r="M376" i="2" s="1"/>
  <c r="M375" i="2"/>
  <c r="J375" i="2"/>
  <c r="M374" i="2"/>
  <c r="J374" i="2"/>
  <c r="M373" i="2"/>
  <c r="J373" i="2"/>
  <c r="M372" i="2"/>
  <c r="J372" i="2"/>
  <c r="J371" i="2"/>
  <c r="H371" i="2"/>
  <c r="M371" i="2" s="1"/>
  <c r="M370" i="2"/>
  <c r="J370" i="2"/>
  <c r="M369" i="2"/>
  <c r="J369" i="2"/>
  <c r="M368" i="2"/>
  <c r="J368" i="2"/>
  <c r="H368" i="2"/>
  <c r="M367" i="2"/>
  <c r="J367" i="2"/>
  <c r="J366" i="2"/>
  <c r="H366" i="2"/>
  <c r="M366" i="2" s="1"/>
  <c r="M365" i="2"/>
  <c r="J365" i="2"/>
  <c r="H365" i="2"/>
  <c r="M364" i="2"/>
  <c r="J364" i="2"/>
  <c r="M363" i="2"/>
  <c r="J363" i="2"/>
  <c r="M362" i="2"/>
  <c r="J362" i="2"/>
  <c r="M361" i="2"/>
  <c r="J361" i="2"/>
  <c r="J360" i="2"/>
  <c r="H360" i="2"/>
  <c r="M360" i="2" s="1"/>
  <c r="J359" i="2"/>
  <c r="H359" i="2"/>
  <c r="M359" i="2" s="1"/>
  <c r="J358" i="2"/>
  <c r="H358" i="2"/>
  <c r="M358" i="2" s="1"/>
  <c r="M357" i="2"/>
  <c r="J357" i="2"/>
  <c r="M356" i="2"/>
  <c r="J356" i="2"/>
  <c r="M355" i="2"/>
  <c r="J355" i="2"/>
  <c r="J354" i="2"/>
  <c r="H354" i="2"/>
  <c r="M354" i="2" s="1"/>
  <c r="M353" i="2"/>
  <c r="J353" i="2"/>
  <c r="M352" i="2"/>
  <c r="J352" i="2"/>
  <c r="J351" i="2"/>
  <c r="H351" i="2"/>
  <c r="M351" i="2" s="1"/>
  <c r="M350" i="2"/>
  <c r="J350" i="2"/>
  <c r="L349" i="2"/>
  <c r="M349" i="2" s="1"/>
  <c r="J349" i="2"/>
  <c r="M348" i="2"/>
  <c r="J348" i="2"/>
  <c r="M347" i="2"/>
  <c r="J347" i="2"/>
  <c r="L346" i="2"/>
  <c r="M346" i="2" s="1"/>
  <c r="J346" i="2"/>
  <c r="M345" i="2"/>
  <c r="J345" i="2"/>
  <c r="M344" i="2"/>
  <c r="J344" i="2"/>
  <c r="J343" i="2"/>
  <c r="H343" i="2"/>
  <c r="M343" i="2" s="1"/>
  <c r="M342" i="2"/>
  <c r="J342" i="2"/>
  <c r="M341" i="2"/>
  <c r="J341" i="2"/>
  <c r="M340" i="2"/>
  <c r="J340" i="2"/>
  <c r="M339" i="2"/>
  <c r="J339" i="2"/>
  <c r="M338" i="2"/>
  <c r="J338" i="2"/>
  <c r="L337" i="2"/>
  <c r="J337" i="2"/>
  <c r="H337" i="2"/>
  <c r="J336" i="2"/>
  <c r="H336" i="2"/>
  <c r="M336" i="2" s="1"/>
  <c r="M335" i="2"/>
  <c r="J335" i="2"/>
  <c r="M334" i="2"/>
  <c r="J334" i="2"/>
  <c r="J333" i="2"/>
  <c r="H333" i="2"/>
  <c r="M333" i="2" s="1"/>
  <c r="J332" i="2"/>
  <c r="H332" i="2"/>
  <c r="M332" i="2" s="1"/>
  <c r="M331" i="2"/>
  <c r="J331" i="2"/>
  <c r="M330" i="2"/>
  <c r="J330" i="2"/>
  <c r="J329" i="2"/>
  <c r="H329" i="2"/>
  <c r="M329" i="2" s="1"/>
  <c r="J328" i="2"/>
  <c r="H328" i="2"/>
  <c r="M328" i="2" s="1"/>
  <c r="M327" i="2"/>
  <c r="J327" i="2"/>
  <c r="J326" i="2"/>
  <c r="H326" i="2"/>
  <c r="M326" i="2" s="1"/>
  <c r="M325" i="2"/>
  <c r="J325" i="2"/>
  <c r="J324" i="2"/>
  <c r="H324" i="2"/>
  <c r="M324" i="2" s="1"/>
  <c r="J323" i="2"/>
  <c r="H323" i="2"/>
  <c r="M323" i="2" s="1"/>
  <c r="M322" i="2"/>
  <c r="J322" i="2"/>
  <c r="M321" i="2"/>
  <c r="J321" i="2"/>
  <c r="M320" i="2"/>
  <c r="J320" i="2"/>
  <c r="M319" i="2"/>
  <c r="J319" i="2"/>
  <c r="J318" i="2"/>
  <c r="H318" i="2"/>
  <c r="M318" i="2" s="1"/>
  <c r="M317" i="2"/>
  <c r="J317" i="2"/>
  <c r="J316" i="2"/>
  <c r="H316" i="2"/>
  <c r="M316" i="2" s="1"/>
  <c r="J315" i="2"/>
  <c r="H315" i="2"/>
  <c r="M315" i="2" s="1"/>
  <c r="M314" i="2"/>
  <c r="J314" i="2"/>
  <c r="M313" i="2"/>
  <c r="J313" i="2"/>
  <c r="M312" i="2"/>
  <c r="J312" i="2"/>
  <c r="J311" i="2"/>
  <c r="H311" i="2"/>
  <c r="M311" i="2" s="1"/>
  <c r="J310" i="2"/>
  <c r="H310" i="2"/>
  <c r="M310" i="2" s="1"/>
  <c r="M309" i="2"/>
  <c r="J309" i="2"/>
  <c r="M308" i="2"/>
  <c r="J308" i="2"/>
  <c r="M307" i="2"/>
  <c r="J307" i="2"/>
  <c r="J306" i="2"/>
  <c r="H306" i="2"/>
  <c r="M306" i="2" s="1"/>
  <c r="J305" i="2"/>
  <c r="H305" i="2"/>
  <c r="M305" i="2" s="1"/>
  <c r="M304" i="2"/>
  <c r="J304" i="2"/>
  <c r="M303" i="2"/>
  <c r="J303" i="2"/>
  <c r="M302" i="2"/>
  <c r="J302" i="2"/>
  <c r="M301" i="2"/>
  <c r="J301" i="2"/>
  <c r="M300" i="2"/>
  <c r="J300" i="2"/>
  <c r="J299" i="2"/>
  <c r="H299" i="2"/>
  <c r="M299" i="2" s="1"/>
  <c r="J298" i="2"/>
  <c r="H298" i="2"/>
  <c r="M298" i="2" s="1"/>
  <c r="M297" i="2"/>
  <c r="J297" i="2"/>
  <c r="M296" i="2"/>
  <c r="J296" i="2"/>
  <c r="M295" i="2"/>
  <c r="J295" i="2"/>
  <c r="M294" i="2"/>
  <c r="J294" i="2"/>
  <c r="M293" i="2"/>
  <c r="J293" i="2"/>
  <c r="J292" i="2"/>
  <c r="H292" i="2"/>
  <c r="M292" i="2" s="1"/>
  <c r="J291" i="2"/>
  <c r="H291" i="2"/>
  <c r="M291" i="2" s="1"/>
  <c r="M290" i="2"/>
  <c r="J290" i="2"/>
  <c r="M289" i="2"/>
  <c r="J289" i="2"/>
  <c r="M288" i="2"/>
  <c r="J288" i="2"/>
  <c r="H288" i="2"/>
  <c r="J287" i="2"/>
  <c r="H287" i="2"/>
  <c r="M287" i="2" s="1"/>
  <c r="M286" i="2"/>
  <c r="J286" i="2"/>
  <c r="M285" i="2"/>
  <c r="J285" i="2"/>
  <c r="J284" i="2"/>
  <c r="H284" i="2"/>
  <c r="M284" i="2" s="1"/>
  <c r="J283" i="2"/>
  <c r="H283" i="2"/>
  <c r="M283" i="2" s="1"/>
  <c r="M282" i="2"/>
  <c r="J282" i="2"/>
  <c r="M281" i="2"/>
  <c r="J281" i="2"/>
  <c r="L280" i="2"/>
  <c r="M280" i="2" s="1"/>
  <c r="J280" i="2"/>
  <c r="M279" i="2"/>
  <c r="J279" i="2"/>
  <c r="J278" i="2"/>
  <c r="H278" i="2"/>
  <c r="M278" i="2" s="1"/>
  <c r="M277" i="2"/>
  <c r="J277" i="2"/>
  <c r="M276" i="2"/>
  <c r="J276" i="2"/>
  <c r="M275" i="2"/>
  <c r="J275" i="2"/>
  <c r="M274" i="2"/>
  <c r="J274" i="2"/>
  <c r="M273" i="2"/>
  <c r="J273" i="2"/>
  <c r="J272" i="2"/>
  <c r="H272" i="2"/>
  <c r="M272" i="2" s="1"/>
  <c r="M271" i="2"/>
  <c r="J271" i="2"/>
  <c r="M270" i="2"/>
  <c r="J270" i="2"/>
  <c r="M269" i="2"/>
  <c r="J269" i="2"/>
  <c r="M268" i="2"/>
  <c r="J268" i="2"/>
  <c r="M267" i="2"/>
  <c r="J267" i="2"/>
  <c r="M266" i="2"/>
  <c r="J266" i="2"/>
  <c r="M265" i="2"/>
  <c r="J265" i="2"/>
  <c r="M264" i="2"/>
  <c r="J264" i="2"/>
  <c r="M263" i="2"/>
  <c r="J263" i="2"/>
  <c r="M262" i="2"/>
  <c r="J262" i="2"/>
  <c r="M261" i="2"/>
  <c r="J261" i="2"/>
  <c r="J260" i="2"/>
  <c r="H260" i="2"/>
  <c r="M260" i="2" s="1"/>
  <c r="J259" i="2"/>
  <c r="H259" i="2"/>
  <c r="M259" i="2" s="1"/>
  <c r="J258" i="2"/>
  <c r="H258" i="2"/>
  <c r="M258" i="2" s="1"/>
  <c r="M257" i="2"/>
  <c r="J257" i="2"/>
  <c r="J256" i="2"/>
  <c r="H256" i="2"/>
  <c r="M256" i="2" s="1"/>
  <c r="M255" i="2"/>
  <c r="J255" i="2"/>
  <c r="M254" i="2"/>
  <c r="J254" i="2"/>
  <c r="I254" i="2"/>
  <c r="M253" i="2"/>
  <c r="J253" i="2"/>
  <c r="J252" i="2"/>
  <c r="H252" i="2"/>
  <c r="M252" i="2" s="1"/>
  <c r="J251" i="2"/>
  <c r="H251" i="2"/>
  <c r="M251" i="2" s="1"/>
  <c r="M250" i="2"/>
  <c r="J250" i="2"/>
  <c r="M249" i="2"/>
  <c r="J249" i="2"/>
  <c r="J248" i="2"/>
  <c r="H248" i="2"/>
  <c r="M248" i="2" s="1"/>
  <c r="M247" i="2"/>
  <c r="J247" i="2"/>
  <c r="J246" i="2"/>
  <c r="H246" i="2"/>
  <c r="M246" i="2" s="1"/>
  <c r="J245" i="2"/>
  <c r="H245" i="2"/>
  <c r="M245" i="2" s="1"/>
  <c r="J244" i="2"/>
  <c r="H244" i="2"/>
  <c r="M244" i="2" s="1"/>
  <c r="M243" i="2"/>
  <c r="J243" i="2"/>
  <c r="J242" i="2"/>
  <c r="H242" i="2"/>
  <c r="M242" i="2" s="1"/>
  <c r="M241" i="2"/>
  <c r="J241" i="2"/>
  <c r="M240" i="2"/>
  <c r="J240" i="2"/>
  <c r="M239" i="2"/>
  <c r="J239" i="2"/>
  <c r="M238" i="2"/>
  <c r="J238" i="2"/>
  <c r="I238" i="2"/>
  <c r="J237" i="2"/>
  <c r="H237" i="2"/>
  <c r="M237" i="2" s="1"/>
  <c r="M236" i="2"/>
  <c r="J236" i="2"/>
  <c r="M235" i="2"/>
  <c r="J235" i="2"/>
  <c r="I235" i="2"/>
  <c r="J234" i="2"/>
  <c r="H234" i="2"/>
  <c r="M234" i="2" s="1"/>
  <c r="J233" i="2"/>
  <c r="H233" i="2"/>
  <c r="M233" i="2" s="1"/>
  <c r="M232" i="2"/>
  <c r="J232" i="2"/>
  <c r="M231" i="2"/>
  <c r="J231" i="2"/>
  <c r="J230" i="2"/>
  <c r="H230" i="2"/>
  <c r="M230" i="2" s="1"/>
  <c r="J229" i="2"/>
  <c r="H229" i="2"/>
  <c r="M229" i="2" s="1"/>
  <c r="M228" i="2"/>
  <c r="J228" i="2"/>
  <c r="M227" i="2"/>
  <c r="J227" i="2"/>
  <c r="J226" i="2"/>
  <c r="H226" i="2"/>
  <c r="M226" i="2" s="1"/>
  <c r="M225" i="2"/>
  <c r="J225" i="2"/>
  <c r="M224" i="2"/>
  <c r="J224" i="2"/>
  <c r="J223" i="2"/>
  <c r="H223" i="2"/>
  <c r="M223" i="2" s="1"/>
  <c r="M222" i="2"/>
  <c r="J222" i="2"/>
  <c r="L221" i="2"/>
  <c r="M221" i="2" s="1"/>
  <c r="J221" i="2"/>
  <c r="M220" i="2"/>
  <c r="J220" i="2"/>
  <c r="M219" i="2"/>
  <c r="J219" i="2"/>
  <c r="M218" i="2"/>
  <c r="J218" i="2"/>
  <c r="M217" i="2"/>
  <c r="J217" i="2"/>
  <c r="J216" i="2"/>
  <c r="H216" i="2"/>
  <c r="M216" i="2" s="1"/>
  <c r="M215" i="2"/>
  <c r="J215" i="2"/>
  <c r="M214" i="2"/>
  <c r="J214" i="2"/>
  <c r="M213" i="2"/>
  <c r="J213" i="2"/>
  <c r="J212" i="2"/>
  <c r="H212" i="2"/>
  <c r="M212" i="2" s="1"/>
  <c r="J211" i="2"/>
  <c r="H211" i="2"/>
  <c r="M211" i="2" s="1"/>
  <c r="M210" i="2"/>
  <c r="J210" i="2"/>
  <c r="M209" i="2"/>
  <c r="J209" i="2"/>
  <c r="J208" i="2"/>
  <c r="H208" i="2"/>
  <c r="M208" i="2" s="1"/>
  <c r="M207" i="2"/>
  <c r="J207" i="2"/>
  <c r="J206" i="2"/>
  <c r="H206" i="2"/>
  <c r="M206" i="2" s="1"/>
  <c r="J205" i="2"/>
  <c r="H205" i="2"/>
  <c r="M205" i="2" s="1"/>
  <c r="J204" i="2"/>
  <c r="H204" i="2"/>
  <c r="M204" i="2" s="1"/>
  <c r="M203" i="2"/>
  <c r="J203" i="2"/>
  <c r="M202" i="2"/>
  <c r="J202" i="2"/>
  <c r="M201" i="2"/>
  <c r="J201" i="2"/>
  <c r="M200" i="2"/>
  <c r="J200" i="2"/>
  <c r="J199" i="2"/>
  <c r="H199" i="2"/>
  <c r="M199" i="2" s="1"/>
  <c r="M198" i="2"/>
  <c r="J198" i="2"/>
  <c r="J197" i="2"/>
  <c r="H197" i="2"/>
  <c r="M197" i="2" s="1"/>
  <c r="L196" i="2"/>
  <c r="J196" i="2"/>
  <c r="H196" i="2"/>
  <c r="M195" i="2"/>
  <c r="J195" i="2"/>
  <c r="M194" i="2"/>
  <c r="J194" i="2"/>
  <c r="M193" i="2"/>
  <c r="J193" i="2"/>
  <c r="M192" i="2"/>
  <c r="J192" i="2"/>
  <c r="M191" i="2"/>
  <c r="J191" i="2"/>
  <c r="M190" i="2"/>
  <c r="J190" i="2"/>
  <c r="M189" i="2"/>
  <c r="J189" i="2"/>
  <c r="M188" i="2"/>
  <c r="J188" i="2"/>
  <c r="J187" i="2"/>
  <c r="H187" i="2"/>
  <c r="M187" i="2" s="1"/>
  <c r="M186" i="2"/>
  <c r="J186" i="2"/>
  <c r="M185" i="2"/>
  <c r="J185" i="2"/>
  <c r="M184" i="2"/>
  <c r="J184" i="2"/>
  <c r="J183" i="2"/>
  <c r="H183" i="2"/>
  <c r="M183" i="2" s="1"/>
  <c r="M182" i="2"/>
  <c r="J182" i="2"/>
  <c r="M181" i="2"/>
  <c r="J181" i="2"/>
  <c r="M180" i="2"/>
  <c r="J180" i="2"/>
  <c r="M179" i="2"/>
  <c r="J179" i="2"/>
  <c r="M178" i="2"/>
  <c r="J178" i="2"/>
  <c r="M177" i="2"/>
  <c r="J177" i="2"/>
  <c r="M176" i="2"/>
  <c r="J176" i="2"/>
  <c r="M175" i="2"/>
  <c r="J175" i="2"/>
  <c r="M174" i="2"/>
  <c r="J174" i="2"/>
  <c r="M173" i="2"/>
  <c r="J173" i="2"/>
  <c r="H173" i="2"/>
  <c r="J172" i="2"/>
  <c r="H172" i="2"/>
  <c r="M172" i="2" s="1"/>
  <c r="J171" i="2"/>
  <c r="H171" i="2"/>
  <c r="M171" i="2" s="1"/>
  <c r="J170" i="2"/>
  <c r="H170" i="2"/>
  <c r="M170" i="2" s="1"/>
  <c r="M169" i="2"/>
  <c r="J169" i="2"/>
  <c r="L168" i="2"/>
  <c r="J168" i="2"/>
  <c r="H168" i="2"/>
  <c r="M167" i="2"/>
  <c r="J167" i="2"/>
  <c r="M166" i="2"/>
  <c r="J166" i="2"/>
  <c r="J165" i="2"/>
  <c r="H165" i="2"/>
  <c r="M165" i="2" s="1"/>
  <c r="M164" i="2"/>
  <c r="J164" i="2"/>
  <c r="M163" i="2"/>
  <c r="J163" i="2"/>
  <c r="M162" i="2"/>
  <c r="J162" i="2"/>
  <c r="J161" i="2"/>
  <c r="H161" i="2"/>
  <c r="M161" i="2" s="1"/>
  <c r="M160" i="2"/>
  <c r="J160" i="2"/>
  <c r="J159" i="2"/>
  <c r="H159" i="2"/>
  <c r="M159" i="2" s="1"/>
  <c r="M158" i="2"/>
  <c r="J158" i="2"/>
  <c r="M157" i="2"/>
  <c r="J157" i="2"/>
  <c r="J156" i="2"/>
  <c r="H156" i="2"/>
  <c r="M156" i="2" s="1"/>
  <c r="M155" i="2"/>
  <c r="J155" i="2"/>
  <c r="M154" i="2"/>
  <c r="J154" i="2"/>
  <c r="M153" i="2"/>
  <c r="J153" i="2"/>
  <c r="M152" i="2"/>
  <c r="J152" i="2"/>
  <c r="J151" i="2"/>
  <c r="H151" i="2"/>
  <c r="M151" i="2" s="1"/>
  <c r="M150" i="2"/>
  <c r="J150" i="2"/>
  <c r="J149" i="2"/>
  <c r="H149" i="2"/>
  <c r="M149" i="2" s="1"/>
  <c r="M148" i="2"/>
  <c r="J148" i="2"/>
  <c r="M147" i="2"/>
  <c r="J147" i="2"/>
  <c r="M146" i="2"/>
  <c r="J146" i="2"/>
  <c r="M145" i="2"/>
  <c r="J145" i="2"/>
  <c r="M144" i="2"/>
  <c r="J144" i="2"/>
  <c r="M143" i="2"/>
  <c r="J143" i="2"/>
  <c r="M142" i="2"/>
  <c r="J142" i="2"/>
  <c r="M141" i="2"/>
  <c r="J141" i="2"/>
  <c r="M140" i="2"/>
  <c r="J140" i="2"/>
  <c r="M139" i="2"/>
  <c r="J139" i="2"/>
  <c r="M138" i="2"/>
  <c r="J138" i="2"/>
  <c r="M137" i="2"/>
  <c r="J137" i="2"/>
  <c r="J136" i="2"/>
  <c r="H136" i="2"/>
  <c r="M136" i="2" s="1"/>
  <c r="M135" i="2"/>
  <c r="J135" i="2"/>
  <c r="M134" i="2"/>
  <c r="J134" i="2"/>
  <c r="M133" i="2"/>
  <c r="J133" i="2"/>
  <c r="M132" i="2"/>
  <c r="J132" i="2"/>
  <c r="M131" i="2"/>
  <c r="J131" i="2"/>
  <c r="M130" i="2"/>
  <c r="J130" i="2"/>
  <c r="J129" i="2"/>
  <c r="H129" i="2"/>
  <c r="M129" i="2" s="1"/>
  <c r="J128" i="2"/>
  <c r="H128" i="2"/>
  <c r="M128" i="2" s="1"/>
  <c r="M127" i="2"/>
  <c r="J127" i="2"/>
  <c r="J126" i="2"/>
  <c r="H126" i="2"/>
  <c r="M126" i="2" s="1"/>
  <c r="J125" i="2"/>
  <c r="H125" i="2"/>
  <c r="M125" i="2" s="1"/>
  <c r="M124" i="2"/>
  <c r="J124" i="2"/>
  <c r="J123" i="2"/>
  <c r="H123" i="2"/>
  <c r="M123" i="2" s="1"/>
  <c r="M122" i="2"/>
  <c r="J122" i="2"/>
  <c r="M121" i="2"/>
  <c r="J121" i="2"/>
  <c r="J120" i="2"/>
  <c r="H120" i="2"/>
  <c r="M120" i="2" s="1"/>
  <c r="M119" i="2"/>
  <c r="J119" i="2"/>
  <c r="J118" i="2"/>
  <c r="H118" i="2"/>
  <c r="M118" i="2" s="1"/>
  <c r="M117" i="2"/>
  <c r="J117" i="2"/>
  <c r="J116" i="2"/>
  <c r="H116" i="2"/>
  <c r="M116" i="2" s="1"/>
  <c r="M115" i="2"/>
  <c r="J115" i="2"/>
  <c r="J114" i="2"/>
  <c r="H114" i="2"/>
  <c r="M114" i="2" s="1"/>
  <c r="M113" i="2"/>
  <c r="J113" i="2"/>
  <c r="J112" i="2"/>
  <c r="H112" i="2"/>
  <c r="M112" i="2" s="1"/>
  <c r="M111" i="2"/>
  <c r="J111" i="2"/>
  <c r="M110" i="2"/>
  <c r="J110" i="2"/>
  <c r="M109" i="2"/>
  <c r="J109" i="2"/>
  <c r="M108" i="2"/>
  <c r="J108" i="2"/>
  <c r="J107" i="2"/>
  <c r="H107" i="2"/>
  <c r="M107" i="2" s="1"/>
  <c r="J106" i="2"/>
  <c r="H106" i="2"/>
  <c r="M106" i="2" s="1"/>
  <c r="M105" i="2"/>
  <c r="J105" i="2"/>
  <c r="M104" i="2"/>
  <c r="J104" i="2"/>
  <c r="M103" i="2"/>
  <c r="J103" i="2"/>
  <c r="M102" i="2"/>
  <c r="J102" i="2"/>
  <c r="M101" i="2"/>
  <c r="J101" i="2"/>
  <c r="M100" i="2"/>
  <c r="J100" i="2"/>
  <c r="M99" i="2"/>
  <c r="J99" i="2"/>
  <c r="M98" i="2"/>
  <c r="J98" i="2"/>
  <c r="J97" i="2"/>
  <c r="H97" i="2"/>
  <c r="M97" i="2" s="1"/>
  <c r="M96" i="2"/>
  <c r="J96" i="2"/>
  <c r="M95" i="2"/>
  <c r="J95" i="2"/>
  <c r="M94" i="2"/>
  <c r="J94" i="2"/>
  <c r="J93" i="2"/>
  <c r="H93" i="2"/>
  <c r="M93" i="2" s="1"/>
  <c r="M92" i="2"/>
  <c r="J92" i="2"/>
  <c r="J91" i="2"/>
  <c r="H91" i="2"/>
  <c r="M91" i="2" s="1"/>
  <c r="M90" i="2"/>
  <c r="J90" i="2"/>
  <c r="M89" i="2"/>
  <c r="J89" i="2"/>
  <c r="M88" i="2"/>
  <c r="J88" i="2"/>
  <c r="J87" i="2"/>
  <c r="H87" i="2"/>
  <c r="M87" i="2" s="1"/>
  <c r="J86" i="2"/>
  <c r="H86" i="2"/>
  <c r="M86" i="2" s="1"/>
  <c r="J85" i="2"/>
  <c r="H85" i="2"/>
  <c r="M85" i="2" s="1"/>
  <c r="J84" i="2"/>
  <c r="H84" i="2"/>
  <c r="M84" i="2" s="1"/>
  <c r="J83" i="2"/>
  <c r="H83" i="2"/>
  <c r="M83" i="2" s="1"/>
  <c r="J82" i="2"/>
  <c r="H82" i="2"/>
  <c r="M82" i="2" s="1"/>
  <c r="M81" i="2"/>
  <c r="J81" i="2"/>
  <c r="M80" i="2"/>
  <c r="J80" i="2"/>
  <c r="J79" i="2"/>
  <c r="H79" i="2"/>
  <c r="M79" i="2" s="1"/>
  <c r="M78" i="2"/>
  <c r="J78" i="2"/>
  <c r="M77" i="2"/>
  <c r="J77" i="2"/>
  <c r="M76" i="2"/>
  <c r="J76" i="2"/>
  <c r="M75" i="2"/>
  <c r="J75" i="2"/>
  <c r="I75" i="2"/>
  <c r="M74" i="2"/>
  <c r="J74" i="2"/>
  <c r="J73" i="2"/>
  <c r="H73" i="2"/>
  <c r="M73" i="2" s="1"/>
  <c r="M72" i="2"/>
  <c r="J72" i="2"/>
  <c r="J71" i="2"/>
  <c r="H71" i="2"/>
  <c r="M71" i="2" s="1"/>
  <c r="M70" i="2"/>
  <c r="J70" i="2"/>
  <c r="J69" i="2"/>
  <c r="H69" i="2"/>
  <c r="M69" i="2" s="1"/>
  <c r="M68" i="2"/>
  <c r="J68" i="2"/>
  <c r="I68" i="2"/>
  <c r="J67" i="2"/>
  <c r="H67" i="2"/>
  <c r="M67" i="2" s="1"/>
  <c r="M66" i="2"/>
  <c r="J66" i="2"/>
  <c r="M65" i="2"/>
  <c r="J65" i="2"/>
  <c r="J64" i="2"/>
  <c r="H64" i="2"/>
  <c r="M64" i="2" s="1"/>
  <c r="J63" i="2"/>
  <c r="H63" i="2"/>
  <c r="M63" i="2" s="1"/>
  <c r="J62" i="2"/>
  <c r="H62" i="2"/>
  <c r="M62" i="2" s="1"/>
  <c r="J61" i="2"/>
  <c r="H61" i="2"/>
  <c r="M61" i="2" s="1"/>
  <c r="M60" i="2"/>
  <c r="J60" i="2"/>
  <c r="M59" i="2"/>
  <c r="J59" i="2"/>
  <c r="M58" i="2"/>
  <c r="J58" i="2"/>
  <c r="M57" i="2"/>
  <c r="J57" i="2"/>
  <c r="M56" i="2"/>
  <c r="J56" i="2"/>
  <c r="J55" i="2"/>
  <c r="H55" i="2"/>
  <c r="M55" i="2" s="1"/>
  <c r="J54" i="2"/>
  <c r="H54" i="2"/>
  <c r="M54" i="2" s="1"/>
  <c r="J53" i="2"/>
  <c r="H53" i="2"/>
  <c r="M53" i="2" s="1"/>
  <c r="J52" i="2"/>
  <c r="H52" i="2"/>
  <c r="M52" i="2" s="1"/>
  <c r="M51" i="2"/>
  <c r="J51" i="2"/>
  <c r="J50" i="2"/>
  <c r="H50" i="2"/>
  <c r="M50" i="2" s="1"/>
  <c r="J49" i="2"/>
  <c r="H49" i="2"/>
  <c r="M49" i="2" s="1"/>
  <c r="M48" i="2"/>
  <c r="J48" i="2"/>
  <c r="M47" i="2"/>
  <c r="J47" i="2"/>
  <c r="M46" i="2"/>
  <c r="J46" i="2"/>
  <c r="M45" i="2"/>
  <c r="J45" i="2"/>
  <c r="M44" i="2"/>
  <c r="J44" i="2"/>
  <c r="M43" i="2"/>
  <c r="J43" i="2"/>
  <c r="M42" i="2"/>
  <c r="J42" i="2"/>
  <c r="M41" i="2"/>
  <c r="J41" i="2"/>
  <c r="M40" i="2"/>
  <c r="J40" i="2"/>
  <c r="M39" i="2"/>
  <c r="J39" i="2"/>
  <c r="H39" i="2"/>
  <c r="M38" i="2"/>
  <c r="J38" i="2"/>
  <c r="J37" i="2"/>
  <c r="H37" i="2"/>
  <c r="M37" i="2" s="1"/>
  <c r="M36" i="2"/>
  <c r="J36" i="2"/>
  <c r="J35" i="2"/>
  <c r="H35" i="2"/>
  <c r="M35" i="2" s="1"/>
  <c r="M34" i="2"/>
  <c r="J34" i="2"/>
  <c r="H34" i="2"/>
  <c r="M33" i="2"/>
  <c r="J33" i="2"/>
  <c r="M32" i="2"/>
  <c r="J32" i="2"/>
  <c r="M31" i="2"/>
  <c r="J31" i="2"/>
  <c r="M30" i="2"/>
  <c r="J30" i="2"/>
  <c r="M29" i="2"/>
  <c r="J29" i="2"/>
  <c r="I29" i="2"/>
  <c r="M28" i="2"/>
  <c r="J28" i="2"/>
  <c r="M27" i="2"/>
  <c r="J27" i="2"/>
  <c r="H27" i="2"/>
  <c r="M26" i="2"/>
  <c r="J26" i="2"/>
  <c r="I26" i="2"/>
  <c r="M25" i="2"/>
  <c r="J25" i="2"/>
  <c r="M24" i="2"/>
  <c r="J24" i="2"/>
  <c r="M23" i="2"/>
  <c r="J23" i="2"/>
  <c r="I23" i="2"/>
  <c r="M22" i="2"/>
  <c r="J22" i="2"/>
  <c r="M21" i="2"/>
  <c r="J21" i="2"/>
  <c r="J20" i="2"/>
  <c r="H20" i="2"/>
  <c r="M20" i="2" s="1"/>
  <c r="J19" i="2"/>
  <c r="H19" i="2"/>
  <c r="M19" i="2" s="1"/>
  <c r="J18" i="2"/>
  <c r="H18" i="2"/>
  <c r="M18" i="2" s="1"/>
  <c r="M17" i="2"/>
  <c r="J17" i="2"/>
  <c r="J16" i="2"/>
  <c r="H16" i="2"/>
  <c r="M16" i="2" s="1"/>
  <c r="M15" i="2"/>
  <c r="J15" i="2"/>
  <c r="M14" i="2"/>
  <c r="J14" i="2"/>
  <c r="M13" i="2"/>
  <c r="J13" i="2"/>
  <c r="M12" i="2"/>
  <c r="J12" i="2"/>
  <c r="J11" i="2"/>
  <c r="H11" i="2"/>
  <c r="M11" i="2" s="1"/>
  <c r="J10" i="2"/>
  <c r="H10" i="2"/>
  <c r="M10" i="2" s="1"/>
  <c r="M9" i="2"/>
  <c r="J9" i="2"/>
  <c r="M8" i="2"/>
  <c r="J8" i="2"/>
  <c r="M7" i="2"/>
  <c r="J7" i="2"/>
  <c r="J6" i="2"/>
  <c r="H6" i="2"/>
  <c r="M6" i="2" s="1"/>
  <c r="J5" i="2"/>
  <c r="H5" i="2"/>
  <c r="M5" i="2" s="1"/>
  <c r="M4" i="2"/>
  <c r="J4" i="2"/>
  <c r="M3" i="2"/>
  <c r="J3" i="2"/>
  <c r="J2" i="2"/>
  <c r="H2" i="2"/>
  <c r="M196" i="2" l="1"/>
  <c r="M168" i="2"/>
  <c r="M379" i="2"/>
  <c r="I2066" i="2"/>
  <c r="H2066" i="2"/>
  <c r="M337" i="2"/>
  <c r="L2066" i="2"/>
  <c r="M2043" i="2"/>
  <c r="M999" i="2"/>
  <c r="M2" i="2"/>
  <c r="M2066" i="2" s="1"/>
  <c r="N40" i="11" l="1"/>
  <c r="A40" i="11" s="1"/>
  <c r="E81" i="13" l="1"/>
  <c r="E64" i="12"/>
  <c r="A66" i="12" s="1"/>
  <c r="E32" i="12"/>
  <c r="A33" i="12" s="1"/>
  <c r="E65" i="12" l="1"/>
  <c r="A67" i="12" s="1"/>
  <c r="N24" i="11"/>
  <c r="A24" i="11" s="1"/>
  <c r="N30" i="11" l="1"/>
  <c r="N53" i="11"/>
  <c r="A53" i="11" s="1"/>
  <c r="E134" i="5" l="1"/>
  <c r="A134" i="5" l="1"/>
  <c r="R2" i="2"/>
  <c r="R135" i="2"/>
  <c r="D37" i="18"/>
  <c r="R41" i="2"/>
  <c r="N2066" i="2"/>
  <c r="C24" i="21" s="1"/>
  <c r="C1509" i="20"/>
  <c r="O2034" i="2"/>
  <c r="O2066" i="2" l="1"/>
  <c r="C22" i="21" l="1"/>
  <c r="C26" i="21" s="1"/>
  <c r="C28" i="21" s="1"/>
  <c r="E36" i="17"/>
  <c r="A36" i="17" s="1"/>
  <c r="E4" i="17"/>
  <c r="E5" i="17"/>
  <c r="E6"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7" i="17"/>
  <c r="E38" i="17"/>
  <c r="E39" i="17"/>
  <c r="E40" i="17"/>
  <c r="E41" i="17"/>
  <c r="E42" i="17"/>
  <c r="E43" i="17"/>
  <c r="E44" i="17"/>
  <c r="E45" i="17"/>
  <c r="E46" i="17"/>
  <c r="E3" i="17"/>
  <c r="A3" i="17" s="1"/>
  <c r="O2" i="17"/>
  <c r="E115" i="16" l="1"/>
  <c r="A115" i="16" s="1"/>
  <c r="E145" i="16"/>
  <c r="A145" i="16" s="1"/>
  <c r="E4" i="16" l="1"/>
  <c r="A4" i="16" s="1"/>
  <c r="E5" i="16"/>
  <c r="A5" i="16" s="1"/>
  <c r="E6" i="16"/>
  <c r="A6" i="16" s="1"/>
  <c r="E7" i="16"/>
  <c r="A7" i="16" s="1"/>
  <c r="E8" i="16"/>
  <c r="A8" i="16" s="1"/>
  <c r="E9" i="16"/>
  <c r="A9" i="16" s="1"/>
  <c r="E10" i="16"/>
  <c r="A10" i="16" s="1"/>
  <c r="E11" i="16"/>
  <c r="A11" i="16" s="1"/>
  <c r="E12" i="16"/>
  <c r="A12" i="16" s="1"/>
  <c r="E13" i="16"/>
  <c r="A13" i="16" s="1"/>
  <c r="E14" i="16"/>
  <c r="A14" i="16" s="1"/>
  <c r="E15" i="16"/>
  <c r="A15" i="16" s="1"/>
  <c r="E16" i="16"/>
  <c r="A16" i="16" s="1"/>
  <c r="E17" i="16"/>
  <c r="A17" i="16" s="1"/>
  <c r="E18" i="16"/>
  <c r="A18" i="16" s="1"/>
  <c r="E19" i="16"/>
  <c r="A19" i="16" s="1"/>
  <c r="E20" i="16"/>
  <c r="A20" i="16" s="1"/>
  <c r="E21" i="16"/>
  <c r="A21" i="16" s="1"/>
  <c r="E22" i="16"/>
  <c r="A22" i="16" s="1"/>
  <c r="E23" i="16"/>
  <c r="A23" i="16" s="1"/>
  <c r="E24" i="16"/>
  <c r="A24" i="16" s="1"/>
  <c r="E25" i="16"/>
  <c r="A25" i="16" s="1"/>
  <c r="E26" i="16"/>
  <c r="A26" i="16" s="1"/>
  <c r="E27" i="16"/>
  <c r="A27" i="16" s="1"/>
  <c r="E28" i="16"/>
  <c r="A28" i="16" s="1"/>
  <c r="E29" i="16"/>
  <c r="A29" i="16" s="1"/>
  <c r="E30" i="16"/>
  <c r="A30" i="16" s="1"/>
  <c r="E31" i="16"/>
  <c r="A31" i="16" s="1"/>
  <c r="E32" i="16"/>
  <c r="A32" i="16" s="1"/>
  <c r="E33" i="16"/>
  <c r="A33" i="16" s="1"/>
  <c r="E34" i="16"/>
  <c r="A34" i="16" s="1"/>
  <c r="E35" i="16"/>
  <c r="A35" i="16" s="1"/>
  <c r="E36" i="16"/>
  <c r="A36" i="16" s="1"/>
  <c r="E37" i="16"/>
  <c r="A37" i="16" s="1"/>
  <c r="E38" i="16"/>
  <c r="A38" i="16" s="1"/>
  <c r="E39" i="16"/>
  <c r="A39" i="16" s="1"/>
  <c r="E40" i="16"/>
  <c r="A40" i="16" s="1"/>
  <c r="E41" i="16"/>
  <c r="A41" i="16" s="1"/>
  <c r="E42" i="16"/>
  <c r="A42" i="16" s="1"/>
  <c r="E43" i="16"/>
  <c r="A43" i="16" s="1"/>
  <c r="E44" i="16"/>
  <c r="A44" i="16" s="1"/>
  <c r="E45" i="16"/>
  <c r="A45" i="16" s="1"/>
  <c r="E46" i="16"/>
  <c r="A46" i="16" s="1"/>
  <c r="E47" i="16"/>
  <c r="A47" i="16" s="1"/>
  <c r="E48" i="16"/>
  <c r="A48" i="16" s="1"/>
  <c r="E49" i="16"/>
  <c r="A49" i="16" s="1"/>
  <c r="E50" i="16"/>
  <c r="A50" i="16" s="1"/>
  <c r="E51" i="16"/>
  <c r="A51" i="16" s="1"/>
  <c r="E52" i="16"/>
  <c r="A52" i="16" s="1"/>
  <c r="E53" i="16"/>
  <c r="A53" i="16" s="1"/>
  <c r="E54" i="16"/>
  <c r="A54" i="16" s="1"/>
  <c r="E55" i="16"/>
  <c r="A55" i="16" s="1"/>
  <c r="E56" i="16"/>
  <c r="A56" i="16" s="1"/>
  <c r="E57" i="16"/>
  <c r="A57" i="16" s="1"/>
  <c r="E58" i="16"/>
  <c r="A58" i="16" s="1"/>
  <c r="E59" i="16"/>
  <c r="A59" i="16" s="1"/>
  <c r="E60" i="16"/>
  <c r="A60" i="16" s="1"/>
  <c r="E61" i="16"/>
  <c r="A61" i="16" s="1"/>
  <c r="E62" i="16"/>
  <c r="A62" i="16" s="1"/>
  <c r="E63" i="16"/>
  <c r="A63" i="16" s="1"/>
  <c r="E64" i="16"/>
  <c r="A64" i="16" s="1"/>
  <c r="E65" i="16"/>
  <c r="A65" i="16" s="1"/>
  <c r="E66" i="16"/>
  <c r="A66" i="16" s="1"/>
  <c r="E67" i="16"/>
  <c r="A67" i="16" s="1"/>
  <c r="E68" i="16"/>
  <c r="A68" i="16" s="1"/>
  <c r="E69" i="16"/>
  <c r="A69" i="16" s="1"/>
  <c r="E70" i="16"/>
  <c r="A70" i="16" s="1"/>
  <c r="E71" i="16"/>
  <c r="A71" i="16" s="1"/>
  <c r="E72" i="16"/>
  <c r="A72" i="16" s="1"/>
  <c r="E73" i="16"/>
  <c r="A73" i="16" s="1"/>
  <c r="E74" i="16"/>
  <c r="A74" i="16" s="1"/>
  <c r="E75" i="16"/>
  <c r="A75" i="16" s="1"/>
  <c r="E76" i="16"/>
  <c r="A76" i="16" s="1"/>
  <c r="E77" i="16"/>
  <c r="A77" i="16" s="1"/>
  <c r="E78" i="16"/>
  <c r="A78" i="16" s="1"/>
  <c r="E79" i="16"/>
  <c r="A79" i="16" s="1"/>
  <c r="E80" i="16"/>
  <c r="A80" i="16" s="1"/>
  <c r="E81" i="16"/>
  <c r="A81" i="16" s="1"/>
  <c r="E82" i="16"/>
  <c r="A82" i="16" s="1"/>
  <c r="E83" i="16"/>
  <c r="A83" i="16" s="1"/>
  <c r="E84" i="16"/>
  <c r="A84" i="16" s="1"/>
  <c r="E85" i="16"/>
  <c r="A85" i="16" s="1"/>
  <c r="E86" i="16"/>
  <c r="A86" i="16" s="1"/>
  <c r="E87" i="16"/>
  <c r="A87" i="16" s="1"/>
  <c r="E88" i="16"/>
  <c r="A88" i="16" s="1"/>
  <c r="E89" i="16"/>
  <c r="A89" i="16" s="1"/>
  <c r="E90" i="16"/>
  <c r="A90" i="16" s="1"/>
  <c r="E91" i="16"/>
  <c r="A91" i="16" s="1"/>
  <c r="E92" i="16"/>
  <c r="A92" i="16" s="1"/>
  <c r="E93" i="16"/>
  <c r="A93" i="16" s="1"/>
  <c r="E94" i="16"/>
  <c r="A94" i="16" s="1"/>
  <c r="E95" i="16"/>
  <c r="A95" i="16" s="1"/>
  <c r="E96" i="16"/>
  <c r="A96" i="16" s="1"/>
  <c r="E97" i="16"/>
  <c r="A97" i="16" s="1"/>
  <c r="E98" i="16"/>
  <c r="A98" i="16" s="1"/>
  <c r="E99" i="16"/>
  <c r="A99" i="16" s="1"/>
  <c r="E100" i="16"/>
  <c r="A100" i="16" s="1"/>
  <c r="E101" i="16"/>
  <c r="A101" i="16" s="1"/>
  <c r="E102" i="16"/>
  <c r="A102" i="16" s="1"/>
  <c r="E103" i="16"/>
  <c r="A103" i="16" s="1"/>
  <c r="E104" i="16"/>
  <c r="A104" i="16" s="1"/>
  <c r="E105" i="16"/>
  <c r="A105" i="16" s="1"/>
  <c r="E106" i="16"/>
  <c r="A106" i="16" s="1"/>
  <c r="E107" i="16"/>
  <c r="A107" i="16" s="1"/>
  <c r="E108" i="16"/>
  <c r="A108" i="16" s="1"/>
  <c r="E109" i="16"/>
  <c r="A109" i="16" s="1"/>
  <c r="E110" i="16"/>
  <c r="A110" i="16" s="1"/>
  <c r="E111" i="16"/>
  <c r="A111" i="16" s="1"/>
  <c r="E112" i="16"/>
  <c r="A112" i="16" s="1"/>
  <c r="E113" i="16"/>
  <c r="A113" i="16" s="1"/>
  <c r="E116" i="16"/>
  <c r="A116" i="16" s="1"/>
  <c r="E117" i="16"/>
  <c r="A117" i="16" s="1"/>
  <c r="E118" i="16"/>
  <c r="A118" i="16" s="1"/>
  <c r="E119" i="16"/>
  <c r="A119" i="16" s="1"/>
  <c r="E120" i="16"/>
  <c r="A120" i="16" s="1"/>
  <c r="E121" i="16"/>
  <c r="A121" i="16" s="1"/>
  <c r="E122" i="16"/>
  <c r="A122" i="16" s="1"/>
  <c r="E123" i="16"/>
  <c r="A123" i="16" s="1"/>
  <c r="E124" i="16"/>
  <c r="A124" i="16" s="1"/>
  <c r="E125" i="16"/>
  <c r="A125" i="16" s="1"/>
  <c r="E126" i="16"/>
  <c r="A126" i="16" s="1"/>
  <c r="E127" i="16"/>
  <c r="A127" i="16" s="1"/>
  <c r="E128" i="16"/>
  <c r="A128" i="16" s="1"/>
  <c r="E129" i="16"/>
  <c r="A129" i="16" s="1"/>
  <c r="E130" i="16"/>
  <c r="A130" i="16" s="1"/>
  <c r="E131" i="16"/>
  <c r="A131" i="16" s="1"/>
  <c r="E132" i="16"/>
  <c r="A132" i="16" s="1"/>
  <c r="E133" i="16"/>
  <c r="A133" i="16" s="1"/>
  <c r="E134" i="16"/>
  <c r="A134" i="16" s="1"/>
  <c r="E135" i="16"/>
  <c r="A135" i="16" s="1"/>
  <c r="E136" i="16"/>
  <c r="A136" i="16" s="1"/>
  <c r="E137" i="16"/>
  <c r="A137" i="16" s="1"/>
  <c r="E138" i="16"/>
  <c r="A138" i="16" s="1"/>
  <c r="E139" i="16"/>
  <c r="A139" i="16" s="1"/>
  <c r="E140" i="16"/>
  <c r="A140" i="16" s="1"/>
  <c r="E141" i="16"/>
  <c r="A141" i="16" s="1"/>
  <c r="E142" i="16"/>
  <c r="A142" i="16" s="1"/>
  <c r="E143" i="16"/>
  <c r="A143" i="16" s="1"/>
  <c r="E144" i="16"/>
  <c r="A144" i="16" s="1"/>
  <c r="E114" i="16"/>
  <c r="A114" i="16" s="1"/>
  <c r="E146" i="16"/>
  <c r="A146" i="16" s="1"/>
  <c r="E147" i="16"/>
  <c r="A147" i="16" s="1"/>
  <c r="E148" i="16"/>
  <c r="A148" i="16" s="1"/>
  <c r="E149" i="16"/>
  <c r="A149" i="16" s="1"/>
  <c r="E150" i="16"/>
  <c r="A150" i="16" s="1"/>
  <c r="E151" i="16"/>
  <c r="A151" i="16" s="1"/>
  <c r="E152" i="16"/>
  <c r="A152" i="16" s="1"/>
  <c r="E153" i="16"/>
  <c r="A153" i="16" s="1"/>
  <c r="E154" i="16"/>
  <c r="A154" i="16" s="1"/>
  <c r="E155" i="16"/>
  <c r="A155" i="16" s="1"/>
  <c r="E156" i="16"/>
  <c r="A156" i="16" s="1"/>
  <c r="E157" i="16"/>
  <c r="A157" i="16" s="1"/>
  <c r="E158" i="16"/>
  <c r="A158" i="16" s="1"/>
  <c r="E159" i="16"/>
  <c r="A159" i="16" s="1"/>
  <c r="E160" i="16"/>
  <c r="A160" i="16" s="1"/>
  <c r="E161" i="16"/>
  <c r="A161" i="16" s="1"/>
  <c r="E162" i="16"/>
  <c r="A162" i="16" s="1"/>
  <c r="E163" i="16"/>
  <c r="A163" i="16" s="1"/>
  <c r="E164" i="16"/>
  <c r="A164" i="16" s="1"/>
  <c r="E165" i="16"/>
  <c r="A165" i="16" s="1"/>
  <c r="E166" i="16"/>
  <c r="A166" i="16" s="1"/>
  <c r="E167" i="16"/>
  <c r="A167" i="16" s="1"/>
  <c r="E168" i="16"/>
  <c r="A168" i="16" s="1"/>
  <c r="E169" i="16"/>
  <c r="A169" i="16" s="1"/>
  <c r="E170" i="16"/>
  <c r="A170" i="16" s="1"/>
  <c r="E171" i="16"/>
  <c r="A171" i="16" s="1"/>
  <c r="E172" i="16"/>
  <c r="A172" i="16" s="1"/>
  <c r="E173" i="16"/>
  <c r="A173" i="16" s="1"/>
  <c r="E174" i="16"/>
  <c r="A174" i="16" s="1"/>
  <c r="E175" i="16"/>
  <c r="A175" i="16" s="1"/>
  <c r="E176" i="16"/>
  <c r="A176" i="16" s="1"/>
  <c r="E177" i="16"/>
  <c r="A177" i="16" s="1"/>
  <c r="E178" i="16"/>
  <c r="A178" i="16" s="1"/>
  <c r="E179" i="16"/>
  <c r="A179" i="16" s="1"/>
  <c r="E180" i="16"/>
  <c r="A180" i="16" s="1"/>
  <c r="E181" i="16"/>
  <c r="A181" i="16" s="1"/>
  <c r="E182" i="16"/>
  <c r="A182" i="16" s="1"/>
  <c r="E183" i="16"/>
  <c r="A183" i="16" s="1"/>
  <c r="E184" i="16"/>
  <c r="A184" i="16" s="1"/>
  <c r="E185" i="16"/>
  <c r="A185" i="16" s="1"/>
  <c r="E186" i="16"/>
  <c r="A186" i="16" s="1"/>
  <c r="E187" i="16"/>
  <c r="A187" i="16" s="1"/>
  <c r="E188" i="16"/>
  <c r="A188" i="16" s="1"/>
  <c r="E189" i="16"/>
  <c r="A189" i="16" s="1"/>
  <c r="E190" i="16"/>
  <c r="A190" i="16" s="1"/>
  <c r="E191" i="16"/>
  <c r="A191" i="16" s="1"/>
  <c r="E192" i="16"/>
  <c r="A192" i="16" s="1"/>
  <c r="E193" i="16"/>
  <c r="A193" i="16" s="1"/>
  <c r="E194" i="16"/>
  <c r="A194" i="16" s="1"/>
  <c r="E195" i="16"/>
  <c r="A195" i="16" s="1"/>
  <c r="E196" i="16"/>
  <c r="A196" i="16" s="1"/>
  <c r="E197" i="16"/>
  <c r="A197" i="16" s="1"/>
  <c r="E198" i="16"/>
  <c r="A198" i="16" s="1"/>
  <c r="E199" i="16"/>
  <c r="A199" i="16" s="1"/>
  <c r="E200" i="16"/>
  <c r="A200" i="16" s="1"/>
  <c r="E201" i="16"/>
  <c r="A201" i="16" s="1"/>
  <c r="E202" i="16"/>
  <c r="A202" i="16" s="1"/>
  <c r="E203" i="16"/>
  <c r="A203" i="16" s="1"/>
  <c r="E204" i="16"/>
  <c r="A204" i="16" s="1"/>
  <c r="E205" i="16"/>
  <c r="A205" i="16" s="1"/>
  <c r="E206" i="16"/>
  <c r="A206" i="16" s="1"/>
  <c r="P2" i="16"/>
  <c r="E3" i="16"/>
  <c r="A3" i="16" s="1"/>
  <c r="E184" i="15"/>
  <c r="A184" i="15" s="1"/>
  <c r="E4" i="15"/>
  <c r="E5" i="15"/>
  <c r="E6" i="15"/>
  <c r="E7" i="15"/>
  <c r="E8" i="15"/>
  <c r="E9" i="15"/>
  <c r="E10" i="15"/>
  <c r="E11" i="15"/>
  <c r="E12" i="15"/>
  <c r="E13" i="15"/>
  <c r="E14" i="15"/>
  <c r="E15" i="15"/>
  <c r="E16" i="15"/>
  <c r="E17" i="15"/>
  <c r="E18" i="15"/>
  <c r="E19" i="15"/>
  <c r="E20" i="15"/>
  <c r="E21" i="15"/>
  <c r="E22" i="15"/>
  <c r="E23" i="15"/>
  <c r="E24" i="15"/>
  <c r="E25" i="15"/>
  <c r="E26" i="15"/>
  <c r="E27" i="15"/>
  <c r="E28" i="15"/>
  <c r="E29" i="15"/>
  <c r="E30" i="15"/>
  <c r="E31" i="15"/>
  <c r="E32" i="15"/>
  <c r="E33" i="15"/>
  <c r="E34" i="15"/>
  <c r="E35" i="15"/>
  <c r="E36" i="15"/>
  <c r="E37" i="15"/>
  <c r="E38" i="15"/>
  <c r="E39" i="15"/>
  <c r="E40" i="15"/>
  <c r="E41" i="15"/>
  <c r="E42" i="15"/>
  <c r="E43" i="15"/>
  <c r="E44" i="15"/>
  <c r="E45" i="15"/>
  <c r="E46" i="15"/>
  <c r="E47" i="15"/>
  <c r="E48" i="15"/>
  <c r="E49" i="15"/>
  <c r="E50" i="15"/>
  <c r="E51" i="15"/>
  <c r="E52" i="15"/>
  <c r="E53" i="15"/>
  <c r="E54" i="15"/>
  <c r="E55" i="15"/>
  <c r="E56" i="15"/>
  <c r="E58" i="15"/>
  <c r="E59" i="15"/>
  <c r="E60" i="15"/>
  <c r="E61" i="15"/>
  <c r="E62" i="15"/>
  <c r="E63" i="15"/>
  <c r="E64" i="15"/>
  <c r="E65" i="15"/>
  <c r="E66" i="15"/>
  <c r="E67" i="15"/>
  <c r="E68" i="15"/>
  <c r="E69" i="15"/>
  <c r="E70" i="15"/>
  <c r="E71" i="15"/>
  <c r="E72" i="15"/>
  <c r="E73" i="15"/>
  <c r="E74" i="15"/>
  <c r="E75" i="15"/>
  <c r="E76" i="15"/>
  <c r="E77" i="15"/>
  <c r="E78" i="15"/>
  <c r="E79" i="15"/>
  <c r="E80" i="15"/>
  <c r="E81" i="15"/>
  <c r="E82" i="15"/>
  <c r="E83" i="15"/>
  <c r="E84" i="15"/>
  <c r="E85" i="15"/>
  <c r="E86" i="15"/>
  <c r="E87" i="15"/>
  <c r="E89" i="15"/>
  <c r="E90" i="15"/>
  <c r="E91" i="15"/>
  <c r="E92" i="15"/>
  <c r="E93" i="15"/>
  <c r="E94" i="15"/>
  <c r="E95" i="15"/>
  <c r="E96" i="15"/>
  <c r="E97" i="15"/>
  <c r="E98" i="15"/>
  <c r="E99" i="15"/>
  <c r="E100" i="15"/>
  <c r="E101" i="15"/>
  <c r="E102" i="15"/>
  <c r="E103" i="15"/>
  <c r="E104" i="15"/>
  <c r="E105" i="15"/>
  <c r="E106" i="15"/>
  <c r="E107" i="15"/>
  <c r="E108" i="15"/>
  <c r="E109" i="15"/>
  <c r="E110" i="15"/>
  <c r="E111" i="15"/>
  <c r="E112" i="15"/>
  <c r="E113" i="15"/>
  <c r="E114" i="15"/>
  <c r="E115" i="15"/>
  <c r="E116" i="15"/>
  <c r="E117" i="15"/>
  <c r="E118" i="15"/>
  <c r="E119" i="15"/>
  <c r="E120" i="15"/>
  <c r="E121" i="15"/>
  <c r="E122" i="15"/>
  <c r="E123" i="15"/>
  <c r="E124" i="15"/>
  <c r="E125" i="15"/>
  <c r="E126" i="15"/>
  <c r="E127" i="15"/>
  <c r="E128" i="15"/>
  <c r="E129" i="15"/>
  <c r="E130" i="15"/>
  <c r="E131" i="15"/>
  <c r="E132" i="15"/>
  <c r="E133" i="15"/>
  <c r="E134" i="15"/>
  <c r="E135" i="15"/>
  <c r="E136" i="15"/>
  <c r="E137" i="15"/>
  <c r="E138" i="15"/>
  <c r="E139" i="15"/>
  <c r="E140" i="15"/>
  <c r="E141" i="15"/>
  <c r="E142" i="15"/>
  <c r="E143" i="15"/>
  <c r="E144" i="15"/>
  <c r="E145" i="15"/>
  <c r="E146" i="15"/>
  <c r="E147" i="15"/>
  <c r="E148" i="15"/>
  <c r="E149" i="15"/>
  <c r="E150" i="15"/>
  <c r="E151" i="15"/>
  <c r="E152" i="15"/>
  <c r="E153" i="15"/>
  <c r="E154" i="15"/>
  <c r="E155" i="15"/>
  <c r="E156" i="15"/>
  <c r="E157" i="15"/>
  <c r="E158" i="15"/>
  <c r="E159" i="15"/>
  <c r="E160" i="15"/>
  <c r="E161" i="15"/>
  <c r="E162" i="15"/>
  <c r="E163" i="15"/>
  <c r="E164" i="15"/>
  <c r="E165" i="15"/>
  <c r="E166" i="15"/>
  <c r="E167" i="15"/>
  <c r="E168" i="15"/>
  <c r="E169" i="15"/>
  <c r="E170" i="15"/>
  <c r="E171" i="15"/>
  <c r="E172" i="15"/>
  <c r="E173" i="15"/>
  <c r="E174" i="15"/>
  <c r="E175" i="15"/>
  <c r="E176" i="15"/>
  <c r="E177" i="15"/>
  <c r="E178" i="15"/>
  <c r="E179" i="15"/>
  <c r="E180" i="15"/>
  <c r="E181" i="15"/>
  <c r="E182" i="15"/>
  <c r="E183" i="15"/>
  <c r="E185" i="15"/>
  <c r="E186" i="15"/>
  <c r="E187" i="15"/>
  <c r="E3" i="15"/>
  <c r="A3" i="15" s="1"/>
  <c r="O2" i="15"/>
  <c r="E4" i="14"/>
  <c r="E100" i="14"/>
  <c r="A100" i="14" s="1"/>
  <c r="E96" i="14"/>
  <c r="A96" i="14" s="1"/>
  <c r="E83" i="14"/>
  <c r="A83" i="14" s="1"/>
  <c r="E74" i="14"/>
  <c r="A74" i="14" s="1"/>
  <c r="E38" i="14"/>
  <c r="A38" i="14" s="1"/>
  <c r="E8" i="14"/>
  <c r="E5" i="14"/>
  <c r="E6" i="14"/>
  <c r="E7" i="14"/>
  <c r="E9" i="14"/>
  <c r="E10" i="14"/>
  <c r="E11" i="14"/>
  <c r="E12" i="14"/>
  <c r="E13" i="14"/>
  <c r="E14" i="14"/>
  <c r="E15" i="14"/>
  <c r="E16" i="14"/>
  <c r="E17" i="14"/>
  <c r="E18" i="14"/>
  <c r="E19" i="14"/>
  <c r="E20" i="14"/>
  <c r="E21" i="14"/>
  <c r="E22" i="14"/>
  <c r="E23" i="14"/>
  <c r="E24" i="14"/>
  <c r="E25" i="14"/>
  <c r="E26" i="14"/>
  <c r="E27" i="14"/>
  <c r="E28" i="14"/>
  <c r="E29" i="14"/>
  <c r="E30" i="14"/>
  <c r="E31" i="14"/>
  <c r="E32" i="14"/>
  <c r="E33" i="14"/>
  <c r="E34" i="14"/>
  <c r="E35" i="14"/>
  <c r="E36" i="14"/>
  <c r="E37" i="14"/>
  <c r="E39" i="14"/>
  <c r="E40" i="14"/>
  <c r="E41" i="14"/>
  <c r="E42" i="14"/>
  <c r="E43" i="14"/>
  <c r="E44" i="14"/>
  <c r="E45" i="14"/>
  <c r="E46" i="14"/>
  <c r="E47" i="14"/>
  <c r="E48" i="14"/>
  <c r="E49" i="14"/>
  <c r="E50" i="14"/>
  <c r="E51" i="14"/>
  <c r="E52" i="14"/>
  <c r="E53" i="14"/>
  <c r="E54" i="14"/>
  <c r="E55" i="14"/>
  <c r="E56" i="14"/>
  <c r="E58" i="14"/>
  <c r="E59" i="14"/>
  <c r="E60" i="14"/>
  <c r="E61" i="14"/>
  <c r="E62" i="14"/>
  <c r="E63" i="14"/>
  <c r="E64" i="14"/>
  <c r="E65" i="14"/>
  <c r="E66" i="14"/>
  <c r="E67" i="14"/>
  <c r="E68" i="14"/>
  <c r="E69" i="14"/>
  <c r="E70" i="14"/>
  <c r="E71" i="14"/>
  <c r="E72" i="14"/>
  <c r="E73" i="14"/>
  <c r="E75" i="14"/>
  <c r="E76" i="14"/>
  <c r="E77" i="14"/>
  <c r="E78" i="14"/>
  <c r="E79" i="14"/>
  <c r="E80" i="14"/>
  <c r="E81" i="14"/>
  <c r="E82" i="14"/>
  <c r="E84" i="14"/>
  <c r="E85" i="14"/>
  <c r="E86" i="14"/>
  <c r="E87" i="14"/>
  <c r="E88" i="14"/>
  <c r="E89" i="14"/>
  <c r="E90" i="14"/>
  <c r="E91" i="14"/>
  <c r="E92" i="14"/>
  <c r="E93" i="14"/>
  <c r="E94" i="14"/>
  <c r="E95" i="14"/>
  <c r="E97" i="14"/>
  <c r="E98" i="14"/>
  <c r="E99" i="14"/>
  <c r="E101" i="14"/>
  <c r="E102" i="14"/>
  <c r="E103" i="14"/>
  <c r="E104" i="14"/>
  <c r="E105" i="14"/>
  <c r="E106" i="14"/>
  <c r="E107" i="14"/>
  <c r="E108" i="14"/>
  <c r="E109" i="14"/>
  <c r="E110" i="14"/>
  <c r="E111" i="14"/>
  <c r="E112" i="14"/>
  <c r="E113" i="14"/>
  <c r="E3" i="14"/>
  <c r="A3" i="14" s="1"/>
  <c r="L2" i="14"/>
  <c r="E43" i="1"/>
  <c r="A43" i="1" s="1"/>
  <c r="E13" i="1"/>
  <c r="A13" i="1" s="1"/>
  <c r="E4" i="1"/>
  <c r="A4" i="1" s="1"/>
  <c r="E5" i="1"/>
  <c r="A5" i="1" s="1"/>
  <c r="E6" i="1"/>
  <c r="A6" i="1" s="1"/>
  <c r="E7" i="1"/>
  <c r="A7" i="1" s="1"/>
  <c r="E8" i="1"/>
  <c r="A8" i="1" s="1"/>
  <c r="E9" i="1"/>
  <c r="A9" i="1" s="1"/>
  <c r="E10" i="1"/>
  <c r="A10" i="1" s="1"/>
  <c r="E11" i="1"/>
  <c r="A11" i="1" s="1"/>
  <c r="E12" i="1"/>
  <c r="A12" i="1" s="1"/>
  <c r="E14" i="1"/>
  <c r="A14" i="1" s="1"/>
  <c r="E15" i="1"/>
  <c r="A15" i="1" s="1"/>
  <c r="E16" i="1"/>
  <c r="A16" i="1" s="1"/>
  <c r="E17" i="1"/>
  <c r="A17" i="1" s="1"/>
  <c r="E18" i="1"/>
  <c r="A18" i="1" s="1"/>
  <c r="E19" i="1"/>
  <c r="A19" i="1" s="1"/>
  <c r="E20" i="1"/>
  <c r="A20" i="1" s="1"/>
  <c r="E21" i="1"/>
  <c r="A21" i="1" s="1"/>
  <c r="E22" i="1"/>
  <c r="A22" i="1" s="1"/>
  <c r="E23" i="1"/>
  <c r="A23" i="1" s="1"/>
  <c r="E24" i="1"/>
  <c r="A24" i="1" s="1"/>
  <c r="E25" i="1"/>
  <c r="A25" i="1" s="1"/>
  <c r="E26" i="1"/>
  <c r="A26" i="1" s="1"/>
  <c r="E27" i="1"/>
  <c r="A27" i="1" s="1"/>
  <c r="E28" i="1"/>
  <c r="A28" i="1" s="1"/>
  <c r="E29" i="1"/>
  <c r="A29" i="1" s="1"/>
  <c r="E30" i="1"/>
  <c r="A30" i="1" s="1"/>
  <c r="E31" i="1"/>
  <c r="A31" i="1" s="1"/>
  <c r="E32" i="1"/>
  <c r="A32" i="1" s="1"/>
  <c r="E33" i="1"/>
  <c r="A33" i="1" s="1"/>
  <c r="E34" i="1"/>
  <c r="A34" i="1" s="1"/>
  <c r="E35" i="1"/>
  <c r="A35" i="1" s="1"/>
  <c r="E36" i="1"/>
  <c r="A36" i="1" s="1"/>
  <c r="E37" i="1"/>
  <c r="A37" i="1" s="1"/>
  <c r="E38" i="1"/>
  <c r="A38" i="1" s="1"/>
  <c r="E40" i="1"/>
  <c r="A40" i="1" s="1"/>
  <c r="E41" i="1"/>
  <c r="A41" i="1" s="1"/>
  <c r="E42" i="1"/>
  <c r="A42" i="1" s="1"/>
  <c r="E44" i="1"/>
  <c r="A44" i="1" s="1"/>
  <c r="E45" i="1"/>
  <c r="A45" i="1" s="1"/>
  <c r="E46" i="1"/>
  <c r="A46" i="1" s="1"/>
  <c r="E47" i="1"/>
  <c r="A47" i="1" s="1"/>
  <c r="E48" i="1"/>
  <c r="A48" i="1" s="1"/>
  <c r="E49" i="1"/>
  <c r="A49" i="1" s="1"/>
  <c r="E50" i="1"/>
  <c r="A50" i="1" s="1"/>
  <c r="E51" i="1"/>
  <c r="A51" i="1" s="1"/>
  <c r="E52" i="1"/>
  <c r="A52" i="1" s="1"/>
  <c r="E53" i="1"/>
  <c r="A53" i="1" s="1"/>
  <c r="E54" i="1"/>
  <c r="A54" i="1" s="1"/>
  <c r="E55" i="1"/>
  <c r="A55" i="1" s="1"/>
  <c r="E56" i="1"/>
  <c r="A56" i="1" s="1"/>
  <c r="E57" i="1"/>
  <c r="A57" i="1" s="1"/>
  <c r="E58" i="1"/>
  <c r="A58" i="1" s="1"/>
  <c r="E59" i="1"/>
  <c r="A59" i="1" s="1"/>
  <c r="E60" i="1"/>
  <c r="A60" i="1" s="1"/>
  <c r="E61" i="1"/>
  <c r="A61" i="1" s="1"/>
  <c r="E62" i="1"/>
  <c r="A62" i="1" s="1"/>
  <c r="E63" i="1"/>
  <c r="A63" i="1" s="1"/>
  <c r="E64" i="1"/>
  <c r="A64" i="1" s="1"/>
  <c r="E66" i="1"/>
  <c r="A66" i="1" s="1"/>
  <c r="E67" i="1"/>
  <c r="A67" i="1" s="1"/>
  <c r="E68" i="1"/>
  <c r="A68" i="1" s="1"/>
  <c r="E69" i="1"/>
  <c r="A69" i="1" s="1"/>
  <c r="E70" i="1"/>
  <c r="A70" i="1" s="1"/>
  <c r="E71" i="1"/>
  <c r="A71" i="1" s="1"/>
  <c r="E72" i="1"/>
  <c r="A72" i="1" s="1"/>
  <c r="E73" i="1"/>
  <c r="A73" i="1" s="1"/>
  <c r="E74" i="1"/>
  <c r="A74" i="1" s="1"/>
  <c r="E75" i="1"/>
  <c r="A75" i="1" s="1"/>
  <c r="E76" i="1"/>
  <c r="A76" i="1" s="1"/>
  <c r="E77" i="1"/>
  <c r="A77" i="1" s="1"/>
  <c r="E78" i="1"/>
  <c r="A78" i="1" s="1"/>
  <c r="E79" i="1"/>
  <c r="A79" i="1" s="1"/>
  <c r="E80" i="1"/>
  <c r="A80" i="1" s="1"/>
  <c r="E81" i="1"/>
  <c r="A81" i="1" s="1"/>
  <c r="E82" i="1"/>
  <c r="A82" i="1" s="1"/>
  <c r="E83" i="1"/>
  <c r="A83" i="1" s="1"/>
  <c r="E84" i="1"/>
  <c r="A84" i="1" s="1"/>
  <c r="E85" i="1"/>
  <c r="A85" i="1" s="1"/>
  <c r="E86" i="1"/>
  <c r="A86" i="1" s="1"/>
  <c r="E87" i="1"/>
  <c r="A87" i="1" s="1"/>
  <c r="E88" i="1"/>
  <c r="A88" i="1" s="1"/>
  <c r="E89" i="1"/>
  <c r="A89" i="1" s="1"/>
  <c r="E90" i="1"/>
  <c r="A90" i="1" s="1"/>
  <c r="E91" i="1"/>
  <c r="A91" i="1" s="1"/>
  <c r="E92" i="1"/>
  <c r="A92" i="1" s="1"/>
  <c r="E94" i="1"/>
  <c r="A94" i="1" s="1"/>
  <c r="E95" i="1"/>
  <c r="A95" i="1" s="1"/>
  <c r="E96" i="1"/>
  <c r="A96" i="1" s="1"/>
  <c r="E97" i="1"/>
  <c r="A97" i="1" s="1"/>
  <c r="E98" i="1"/>
  <c r="A98" i="1" s="1"/>
  <c r="E99" i="1"/>
  <c r="A99" i="1" s="1"/>
  <c r="E100" i="1"/>
  <c r="A100" i="1" s="1"/>
  <c r="E101" i="1"/>
  <c r="A101" i="1" s="1"/>
  <c r="E102" i="1"/>
  <c r="A102" i="1" s="1"/>
  <c r="E104" i="1"/>
  <c r="A104" i="1" s="1"/>
  <c r="E105" i="1"/>
  <c r="A105" i="1" s="1"/>
  <c r="E106" i="1"/>
  <c r="A106" i="1" s="1"/>
  <c r="E107" i="1"/>
  <c r="A107" i="1" s="1"/>
  <c r="E108" i="1"/>
  <c r="A108" i="1" s="1"/>
  <c r="E109" i="1"/>
  <c r="A109" i="1" s="1"/>
  <c r="E110" i="1"/>
  <c r="A110" i="1" s="1"/>
  <c r="E111" i="1"/>
  <c r="A111" i="1" s="1"/>
  <c r="E112" i="1"/>
  <c r="A112" i="1" s="1"/>
  <c r="E113" i="1"/>
  <c r="A113" i="1" s="1"/>
  <c r="E114" i="1"/>
  <c r="A114" i="1" s="1"/>
  <c r="E115" i="1"/>
  <c r="A115" i="1" s="1"/>
  <c r="E116" i="1"/>
  <c r="A116" i="1" s="1"/>
  <c r="E117" i="1"/>
  <c r="A117" i="1" s="1"/>
  <c r="E118" i="1"/>
  <c r="A118" i="1" s="1"/>
  <c r="E119" i="1"/>
  <c r="A119" i="1" s="1"/>
  <c r="E120" i="1"/>
  <c r="A120" i="1" s="1"/>
  <c r="E121" i="1"/>
  <c r="A121" i="1" s="1"/>
  <c r="E122" i="1"/>
  <c r="A122" i="1" s="1"/>
  <c r="E123" i="1"/>
  <c r="A123" i="1" s="1"/>
  <c r="E124" i="1"/>
  <c r="A124" i="1" s="1"/>
  <c r="E3" i="1"/>
  <c r="A3" i="1" s="1"/>
  <c r="E86" i="13"/>
  <c r="A86" i="13" s="1"/>
  <c r="E82" i="13"/>
  <c r="A82" i="13" s="1"/>
  <c r="E69" i="13"/>
  <c r="A69" i="13" s="1"/>
  <c r="E62" i="13"/>
  <c r="A62" i="13" s="1"/>
  <c r="O30" i="13"/>
  <c r="A30" i="13"/>
  <c r="E29" i="13"/>
  <c r="A29" i="13" s="1"/>
  <c r="E17" i="13"/>
  <c r="A17" i="13" s="1"/>
  <c r="E4" i="13"/>
  <c r="A4" i="13" s="1"/>
  <c r="E5" i="13"/>
  <c r="A5" i="13" s="1"/>
  <c r="E6" i="13"/>
  <c r="A6" i="13" s="1"/>
  <c r="E7" i="13"/>
  <c r="A7" i="13" s="1"/>
  <c r="E8" i="13"/>
  <c r="A8" i="13" s="1"/>
  <c r="E9" i="13"/>
  <c r="A9" i="13" s="1"/>
  <c r="E10" i="13"/>
  <c r="A10" i="13" s="1"/>
  <c r="E11" i="13"/>
  <c r="A11" i="13" s="1"/>
  <c r="E12" i="13"/>
  <c r="A12" i="13" s="1"/>
  <c r="E13" i="13"/>
  <c r="A13" i="13" s="1"/>
  <c r="E14" i="13"/>
  <c r="A14" i="13" s="1"/>
  <c r="E15" i="13"/>
  <c r="A15" i="13" s="1"/>
  <c r="E16" i="13"/>
  <c r="A16" i="13" s="1"/>
  <c r="E18" i="13"/>
  <c r="A18" i="13" s="1"/>
  <c r="E19" i="13"/>
  <c r="A19" i="13" s="1"/>
  <c r="E20" i="13"/>
  <c r="A20" i="13" s="1"/>
  <c r="E21" i="13"/>
  <c r="A21" i="13" s="1"/>
  <c r="E22" i="13"/>
  <c r="A22" i="13" s="1"/>
  <c r="E23" i="13"/>
  <c r="A23" i="13" s="1"/>
  <c r="E24" i="13"/>
  <c r="A24" i="13" s="1"/>
  <c r="E25" i="13"/>
  <c r="A25" i="13" s="1"/>
  <c r="E26" i="13"/>
  <c r="A26" i="13" s="1"/>
  <c r="E27" i="13"/>
  <c r="A27" i="13" s="1"/>
  <c r="E28" i="13"/>
  <c r="A28" i="13" s="1"/>
  <c r="E31" i="13"/>
  <c r="A31" i="13" s="1"/>
  <c r="E32" i="13"/>
  <c r="A32" i="13" s="1"/>
  <c r="E33" i="13"/>
  <c r="A33" i="13" s="1"/>
  <c r="E34" i="13"/>
  <c r="A34" i="13" s="1"/>
  <c r="E35" i="13"/>
  <c r="A35" i="13" s="1"/>
  <c r="E36" i="13"/>
  <c r="A36" i="13" s="1"/>
  <c r="E37" i="13"/>
  <c r="A37" i="13" s="1"/>
  <c r="E38" i="13"/>
  <c r="A38" i="13" s="1"/>
  <c r="E39" i="13"/>
  <c r="A39" i="13" s="1"/>
  <c r="E40" i="13"/>
  <c r="A40" i="13" s="1"/>
  <c r="A81" i="13"/>
  <c r="E41" i="13"/>
  <c r="A41" i="13" s="1"/>
  <c r="E42" i="13"/>
  <c r="A42" i="13" s="1"/>
  <c r="E43" i="13"/>
  <c r="A43" i="13" s="1"/>
  <c r="E44" i="13"/>
  <c r="A44" i="13" s="1"/>
  <c r="E45" i="13"/>
  <c r="A45" i="13" s="1"/>
  <c r="E46" i="13"/>
  <c r="A46" i="13" s="1"/>
  <c r="E47" i="13"/>
  <c r="A47" i="13" s="1"/>
  <c r="E48" i="13"/>
  <c r="A48" i="13" s="1"/>
  <c r="E49" i="13"/>
  <c r="A49" i="13" s="1"/>
  <c r="E50" i="13"/>
  <c r="A50" i="13" s="1"/>
  <c r="E51" i="13"/>
  <c r="A51" i="13" s="1"/>
  <c r="E52" i="13"/>
  <c r="A52" i="13" s="1"/>
  <c r="E53" i="13"/>
  <c r="A53" i="13" s="1"/>
  <c r="E54" i="13"/>
  <c r="A54" i="13" s="1"/>
  <c r="E55" i="13"/>
  <c r="A55" i="13" s="1"/>
  <c r="E56" i="13"/>
  <c r="A56" i="13" s="1"/>
  <c r="E57" i="13"/>
  <c r="A57" i="13" s="1"/>
  <c r="E58" i="13"/>
  <c r="A58" i="13" s="1"/>
  <c r="E59" i="13"/>
  <c r="A59" i="13" s="1"/>
  <c r="E60" i="13"/>
  <c r="A60" i="13" s="1"/>
  <c r="E61" i="13"/>
  <c r="A61" i="13" s="1"/>
  <c r="E63" i="13"/>
  <c r="A63" i="13" s="1"/>
  <c r="E64" i="13"/>
  <c r="A64" i="13" s="1"/>
  <c r="E65" i="13"/>
  <c r="A65" i="13" s="1"/>
  <c r="E66" i="13"/>
  <c r="A66" i="13" s="1"/>
  <c r="E67" i="13"/>
  <c r="A67" i="13" s="1"/>
  <c r="E68" i="13"/>
  <c r="A68" i="13" s="1"/>
  <c r="E70" i="13"/>
  <c r="A70" i="13" s="1"/>
  <c r="E71" i="13"/>
  <c r="A71" i="13" s="1"/>
  <c r="E72" i="13"/>
  <c r="A72" i="13" s="1"/>
  <c r="E73" i="13"/>
  <c r="A73" i="13" s="1"/>
  <c r="E74" i="13"/>
  <c r="A74" i="13" s="1"/>
  <c r="E75" i="13"/>
  <c r="A75" i="13" s="1"/>
  <c r="E76" i="13"/>
  <c r="A76" i="13" s="1"/>
  <c r="E77" i="13"/>
  <c r="A77" i="13" s="1"/>
  <c r="E78" i="13"/>
  <c r="A78" i="13" s="1"/>
  <c r="E79" i="13"/>
  <c r="A79" i="13" s="1"/>
  <c r="E80" i="13"/>
  <c r="A80" i="13" s="1"/>
  <c r="E84" i="13"/>
  <c r="A84" i="13" s="1"/>
  <c r="E85" i="13"/>
  <c r="A85" i="13" s="1"/>
  <c r="E87" i="13"/>
  <c r="A87" i="13" s="1"/>
  <c r="E88" i="13"/>
  <c r="A88" i="13" s="1"/>
  <c r="E89" i="13"/>
  <c r="A89" i="13" s="1"/>
  <c r="E90" i="13"/>
  <c r="A90" i="13" s="1"/>
  <c r="E91" i="13"/>
  <c r="A91" i="13" s="1"/>
  <c r="E92" i="13"/>
  <c r="A92" i="13" s="1"/>
  <c r="E93" i="13"/>
  <c r="A93" i="13" s="1"/>
  <c r="E94" i="13"/>
  <c r="A94" i="13" s="1"/>
  <c r="E95" i="13"/>
  <c r="A95" i="13" s="1"/>
  <c r="E96" i="13"/>
  <c r="A96" i="13" s="1"/>
  <c r="E97" i="13"/>
  <c r="A97" i="13" s="1"/>
  <c r="E98" i="13"/>
  <c r="A98" i="13" s="1"/>
  <c r="E99" i="13"/>
  <c r="A99" i="13" s="1"/>
  <c r="E3" i="13"/>
  <c r="A3" i="13" s="1"/>
  <c r="E112" i="12"/>
  <c r="A115" i="12" s="1"/>
  <c r="E87" i="12"/>
  <c r="A89" i="12" s="1"/>
  <c r="E86" i="12"/>
  <c r="A88" i="12" s="1"/>
  <c r="E56" i="12"/>
  <c r="A58" i="12" s="1"/>
  <c r="E23" i="12"/>
  <c r="A24" i="12" s="1"/>
  <c r="E15" i="12"/>
  <c r="A16" i="12" s="1"/>
  <c r="E6" i="12"/>
  <c r="A6" i="12" s="1"/>
  <c r="E3" i="12"/>
  <c r="A3" i="12" l="1"/>
  <c r="E4" i="12"/>
  <c r="A4" i="12" s="1"/>
  <c r="E5" i="12"/>
  <c r="A5" i="12" s="1"/>
  <c r="E7" i="12"/>
  <c r="A7" i="12" s="1"/>
  <c r="E8" i="12"/>
  <c r="A8" i="12" s="1"/>
  <c r="E9" i="12"/>
  <c r="A9" i="12" s="1"/>
  <c r="E10" i="12"/>
  <c r="A10" i="12" s="1"/>
  <c r="E11" i="12"/>
  <c r="A11" i="12" s="1"/>
  <c r="E12" i="12"/>
  <c r="A12" i="12" s="1"/>
  <c r="E13" i="12"/>
  <c r="A14" i="12" s="1"/>
  <c r="E14" i="12"/>
  <c r="A15" i="12" s="1"/>
  <c r="E16" i="12"/>
  <c r="A17" i="12" s="1"/>
  <c r="E17" i="12"/>
  <c r="A18" i="12" s="1"/>
  <c r="E18" i="12"/>
  <c r="A19" i="12" s="1"/>
  <c r="E19" i="12"/>
  <c r="A20" i="12" s="1"/>
  <c r="E20" i="12"/>
  <c r="A21" i="12" s="1"/>
  <c r="E21" i="12"/>
  <c r="A22" i="12" s="1"/>
  <c r="E22" i="12"/>
  <c r="A23" i="12" s="1"/>
  <c r="E24" i="12"/>
  <c r="A25" i="12" s="1"/>
  <c r="E25" i="12"/>
  <c r="A26" i="12" s="1"/>
  <c r="E26" i="12"/>
  <c r="A27" i="12" s="1"/>
  <c r="E27" i="12"/>
  <c r="A28" i="12" s="1"/>
  <c r="E28" i="12"/>
  <c r="A29" i="12" s="1"/>
  <c r="E29" i="12"/>
  <c r="A30" i="12" s="1"/>
  <c r="E30" i="12"/>
  <c r="A31" i="12" s="1"/>
  <c r="E31" i="12"/>
  <c r="A32" i="12" s="1"/>
  <c r="E33" i="12"/>
  <c r="A34" i="12" s="1"/>
  <c r="E34" i="12"/>
  <c r="A35" i="12" s="1"/>
  <c r="E35" i="12"/>
  <c r="A36" i="12" s="1"/>
  <c r="E36" i="12"/>
  <c r="A37" i="12" s="1"/>
  <c r="E37" i="12"/>
  <c r="A38" i="12" s="1"/>
  <c r="E38" i="12"/>
  <c r="A40" i="12" s="1"/>
  <c r="E39" i="12"/>
  <c r="A41" i="12" s="1"/>
  <c r="E40" i="12"/>
  <c r="A42" i="12" s="1"/>
  <c r="E41" i="12"/>
  <c r="A43" i="12" s="1"/>
  <c r="E42" i="12"/>
  <c r="A44" i="12" s="1"/>
  <c r="E43" i="12"/>
  <c r="A45" i="12" s="1"/>
  <c r="E44" i="12"/>
  <c r="A46" i="12" s="1"/>
  <c r="E45" i="12"/>
  <c r="A47" i="12" s="1"/>
  <c r="E46" i="12"/>
  <c r="A48" i="12" s="1"/>
  <c r="E47" i="12"/>
  <c r="A49" i="12" s="1"/>
  <c r="E48" i="12"/>
  <c r="A50" i="12" s="1"/>
  <c r="E49" i="12"/>
  <c r="A51" i="12" s="1"/>
  <c r="E50" i="12"/>
  <c r="A52" i="12" s="1"/>
  <c r="E51" i="12"/>
  <c r="A53" i="12" s="1"/>
  <c r="E52" i="12"/>
  <c r="A54" i="12" s="1"/>
  <c r="E53" i="12"/>
  <c r="A55" i="12" s="1"/>
  <c r="E54" i="12"/>
  <c r="A56" i="12" s="1"/>
  <c r="E55" i="12"/>
  <c r="A57" i="12" s="1"/>
  <c r="E57" i="12"/>
  <c r="A59" i="12" s="1"/>
  <c r="E58" i="12"/>
  <c r="A60" i="12" s="1"/>
  <c r="E59" i="12"/>
  <c r="A61" i="12" s="1"/>
  <c r="E60" i="12"/>
  <c r="A62" i="12" s="1"/>
  <c r="E61" i="12"/>
  <c r="A63" i="12" s="1"/>
  <c r="E62" i="12"/>
  <c r="A64" i="12" s="1"/>
  <c r="E63" i="12"/>
  <c r="A65" i="12" s="1"/>
  <c r="E66" i="12"/>
  <c r="A68" i="12" s="1"/>
  <c r="E67" i="12"/>
  <c r="A69" i="12" s="1"/>
  <c r="E68" i="12"/>
  <c r="A70" i="12" s="1"/>
  <c r="E69" i="12"/>
  <c r="A71" i="12" s="1"/>
  <c r="E70" i="12"/>
  <c r="A72" i="12" s="1"/>
  <c r="E71" i="12"/>
  <c r="A73" i="12" s="1"/>
  <c r="E72" i="12"/>
  <c r="A74" i="12" s="1"/>
  <c r="E73" i="12"/>
  <c r="A75" i="12" s="1"/>
  <c r="E74" i="12"/>
  <c r="A76" i="12" s="1"/>
  <c r="E75" i="12"/>
  <c r="A77" i="12" s="1"/>
  <c r="E76" i="12"/>
  <c r="A78" i="12" s="1"/>
  <c r="E77" i="12"/>
  <c r="A79" i="12" s="1"/>
  <c r="E78" i="12"/>
  <c r="A80" i="12" s="1"/>
  <c r="E79" i="12"/>
  <c r="A81" i="12" s="1"/>
  <c r="E80" i="12"/>
  <c r="A82" i="12" s="1"/>
  <c r="E81" i="12"/>
  <c r="A83" i="12" s="1"/>
  <c r="E82" i="12"/>
  <c r="A84" i="12" s="1"/>
  <c r="E83" i="12"/>
  <c r="A85" i="12" s="1"/>
  <c r="E84" i="12"/>
  <c r="A86" i="12" s="1"/>
  <c r="E85" i="12"/>
  <c r="A87" i="12" s="1"/>
  <c r="E88" i="12"/>
  <c r="A90" i="12" s="1"/>
  <c r="E89" i="12"/>
  <c r="A91" i="12" s="1"/>
  <c r="E90" i="12"/>
  <c r="A92" i="12" s="1"/>
  <c r="E91" i="12"/>
  <c r="A93" i="12" s="1"/>
  <c r="E92" i="12"/>
  <c r="A94" i="12" s="1"/>
  <c r="E93" i="12"/>
  <c r="A95" i="12" s="1"/>
  <c r="E94" i="12"/>
  <c r="A96" i="12" s="1"/>
  <c r="E95" i="12"/>
  <c r="A97" i="12" s="1"/>
  <c r="E96" i="12"/>
  <c r="A98" i="12" s="1"/>
  <c r="E97" i="12"/>
  <c r="A99" i="12" s="1"/>
  <c r="E98" i="12"/>
  <c r="A101" i="12" s="1"/>
  <c r="E99" i="12"/>
  <c r="A102" i="12" s="1"/>
  <c r="E100" i="12"/>
  <c r="A103" i="12" s="1"/>
  <c r="E101" i="12"/>
  <c r="A104" i="12" s="1"/>
  <c r="E102" i="12"/>
  <c r="A105" i="12" s="1"/>
  <c r="E103" i="12"/>
  <c r="A106" i="12" s="1"/>
  <c r="E104" i="12"/>
  <c r="A107" i="12" s="1"/>
  <c r="E105" i="12"/>
  <c r="A108" i="12" s="1"/>
  <c r="E106" i="12"/>
  <c r="A109" i="12" s="1"/>
  <c r="E107" i="12"/>
  <c r="A110" i="12" s="1"/>
  <c r="E108" i="12"/>
  <c r="A111" i="12" s="1"/>
  <c r="E109" i="12"/>
  <c r="A112" i="12" s="1"/>
  <c r="E110" i="12"/>
  <c r="A113" i="12" s="1"/>
  <c r="E111" i="12"/>
  <c r="A114" i="12" s="1"/>
  <c r="E113" i="12"/>
  <c r="A116" i="12" s="1"/>
  <c r="E114" i="12"/>
  <c r="A117" i="12" s="1"/>
  <c r="E115" i="12"/>
  <c r="A118" i="12" s="1"/>
  <c r="E116" i="12"/>
  <c r="A119" i="12" s="1"/>
  <c r="E117" i="12"/>
  <c r="A120" i="12" s="1"/>
  <c r="E118" i="12"/>
  <c r="A121" i="12" s="1"/>
  <c r="E119" i="12"/>
  <c r="A122" i="12" s="1"/>
  <c r="E120" i="12"/>
  <c r="A123" i="12" s="1"/>
  <c r="E121" i="12"/>
  <c r="A124" i="12" s="1"/>
  <c r="E122" i="12"/>
  <c r="A126" i="12" s="1"/>
  <c r="N60" i="11"/>
  <c r="A60" i="11" s="1"/>
  <c r="N51" i="11"/>
  <c r="A51" i="11" s="1"/>
  <c r="N45" i="11"/>
  <c r="A45" i="11" s="1"/>
  <c r="N41" i="11"/>
  <c r="A41" i="11" s="1"/>
  <c r="N37" i="11"/>
  <c r="A37" i="11" s="1"/>
  <c r="N19" i="11"/>
  <c r="A19" i="11" s="1"/>
  <c r="N16" i="11"/>
  <c r="A16" i="11" s="1"/>
  <c r="N11" i="11"/>
  <c r="A11" i="11" s="1"/>
  <c r="N4" i="11"/>
  <c r="A4" i="11" s="1"/>
  <c r="N5" i="11"/>
  <c r="A5" i="11" s="1"/>
  <c r="N6" i="11"/>
  <c r="A6" i="11" s="1"/>
  <c r="N7" i="11"/>
  <c r="A7" i="11" s="1"/>
  <c r="N8" i="11"/>
  <c r="A8" i="11" s="1"/>
  <c r="N9" i="11"/>
  <c r="A9" i="11" s="1"/>
  <c r="N10" i="11"/>
  <c r="A10" i="11" s="1"/>
  <c r="N12" i="11"/>
  <c r="A12" i="11" s="1"/>
  <c r="N13" i="11"/>
  <c r="A13" i="11" s="1"/>
  <c r="N14" i="11"/>
  <c r="A14" i="11" s="1"/>
  <c r="N15" i="11"/>
  <c r="A15" i="11" s="1"/>
  <c r="N17" i="11"/>
  <c r="A17" i="11" s="1"/>
  <c r="N18" i="11"/>
  <c r="A18" i="11" s="1"/>
  <c r="N20" i="11"/>
  <c r="A20" i="11" s="1"/>
  <c r="N22" i="11"/>
  <c r="A22" i="11" s="1"/>
  <c r="N23" i="11"/>
  <c r="A23" i="11" s="1"/>
  <c r="N25" i="11"/>
  <c r="A25" i="11" s="1"/>
  <c r="N26" i="11"/>
  <c r="A26" i="11" s="1"/>
  <c r="N27" i="11"/>
  <c r="A27" i="11" s="1"/>
  <c r="N32" i="11"/>
  <c r="A32" i="11" s="1"/>
  <c r="N33" i="11"/>
  <c r="A33" i="11" s="1"/>
  <c r="N34" i="11"/>
  <c r="A34" i="11" s="1"/>
  <c r="N35" i="11"/>
  <c r="A35" i="11" s="1"/>
  <c r="N36" i="11"/>
  <c r="A36" i="11" s="1"/>
  <c r="N38" i="11"/>
  <c r="A38" i="11" s="1"/>
  <c r="N39" i="11"/>
  <c r="A39" i="11" s="1"/>
  <c r="N42" i="11"/>
  <c r="A42" i="11" s="1"/>
  <c r="N43" i="11"/>
  <c r="A43" i="11" s="1"/>
  <c r="N44" i="11"/>
  <c r="A44" i="11" s="1"/>
  <c r="N46" i="11"/>
  <c r="A46" i="11" s="1"/>
  <c r="N47" i="11"/>
  <c r="A47" i="11" s="1"/>
  <c r="N48" i="11"/>
  <c r="A48" i="11" s="1"/>
  <c r="N49" i="11"/>
  <c r="A49" i="11" s="1"/>
  <c r="N50" i="11"/>
  <c r="A50" i="11" s="1"/>
  <c r="N52" i="11"/>
  <c r="A52" i="11" s="1"/>
  <c r="N54" i="11"/>
  <c r="A54" i="11" s="1"/>
  <c r="N55" i="11"/>
  <c r="A55" i="11" s="1"/>
  <c r="N56" i="11"/>
  <c r="A56" i="11" s="1"/>
  <c r="N57" i="11"/>
  <c r="A57" i="11" s="1"/>
  <c r="N58" i="11"/>
  <c r="A58" i="11" s="1"/>
  <c r="N59" i="11"/>
  <c r="A59" i="11" s="1"/>
  <c r="N61" i="11"/>
  <c r="A61" i="11" s="1"/>
  <c r="N62" i="11"/>
  <c r="A62" i="11" s="1"/>
  <c r="N63" i="11"/>
  <c r="A63" i="11" s="1"/>
  <c r="N64" i="11"/>
  <c r="A64" i="11" s="1"/>
  <c r="N65" i="11"/>
  <c r="A65" i="11" s="1"/>
  <c r="N66" i="11"/>
  <c r="A66" i="11" s="1"/>
  <c r="N67" i="11"/>
  <c r="A67" i="11" s="1"/>
  <c r="N68" i="11"/>
  <c r="A68" i="11" s="1"/>
  <c r="N69" i="11"/>
  <c r="A69" i="11" s="1"/>
  <c r="N70" i="11"/>
  <c r="A70" i="11" s="1"/>
  <c r="N71" i="11"/>
  <c r="A71" i="11" s="1"/>
  <c r="N28" i="11"/>
  <c r="A28" i="11" s="1"/>
  <c r="N72" i="11"/>
  <c r="A72" i="11" s="1"/>
  <c r="N73" i="11"/>
  <c r="A73" i="11" s="1"/>
  <c r="N74" i="11"/>
  <c r="A74" i="11" s="1"/>
  <c r="N75" i="11"/>
  <c r="A75" i="11" s="1"/>
  <c r="N76" i="11"/>
  <c r="A76" i="11" s="1"/>
  <c r="N29" i="11"/>
  <c r="N79" i="11"/>
  <c r="A79" i="11" s="1"/>
  <c r="N80" i="11"/>
  <c r="A80" i="11" s="1"/>
  <c r="N81" i="11"/>
  <c r="A81" i="11" s="1"/>
  <c r="N82" i="11"/>
  <c r="A82" i="11" s="1"/>
  <c r="N83" i="11"/>
  <c r="A83" i="11" s="1"/>
  <c r="N31" i="11"/>
  <c r="A31" i="11" s="1"/>
  <c r="N84" i="11"/>
  <c r="A84" i="11" s="1"/>
  <c r="N85" i="11"/>
  <c r="A85" i="11" s="1"/>
  <c r="N3" i="11"/>
  <c r="A3" i="11" s="1"/>
  <c r="E29" i="10" l="1"/>
  <c r="E17" i="10"/>
  <c r="E15" i="10"/>
  <c r="E4" i="10"/>
  <c r="E5" i="10"/>
  <c r="E6" i="10"/>
  <c r="E7" i="10"/>
  <c r="E8" i="10"/>
  <c r="E9" i="10"/>
  <c r="E10" i="10"/>
  <c r="E11" i="10"/>
  <c r="E12" i="10"/>
  <c r="E13" i="10"/>
  <c r="E14" i="10"/>
  <c r="E16" i="10"/>
  <c r="E18" i="10"/>
  <c r="E19" i="10"/>
  <c r="E20" i="10"/>
  <c r="E22" i="10"/>
  <c r="E23" i="10"/>
  <c r="E24" i="10"/>
  <c r="E25" i="10"/>
  <c r="E26" i="10"/>
  <c r="E27" i="10"/>
  <c r="E28" i="10"/>
  <c r="E30" i="10"/>
  <c r="E31" i="10"/>
  <c r="E32" i="10"/>
  <c r="E33" i="10"/>
  <c r="E34" i="10"/>
  <c r="E35" i="10"/>
  <c r="E36" i="10"/>
  <c r="E37" i="10"/>
  <c r="E38" i="10"/>
  <c r="E39" i="10"/>
  <c r="E40" i="10"/>
  <c r="E41" i="10"/>
  <c r="E42" i="10"/>
  <c r="E44" i="10"/>
  <c r="E46" i="10"/>
  <c r="E47" i="10"/>
  <c r="E3" i="10"/>
  <c r="E59" i="9"/>
  <c r="E54" i="9"/>
  <c r="E50" i="9"/>
  <c r="E4" i="9"/>
  <c r="E5" i="9"/>
  <c r="E6" i="9"/>
  <c r="E7" i="9"/>
  <c r="E8" i="9"/>
  <c r="E9" i="9"/>
  <c r="E10" i="9"/>
  <c r="E11" i="9"/>
  <c r="E12" i="9"/>
  <c r="E13" i="9"/>
  <c r="E14" i="9"/>
  <c r="E15" i="9"/>
  <c r="E16" i="9"/>
  <c r="E17" i="9"/>
  <c r="E18" i="9"/>
  <c r="E19" i="9"/>
  <c r="E20" i="9"/>
  <c r="E21" i="9"/>
  <c r="E22" i="9"/>
  <c r="E24" i="9"/>
  <c r="E25" i="9"/>
  <c r="E26" i="9"/>
  <c r="E27" i="9"/>
  <c r="E29" i="9"/>
  <c r="E30" i="9"/>
  <c r="E31" i="9"/>
  <c r="E32" i="9"/>
  <c r="E33" i="9"/>
  <c r="E34" i="9"/>
  <c r="E35" i="9"/>
  <c r="E36" i="9"/>
  <c r="E37" i="9"/>
  <c r="E38" i="9"/>
  <c r="E39" i="9"/>
  <c r="E40" i="9"/>
  <c r="E41" i="9"/>
  <c r="E42" i="9"/>
  <c r="E43" i="9"/>
  <c r="E44" i="9"/>
  <c r="E45" i="9"/>
  <c r="E46" i="9"/>
  <c r="E47" i="9"/>
  <c r="E48" i="9"/>
  <c r="E49" i="9"/>
  <c r="E51" i="9"/>
  <c r="E52" i="9"/>
  <c r="E53" i="9"/>
  <c r="E55" i="9"/>
  <c r="E56" i="9"/>
  <c r="E57" i="9"/>
  <c r="E58" i="9"/>
  <c r="E60" i="9"/>
  <c r="E61" i="9"/>
  <c r="E62" i="9"/>
  <c r="E63" i="9"/>
  <c r="E3" i="9"/>
  <c r="E112" i="7"/>
  <c r="E113" i="7"/>
  <c r="E114" i="7"/>
  <c r="E115" i="7"/>
  <c r="E116" i="7"/>
  <c r="E78" i="7"/>
  <c r="E56" i="7"/>
  <c r="E57" i="7"/>
  <c r="E4" i="7"/>
  <c r="E5" i="7"/>
  <c r="E6" i="7"/>
  <c r="E7" i="7"/>
  <c r="E8" i="7"/>
  <c r="E9" i="7"/>
  <c r="E10" i="7"/>
  <c r="E11" i="7"/>
  <c r="E12" i="7"/>
  <c r="E13" i="7"/>
  <c r="E14" i="7"/>
  <c r="E15" i="7"/>
  <c r="E16" i="7"/>
  <c r="E17" i="7"/>
  <c r="E19" i="7"/>
  <c r="E20" i="7"/>
  <c r="E21" i="7"/>
  <c r="E22" i="7"/>
  <c r="E23" i="7"/>
  <c r="E24" i="7"/>
  <c r="E25" i="7"/>
  <c r="E26" i="7"/>
  <c r="E27" i="7"/>
  <c r="E28" i="7"/>
  <c r="E29" i="7"/>
  <c r="E30" i="7"/>
  <c r="E31" i="7"/>
  <c r="E32" i="7"/>
  <c r="E33" i="7"/>
  <c r="E34" i="7"/>
  <c r="E35" i="7"/>
  <c r="E38" i="7"/>
  <c r="E39" i="7"/>
  <c r="E40" i="7"/>
  <c r="E41" i="7"/>
  <c r="E42" i="7"/>
  <c r="E43" i="7"/>
  <c r="E44" i="7"/>
  <c r="E45" i="7"/>
  <c r="E46" i="7"/>
  <c r="E47" i="7"/>
  <c r="E48" i="7"/>
  <c r="E49" i="7"/>
  <c r="E51" i="7"/>
  <c r="E52" i="7"/>
  <c r="E53" i="7"/>
  <c r="E54" i="7"/>
  <c r="E55" i="7"/>
  <c r="E58" i="7"/>
  <c r="E59" i="7"/>
  <c r="E60" i="7"/>
  <c r="E61" i="7"/>
  <c r="E62" i="7"/>
  <c r="E63" i="7"/>
  <c r="E64" i="7"/>
  <c r="E65" i="7"/>
  <c r="E66" i="7"/>
  <c r="E67" i="7"/>
  <c r="E68" i="7"/>
  <c r="E70" i="7"/>
  <c r="E71" i="7"/>
  <c r="E72" i="7"/>
  <c r="E73" i="7"/>
  <c r="E74" i="7"/>
  <c r="E75" i="7"/>
  <c r="E76" i="7"/>
  <c r="E77" i="7"/>
  <c r="E79" i="7"/>
  <c r="E80" i="7"/>
  <c r="E81" i="7"/>
  <c r="E82" i="7"/>
  <c r="E83" i="7"/>
  <c r="E85" i="7"/>
  <c r="E86" i="7"/>
  <c r="E87" i="7"/>
  <c r="E88" i="7"/>
  <c r="E89" i="7"/>
  <c r="E90" i="7"/>
  <c r="E91" i="7"/>
  <c r="E92" i="7"/>
  <c r="E93" i="7"/>
  <c r="E94" i="7"/>
  <c r="E95" i="7"/>
  <c r="E96" i="7"/>
  <c r="E97" i="7"/>
  <c r="E99" i="7"/>
  <c r="E100" i="7"/>
  <c r="E101" i="7"/>
  <c r="E102" i="7"/>
  <c r="E103" i="7"/>
  <c r="E104" i="7"/>
  <c r="E105" i="7"/>
  <c r="E106" i="7"/>
  <c r="E107" i="7"/>
  <c r="E108" i="7"/>
  <c r="E109" i="7"/>
  <c r="E110" i="7"/>
  <c r="E111" i="7"/>
  <c r="E117" i="7"/>
  <c r="E3" i="7"/>
  <c r="A46" i="10" l="1"/>
  <c r="A32" i="10"/>
  <c r="A18" i="10"/>
  <c r="A12" i="10"/>
  <c r="A4" i="10"/>
  <c r="A44" i="10"/>
  <c r="A39" i="10"/>
  <c r="A35" i="10"/>
  <c r="A31" i="10"/>
  <c r="A26" i="10"/>
  <c r="A22" i="10"/>
  <c r="A16" i="10"/>
  <c r="A11" i="10"/>
  <c r="A7" i="10"/>
  <c r="A15" i="10"/>
  <c r="A40" i="10"/>
  <c r="A27" i="10"/>
  <c r="A42" i="10"/>
  <c r="A38" i="10"/>
  <c r="A34" i="10"/>
  <c r="A30" i="10"/>
  <c r="A25" i="10"/>
  <c r="A20" i="10"/>
  <c r="A14" i="10"/>
  <c r="A10" i="10"/>
  <c r="A6" i="10"/>
  <c r="A17" i="10"/>
  <c r="A36" i="10"/>
  <c r="A23" i="10"/>
  <c r="A8" i="10"/>
  <c r="A47" i="10"/>
  <c r="A41" i="10"/>
  <c r="A37" i="10"/>
  <c r="A33" i="10"/>
  <c r="A28" i="10"/>
  <c r="A24" i="10"/>
  <c r="A19" i="10"/>
  <c r="A13" i="10"/>
  <c r="A9" i="10"/>
  <c r="A5" i="10"/>
  <c r="A29" i="10"/>
  <c r="A48" i="9"/>
  <c r="A40" i="9"/>
  <c r="A32" i="9"/>
  <c r="A18" i="9"/>
  <c r="A10" i="9"/>
  <c r="A62" i="9"/>
  <c r="A57" i="9"/>
  <c r="A52" i="9"/>
  <c r="A47" i="9"/>
  <c r="A43" i="9"/>
  <c r="A39" i="9"/>
  <c r="A35" i="9"/>
  <c r="A31" i="9"/>
  <c r="A26" i="9"/>
  <c r="A21" i="9"/>
  <c r="A17" i="9"/>
  <c r="A13" i="9"/>
  <c r="A9" i="9"/>
  <c r="A5" i="9"/>
  <c r="A59" i="9"/>
  <c r="A58" i="9"/>
  <c r="A44" i="9"/>
  <c r="A27" i="9"/>
  <c r="A14" i="9"/>
  <c r="A54" i="9"/>
  <c r="A61" i="9"/>
  <c r="A56" i="9"/>
  <c r="A51" i="9"/>
  <c r="A46" i="9"/>
  <c r="A42" i="9"/>
  <c r="A38" i="9"/>
  <c r="A34" i="9"/>
  <c r="A30" i="9"/>
  <c r="A25" i="9"/>
  <c r="A20" i="9"/>
  <c r="A16" i="9"/>
  <c r="A12" i="9"/>
  <c r="A8" i="9"/>
  <c r="A4" i="9"/>
  <c r="A63" i="9"/>
  <c r="A53" i="9"/>
  <c r="A36" i="9"/>
  <c r="A22" i="9"/>
  <c r="A6" i="9"/>
  <c r="A3" i="9"/>
  <c r="A60" i="9"/>
  <c r="A55" i="9"/>
  <c r="A49" i="9"/>
  <c r="A45" i="9"/>
  <c r="A41" i="9"/>
  <c r="A37" i="9"/>
  <c r="A33" i="9"/>
  <c r="A29" i="9"/>
  <c r="A24" i="9"/>
  <c r="A19" i="9"/>
  <c r="A15" i="9"/>
  <c r="A11" i="9"/>
  <c r="A7" i="9"/>
  <c r="A50" i="9"/>
  <c r="A108" i="7"/>
  <c r="A56" i="7"/>
  <c r="A22" i="7"/>
  <c r="A113" i="7"/>
  <c r="A104" i="7"/>
  <c r="A95" i="7"/>
  <c r="A87" i="7"/>
  <c r="A77" i="7"/>
  <c r="A73" i="7"/>
  <c r="A64" i="7"/>
  <c r="A54" i="7"/>
  <c r="A45" i="7"/>
  <c r="A35" i="7"/>
  <c r="A27" i="7"/>
  <c r="A19" i="7"/>
  <c r="A10" i="7"/>
  <c r="A114" i="7"/>
  <c r="A107" i="7"/>
  <c r="A99" i="7"/>
  <c r="A90" i="7"/>
  <c r="A81" i="7"/>
  <c r="A72" i="7"/>
  <c r="A63" i="7"/>
  <c r="A59" i="7"/>
  <c r="A48" i="7"/>
  <c r="A40" i="7"/>
  <c r="A34" i="7"/>
  <c r="A30" i="7"/>
  <c r="A26" i="7"/>
  <c r="A17" i="7"/>
  <c r="A13" i="7"/>
  <c r="A9" i="7"/>
  <c r="A5" i="7"/>
  <c r="A78" i="7"/>
  <c r="A110" i="7"/>
  <c r="A106" i="7"/>
  <c r="A102" i="7"/>
  <c r="A97" i="7"/>
  <c r="A93" i="7"/>
  <c r="A89" i="7"/>
  <c r="A85" i="7"/>
  <c r="A80" i="7"/>
  <c r="A75" i="7"/>
  <c r="A71" i="7"/>
  <c r="A66" i="7"/>
  <c r="A62" i="7"/>
  <c r="A58" i="7"/>
  <c r="A52" i="7"/>
  <c r="A47" i="7"/>
  <c r="A43" i="7"/>
  <c r="A39" i="7"/>
  <c r="A33" i="7"/>
  <c r="A29" i="7"/>
  <c r="A25" i="7"/>
  <c r="A21" i="7"/>
  <c r="A16" i="7"/>
  <c r="A12" i="7"/>
  <c r="A8" i="7"/>
  <c r="A4" i="7"/>
  <c r="A116" i="7"/>
  <c r="A112" i="7"/>
  <c r="A117" i="7"/>
  <c r="A100" i="7"/>
  <c r="A91" i="7"/>
  <c r="A82" i="7"/>
  <c r="A68" i="7"/>
  <c r="A60" i="7"/>
  <c r="A49" i="7"/>
  <c r="A41" i="7"/>
  <c r="A31" i="7"/>
  <c r="A23" i="7"/>
  <c r="A14" i="7"/>
  <c r="A6" i="7"/>
  <c r="A111" i="7"/>
  <c r="A103" i="7"/>
  <c r="A94" i="7"/>
  <c r="A86" i="7"/>
  <c r="A76" i="7"/>
  <c r="A67" i="7"/>
  <c r="A53" i="7"/>
  <c r="A44" i="7"/>
  <c r="A3" i="7"/>
  <c r="A109" i="7"/>
  <c r="A105" i="7"/>
  <c r="A101" i="7"/>
  <c r="A96" i="7"/>
  <c r="A92" i="7"/>
  <c r="A88" i="7"/>
  <c r="A83" i="7"/>
  <c r="A79" i="7"/>
  <c r="A74" i="7"/>
  <c r="A70" i="7"/>
  <c r="A65" i="7"/>
  <c r="A61" i="7"/>
  <c r="A55" i="7"/>
  <c r="A51" i="7"/>
  <c r="A46" i="7"/>
  <c r="A42" i="7"/>
  <c r="A38" i="7"/>
  <c r="A32" i="7"/>
  <c r="A28" i="7"/>
  <c r="A24" i="7"/>
  <c r="A20" i="7"/>
  <c r="A15" i="7"/>
  <c r="A11" i="7"/>
  <c r="A7" i="7"/>
  <c r="A57" i="7"/>
  <c r="A115" i="7"/>
  <c r="E65" i="6"/>
  <c r="E56" i="6"/>
  <c r="E54" i="6"/>
  <c r="E26" i="6"/>
  <c r="E4" i="6"/>
  <c r="E5" i="6"/>
  <c r="E6" i="6"/>
  <c r="E7" i="6"/>
  <c r="E8" i="6"/>
  <c r="E9" i="6"/>
  <c r="E10" i="6"/>
  <c r="E11" i="6"/>
  <c r="E12" i="6"/>
  <c r="E13" i="6"/>
  <c r="E14" i="6"/>
  <c r="E15" i="6"/>
  <c r="E16" i="6"/>
  <c r="E17" i="6"/>
  <c r="E18" i="6"/>
  <c r="E19" i="6"/>
  <c r="E20" i="6"/>
  <c r="E21" i="6"/>
  <c r="E22" i="6"/>
  <c r="E23" i="6"/>
  <c r="E24" i="6"/>
  <c r="E25" i="6"/>
  <c r="E27" i="6"/>
  <c r="E28" i="6"/>
  <c r="E29" i="6"/>
  <c r="E30" i="6"/>
  <c r="E31" i="6"/>
  <c r="E33" i="6"/>
  <c r="E34" i="6"/>
  <c r="E35" i="6"/>
  <c r="E36" i="6"/>
  <c r="E37" i="6"/>
  <c r="E38" i="6"/>
  <c r="E40" i="6"/>
  <c r="E41" i="6"/>
  <c r="E42" i="6"/>
  <c r="E43" i="6"/>
  <c r="E44" i="6"/>
  <c r="E45" i="6"/>
  <c r="E46" i="6"/>
  <c r="E47" i="6"/>
  <c r="E48" i="6"/>
  <c r="E49" i="6"/>
  <c r="E50" i="6"/>
  <c r="E51" i="6"/>
  <c r="E52" i="6"/>
  <c r="E53" i="6"/>
  <c r="E55" i="6"/>
  <c r="E57" i="6"/>
  <c r="E58" i="6"/>
  <c r="E59" i="6"/>
  <c r="E60" i="6"/>
  <c r="E61" i="6"/>
  <c r="E62" i="6"/>
  <c r="E63" i="6"/>
  <c r="E64" i="6"/>
  <c r="E66" i="6"/>
  <c r="E67" i="6"/>
  <c r="E68" i="6"/>
  <c r="E69" i="6"/>
  <c r="E70" i="6"/>
  <c r="E71" i="6"/>
  <c r="E72" i="6"/>
  <c r="E73" i="6"/>
  <c r="E74" i="6"/>
  <c r="E75" i="6"/>
  <c r="E76" i="6"/>
  <c r="E77" i="6"/>
  <c r="E78" i="6"/>
  <c r="E79" i="6"/>
  <c r="E3" i="6"/>
  <c r="E82" i="5"/>
  <c r="E78" i="5"/>
  <c r="E62" i="5"/>
  <c r="E4" i="5"/>
  <c r="E5" i="5"/>
  <c r="E6" i="5"/>
  <c r="E7" i="5"/>
  <c r="E8" i="5"/>
  <c r="E9" i="5"/>
  <c r="E10" i="5"/>
  <c r="E11" i="5"/>
  <c r="E12" i="5"/>
  <c r="E13" i="5"/>
  <c r="E14" i="5"/>
  <c r="E15" i="5"/>
  <c r="E16" i="5"/>
  <c r="E17" i="5"/>
  <c r="E18" i="5"/>
  <c r="E19" i="5"/>
  <c r="E20" i="5"/>
  <c r="E21" i="5"/>
  <c r="E22" i="5"/>
  <c r="E23" i="5"/>
  <c r="E24" i="5"/>
  <c r="E25" i="5"/>
  <c r="E26" i="5"/>
  <c r="E27"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3" i="5"/>
  <c r="E64" i="5"/>
  <c r="E65" i="5"/>
  <c r="E66" i="5"/>
  <c r="E67" i="5"/>
  <c r="E68" i="5"/>
  <c r="E69" i="5"/>
  <c r="E70" i="5"/>
  <c r="E71" i="5"/>
  <c r="E72" i="5"/>
  <c r="E73" i="5"/>
  <c r="E74" i="5"/>
  <c r="E75" i="5"/>
  <c r="E76" i="5"/>
  <c r="E77" i="5"/>
  <c r="E79" i="5"/>
  <c r="E80" i="5"/>
  <c r="E81" i="5"/>
  <c r="E83" i="5"/>
  <c r="E84" i="5"/>
  <c r="E85" i="5"/>
  <c r="E86" i="5"/>
  <c r="E87" i="5"/>
  <c r="E88" i="5"/>
  <c r="E89" i="5"/>
  <c r="E90" i="5"/>
  <c r="E91" i="5"/>
  <c r="E92" i="5"/>
  <c r="E93" i="5"/>
  <c r="E94" i="5"/>
  <c r="E95" i="5"/>
  <c r="E96" i="5"/>
  <c r="E97" i="5"/>
  <c r="E98" i="5"/>
  <c r="E99" i="5"/>
  <c r="E100" i="5"/>
  <c r="E101" i="5"/>
  <c r="E102" i="5"/>
  <c r="E103"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3" i="5"/>
  <c r="O2" i="13"/>
  <c r="F2" i="12"/>
  <c r="O2" i="11"/>
  <c r="F2" i="10"/>
  <c r="A69" i="6" l="1"/>
  <c r="A55" i="6"/>
  <c r="A42" i="6"/>
  <c r="A28" i="6"/>
  <c r="A15" i="6"/>
  <c r="A26" i="6"/>
  <c r="A3" i="6"/>
  <c r="A76" i="6"/>
  <c r="A72" i="6"/>
  <c r="A68" i="6"/>
  <c r="A63" i="6"/>
  <c r="A59" i="6"/>
  <c r="A53" i="6"/>
  <c r="A49" i="6"/>
  <c r="A45" i="6"/>
  <c r="A41" i="6"/>
  <c r="A36" i="6"/>
  <c r="A31" i="6"/>
  <c r="A27" i="6"/>
  <c r="A22" i="6"/>
  <c r="A18" i="6"/>
  <c r="A14" i="6"/>
  <c r="A10" i="6"/>
  <c r="A6" i="6"/>
  <c r="A54" i="6"/>
  <c r="A73" i="6"/>
  <c r="A60" i="6"/>
  <c r="A46" i="6"/>
  <c r="A37" i="6"/>
  <c r="A19" i="6"/>
  <c r="A11" i="6"/>
  <c r="A79" i="6"/>
  <c r="A75" i="6"/>
  <c r="A71" i="6"/>
  <c r="A67" i="6"/>
  <c r="A62" i="6"/>
  <c r="A58" i="6"/>
  <c r="A52" i="6"/>
  <c r="A48" i="6"/>
  <c r="A44" i="6"/>
  <c r="A40" i="6"/>
  <c r="A35" i="6"/>
  <c r="A30" i="6"/>
  <c r="A25" i="6"/>
  <c r="A21" i="6"/>
  <c r="A17" i="6"/>
  <c r="A13" i="6"/>
  <c r="A9" i="6"/>
  <c r="A5" i="6"/>
  <c r="A56" i="6"/>
  <c r="A77" i="6"/>
  <c r="A64" i="6"/>
  <c r="A50" i="6"/>
  <c r="A33" i="6"/>
  <c r="A23" i="6"/>
  <c r="A7" i="6"/>
  <c r="A78" i="6"/>
  <c r="A74" i="6"/>
  <c r="A70" i="6"/>
  <c r="A66" i="6"/>
  <c r="A61" i="6"/>
  <c r="A57" i="6"/>
  <c r="A51" i="6"/>
  <c r="A47" i="6"/>
  <c r="A43" i="6"/>
  <c r="A38" i="6"/>
  <c r="A34" i="6"/>
  <c r="A29" i="6"/>
  <c r="A24" i="6"/>
  <c r="A20" i="6"/>
  <c r="A16" i="6"/>
  <c r="A12" i="6"/>
  <c r="A8" i="6"/>
  <c r="A4" i="6"/>
  <c r="A65" i="6"/>
  <c r="A3" i="5"/>
  <c r="A82" i="5"/>
  <c r="A62" i="5"/>
  <c r="A78" i="5"/>
  <c r="R1887" i="2"/>
  <c r="M2" i="9" l="1"/>
  <c r="O2" i="7"/>
  <c r="O8" i="2"/>
  <c r="P8" i="4" s="1"/>
  <c r="O2" i="5"/>
  <c r="P2" i="8" s="1"/>
  <c r="A1" i="8" s="1"/>
  <c r="D1653" i="18" l="1"/>
  <c r="D1654" i="18"/>
  <c r="D1655" i="18"/>
  <c r="D1656" i="18"/>
  <c r="D1657" i="18"/>
  <c r="D1658" i="18"/>
  <c r="D1659" i="18"/>
  <c r="D1660" i="18"/>
  <c r="D1661" i="18"/>
  <c r="D1662" i="18"/>
  <c r="D1663" i="18"/>
  <c r="D1664" i="18"/>
  <c r="D1665" i="18"/>
  <c r="D1666" i="18"/>
  <c r="D1667" i="18"/>
  <c r="D1668" i="18"/>
  <c r="D1669" i="18"/>
  <c r="D1670" i="18"/>
  <c r="D1671" i="18"/>
  <c r="D1672" i="18"/>
  <c r="D1673" i="18"/>
  <c r="D1674" i="18"/>
  <c r="D1675" i="18"/>
  <c r="D1676" i="18"/>
  <c r="D1677" i="18"/>
  <c r="D1678" i="18"/>
  <c r="D1679" i="18"/>
  <c r="D1680" i="18"/>
  <c r="D1681" i="18"/>
  <c r="D1682" i="18"/>
  <c r="D1683" i="18"/>
  <c r="D1684" i="18"/>
  <c r="D1685" i="18"/>
  <c r="D1686" i="18"/>
  <c r="D1687" i="18"/>
  <c r="D1688" i="18"/>
  <c r="D1689" i="18"/>
  <c r="D1690" i="18"/>
  <c r="D1691" i="18"/>
  <c r="D1692" i="18"/>
  <c r="D1693" i="18"/>
  <c r="D1694" i="18"/>
  <c r="D1652" i="18"/>
  <c r="D1444" i="18"/>
  <c r="D1445" i="18"/>
  <c r="D1446" i="18"/>
  <c r="D1447" i="18"/>
  <c r="D1448" i="18"/>
  <c r="D1449" i="18"/>
  <c r="D1450" i="18"/>
  <c r="D1451" i="18"/>
  <c r="D1452" i="18"/>
  <c r="D1453" i="18"/>
  <c r="D1454" i="18"/>
  <c r="D1455" i="18"/>
  <c r="D1456" i="18"/>
  <c r="D1457" i="18"/>
  <c r="D1458" i="18"/>
  <c r="D1459" i="18"/>
  <c r="D1460" i="18"/>
  <c r="D1461" i="18"/>
  <c r="D1462" i="18"/>
  <c r="D1463" i="18"/>
  <c r="D1464" i="18"/>
  <c r="D1465" i="18"/>
  <c r="D1466" i="18"/>
  <c r="D1467" i="18"/>
  <c r="D1468" i="18"/>
  <c r="D1469" i="18"/>
  <c r="D1470" i="18"/>
  <c r="D1471" i="18"/>
  <c r="D1472" i="18"/>
  <c r="D1473" i="18"/>
  <c r="D1474" i="18"/>
  <c r="D1475" i="18"/>
  <c r="D1476" i="18"/>
  <c r="D1477" i="18"/>
  <c r="D1478" i="18"/>
  <c r="D1479" i="18"/>
  <c r="D1480" i="18"/>
  <c r="D1481" i="18"/>
  <c r="D1482" i="18"/>
  <c r="D1483" i="18"/>
  <c r="D1484" i="18"/>
  <c r="D1485" i="18"/>
  <c r="D1486" i="18"/>
  <c r="D1487" i="18"/>
  <c r="D1488" i="18"/>
  <c r="D1489" i="18"/>
  <c r="D1490" i="18"/>
  <c r="D1491" i="18"/>
  <c r="D1492" i="18"/>
  <c r="D1493" i="18"/>
  <c r="D1494" i="18"/>
  <c r="D1495" i="18"/>
  <c r="D1496" i="18"/>
  <c r="D1497" i="18"/>
  <c r="D1498" i="18"/>
  <c r="D1499" i="18"/>
  <c r="D1500" i="18"/>
  <c r="D1501" i="18"/>
  <c r="D1502" i="18"/>
  <c r="D1503" i="18"/>
  <c r="D1504" i="18"/>
  <c r="D1505" i="18"/>
  <c r="D1506" i="18"/>
  <c r="D1507" i="18"/>
  <c r="D1508" i="18"/>
  <c r="D1509" i="18"/>
  <c r="D1510" i="18"/>
  <c r="D1511" i="18"/>
  <c r="D1512" i="18"/>
  <c r="D1513" i="18"/>
  <c r="D1514" i="18"/>
  <c r="D1515" i="18"/>
  <c r="D1516" i="18"/>
  <c r="D1517" i="18"/>
  <c r="D1518" i="18"/>
  <c r="D1519" i="18"/>
  <c r="D1520" i="18"/>
  <c r="D1521" i="18"/>
  <c r="D1522" i="18"/>
  <c r="D1523" i="18"/>
  <c r="D1524" i="18"/>
  <c r="D1525" i="18"/>
  <c r="D1526" i="18"/>
  <c r="D1527" i="18"/>
  <c r="D1528" i="18"/>
  <c r="D1529" i="18"/>
  <c r="D1530" i="18"/>
  <c r="D1531" i="18"/>
  <c r="D1532" i="18"/>
  <c r="D1533" i="18"/>
  <c r="D1534" i="18"/>
  <c r="D1535" i="18"/>
  <c r="D1536" i="18"/>
  <c r="D1537" i="18"/>
  <c r="D1538" i="18"/>
  <c r="D1539" i="18"/>
  <c r="D1540" i="18"/>
  <c r="D1541" i="18"/>
  <c r="D1542" i="18"/>
  <c r="D1543" i="18"/>
  <c r="D1544" i="18"/>
  <c r="D1545" i="18"/>
  <c r="D1546" i="18"/>
  <c r="D1547" i="18"/>
  <c r="D1548" i="18"/>
  <c r="D1549" i="18"/>
  <c r="D1550" i="18"/>
  <c r="D1551" i="18"/>
  <c r="D1552" i="18"/>
  <c r="D1553" i="18"/>
  <c r="D1554" i="18"/>
  <c r="D1555" i="18"/>
  <c r="D1556" i="18"/>
  <c r="D1557" i="18"/>
  <c r="D1558" i="18"/>
  <c r="D1559" i="18"/>
  <c r="D1560" i="18"/>
  <c r="D1561" i="18"/>
  <c r="D1562" i="18"/>
  <c r="D1563" i="18"/>
  <c r="D1564" i="18"/>
  <c r="D1565" i="18"/>
  <c r="D1566" i="18"/>
  <c r="D1567" i="18"/>
  <c r="D1568" i="18"/>
  <c r="D1569" i="18"/>
  <c r="D1570" i="18"/>
  <c r="D1571" i="18"/>
  <c r="D1572" i="18"/>
  <c r="D1573" i="18"/>
  <c r="D1574" i="18"/>
  <c r="D1575" i="18"/>
  <c r="D1576" i="18"/>
  <c r="D1577" i="18"/>
  <c r="D1578" i="18"/>
  <c r="D1579" i="18"/>
  <c r="D1580" i="18"/>
  <c r="D1581" i="18"/>
  <c r="D1582" i="18"/>
  <c r="D1583" i="18"/>
  <c r="D1584" i="18"/>
  <c r="D1585" i="18"/>
  <c r="D1586" i="18"/>
  <c r="D1587" i="18"/>
  <c r="D1588" i="18"/>
  <c r="D1589" i="18"/>
  <c r="D1590" i="18"/>
  <c r="D1591" i="18"/>
  <c r="D1592" i="18"/>
  <c r="D1593" i="18"/>
  <c r="D1594" i="18"/>
  <c r="D1595" i="18"/>
  <c r="D1596" i="18"/>
  <c r="D1597" i="18"/>
  <c r="D1598" i="18"/>
  <c r="D1599" i="18"/>
  <c r="D1600" i="18"/>
  <c r="D1601" i="18"/>
  <c r="D1602" i="18"/>
  <c r="D1603" i="18"/>
  <c r="D1604" i="18"/>
  <c r="D1605" i="18"/>
  <c r="D1606" i="18"/>
  <c r="D1607" i="18"/>
  <c r="D1608" i="18"/>
  <c r="D1609" i="18"/>
  <c r="D1610" i="18"/>
  <c r="D1611" i="18"/>
  <c r="D1612" i="18"/>
  <c r="D1613" i="18"/>
  <c r="D1614" i="18"/>
  <c r="D1615" i="18"/>
  <c r="D1616" i="18"/>
  <c r="D1617" i="18"/>
  <c r="D1618" i="18"/>
  <c r="D1619" i="18"/>
  <c r="D1620" i="18"/>
  <c r="D1621" i="18"/>
  <c r="D1622" i="18"/>
  <c r="D1623" i="18"/>
  <c r="D1624" i="18"/>
  <c r="D1625" i="18"/>
  <c r="D1626" i="18"/>
  <c r="D1627" i="18"/>
  <c r="D1628" i="18"/>
  <c r="D1629" i="18"/>
  <c r="D1630" i="18"/>
  <c r="D1631" i="18"/>
  <c r="D1632" i="18"/>
  <c r="D1633" i="18"/>
  <c r="D1634" i="18"/>
  <c r="D1635" i="18"/>
  <c r="D1636" i="18"/>
  <c r="D1637" i="18"/>
  <c r="D1638" i="18"/>
  <c r="D1639" i="18"/>
  <c r="D1640" i="18"/>
  <c r="D1641" i="18"/>
  <c r="D1642" i="18"/>
  <c r="D1643" i="18"/>
  <c r="D1644" i="18"/>
  <c r="D1645" i="18"/>
  <c r="D1646" i="18"/>
  <c r="D1647" i="18"/>
  <c r="D1443" i="18"/>
  <c r="D1258" i="18"/>
  <c r="D1259" i="18"/>
  <c r="D1260" i="18"/>
  <c r="D1261" i="18"/>
  <c r="D1262" i="18"/>
  <c r="D1263" i="18"/>
  <c r="D1264" i="18"/>
  <c r="D1265" i="18"/>
  <c r="D1266" i="18"/>
  <c r="D1267" i="18"/>
  <c r="D1268" i="18"/>
  <c r="D1269" i="18"/>
  <c r="D1270" i="18"/>
  <c r="D1271" i="18"/>
  <c r="D1272" i="18"/>
  <c r="D1273" i="18"/>
  <c r="D1274" i="18"/>
  <c r="D1275" i="18"/>
  <c r="D1276" i="18"/>
  <c r="D1277" i="18"/>
  <c r="D1278" i="18"/>
  <c r="D1279" i="18"/>
  <c r="D1280" i="18"/>
  <c r="D1281" i="18"/>
  <c r="D1282" i="18"/>
  <c r="D1283" i="18"/>
  <c r="D1284" i="18"/>
  <c r="D1285" i="18"/>
  <c r="D1286" i="18"/>
  <c r="D1287" i="18"/>
  <c r="D1288" i="18"/>
  <c r="D1289" i="18"/>
  <c r="D1290" i="18"/>
  <c r="D1291" i="18"/>
  <c r="D1292" i="18"/>
  <c r="D1293" i="18"/>
  <c r="D1294" i="18"/>
  <c r="D1295" i="18"/>
  <c r="D1296" i="18"/>
  <c r="D1297" i="18"/>
  <c r="D1298" i="18"/>
  <c r="D1299" i="18"/>
  <c r="D1300" i="18"/>
  <c r="D1301" i="18"/>
  <c r="D1302" i="18"/>
  <c r="D1303" i="18"/>
  <c r="D1304" i="18"/>
  <c r="D1305" i="18"/>
  <c r="D1306" i="18"/>
  <c r="D1307" i="18"/>
  <c r="D1308" i="18"/>
  <c r="D1309" i="18"/>
  <c r="D1310" i="18"/>
  <c r="D1311" i="18"/>
  <c r="D1312" i="18"/>
  <c r="D1313" i="18"/>
  <c r="D1314" i="18"/>
  <c r="D1315" i="18"/>
  <c r="D1316" i="18"/>
  <c r="D1317" i="18"/>
  <c r="D1318" i="18"/>
  <c r="D1319" i="18"/>
  <c r="D1320" i="18"/>
  <c r="D1321" i="18"/>
  <c r="D1322" i="18"/>
  <c r="D1323" i="18"/>
  <c r="D1324" i="18"/>
  <c r="D1325" i="18"/>
  <c r="D1326" i="18"/>
  <c r="D1327" i="18"/>
  <c r="D1328" i="18"/>
  <c r="D1329" i="18"/>
  <c r="D1330" i="18"/>
  <c r="D1331" i="18"/>
  <c r="D1332" i="18"/>
  <c r="D1333" i="18"/>
  <c r="D1334" i="18"/>
  <c r="D1335" i="18"/>
  <c r="D1336" i="18"/>
  <c r="D1337" i="18"/>
  <c r="D1338" i="18"/>
  <c r="D1339" i="18"/>
  <c r="D1340" i="18"/>
  <c r="D1341" i="18"/>
  <c r="D1342" i="18"/>
  <c r="D1343" i="18"/>
  <c r="D1344" i="18"/>
  <c r="D1345" i="18"/>
  <c r="D1346" i="18"/>
  <c r="D1347" i="18"/>
  <c r="D1348" i="18"/>
  <c r="D1349" i="18"/>
  <c r="D1350" i="18"/>
  <c r="D1351" i="18"/>
  <c r="D1352" i="18"/>
  <c r="D1353" i="18"/>
  <c r="D1354" i="18"/>
  <c r="D1355" i="18"/>
  <c r="D1356" i="18"/>
  <c r="D1357" i="18"/>
  <c r="D1358" i="18"/>
  <c r="D1359" i="18"/>
  <c r="D1360" i="18"/>
  <c r="D1361" i="18"/>
  <c r="D1362" i="18"/>
  <c r="D1363" i="18"/>
  <c r="D1364" i="18"/>
  <c r="D1365" i="18"/>
  <c r="D1366" i="18"/>
  <c r="D1367" i="18"/>
  <c r="D1368" i="18"/>
  <c r="D1369" i="18"/>
  <c r="D1370" i="18"/>
  <c r="D1371" i="18"/>
  <c r="D1372" i="18"/>
  <c r="D1373" i="18"/>
  <c r="D1374" i="18"/>
  <c r="D1375" i="18"/>
  <c r="D1376" i="18"/>
  <c r="D1377" i="18"/>
  <c r="D1378" i="18"/>
  <c r="D1379" i="18"/>
  <c r="D1380" i="18"/>
  <c r="D1381" i="18"/>
  <c r="D1382" i="18"/>
  <c r="D1383" i="18"/>
  <c r="D1384" i="18"/>
  <c r="D1385" i="18"/>
  <c r="D1386" i="18"/>
  <c r="D1387" i="18"/>
  <c r="D1388" i="18"/>
  <c r="D1389" i="18"/>
  <c r="D1390" i="18"/>
  <c r="D1391" i="18"/>
  <c r="D1392" i="18"/>
  <c r="D1393" i="18"/>
  <c r="D1394" i="18"/>
  <c r="D1395" i="18"/>
  <c r="D1396" i="18"/>
  <c r="D1397" i="18"/>
  <c r="D1398" i="18"/>
  <c r="D1399" i="18"/>
  <c r="D1400" i="18"/>
  <c r="D1401" i="18"/>
  <c r="D1402" i="18"/>
  <c r="D1403" i="18"/>
  <c r="D1404" i="18"/>
  <c r="D1405" i="18"/>
  <c r="D1406" i="18"/>
  <c r="D1407" i="18"/>
  <c r="D1408" i="18"/>
  <c r="D1409" i="18"/>
  <c r="D1410" i="18"/>
  <c r="D1411" i="18"/>
  <c r="D1412" i="18"/>
  <c r="D1413" i="18"/>
  <c r="D1414" i="18"/>
  <c r="D1415" i="18"/>
  <c r="D1416" i="18"/>
  <c r="D1417" i="18"/>
  <c r="D1418" i="18"/>
  <c r="D1419" i="18"/>
  <c r="D1420" i="18"/>
  <c r="D1421" i="18"/>
  <c r="D1422" i="18"/>
  <c r="D1423" i="18"/>
  <c r="D1424" i="18"/>
  <c r="D1425" i="18"/>
  <c r="D1426" i="18"/>
  <c r="D1427" i="18"/>
  <c r="D1428" i="18"/>
  <c r="D1429" i="18"/>
  <c r="D1430" i="18"/>
  <c r="D1431" i="18"/>
  <c r="D1432" i="18"/>
  <c r="D1433" i="18"/>
  <c r="D1434" i="18"/>
  <c r="D1435" i="18"/>
  <c r="D1436" i="18"/>
  <c r="D1437" i="18"/>
  <c r="D1438" i="18"/>
  <c r="D1257" i="18"/>
  <c r="D1147" i="18"/>
  <c r="D1148" i="18"/>
  <c r="D1149" i="18"/>
  <c r="D1150" i="18"/>
  <c r="D1151" i="18"/>
  <c r="D1152" i="18"/>
  <c r="D1153" i="18"/>
  <c r="D1154" i="18"/>
  <c r="D1155" i="18"/>
  <c r="D1156" i="18"/>
  <c r="D1157" i="18"/>
  <c r="D1158" i="18"/>
  <c r="D1159" i="18"/>
  <c r="D1160" i="18"/>
  <c r="D1161" i="18"/>
  <c r="D1162" i="18"/>
  <c r="D1163" i="18"/>
  <c r="D1164" i="18"/>
  <c r="D1165" i="18"/>
  <c r="D1166" i="18"/>
  <c r="D1167" i="18"/>
  <c r="D1168" i="18"/>
  <c r="D1169" i="18"/>
  <c r="D1170" i="18"/>
  <c r="D1171" i="18"/>
  <c r="D1172" i="18"/>
  <c r="D1173" i="18"/>
  <c r="D1174" i="18"/>
  <c r="D1175" i="18"/>
  <c r="D1176" i="18"/>
  <c r="D1177" i="18"/>
  <c r="D1178" i="18"/>
  <c r="D1179" i="18"/>
  <c r="D1180" i="18"/>
  <c r="D1181" i="18"/>
  <c r="D1182" i="18"/>
  <c r="D1183" i="18"/>
  <c r="D1184" i="18"/>
  <c r="D1185" i="18"/>
  <c r="D1186" i="18"/>
  <c r="D1187" i="18"/>
  <c r="D1188" i="18"/>
  <c r="D1189" i="18"/>
  <c r="D1190" i="18"/>
  <c r="D1191" i="18"/>
  <c r="D1192" i="18"/>
  <c r="D1193" i="18"/>
  <c r="D1194" i="18"/>
  <c r="D1195" i="18"/>
  <c r="D1196" i="18"/>
  <c r="D1197" i="18"/>
  <c r="D1198" i="18"/>
  <c r="D1199" i="18"/>
  <c r="D1200" i="18"/>
  <c r="D1201" i="18"/>
  <c r="D1202" i="18"/>
  <c r="D1203" i="18"/>
  <c r="D1204" i="18"/>
  <c r="D1205" i="18"/>
  <c r="D1206" i="18"/>
  <c r="D1207" i="18"/>
  <c r="D1208" i="18"/>
  <c r="D1209" i="18"/>
  <c r="D1210" i="18"/>
  <c r="D1211" i="18"/>
  <c r="D1212" i="18"/>
  <c r="D1213" i="18"/>
  <c r="D1214" i="18"/>
  <c r="D1215" i="18"/>
  <c r="D1216" i="18"/>
  <c r="D1217" i="18"/>
  <c r="D1218" i="18"/>
  <c r="D1219" i="18"/>
  <c r="D1220" i="18"/>
  <c r="D1221" i="18"/>
  <c r="D1222" i="18"/>
  <c r="D1223" i="18"/>
  <c r="D1224" i="18"/>
  <c r="D1225" i="18"/>
  <c r="D1226" i="18"/>
  <c r="D1227" i="18"/>
  <c r="D1228" i="18"/>
  <c r="D1229" i="18"/>
  <c r="D1230" i="18"/>
  <c r="D1231" i="18"/>
  <c r="D1232" i="18"/>
  <c r="D1233" i="18"/>
  <c r="D1234" i="18"/>
  <c r="D1235" i="18"/>
  <c r="D1236" i="18"/>
  <c r="D1237" i="18"/>
  <c r="D1238" i="18"/>
  <c r="D1239" i="18"/>
  <c r="D1240" i="18"/>
  <c r="D1241" i="18"/>
  <c r="D1242" i="18"/>
  <c r="D1243" i="18"/>
  <c r="D1244" i="18"/>
  <c r="D1245" i="18"/>
  <c r="D1246" i="18"/>
  <c r="D1247" i="18"/>
  <c r="D1248" i="18"/>
  <c r="D1249" i="18"/>
  <c r="D1250" i="18"/>
  <c r="D1251" i="18"/>
  <c r="D1252" i="18"/>
  <c r="D1146" i="18"/>
  <c r="D1025" i="18"/>
  <c r="D1026" i="18"/>
  <c r="D1027" i="18"/>
  <c r="D1028" i="18"/>
  <c r="D1029" i="18"/>
  <c r="D1030" i="18"/>
  <c r="D1031" i="18"/>
  <c r="D1032" i="18"/>
  <c r="D1033" i="18"/>
  <c r="D1034" i="18"/>
  <c r="D1035" i="18"/>
  <c r="D1036" i="18"/>
  <c r="D1037" i="18"/>
  <c r="D1038" i="18"/>
  <c r="D1039" i="18"/>
  <c r="D1040" i="18"/>
  <c r="D1041" i="18"/>
  <c r="D1042" i="18"/>
  <c r="D1043" i="18"/>
  <c r="D1044" i="18"/>
  <c r="D1045" i="18"/>
  <c r="D1046" i="18"/>
  <c r="D1047" i="18"/>
  <c r="D1048" i="18"/>
  <c r="D1049" i="18"/>
  <c r="D1050" i="18"/>
  <c r="D1051" i="18"/>
  <c r="D1052" i="18"/>
  <c r="D1053" i="18"/>
  <c r="D1054" i="18"/>
  <c r="D1055" i="18"/>
  <c r="D1056" i="18"/>
  <c r="D1057" i="18"/>
  <c r="D1058" i="18"/>
  <c r="D1059" i="18"/>
  <c r="D1060" i="18"/>
  <c r="D1061" i="18"/>
  <c r="D1062" i="18"/>
  <c r="D1063" i="18"/>
  <c r="D1064" i="18"/>
  <c r="D1065" i="18"/>
  <c r="D1066" i="18"/>
  <c r="D1067" i="18"/>
  <c r="D1068" i="18"/>
  <c r="D1069" i="18"/>
  <c r="D1070" i="18"/>
  <c r="D1071" i="18"/>
  <c r="D1072" i="18"/>
  <c r="D1073" i="18"/>
  <c r="D1074" i="18"/>
  <c r="D1075" i="18"/>
  <c r="D1076" i="18"/>
  <c r="D1077" i="18"/>
  <c r="D1078" i="18"/>
  <c r="D1079" i="18"/>
  <c r="D1080" i="18"/>
  <c r="D1081" i="18"/>
  <c r="D1082" i="18"/>
  <c r="D1083" i="18"/>
  <c r="D1084" i="18"/>
  <c r="D1085" i="18"/>
  <c r="D1086" i="18"/>
  <c r="D1087" i="18"/>
  <c r="D1088" i="18"/>
  <c r="D1089" i="18"/>
  <c r="D1090" i="18"/>
  <c r="D1091" i="18"/>
  <c r="D1092" i="18"/>
  <c r="D1093" i="18"/>
  <c r="D1094" i="18"/>
  <c r="D1095" i="18"/>
  <c r="D1096" i="18"/>
  <c r="D1097" i="18"/>
  <c r="D1098" i="18"/>
  <c r="D1099" i="18"/>
  <c r="D1100" i="18"/>
  <c r="D1101" i="18"/>
  <c r="D1102" i="18"/>
  <c r="D1103" i="18"/>
  <c r="D1104" i="18"/>
  <c r="D1105" i="18"/>
  <c r="D1106" i="18"/>
  <c r="D1107" i="18"/>
  <c r="D1108" i="18"/>
  <c r="D1109" i="18"/>
  <c r="D1110" i="18"/>
  <c r="D1111" i="18"/>
  <c r="D1112" i="18"/>
  <c r="D1113" i="18"/>
  <c r="D1114" i="18"/>
  <c r="D1115" i="18"/>
  <c r="D1116" i="18"/>
  <c r="D1117" i="18"/>
  <c r="D1118" i="18"/>
  <c r="D1119" i="18"/>
  <c r="D1120" i="18"/>
  <c r="D1121" i="18"/>
  <c r="D1122" i="18"/>
  <c r="D1123" i="18"/>
  <c r="D1124" i="18"/>
  <c r="D1125" i="18"/>
  <c r="D1126" i="18"/>
  <c r="D1127" i="18"/>
  <c r="D1128" i="18"/>
  <c r="D1129" i="18"/>
  <c r="D1130" i="18"/>
  <c r="D1131" i="18"/>
  <c r="D1132" i="18"/>
  <c r="D1133" i="18"/>
  <c r="D1134" i="18"/>
  <c r="D1135" i="18"/>
  <c r="D1136" i="18"/>
  <c r="D1137" i="18"/>
  <c r="D1138" i="18"/>
  <c r="D1139" i="18"/>
  <c r="D1140" i="18"/>
  <c r="D1141" i="18"/>
  <c r="D1024" i="18"/>
  <c r="D929" i="18"/>
  <c r="D930" i="18"/>
  <c r="D931" i="18"/>
  <c r="D932" i="18"/>
  <c r="D933" i="18"/>
  <c r="D934" i="18"/>
  <c r="D935" i="18"/>
  <c r="D936" i="18"/>
  <c r="D937" i="18"/>
  <c r="D938" i="18"/>
  <c r="D939" i="18"/>
  <c r="D940" i="18"/>
  <c r="D941" i="18"/>
  <c r="D942" i="18"/>
  <c r="D943" i="18"/>
  <c r="D944" i="18"/>
  <c r="D945" i="18"/>
  <c r="D946" i="18"/>
  <c r="D947" i="18"/>
  <c r="D948" i="18"/>
  <c r="D949" i="18"/>
  <c r="D950" i="18"/>
  <c r="D951" i="18"/>
  <c r="D952" i="18"/>
  <c r="D953" i="18"/>
  <c r="D954" i="18"/>
  <c r="D955" i="18"/>
  <c r="D956" i="18"/>
  <c r="D957" i="18"/>
  <c r="D958" i="18"/>
  <c r="D959" i="18"/>
  <c r="D960" i="18"/>
  <c r="D961" i="18"/>
  <c r="D962" i="18"/>
  <c r="D963" i="18"/>
  <c r="D964" i="18"/>
  <c r="D965" i="18"/>
  <c r="D966" i="18"/>
  <c r="D967" i="18"/>
  <c r="D968" i="18"/>
  <c r="D969" i="18"/>
  <c r="D970" i="18"/>
  <c r="D971" i="18"/>
  <c r="D972" i="18"/>
  <c r="D973" i="18"/>
  <c r="D974" i="18"/>
  <c r="D975" i="18"/>
  <c r="D976" i="18"/>
  <c r="D977" i="18"/>
  <c r="D978" i="18"/>
  <c r="D979" i="18"/>
  <c r="D980" i="18"/>
  <c r="D981" i="18"/>
  <c r="D982" i="18"/>
  <c r="D983" i="18"/>
  <c r="D984" i="18"/>
  <c r="D985" i="18"/>
  <c r="D986" i="18"/>
  <c r="D987" i="18"/>
  <c r="D988" i="18"/>
  <c r="D989" i="18"/>
  <c r="D990" i="18"/>
  <c r="D991" i="18"/>
  <c r="D992" i="18"/>
  <c r="D993" i="18"/>
  <c r="D994" i="18"/>
  <c r="D995" i="18"/>
  <c r="D996" i="18"/>
  <c r="D997" i="18"/>
  <c r="D998" i="18"/>
  <c r="D999" i="18"/>
  <c r="D1000" i="18"/>
  <c r="D1001" i="18"/>
  <c r="D1002" i="18"/>
  <c r="D1003" i="18"/>
  <c r="D1004" i="18"/>
  <c r="D1005" i="18"/>
  <c r="D1006" i="18"/>
  <c r="D1007" i="18"/>
  <c r="D1008" i="18"/>
  <c r="D1009" i="18"/>
  <c r="D1010" i="18"/>
  <c r="D1011" i="18"/>
  <c r="D1012" i="18"/>
  <c r="D1013" i="18"/>
  <c r="D1014" i="18"/>
  <c r="D1015" i="18"/>
  <c r="D1016" i="18"/>
  <c r="D1017" i="18"/>
  <c r="D1018" i="18"/>
  <c r="D1019" i="18"/>
  <c r="D1020" i="18"/>
  <c r="D928" i="18"/>
  <c r="D811" i="18"/>
  <c r="D812" i="18"/>
  <c r="D813" i="18"/>
  <c r="D814" i="18"/>
  <c r="D815" i="18"/>
  <c r="D816" i="18"/>
  <c r="D817" i="18"/>
  <c r="D818" i="18"/>
  <c r="D819" i="18"/>
  <c r="D820" i="18"/>
  <c r="D821" i="18"/>
  <c r="D822" i="18"/>
  <c r="D823" i="18"/>
  <c r="D824" i="18"/>
  <c r="D825" i="18"/>
  <c r="D826" i="18"/>
  <c r="D827" i="18"/>
  <c r="D828" i="18"/>
  <c r="D829" i="18"/>
  <c r="D830" i="18"/>
  <c r="D831" i="18"/>
  <c r="D832" i="18"/>
  <c r="D833" i="18"/>
  <c r="D834" i="18"/>
  <c r="D835" i="18"/>
  <c r="D836" i="18"/>
  <c r="D837" i="18"/>
  <c r="D838" i="18"/>
  <c r="D839" i="18"/>
  <c r="D840" i="18"/>
  <c r="D841" i="18"/>
  <c r="D842" i="18"/>
  <c r="D843" i="18"/>
  <c r="D844" i="18"/>
  <c r="D845" i="18"/>
  <c r="D846" i="18"/>
  <c r="D847" i="18"/>
  <c r="D848" i="18"/>
  <c r="D849" i="18"/>
  <c r="D850" i="18"/>
  <c r="D851" i="18"/>
  <c r="D852" i="18"/>
  <c r="D853" i="18"/>
  <c r="D854" i="18"/>
  <c r="D855" i="18"/>
  <c r="D856" i="18"/>
  <c r="D857" i="18"/>
  <c r="D858" i="18"/>
  <c r="D859" i="18"/>
  <c r="D860" i="18"/>
  <c r="D861" i="18"/>
  <c r="D862" i="18"/>
  <c r="D863" i="18"/>
  <c r="D864" i="18"/>
  <c r="D865" i="18"/>
  <c r="D866" i="18"/>
  <c r="D867" i="18"/>
  <c r="D868" i="18"/>
  <c r="D869" i="18"/>
  <c r="D870" i="18"/>
  <c r="D871" i="18"/>
  <c r="D872" i="18"/>
  <c r="D873" i="18"/>
  <c r="D874" i="18"/>
  <c r="D875" i="18"/>
  <c r="D876" i="18"/>
  <c r="D877" i="18"/>
  <c r="D878" i="18"/>
  <c r="D879" i="18"/>
  <c r="D880" i="18"/>
  <c r="D881" i="18"/>
  <c r="D882" i="18"/>
  <c r="D883" i="18"/>
  <c r="D884" i="18"/>
  <c r="D885" i="18"/>
  <c r="D886" i="18"/>
  <c r="D887" i="18"/>
  <c r="D888" i="18"/>
  <c r="D889" i="18"/>
  <c r="D890" i="18"/>
  <c r="D891" i="18"/>
  <c r="D892" i="18"/>
  <c r="D893" i="18"/>
  <c r="D894" i="18"/>
  <c r="D895" i="18"/>
  <c r="D896" i="18"/>
  <c r="D897" i="18"/>
  <c r="D898" i="18"/>
  <c r="D899" i="18"/>
  <c r="D900" i="18"/>
  <c r="D901" i="18"/>
  <c r="D902" i="18"/>
  <c r="D903" i="18"/>
  <c r="D904" i="18"/>
  <c r="D905" i="18"/>
  <c r="D906" i="18"/>
  <c r="D907" i="18"/>
  <c r="D908" i="18"/>
  <c r="D909" i="18"/>
  <c r="D910" i="18"/>
  <c r="D911" i="18"/>
  <c r="D912" i="18"/>
  <c r="D913" i="18"/>
  <c r="D914" i="18"/>
  <c r="D915" i="18"/>
  <c r="D916" i="18"/>
  <c r="D917" i="18"/>
  <c r="D918" i="18"/>
  <c r="D919" i="18"/>
  <c r="D920" i="18"/>
  <c r="D921" i="18"/>
  <c r="D922" i="18"/>
  <c r="D923" i="18"/>
  <c r="D810" i="18"/>
  <c r="D736" i="18"/>
  <c r="D737" i="18"/>
  <c r="D738" i="18"/>
  <c r="D739" i="18"/>
  <c r="D740" i="18"/>
  <c r="D741" i="18"/>
  <c r="D742" i="18"/>
  <c r="D743" i="18"/>
  <c r="D744" i="18"/>
  <c r="D745" i="18"/>
  <c r="D746" i="18"/>
  <c r="D747" i="18"/>
  <c r="D748" i="18"/>
  <c r="D749" i="18"/>
  <c r="D750" i="18"/>
  <c r="D751" i="18"/>
  <c r="D752" i="18"/>
  <c r="D753" i="18"/>
  <c r="D754" i="18"/>
  <c r="D755" i="18"/>
  <c r="D756" i="18"/>
  <c r="D757" i="18"/>
  <c r="D758" i="18"/>
  <c r="D759" i="18"/>
  <c r="D760" i="18"/>
  <c r="D761" i="18"/>
  <c r="D762" i="18"/>
  <c r="D763" i="18"/>
  <c r="D764" i="18"/>
  <c r="D765" i="18"/>
  <c r="D766" i="18"/>
  <c r="D767" i="18"/>
  <c r="D768" i="18"/>
  <c r="D769" i="18"/>
  <c r="D770" i="18"/>
  <c r="D771" i="18"/>
  <c r="D772" i="18"/>
  <c r="D773" i="18"/>
  <c r="D774" i="18"/>
  <c r="D775" i="18"/>
  <c r="D776" i="18"/>
  <c r="D777" i="18"/>
  <c r="D778" i="18"/>
  <c r="D779" i="18"/>
  <c r="D780" i="18"/>
  <c r="D781" i="18"/>
  <c r="D782" i="18"/>
  <c r="D783" i="18"/>
  <c r="D784" i="18"/>
  <c r="D785" i="18"/>
  <c r="D786" i="18"/>
  <c r="D787" i="18"/>
  <c r="D788" i="18"/>
  <c r="D789" i="18"/>
  <c r="D790" i="18"/>
  <c r="D791" i="18"/>
  <c r="D792" i="18"/>
  <c r="D793" i="18"/>
  <c r="D794" i="18"/>
  <c r="D795" i="18"/>
  <c r="D796" i="18"/>
  <c r="D797" i="18"/>
  <c r="D798" i="18"/>
  <c r="D799" i="18"/>
  <c r="D800" i="18"/>
  <c r="D801" i="18"/>
  <c r="D802" i="18"/>
  <c r="D803" i="18"/>
  <c r="D804" i="18"/>
  <c r="D805" i="18"/>
  <c r="D735" i="18"/>
  <c r="D692" i="18"/>
  <c r="D693" i="18"/>
  <c r="D694" i="18"/>
  <c r="D695" i="18"/>
  <c r="D696" i="18"/>
  <c r="D697" i="18"/>
  <c r="D698" i="18"/>
  <c r="D699" i="18"/>
  <c r="D700" i="18"/>
  <c r="D701" i="18"/>
  <c r="D702" i="18"/>
  <c r="D703" i="18"/>
  <c r="D704" i="18"/>
  <c r="D705" i="18"/>
  <c r="D706" i="18"/>
  <c r="D707" i="18"/>
  <c r="D708" i="18"/>
  <c r="D709" i="18"/>
  <c r="D710" i="18"/>
  <c r="D711" i="18"/>
  <c r="D712" i="18"/>
  <c r="D713" i="18"/>
  <c r="D714" i="18"/>
  <c r="D715" i="18"/>
  <c r="D716" i="18"/>
  <c r="D717" i="18"/>
  <c r="D718" i="18"/>
  <c r="D719" i="18"/>
  <c r="D720" i="18"/>
  <c r="D721" i="18"/>
  <c r="D722" i="18"/>
  <c r="D723" i="18"/>
  <c r="D724" i="18"/>
  <c r="D725" i="18"/>
  <c r="D726" i="18"/>
  <c r="D727" i="18"/>
  <c r="D728" i="18"/>
  <c r="D729" i="18"/>
  <c r="D730" i="18"/>
  <c r="D691" i="18"/>
  <c r="D632" i="18"/>
  <c r="D633" i="18"/>
  <c r="D634" i="18"/>
  <c r="D635" i="18"/>
  <c r="D636" i="18"/>
  <c r="D637" i="18"/>
  <c r="D638" i="18"/>
  <c r="D639" i="18"/>
  <c r="D640" i="18"/>
  <c r="D641" i="18"/>
  <c r="D642" i="18"/>
  <c r="D643" i="18"/>
  <c r="D644" i="18"/>
  <c r="D645" i="18"/>
  <c r="D646" i="18"/>
  <c r="D647" i="18"/>
  <c r="D648" i="18"/>
  <c r="D649" i="18"/>
  <c r="D650" i="18"/>
  <c r="D651" i="18"/>
  <c r="D652" i="18"/>
  <c r="D653" i="18"/>
  <c r="D654" i="18"/>
  <c r="D655" i="18"/>
  <c r="D656" i="18"/>
  <c r="D657" i="18"/>
  <c r="D658" i="18"/>
  <c r="D659" i="18"/>
  <c r="D660" i="18"/>
  <c r="D661" i="18"/>
  <c r="D662" i="18"/>
  <c r="D663" i="18"/>
  <c r="D664" i="18"/>
  <c r="D665" i="18"/>
  <c r="D666" i="18"/>
  <c r="D667" i="18"/>
  <c r="D668" i="18"/>
  <c r="D669" i="18"/>
  <c r="D670" i="18"/>
  <c r="D671" i="18"/>
  <c r="D672" i="18"/>
  <c r="D673" i="18"/>
  <c r="D674" i="18"/>
  <c r="D675" i="18"/>
  <c r="D676" i="18"/>
  <c r="D677" i="18"/>
  <c r="D678" i="18"/>
  <c r="D679" i="18"/>
  <c r="D680" i="18"/>
  <c r="D681" i="18"/>
  <c r="D682" i="18"/>
  <c r="D683" i="18"/>
  <c r="D684" i="18"/>
  <c r="D685" i="18"/>
  <c r="D686" i="18"/>
  <c r="D631" i="18"/>
  <c r="D527" i="18"/>
  <c r="D528" i="18"/>
  <c r="D529" i="18"/>
  <c r="D530" i="18"/>
  <c r="D531" i="18"/>
  <c r="D532" i="18"/>
  <c r="D533" i="18"/>
  <c r="D534" i="18"/>
  <c r="D535" i="18"/>
  <c r="D536" i="18"/>
  <c r="D537" i="18"/>
  <c r="D538" i="18"/>
  <c r="D539" i="18"/>
  <c r="D540" i="18"/>
  <c r="D541" i="18"/>
  <c r="D542" i="18"/>
  <c r="D543" i="18"/>
  <c r="D544" i="18"/>
  <c r="D545" i="18"/>
  <c r="D546" i="18"/>
  <c r="D547" i="18"/>
  <c r="D548" i="18"/>
  <c r="D549" i="18"/>
  <c r="D550" i="18"/>
  <c r="D551" i="18"/>
  <c r="D552" i="18"/>
  <c r="D553" i="18"/>
  <c r="D554" i="18"/>
  <c r="D555" i="18"/>
  <c r="D556" i="18"/>
  <c r="D557" i="18"/>
  <c r="D558" i="18"/>
  <c r="D559" i="18"/>
  <c r="D560" i="18"/>
  <c r="D561" i="18"/>
  <c r="D562" i="18"/>
  <c r="D563" i="18"/>
  <c r="D564" i="18"/>
  <c r="D565" i="18"/>
  <c r="D566" i="18"/>
  <c r="D567" i="18"/>
  <c r="D568" i="18"/>
  <c r="D569" i="18"/>
  <c r="D570" i="18"/>
  <c r="D571" i="18"/>
  <c r="D572" i="18"/>
  <c r="D573" i="18"/>
  <c r="D574" i="18"/>
  <c r="D575" i="18"/>
  <c r="D576" i="18"/>
  <c r="D577" i="18"/>
  <c r="D578" i="18"/>
  <c r="D579" i="18"/>
  <c r="D580" i="18"/>
  <c r="D581" i="18"/>
  <c r="D582" i="18"/>
  <c r="D583" i="18"/>
  <c r="D584" i="18"/>
  <c r="D585" i="18"/>
  <c r="D586" i="18"/>
  <c r="D587" i="18"/>
  <c r="D588" i="18"/>
  <c r="D589" i="18"/>
  <c r="D590" i="18"/>
  <c r="D591" i="18"/>
  <c r="D592" i="18"/>
  <c r="D593" i="18"/>
  <c r="D594" i="18"/>
  <c r="D595" i="18"/>
  <c r="D596" i="18"/>
  <c r="D597" i="18"/>
  <c r="D598" i="18"/>
  <c r="D599" i="18"/>
  <c r="D600" i="18"/>
  <c r="D601" i="18"/>
  <c r="D602" i="18"/>
  <c r="D603" i="18"/>
  <c r="D604" i="18"/>
  <c r="D605" i="18"/>
  <c r="D606" i="18"/>
  <c r="D607" i="18"/>
  <c r="D608" i="18"/>
  <c r="D609" i="18"/>
  <c r="D610" i="18"/>
  <c r="D611" i="18"/>
  <c r="D612" i="18"/>
  <c r="D613" i="18"/>
  <c r="D614" i="18"/>
  <c r="D615" i="18"/>
  <c r="D616" i="18"/>
  <c r="D617" i="18"/>
  <c r="D618" i="18"/>
  <c r="D619" i="18"/>
  <c r="D620" i="18"/>
  <c r="D621" i="18"/>
  <c r="D622" i="18"/>
  <c r="D623" i="18"/>
  <c r="D624" i="18"/>
  <c r="D625" i="18"/>
  <c r="D626" i="18"/>
  <c r="R1241" i="2"/>
  <c r="D526" i="18"/>
  <c r="D451" i="18"/>
  <c r="D452" i="18"/>
  <c r="D453" i="18"/>
  <c r="D454" i="18"/>
  <c r="D455" i="18"/>
  <c r="D456" i="18"/>
  <c r="D457" i="18"/>
  <c r="D458" i="18"/>
  <c r="D459" i="18"/>
  <c r="D460" i="18"/>
  <c r="D461" i="18"/>
  <c r="D462" i="18"/>
  <c r="D463" i="18"/>
  <c r="D464" i="18"/>
  <c r="D465" i="18"/>
  <c r="D466" i="18"/>
  <c r="D467" i="18"/>
  <c r="D468" i="18"/>
  <c r="D469" i="18"/>
  <c r="D470" i="18"/>
  <c r="D471" i="18"/>
  <c r="D472" i="18"/>
  <c r="D473" i="18"/>
  <c r="D474" i="18"/>
  <c r="D475" i="18"/>
  <c r="D476" i="18"/>
  <c r="D477" i="18"/>
  <c r="D478" i="18"/>
  <c r="D479" i="18"/>
  <c r="D480" i="18"/>
  <c r="D481" i="18"/>
  <c r="D482" i="18"/>
  <c r="D483" i="18"/>
  <c r="D484" i="18"/>
  <c r="D485" i="18"/>
  <c r="D486" i="18"/>
  <c r="D487" i="18"/>
  <c r="D488" i="18"/>
  <c r="D489" i="18"/>
  <c r="D490" i="18"/>
  <c r="D491" i="18"/>
  <c r="D492" i="18"/>
  <c r="D493" i="18"/>
  <c r="D494" i="18"/>
  <c r="D495" i="18"/>
  <c r="D496" i="18"/>
  <c r="D497" i="18"/>
  <c r="D498" i="18"/>
  <c r="D499" i="18"/>
  <c r="D500" i="18"/>
  <c r="D501" i="18"/>
  <c r="D502" i="18"/>
  <c r="D503" i="18"/>
  <c r="D504" i="18"/>
  <c r="D505" i="18"/>
  <c r="D506" i="18"/>
  <c r="D507" i="18"/>
  <c r="D508" i="18"/>
  <c r="D509" i="18"/>
  <c r="D510" i="18"/>
  <c r="D511" i="18"/>
  <c r="D512" i="18"/>
  <c r="D513" i="18"/>
  <c r="D514" i="18"/>
  <c r="D515" i="18"/>
  <c r="D516" i="18"/>
  <c r="D517" i="18"/>
  <c r="D518" i="18"/>
  <c r="D519" i="18"/>
  <c r="D520" i="18"/>
  <c r="D521" i="18"/>
  <c r="D450" i="18"/>
  <c r="D353" i="18"/>
  <c r="D354" i="18"/>
  <c r="D355" i="18"/>
  <c r="D356" i="18"/>
  <c r="D357" i="18"/>
  <c r="D358" i="18"/>
  <c r="D359" i="18"/>
  <c r="D360" i="18"/>
  <c r="D361" i="18"/>
  <c r="D362" i="18"/>
  <c r="D363" i="18"/>
  <c r="D364" i="18"/>
  <c r="D365" i="18"/>
  <c r="D366" i="18"/>
  <c r="D367" i="18"/>
  <c r="D368" i="18"/>
  <c r="D369" i="18"/>
  <c r="D370" i="18"/>
  <c r="D371" i="18"/>
  <c r="D372" i="18"/>
  <c r="D373" i="18"/>
  <c r="D374" i="18"/>
  <c r="D375" i="18"/>
  <c r="D376" i="18"/>
  <c r="D377" i="18"/>
  <c r="D378" i="18"/>
  <c r="D379" i="18"/>
  <c r="D380" i="18"/>
  <c r="D381" i="18"/>
  <c r="D382" i="18"/>
  <c r="D383" i="18"/>
  <c r="D384" i="18"/>
  <c r="D385" i="18"/>
  <c r="D386" i="18"/>
  <c r="D387" i="18"/>
  <c r="D388" i="18"/>
  <c r="D389" i="18"/>
  <c r="D390" i="18"/>
  <c r="D391" i="18"/>
  <c r="D392" i="18"/>
  <c r="D393" i="18"/>
  <c r="D394" i="18"/>
  <c r="D395" i="18"/>
  <c r="D396" i="18"/>
  <c r="D397" i="18"/>
  <c r="D398" i="18"/>
  <c r="D399" i="18"/>
  <c r="D400" i="18"/>
  <c r="D401" i="18"/>
  <c r="D402" i="18"/>
  <c r="D403" i="18"/>
  <c r="D404" i="18"/>
  <c r="D405" i="18"/>
  <c r="D406" i="18"/>
  <c r="D407" i="18"/>
  <c r="D408" i="18"/>
  <c r="D409" i="18"/>
  <c r="D410" i="18"/>
  <c r="D411" i="18"/>
  <c r="D412" i="18"/>
  <c r="D413" i="18"/>
  <c r="D414" i="18"/>
  <c r="D415" i="18"/>
  <c r="D416" i="18"/>
  <c r="D417" i="18"/>
  <c r="D418" i="18"/>
  <c r="D419" i="18"/>
  <c r="D420" i="18"/>
  <c r="D421" i="18"/>
  <c r="D422" i="18"/>
  <c r="D423" i="18"/>
  <c r="D424" i="18"/>
  <c r="D425" i="18"/>
  <c r="D426" i="18"/>
  <c r="D427" i="18"/>
  <c r="D428" i="18"/>
  <c r="D429" i="18"/>
  <c r="D430" i="18"/>
  <c r="D431" i="18"/>
  <c r="D432" i="18"/>
  <c r="D433" i="18"/>
  <c r="D434" i="18"/>
  <c r="D435" i="18"/>
  <c r="D436" i="18"/>
  <c r="D437" i="18"/>
  <c r="D438" i="18"/>
  <c r="D439" i="18"/>
  <c r="D440" i="18"/>
  <c r="D441" i="18"/>
  <c r="D442" i="18"/>
  <c r="D443" i="18"/>
  <c r="D444" i="18"/>
  <c r="D445" i="18"/>
  <c r="D352" i="18"/>
  <c r="D123" i="18"/>
  <c r="D124" i="18"/>
  <c r="D125" i="18"/>
  <c r="D126" i="18"/>
  <c r="D127" i="18"/>
  <c r="D128" i="18"/>
  <c r="D129" i="18"/>
  <c r="D130" i="18"/>
  <c r="D131" i="18"/>
  <c r="D132" i="18"/>
  <c r="D133" i="18"/>
  <c r="D134" i="18"/>
  <c r="D135" i="18"/>
  <c r="D136" i="18"/>
  <c r="D137" i="18"/>
  <c r="D138" i="18"/>
  <c r="D139" i="18"/>
  <c r="D140" i="18"/>
  <c r="D141" i="18"/>
  <c r="D142" i="18"/>
  <c r="D143" i="18"/>
  <c r="D144" i="18"/>
  <c r="D145" i="18"/>
  <c r="D146" i="18"/>
  <c r="D147" i="18"/>
  <c r="D148" i="18"/>
  <c r="D149" i="18"/>
  <c r="D150" i="18"/>
  <c r="D151" i="18"/>
  <c r="D152" i="18"/>
  <c r="D153" i="18"/>
  <c r="D154" i="18"/>
  <c r="D155" i="18"/>
  <c r="D156" i="18"/>
  <c r="D157" i="18"/>
  <c r="D158" i="18"/>
  <c r="D159" i="18"/>
  <c r="D160" i="18"/>
  <c r="D161" i="18"/>
  <c r="D162" i="18"/>
  <c r="D163" i="18"/>
  <c r="D164" i="18"/>
  <c r="D165" i="18"/>
  <c r="D166" i="18"/>
  <c r="D167" i="18"/>
  <c r="D168" i="18"/>
  <c r="D169" i="18"/>
  <c r="D170" i="18"/>
  <c r="D171" i="18"/>
  <c r="D172" i="18"/>
  <c r="D173" i="18"/>
  <c r="D174" i="18"/>
  <c r="D175" i="18"/>
  <c r="D176" i="18"/>
  <c r="D177" i="18"/>
  <c r="D178" i="18"/>
  <c r="D179" i="18"/>
  <c r="D180" i="18"/>
  <c r="D181" i="18"/>
  <c r="D182" i="18"/>
  <c r="D183" i="18"/>
  <c r="D184" i="18"/>
  <c r="D185" i="18"/>
  <c r="D186" i="18"/>
  <c r="D187" i="18"/>
  <c r="D188" i="18"/>
  <c r="D189" i="18"/>
  <c r="D190" i="18"/>
  <c r="D191" i="18"/>
  <c r="D192" i="18"/>
  <c r="D193" i="18"/>
  <c r="D194" i="18"/>
  <c r="D195" i="18"/>
  <c r="D196" i="18"/>
  <c r="D197" i="18"/>
  <c r="D198" i="18"/>
  <c r="D199" i="18"/>
  <c r="D200" i="18"/>
  <c r="D201" i="18"/>
  <c r="D202" i="18"/>
  <c r="D203" i="18"/>
  <c r="D204" i="18"/>
  <c r="D205" i="18"/>
  <c r="D206" i="18"/>
  <c r="D207" i="18"/>
  <c r="D208" i="18"/>
  <c r="D209" i="18"/>
  <c r="D210" i="18"/>
  <c r="D211" i="18"/>
  <c r="D212" i="18"/>
  <c r="D213" i="18"/>
  <c r="D214" i="18"/>
  <c r="D215" i="18"/>
  <c r="D216" i="18"/>
  <c r="D217" i="18"/>
  <c r="D218" i="18"/>
  <c r="D219" i="18"/>
  <c r="D220" i="18"/>
  <c r="D221" i="18"/>
  <c r="D222" i="18"/>
  <c r="D223" i="18"/>
  <c r="D224" i="18"/>
  <c r="D225" i="18"/>
  <c r="D226" i="18"/>
  <c r="D227" i="18"/>
  <c r="D228" i="18"/>
  <c r="D229" i="18"/>
  <c r="D230" i="18"/>
  <c r="D231" i="18"/>
  <c r="D232" i="18"/>
  <c r="D233" i="18"/>
  <c r="D234" i="18"/>
  <c r="D235" i="18"/>
  <c r="D236" i="18"/>
  <c r="D237" i="18"/>
  <c r="D238" i="18"/>
  <c r="D239" i="18"/>
  <c r="D240" i="18"/>
  <c r="D241" i="18"/>
  <c r="D242" i="18"/>
  <c r="D243" i="18"/>
  <c r="D244" i="18"/>
  <c r="D245" i="18"/>
  <c r="D246" i="18"/>
  <c r="D247" i="18"/>
  <c r="D248" i="18"/>
  <c r="D249" i="18"/>
  <c r="D250" i="18"/>
  <c r="D251" i="18"/>
  <c r="D252" i="18"/>
  <c r="D253" i="18"/>
  <c r="D254" i="18"/>
  <c r="D255" i="18"/>
  <c r="D256" i="18"/>
  <c r="D257" i="18"/>
  <c r="D258" i="18"/>
  <c r="D259" i="18"/>
  <c r="D260" i="18"/>
  <c r="D261" i="18"/>
  <c r="D262" i="18"/>
  <c r="D263" i="18"/>
  <c r="D264" i="18"/>
  <c r="D265" i="18"/>
  <c r="D266" i="18"/>
  <c r="D267" i="18"/>
  <c r="D268" i="18"/>
  <c r="D269" i="18"/>
  <c r="D270" i="18"/>
  <c r="D271" i="18"/>
  <c r="D272" i="18"/>
  <c r="D273" i="18"/>
  <c r="D274" i="18"/>
  <c r="D275" i="18"/>
  <c r="D276" i="18"/>
  <c r="D277" i="18"/>
  <c r="D278" i="18"/>
  <c r="D279" i="18"/>
  <c r="D280" i="18"/>
  <c r="D281" i="18"/>
  <c r="D282" i="18"/>
  <c r="D283" i="18"/>
  <c r="D284" i="18"/>
  <c r="D285" i="18"/>
  <c r="D286" i="18"/>
  <c r="D287" i="18"/>
  <c r="D288" i="18"/>
  <c r="D289" i="18"/>
  <c r="D290" i="18"/>
  <c r="D291" i="18"/>
  <c r="D292" i="18"/>
  <c r="D293" i="18"/>
  <c r="D294" i="18"/>
  <c r="D295" i="18"/>
  <c r="D296" i="18"/>
  <c r="D297" i="18"/>
  <c r="D298" i="18"/>
  <c r="D299" i="18"/>
  <c r="D300" i="18"/>
  <c r="D301" i="18"/>
  <c r="D302" i="18"/>
  <c r="D303" i="18"/>
  <c r="D304" i="18"/>
  <c r="D305" i="18"/>
  <c r="D306" i="18"/>
  <c r="D307" i="18"/>
  <c r="D308" i="18"/>
  <c r="D309" i="18"/>
  <c r="D310" i="18"/>
  <c r="D311" i="18"/>
  <c r="D312" i="18"/>
  <c r="D313" i="18"/>
  <c r="D314" i="18"/>
  <c r="D315" i="18"/>
  <c r="D316" i="18"/>
  <c r="D317" i="18"/>
  <c r="D318" i="18"/>
  <c r="D319" i="18"/>
  <c r="D320" i="18"/>
  <c r="D321" i="18"/>
  <c r="D322" i="18"/>
  <c r="D323" i="18"/>
  <c r="D324" i="18"/>
  <c r="D325" i="18"/>
  <c r="D326" i="18"/>
  <c r="D327" i="18"/>
  <c r="D328" i="18"/>
  <c r="D329" i="18"/>
  <c r="D330" i="18"/>
  <c r="D331" i="18"/>
  <c r="D332" i="18"/>
  <c r="D333" i="18"/>
  <c r="D334" i="18"/>
  <c r="D335" i="18"/>
  <c r="D336" i="18"/>
  <c r="D337" i="18"/>
  <c r="D338" i="18"/>
  <c r="D339" i="18"/>
  <c r="D340" i="18"/>
  <c r="D341" i="18"/>
  <c r="D342" i="18"/>
  <c r="D343" i="18"/>
  <c r="D344" i="18"/>
  <c r="D345" i="18"/>
  <c r="D346" i="18"/>
  <c r="D347" i="18"/>
  <c r="D122" i="18"/>
  <c r="D5" i="18"/>
  <c r="D6" i="18"/>
  <c r="D7" i="18"/>
  <c r="D8" i="18"/>
  <c r="D9" i="18"/>
  <c r="D10" i="18"/>
  <c r="D11" i="18"/>
  <c r="D12" i="18"/>
  <c r="D13" i="18"/>
  <c r="D14" i="18"/>
  <c r="D15" i="18"/>
  <c r="D16" i="18"/>
  <c r="D17" i="18"/>
  <c r="D18" i="18"/>
  <c r="D19" i="18"/>
  <c r="D20" i="18"/>
  <c r="D21" i="18"/>
  <c r="D22" i="18"/>
  <c r="D23" i="18"/>
  <c r="D24" i="18"/>
  <c r="D25" i="18"/>
  <c r="D26" i="18"/>
  <c r="D27" i="18"/>
  <c r="D28" i="18"/>
  <c r="D29" i="18"/>
  <c r="D30" i="18"/>
  <c r="D31" i="18"/>
  <c r="D32" i="18"/>
  <c r="D33" i="18"/>
  <c r="D34" i="18"/>
  <c r="D35" i="18"/>
  <c r="D36" i="18"/>
  <c r="D38" i="18"/>
  <c r="D39" i="18"/>
  <c r="D40" i="18"/>
  <c r="D41" i="18"/>
  <c r="D42" i="18"/>
  <c r="D43" i="18"/>
  <c r="D44" i="18"/>
  <c r="D45" i="18"/>
  <c r="D46" i="18"/>
  <c r="D47" i="18"/>
  <c r="D48" i="18"/>
  <c r="D49" i="18"/>
  <c r="D50" i="18"/>
  <c r="D51" i="18"/>
  <c r="D52" i="18"/>
  <c r="D53" i="18"/>
  <c r="D54" i="18"/>
  <c r="D55" i="18"/>
  <c r="D56" i="18"/>
  <c r="D57" i="18"/>
  <c r="D58" i="18"/>
  <c r="D59" i="18"/>
  <c r="D60" i="18"/>
  <c r="D61" i="18"/>
  <c r="D62" i="18"/>
  <c r="D63" i="18"/>
  <c r="D64" i="18"/>
  <c r="D65" i="18"/>
  <c r="D66" i="18"/>
  <c r="D67" i="18"/>
  <c r="D68" i="18"/>
  <c r="D69" i="18"/>
  <c r="D70" i="18"/>
  <c r="D71" i="18"/>
  <c r="D72" i="18"/>
  <c r="D73" i="18"/>
  <c r="D74" i="18"/>
  <c r="D75" i="18"/>
  <c r="D76" i="18"/>
  <c r="D77" i="18"/>
  <c r="D78" i="18"/>
  <c r="D79" i="18"/>
  <c r="D80" i="18"/>
  <c r="D81" i="18"/>
  <c r="D82" i="18"/>
  <c r="D83" i="18"/>
  <c r="D84" i="18"/>
  <c r="D85" i="18"/>
  <c r="D86" i="18"/>
  <c r="D87" i="18"/>
  <c r="D88" i="18"/>
  <c r="D89" i="18"/>
  <c r="D90" i="18"/>
  <c r="D91" i="18"/>
  <c r="D92" i="18"/>
  <c r="D93" i="18"/>
  <c r="D94" i="18"/>
  <c r="D95" i="18"/>
  <c r="D96" i="18"/>
  <c r="D97" i="18"/>
  <c r="D98" i="18"/>
  <c r="D99" i="18"/>
  <c r="D100" i="18"/>
  <c r="D101" i="18"/>
  <c r="D102" i="18"/>
  <c r="D103" i="18"/>
  <c r="D104" i="18"/>
  <c r="D105" i="18"/>
  <c r="D106" i="18"/>
  <c r="D107" i="18"/>
  <c r="D108" i="18"/>
  <c r="D109" i="18"/>
  <c r="D110" i="18"/>
  <c r="D111" i="18"/>
  <c r="D112" i="18"/>
  <c r="D113" i="18"/>
  <c r="D114" i="18"/>
  <c r="D115" i="18"/>
  <c r="D116" i="18"/>
  <c r="D117" i="18"/>
  <c r="D4" i="18"/>
  <c r="O2063" i="2"/>
  <c r="O2064" i="2"/>
  <c r="O2065"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3" i="2"/>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E1651" i="18"/>
  <c r="E1442" i="18"/>
  <c r="E1256" i="18"/>
  <c r="E1145" i="18"/>
  <c r="E1023" i="18"/>
  <c r="E927" i="18"/>
  <c r="E809" i="18"/>
  <c r="E734" i="18"/>
  <c r="E690" i="18"/>
  <c r="E630" i="18"/>
  <c r="E525" i="18"/>
  <c r="E449" i="18"/>
  <c r="E351" i="18"/>
  <c r="E121" i="18"/>
  <c r="D685" i="3"/>
  <c r="F684" i="3"/>
  <c r="F683" i="3"/>
  <c r="F682" i="3"/>
  <c r="D681" i="3"/>
  <c r="F681" i="3" s="1"/>
  <c r="F680" i="3"/>
  <c r="F679" i="3"/>
  <c r="F678" i="3"/>
  <c r="F677" i="3"/>
  <c r="F676" i="3"/>
  <c r="F675" i="3"/>
  <c r="D674" i="3"/>
  <c r="F674" i="3" s="1"/>
  <c r="F673" i="3"/>
  <c r="F672" i="3"/>
  <c r="F671" i="3"/>
  <c r="F670" i="3"/>
  <c r="F669" i="3"/>
  <c r="F668" i="3"/>
  <c r="F667" i="3"/>
  <c r="F666" i="3"/>
  <c r="F665" i="3"/>
  <c r="F664" i="3"/>
  <c r="F663" i="3"/>
  <c r="F662" i="3"/>
  <c r="F661" i="3"/>
  <c r="F660" i="3"/>
  <c r="F659" i="3"/>
  <c r="F658" i="3"/>
  <c r="F657" i="3"/>
  <c r="F656" i="3"/>
  <c r="F655" i="3"/>
  <c r="F654" i="3"/>
  <c r="F653" i="3"/>
  <c r="F652" i="3"/>
  <c r="F651" i="3"/>
  <c r="F650" i="3"/>
  <c r="F649" i="3"/>
  <c r="F648" i="3"/>
  <c r="F647" i="3"/>
  <c r="F646" i="3"/>
  <c r="F645" i="3"/>
  <c r="F644" i="3"/>
  <c r="F643" i="3"/>
  <c r="F642" i="3"/>
  <c r="F641" i="3"/>
  <c r="F640" i="3"/>
  <c r="F639" i="3"/>
  <c r="F638" i="3"/>
  <c r="F637" i="3"/>
  <c r="F636" i="3"/>
  <c r="F635" i="3"/>
  <c r="F634" i="3"/>
  <c r="F633" i="3"/>
  <c r="F632" i="3"/>
  <c r="F631" i="3"/>
  <c r="F630" i="3"/>
  <c r="G1694" i="3"/>
  <c r="E1694" i="3"/>
  <c r="D1694" i="3"/>
  <c r="F1693" i="3"/>
  <c r="F1692" i="3"/>
  <c r="F1691" i="3"/>
  <c r="F1690" i="3"/>
  <c r="F1689" i="3"/>
  <c r="F1688" i="3"/>
  <c r="F1687" i="3"/>
  <c r="F1686" i="3"/>
  <c r="F1685" i="3"/>
  <c r="F1684" i="3"/>
  <c r="F1683" i="3"/>
  <c r="F1682" i="3"/>
  <c r="F1681" i="3"/>
  <c r="F1680" i="3"/>
  <c r="F1679" i="3"/>
  <c r="F1678" i="3"/>
  <c r="F1677" i="3"/>
  <c r="F1676" i="3"/>
  <c r="F1675" i="3"/>
  <c r="F1674" i="3"/>
  <c r="F1673" i="3"/>
  <c r="F1672" i="3"/>
  <c r="F1671" i="3"/>
  <c r="F1670" i="3"/>
  <c r="F1669" i="3"/>
  <c r="F1668" i="3"/>
  <c r="F1667" i="3"/>
  <c r="F1666" i="3"/>
  <c r="F1665" i="3"/>
  <c r="F1664" i="3"/>
  <c r="F1663" i="3"/>
  <c r="F1662" i="3"/>
  <c r="F1661" i="3"/>
  <c r="F1660" i="3"/>
  <c r="F1659" i="3"/>
  <c r="F1658" i="3"/>
  <c r="F1657" i="3"/>
  <c r="F1656" i="3"/>
  <c r="F1655" i="3"/>
  <c r="F1654" i="3"/>
  <c r="F1653" i="3"/>
  <c r="F1652" i="3"/>
  <c r="F1651" i="3"/>
  <c r="E1647" i="3"/>
  <c r="D1646" i="3"/>
  <c r="F1646" i="3" s="1"/>
  <c r="F1645" i="3"/>
  <c r="F1644" i="3"/>
  <c r="F1643" i="3"/>
  <c r="F1642" i="3"/>
  <c r="F1641" i="3"/>
  <c r="F1640" i="3"/>
  <c r="F1639" i="3"/>
  <c r="F1638" i="3"/>
  <c r="F1637" i="3"/>
  <c r="F1636" i="3"/>
  <c r="F1635" i="3"/>
  <c r="F1634" i="3"/>
  <c r="F1633" i="3"/>
  <c r="F1632" i="3"/>
  <c r="F1631" i="3"/>
  <c r="F1630" i="3"/>
  <c r="F1629" i="3"/>
  <c r="F1628" i="3"/>
  <c r="F1627" i="3"/>
  <c r="F1626" i="3"/>
  <c r="F1625" i="3"/>
  <c r="F1624" i="3"/>
  <c r="F1623" i="3"/>
  <c r="F1622" i="3"/>
  <c r="F1621" i="3"/>
  <c r="F1620" i="3"/>
  <c r="F1619" i="3"/>
  <c r="F1618" i="3"/>
  <c r="F1617" i="3"/>
  <c r="F1616" i="3"/>
  <c r="F1615" i="3"/>
  <c r="F1614" i="3"/>
  <c r="F1613" i="3"/>
  <c r="F1612" i="3"/>
  <c r="F1611" i="3"/>
  <c r="F1610" i="3"/>
  <c r="F1609" i="3"/>
  <c r="F1608" i="3"/>
  <c r="F1607" i="3"/>
  <c r="F1606" i="3"/>
  <c r="F1605" i="3"/>
  <c r="F1604" i="3"/>
  <c r="F1603" i="3"/>
  <c r="F1602" i="3"/>
  <c r="F1601" i="3"/>
  <c r="F1600" i="3"/>
  <c r="F1599" i="3"/>
  <c r="F1598" i="3"/>
  <c r="F1597" i="3"/>
  <c r="F1596" i="3"/>
  <c r="F1595" i="3"/>
  <c r="F1594" i="3"/>
  <c r="F1593" i="3"/>
  <c r="F1592" i="3"/>
  <c r="F1591" i="3"/>
  <c r="F1590" i="3"/>
  <c r="F1589" i="3"/>
  <c r="F1588" i="3"/>
  <c r="F1587" i="3"/>
  <c r="F1586" i="3"/>
  <c r="F1585" i="3"/>
  <c r="F1584" i="3"/>
  <c r="F1583" i="3"/>
  <c r="F1582" i="3"/>
  <c r="F1581" i="3"/>
  <c r="F1580" i="3"/>
  <c r="F1579" i="3"/>
  <c r="F1578" i="3"/>
  <c r="F1577" i="3"/>
  <c r="F1576" i="3"/>
  <c r="D1575" i="3"/>
  <c r="F1575" i="3" s="1"/>
  <c r="D1574" i="3"/>
  <c r="F1574" i="3" s="1"/>
  <c r="F1573" i="3"/>
  <c r="F1572" i="3"/>
  <c r="F1571" i="3"/>
  <c r="F1570" i="3"/>
  <c r="F1569" i="3"/>
  <c r="F1568" i="3"/>
  <c r="F1567" i="3"/>
  <c r="F1566" i="3"/>
  <c r="F1565" i="3"/>
  <c r="F1564" i="3"/>
  <c r="F1563" i="3"/>
  <c r="F1562" i="3"/>
  <c r="F1561" i="3"/>
  <c r="F1560" i="3"/>
  <c r="F1559" i="3"/>
  <c r="F1558" i="3"/>
  <c r="F1557" i="3"/>
  <c r="F1556" i="3"/>
  <c r="F1555" i="3"/>
  <c r="F1554" i="3"/>
  <c r="F1553" i="3"/>
  <c r="F1552" i="3"/>
  <c r="F1551" i="3"/>
  <c r="D1550" i="3"/>
  <c r="F1550" i="3" s="1"/>
  <c r="F1549" i="3"/>
  <c r="D1548" i="3"/>
  <c r="F1548" i="3" s="1"/>
  <c r="F1547" i="3"/>
  <c r="F1546" i="3"/>
  <c r="F1545" i="3"/>
  <c r="F1544" i="3"/>
  <c r="F1543" i="3"/>
  <c r="F1542" i="3"/>
  <c r="F1541" i="3"/>
  <c r="D1540" i="3"/>
  <c r="F1540" i="3" s="1"/>
  <c r="F1539" i="3"/>
  <c r="F1538" i="3"/>
  <c r="F1537" i="3"/>
  <c r="F1536" i="3"/>
  <c r="F1535" i="3"/>
  <c r="F1534" i="3"/>
  <c r="F1533" i="3"/>
  <c r="F1532" i="3"/>
  <c r="F1531" i="3"/>
  <c r="F1530" i="3"/>
  <c r="F1529" i="3"/>
  <c r="F1528" i="3"/>
  <c r="F1527" i="3"/>
  <c r="F1526" i="3"/>
  <c r="F1525" i="3"/>
  <c r="F1524" i="3"/>
  <c r="F1523" i="3"/>
  <c r="F1522" i="3"/>
  <c r="F1521" i="3"/>
  <c r="F1520" i="3"/>
  <c r="F1519" i="3"/>
  <c r="F1518" i="3"/>
  <c r="F1517" i="3"/>
  <c r="F1516" i="3"/>
  <c r="F1515" i="3"/>
  <c r="F1514" i="3"/>
  <c r="F1513" i="3"/>
  <c r="F1512" i="3"/>
  <c r="F1511" i="3"/>
  <c r="F1510" i="3"/>
  <c r="F1509" i="3"/>
  <c r="F1508" i="3"/>
  <c r="F1507" i="3"/>
  <c r="F1506" i="3"/>
  <c r="F1505" i="3"/>
  <c r="F1504" i="3"/>
  <c r="F1503" i="3"/>
  <c r="F1502" i="3"/>
  <c r="F1501" i="3"/>
  <c r="F1500" i="3"/>
  <c r="F1499" i="3"/>
  <c r="F1498" i="3"/>
  <c r="F1497" i="3"/>
  <c r="F1496" i="3"/>
  <c r="F1495" i="3"/>
  <c r="F1494" i="3"/>
  <c r="F1493" i="3"/>
  <c r="F1492" i="3"/>
  <c r="F1491" i="3"/>
  <c r="F1490" i="3"/>
  <c r="F1489" i="3"/>
  <c r="F1488" i="3"/>
  <c r="F1487" i="3"/>
  <c r="F1486" i="3"/>
  <c r="F1485" i="3"/>
  <c r="F1484" i="3"/>
  <c r="F1483" i="3"/>
  <c r="F1482" i="3"/>
  <c r="F1481" i="3"/>
  <c r="F1480" i="3"/>
  <c r="F1479" i="3"/>
  <c r="F1478" i="3"/>
  <c r="F1477" i="3"/>
  <c r="F1476" i="3"/>
  <c r="F1475" i="3"/>
  <c r="F1474" i="3"/>
  <c r="F1473" i="3"/>
  <c r="F1472" i="3"/>
  <c r="F1471" i="3"/>
  <c r="F1470" i="3"/>
  <c r="F1469" i="3"/>
  <c r="F1468" i="3"/>
  <c r="F1467" i="3"/>
  <c r="F1466" i="3"/>
  <c r="F1465" i="3"/>
  <c r="F1464" i="3"/>
  <c r="F1463" i="3"/>
  <c r="F1462" i="3"/>
  <c r="F1461" i="3"/>
  <c r="F1460" i="3"/>
  <c r="F1459" i="3"/>
  <c r="F1458" i="3"/>
  <c r="F1457" i="3"/>
  <c r="F1456" i="3"/>
  <c r="F1455" i="3"/>
  <c r="F1454" i="3"/>
  <c r="F1453" i="3"/>
  <c r="F1452" i="3"/>
  <c r="F1451" i="3"/>
  <c r="D1450" i="3"/>
  <c r="F1450" i="3" s="1"/>
  <c r="F1449" i="3"/>
  <c r="F1448" i="3"/>
  <c r="F1447" i="3"/>
  <c r="F1446" i="3"/>
  <c r="F1445" i="3"/>
  <c r="F1444" i="3"/>
  <c r="F1443" i="3"/>
  <c r="F1442" i="3"/>
  <c r="F1437" i="3"/>
  <c r="F1436" i="3"/>
  <c r="F1435" i="3"/>
  <c r="F1434" i="3"/>
  <c r="F1433" i="3"/>
  <c r="F1432" i="3"/>
  <c r="D1431" i="3"/>
  <c r="F1431" i="3" s="1"/>
  <c r="F1430" i="3"/>
  <c r="F1429" i="3"/>
  <c r="F1428" i="3"/>
  <c r="F1427" i="3"/>
  <c r="F1426" i="3"/>
  <c r="F1425" i="3"/>
  <c r="D1424" i="3"/>
  <c r="F1424" i="3" s="1"/>
  <c r="F1423" i="3"/>
  <c r="F1422" i="3"/>
  <c r="F1421" i="3"/>
  <c r="F1420" i="3"/>
  <c r="F1419" i="3"/>
  <c r="F1418" i="3"/>
  <c r="F1417" i="3"/>
  <c r="F1416" i="3"/>
  <c r="F1415" i="3"/>
  <c r="F1414" i="3"/>
  <c r="F1413" i="3"/>
  <c r="F1412" i="3"/>
  <c r="F1411" i="3"/>
  <c r="F1410" i="3"/>
  <c r="F1409" i="3"/>
  <c r="F1408" i="3"/>
  <c r="F1407" i="3"/>
  <c r="F1406" i="3"/>
  <c r="F1405" i="3"/>
  <c r="F1404" i="3"/>
  <c r="F1403" i="3"/>
  <c r="F1402" i="3"/>
  <c r="F1401" i="3"/>
  <c r="F1400" i="3"/>
  <c r="F1399" i="3"/>
  <c r="E1398" i="3"/>
  <c r="F1398" i="3" s="1"/>
  <c r="F1397" i="3"/>
  <c r="F1396" i="3"/>
  <c r="F1395" i="3"/>
  <c r="F1394" i="3"/>
  <c r="F1393" i="3"/>
  <c r="F1392" i="3"/>
  <c r="F1391" i="3"/>
  <c r="F1390" i="3"/>
  <c r="F1389" i="3"/>
  <c r="F1388" i="3"/>
  <c r="F1387" i="3"/>
  <c r="F1386" i="3"/>
  <c r="F1385" i="3"/>
  <c r="F1384" i="3"/>
  <c r="E1383" i="3"/>
  <c r="F1383" i="3" s="1"/>
  <c r="F1382" i="3"/>
  <c r="F1381" i="3"/>
  <c r="F1380" i="3"/>
  <c r="F1379" i="3"/>
  <c r="F1378" i="3"/>
  <c r="F1377" i="3"/>
  <c r="F1376" i="3"/>
  <c r="F1375" i="3"/>
  <c r="F1374" i="3"/>
  <c r="F1373" i="3"/>
  <c r="F1372" i="3"/>
  <c r="F1371" i="3"/>
  <c r="F1370" i="3"/>
  <c r="F1369" i="3"/>
  <c r="F1368" i="3"/>
  <c r="F1367" i="3"/>
  <c r="F1366" i="3"/>
  <c r="F1365" i="3"/>
  <c r="F1364" i="3"/>
  <c r="F1363" i="3"/>
  <c r="F1362" i="3"/>
  <c r="F1361" i="3"/>
  <c r="F1360" i="3"/>
  <c r="F1359" i="3"/>
  <c r="F1358" i="3"/>
  <c r="F1357" i="3"/>
  <c r="F1356" i="3"/>
  <c r="F1355" i="3"/>
  <c r="F1354" i="3"/>
  <c r="F1353" i="3"/>
  <c r="F1352" i="3"/>
  <c r="F1351" i="3"/>
  <c r="F1350" i="3"/>
  <c r="F1349" i="3"/>
  <c r="F1348" i="3"/>
  <c r="F1347" i="3"/>
  <c r="F1346" i="3"/>
  <c r="F1345" i="3"/>
  <c r="F1344" i="3"/>
  <c r="F1343" i="3"/>
  <c r="F1342" i="3"/>
  <c r="F1341" i="3"/>
  <c r="F1340" i="3"/>
  <c r="F1339" i="3"/>
  <c r="F1338" i="3"/>
  <c r="F1337" i="3"/>
  <c r="F1336" i="3"/>
  <c r="F1335" i="3"/>
  <c r="F1334" i="3"/>
  <c r="F1333" i="3"/>
  <c r="F1332" i="3"/>
  <c r="F1331" i="3"/>
  <c r="F1330" i="3"/>
  <c r="D1329" i="3"/>
  <c r="F1328" i="3"/>
  <c r="F1327" i="3"/>
  <c r="F1326" i="3"/>
  <c r="F1325" i="3"/>
  <c r="F1324" i="3"/>
  <c r="F1323" i="3"/>
  <c r="F1322" i="3"/>
  <c r="F1321" i="3"/>
  <c r="F1320" i="3"/>
  <c r="F1319" i="3"/>
  <c r="F1318" i="3"/>
  <c r="F1317" i="3"/>
  <c r="F1316" i="3"/>
  <c r="F1315" i="3"/>
  <c r="F1314" i="3"/>
  <c r="F1313" i="3"/>
  <c r="F1312" i="3"/>
  <c r="F1311" i="3"/>
  <c r="F1310" i="3"/>
  <c r="F1309" i="3"/>
  <c r="F1308" i="3"/>
  <c r="F1307" i="3"/>
  <c r="F1306" i="3"/>
  <c r="F1305" i="3"/>
  <c r="F1304" i="3"/>
  <c r="F1303" i="3"/>
  <c r="F1302" i="3"/>
  <c r="F1301" i="3"/>
  <c r="F1300" i="3"/>
  <c r="F1299" i="3"/>
  <c r="F1298" i="3"/>
  <c r="F1297" i="3"/>
  <c r="F1296" i="3"/>
  <c r="F1295" i="3"/>
  <c r="F1294" i="3"/>
  <c r="F1293" i="3"/>
  <c r="F1292" i="3"/>
  <c r="F1291" i="3"/>
  <c r="F1290" i="3"/>
  <c r="F1289" i="3"/>
  <c r="F1288" i="3"/>
  <c r="F1287" i="3"/>
  <c r="F1286" i="3"/>
  <c r="F1285" i="3"/>
  <c r="F1284" i="3"/>
  <c r="F1283" i="3"/>
  <c r="F1282" i="3"/>
  <c r="F1281" i="3"/>
  <c r="F1280" i="3"/>
  <c r="F1279" i="3"/>
  <c r="F1278" i="3"/>
  <c r="F1277" i="3"/>
  <c r="F1276" i="3"/>
  <c r="F1275" i="3"/>
  <c r="F1274" i="3"/>
  <c r="F1273" i="3"/>
  <c r="F1272" i="3"/>
  <c r="F1271" i="3"/>
  <c r="F1270" i="3"/>
  <c r="F1269" i="3"/>
  <c r="F1268" i="3"/>
  <c r="F1267" i="3"/>
  <c r="F1266" i="3"/>
  <c r="F1265" i="3"/>
  <c r="F1264" i="3"/>
  <c r="F1263" i="3"/>
  <c r="F1262" i="3"/>
  <c r="F1261" i="3"/>
  <c r="F1260" i="3"/>
  <c r="F1259" i="3"/>
  <c r="F1258" i="3"/>
  <c r="F1257" i="3"/>
  <c r="F1256" i="3"/>
  <c r="F1251" i="3"/>
  <c r="E1250" i="3"/>
  <c r="F1250" i="3" s="1"/>
  <c r="F1249" i="3"/>
  <c r="F1248" i="3"/>
  <c r="F1247" i="3"/>
  <c r="F1246" i="3"/>
  <c r="F1245" i="3"/>
  <c r="F1244" i="3"/>
  <c r="F1243" i="3"/>
  <c r="F1242" i="3"/>
  <c r="F1241" i="3"/>
  <c r="F1240" i="3"/>
  <c r="F1239" i="3"/>
  <c r="F1238" i="3"/>
  <c r="D1237" i="3"/>
  <c r="F1237" i="3" s="1"/>
  <c r="F1236" i="3"/>
  <c r="F1235" i="3"/>
  <c r="H1234" i="3"/>
  <c r="D1234" i="3"/>
  <c r="F1234" i="3" s="1"/>
  <c r="D1233" i="3"/>
  <c r="F1233" i="3" s="1"/>
  <c r="F1232" i="3"/>
  <c r="F1231" i="3"/>
  <c r="F1230" i="3"/>
  <c r="F1229" i="3"/>
  <c r="F1228" i="3"/>
  <c r="F1227" i="3"/>
  <c r="F1226" i="3"/>
  <c r="F1225" i="3"/>
  <c r="F1224" i="3"/>
  <c r="F1223" i="3"/>
  <c r="F1222" i="3"/>
  <c r="F1221" i="3"/>
  <c r="F1220" i="3"/>
  <c r="F1219" i="3"/>
  <c r="F1218" i="3"/>
  <c r="F1217" i="3"/>
  <c r="F1216" i="3"/>
  <c r="F1215" i="3"/>
  <c r="E1214" i="3"/>
  <c r="D1214" i="3"/>
  <c r="F1214" i="3" s="1"/>
  <c r="E1213" i="3"/>
  <c r="F1212" i="3"/>
  <c r="F1211" i="3"/>
  <c r="F1210" i="3"/>
  <c r="F1209" i="3"/>
  <c r="F1208" i="3"/>
  <c r="F1207" i="3"/>
  <c r="F1206" i="3"/>
  <c r="F1205" i="3"/>
  <c r="F1204" i="3"/>
  <c r="F1203" i="3"/>
  <c r="F1202" i="3"/>
  <c r="F1201" i="3"/>
  <c r="F1200" i="3"/>
  <c r="F1199" i="3"/>
  <c r="F1198" i="3"/>
  <c r="F1197" i="3"/>
  <c r="F1196" i="3"/>
  <c r="F1195" i="3"/>
  <c r="F1194" i="3"/>
  <c r="F1193" i="3"/>
  <c r="F1192" i="3"/>
  <c r="F1191" i="3"/>
  <c r="F1190" i="3"/>
  <c r="F1189" i="3"/>
  <c r="F1188" i="3"/>
  <c r="F1187" i="3"/>
  <c r="F1186" i="3"/>
  <c r="F1185" i="3"/>
  <c r="F1184" i="3"/>
  <c r="F1183" i="3"/>
  <c r="F1182" i="3"/>
  <c r="F1181" i="3"/>
  <c r="F1180" i="3"/>
  <c r="D1179" i="3"/>
  <c r="F1179" i="3" s="1"/>
  <c r="F1178" i="3"/>
  <c r="F1177" i="3"/>
  <c r="F1176" i="3"/>
  <c r="F1175" i="3"/>
  <c r="F1174" i="3"/>
  <c r="F1173" i="3"/>
  <c r="F1172" i="3"/>
  <c r="F1171" i="3"/>
  <c r="F1170" i="3"/>
  <c r="F1169" i="3"/>
  <c r="F1168" i="3"/>
  <c r="F1167" i="3"/>
  <c r="F1166" i="3"/>
  <c r="F1165" i="3"/>
  <c r="F1164" i="3"/>
  <c r="F1163" i="3"/>
  <c r="F1162" i="3"/>
  <c r="F1161" i="3"/>
  <c r="F1160" i="3"/>
  <c r="F1159" i="3"/>
  <c r="F1158" i="3"/>
  <c r="F1157" i="3"/>
  <c r="F1156" i="3"/>
  <c r="F1155" i="3"/>
  <c r="F1154" i="3"/>
  <c r="F1153" i="3"/>
  <c r="F1152" i="3"/>
  <c r="D1151" i="3"/>
  <c r="F1151" i="3" s="1"/>
  <c r="F1150" i="3"/>
  <c r="F1149" i="3"/>
  <c r="F1148" i="3"/>
  <c r="F1147" i="3"/>
  <c r="F1146" i="3"/>
  <c r="F1145" i="3"/>
  <c r="F1140" i="3"/>
  <c r="E1139" i="3"/>
  <c r="F1139" i="3" s="1"/>
  <c r="F1138" i="3"/>
  <c r="F1137" i="3"/>
  <c r="F1136" i="3"/>
  <c r="F1135" i="3"/>
  <c r="F1134" i="3"/>
  <c r="F1133" i="3"/>
  <c r="F1132" i="3"/>
  <c r="F1131" i="3"/>
  <c r="F1130" i="3"/>
  <c r="F1129" i="3"/>
  <c r="F1128" i="3"/>
  <c r="F1127" i="3"/>
  <c r="F1126" i="3"/>
  <c r="F1125" i="3"/>
  <c r="F1124" i="3"/>
  <c r="F1123" i="3"/>
  <c r="F1122" i="3"/>
  <c r="F1121" i="3"/>
  <c r="F1120" i="3"/>
  <c r="F1119" i="3"/>
  <c r="F1118" i="3"/>
  <c r="F1117" i="3"/>
  <c r="F1116" i="3"/>
  <c r="F1115" i="3"/>
  <c r="F1114" i="3"/>
  <c r="F1113" i="3"/>
  <c r="F1112" i="3"/>
  <c r="F1111" i="3"/>
  <c r="F1110" i="3"/>
  <c r="F1109" i="3"/>
  <c r="F1108" i="3"/>
  <c r="F1107" i="3"/>
  <c r="F1106" i="3"/>
  <c r="F1105" i="3"/>
  <c r="F1104" i="3"/>
  <c r="F1103" i="3"/>
  <c r="F1102" i="3"/>
  <c r="F1101" i="3"/>
  <c r="F1100" i="3"/>
  <c r="F1099" i="3"/>
  <c r="F1098" i="3"/>
  <c r="F1097" i="3"/>
  <c r="F1096" i="3"/>
  <c r="F1095" i="3"/>
  <c r="F1094" i="3"/>
  <c r="F1093" i="3"/>
  <c r="F1092" i="3"/>
  <c r="F1091" i="3"/>
  <c r="F1090" i="3"/>
  <c r="F1089" i="3"/>
  <c r="F1088" i="3"/>
  <c r="F1087" i="3"/>
  <c r="F1086" i="3"/>
  <c r="F1085" i="3"/>
  <c r="F1084" i="3"/>
  <c r="F1083" i="3"/>
  <c r="F1082" i="3"/>
  <c r="F1081" i="3"/>
  <c r="F1080" i="3"/>
  <c r="F1079" i="3"/>
  <c r="F1078" i="3"/>
  <c r="F1077" i="3"/>
  <c r="F1076" i="3"/>
  <c r="F1075" i="3"/>
  <c r="F1074" i="3"/>
  <c r="F1073" i="3"/>
  <c r="F1072" i="3"/>
  <c r="F1071" i="3"/>
  <c r="F1070" i="3"/>
  <c r="F1069" i="3"/>
  <c r="D1068" i="3"/>
  <c r="F1068" i="3" s="1"/>
  <c r="F1067" i="3"/>
  <c r="F1066" i="3"/>
  <c r="F1065" i="3"/>
  <c r="F1064" i="3"/>
  <c r="F1063" i="3"/>
  <c r="F1062" i="3"/>
  <c r="E1061" i="3"/>
  <c r="D1061" i="3"/>
  <c r="F1060" i="3"/>
  <c r="F1059" i="3"/>
  <c r="F1058" i="3"/>
  <c r="F1057" i="3"/>
  <c r="F1056" i="3"/>
  <c r="F1055" i="3"/>
  <c r="F1054" i="3"/>
  <c r="F1053" i="3"/>
  <c r="D1052" i="3"/>
  <c r="D1141" i="3" s="1"/>
  <c r="F1051" i="3"/>
  <c r="F1050" i="3"/>
  <c r="F1049" i="3"/>
  <c r="F1048" i="3"/>
  <c r="F1047" i="3"/>
  <c r="F1046" i="3"/>
  <c r="F1045" i="3"/>
  <c r="F1044" i="3"/>
  <c r="F1043" i="3"/>
  <c r="F1042" i="3"/>
  <c r="F1041" i="3"/>
  <c r="F1040" i="3"/>
  <c r="F1039" i="3"/>
  <c r="F1038" i="3"/>
  <c r="F1037" i="3"/>
  <c r="F1036" i="3"/>
  <c r="F1035" i="3"/>
  <c r="F1034" i="3"/>
  <c r="F1033" i="3"/>
  <c r="F1032" i="3"/>
  <c r="F1031" i="3"/>
  <c r="F1030" i="3"/>
  <c r="F1029" i="3"/>
  <c r="F1028" i="3"/>
  <c r="F1027" i="3"/>
  <c r="F1026" i="3"/>
  <c r="F1025" i="3"/>
  <c r="F1024" i="3"/>
  <c r="F1023" i="3"/>
  <c r="E1019" i="3"/>
  <c r="F1018" i="3"/>
  <c r="F1017" i="3"/>
  <c r="F1016" i="3"/>
  <c r="F1015" i="3"/>
  <c r="F1014" i="3"/>
  <c r="F1013" i="3"/>
  <c r="F1012" i="3"/>
  <c r="F1011" i="3"/>
  <c r="F1010" i="3"/>
  <c r="F1009" i="3"/>
  <c r="F1008" i="3"/>
  <c r="F1007" i="3"/>
  <c r="F1006" i="3"/>
  <c r="F1005" i="3"/>
  <c r="F1004" i="3"/>
  <c r="F1003" i="3"/>
  <c r="F1002" i="3"/>
  <c r="F1001" i="3"/>
  <c r="F1000" i="3"/>
  <c r="F999" i="3"/>
  <c r="F998" i="3"/>
  <c r="F997" i="3"/>
  <c r="F996" i="3"/>
  <c r="F995" i="3"/>
  <c r="F994" i="3"/>
  <c r="F993" i="3"/>
  <c r="F992" i="3"/>
  <c r="F991" i="3"/>
  <c r="F990" i="3"/>
  <c r="F989" i="3"/>
  <c r="F988" i="3"/>
  <c r="F987" i="3"/>
  <c r="F986" i="3"/>
  <c r="F985" i="3"/>
  <c r="D984" i="3"/>
  <c r="F984" i="3" s="1"/>
  <c r="F983" i="3"/>
  <c r="F982" i="3"/>
  <c r="F981" i="3"/>
  <c r="F980" i="3"/>
  <c r="F979" i="3"/>
  <c r="F978" i="3"/>
  <c r="F977" i="3"/>
  <c r="F976" i="3"/>
  <c r="F975" i="3"/>
  <c r="F974" i="3"/>
  <c r="F973" i="3"/>
  <c r="F972" i="3"/>
  <c r="F971" i="3"/>
  <c r="F970" i="3"/>
  <c r="F969" i="3"/>
  <c r="F968" i="3"/>
  <c r="F967" i="3"/>
  <c r="F966" i="3"/>
  <c r="F965" i="3"/>
  <c r="F964" i="3"/>
  <c r="F963" i="3"/>
  <c r="F962" i="3"/>
  <c r="F961" i="3"/>
  <c r="F960" i="3"/>
  <c r="F959" i="3"/>
  <c r="F958" i="3"/>
  <c r="F957" i="3"/>
  <c r="F956" i="3"/>
  <c r="F955" i="3"/>
  <c r="F954" i="3"/>
  <c r="F953" i="3"/>
  <c r="F952" i="3"/>
  <c r="F951" i="3"/>
  <c r="D950" i="3"/>
  <c r="F950" i="3" s="1"/>
  <c r="F949" i="3"/>
  <c r="F948" i="3"/>
  <c r="F947" i="3"/>
  <c r="F946" i="3"/>
  <c r="F945" i="3"/>
  <c r="F944" i="3"/>
  <c r="F943" i="3"/>
  <c r="F942" i="3"/>
  <c r="F941" i="3"/>
  <c r="F940" i="3"/>
  <c r="F939" i="3"/>
  <c r="F938" i="3"/>
  <c r="F937" i="3"/>
  <c r="F936" i="3"/>
  <c r="F935" i="3"/>
  <c r="F934" i="3"/>
  <c r="F933" i="3"/>
  <c r="F932" i="3"/>
  <c r="F931" i="3"/>
  <c r="F930" i="3"/>
  <c r="F929" i="3"/>
  <c r="F928" i="3"/>
  <c r="D927" i="3"/>
  <c r="F927" i="3" s="1"/>
  <c r="E923" i="3"/>
  <c r="D922" i="3"/>
  <c r="F922" i="3" s="1"/>
  <c r="F921" i="3"/>
  <c r="F920" i="3"/>
  <c r="F919" i="3"/>
  <c r="F918" i="3"/>
  <c r="F917" i="3"/>
  <c r="F916" i="3"/>
  <c r="F915" i="3"/>
  <c r="F914" i="3"/>
  <c r="F913" i="3"/>
  <c r="F912" i="3"/>
  <c r="F911" i="3"/>
  <c r="F910" i="3"/>
  <c r="F909" i="3"/>
  <c r="F908" i="3"/>
  <c r="F907" i="3"/>
  <c r="F906" i="3"/>
  <c r="F905" i="3"/>
  <c r="F904" i="3"/>
  <c r="F903" i="3"/>
  <c r="F902" i="3"/>
  <c r="F901" i="3"/>
  <c r="F900" i="3"/>
  <c r="F899" i="3"/>
  <c r="F898" i="3"/>
  <c r="F897" i="3"/>
  <c r="F896" i="3"/>
  <c r="F895" i="3"/>
  <c r="F894" i="3"/>
  <c r="F893" i="3"/>
  <c r="F892" i="3"/>
  <c r="F890" i="3"/>
  <c r="F889" i="3"/>
  <c r="F888" i="3"/>
  <c r="F887" i="3"/>
  <c r="F886" i="3"/>
  <c r="F885" i="3"/>
  <c r="F884" i="3"/>
  <c r="F883" i="3"/>
  <c r="F882" i="3"/>
  <c r="F881" i="3"/>
  <c r="F880" i="3"/>
  <c r="F879" i="3"/>
  <c r="F878" i="3"/>
  <c r="F877" i="3"/>
  <c r="F876" i="3"/>
  <c r="F875" i="3"/>
  <c r="F874" i="3"/>
  <c r="F873" i="3"/>
  <c r="F872" i="3"/>
  <c r="F871" i="3"/>
  <c r="F870" i="3"/>
  <c r="F869" i="3"/>
  <c r="F868" i="3"/>
  <c r="F867" i="3"/>
  <c r="F866" i="3"/>
  <c r="F865" i="3"/>
  <c r="F864" i="3"/>
  <c r="F863" i="3"/>
  <c r="F862" i="3"/>
  <c r="F861" i="3"/>
  <c r="F860" i="3"/>
  <c r="F859" i="3"/>
  <c r="F858" i="3"/>
  <c r="F857" i="3"/>
  <c r="F856" i="3"/>
  <c r="F855" i="3"/>
  <c r="F854" i="3"/>
  <c r="F853" i="3"/>
  <c r="F852" i="3"/>
  <c r="F851" i="3"/>
  <c r="F850" i="3"/>
  <c r="F849" i="3"/>
  <c r="F848" i="3"/>
  <c r="F847" i="3"/>
  <c r="F846" i="3"/>
  <c r="F845" i="3"/>
  <c r="F844" i="3"/>
  <c r="F843" i="3"/>
  <c r="F842" i="3"/>
  <c r="F841" i="3"/>
  <c r="F840" i="3"/>
  <c r="F839" i="3"/>
  <c r="F838" i="3"/>
  <c r="F837" i="3"/>
  <c r="F836" i="3"/>
  <c r="F835" i="3"/>
  <c r="F834" i="3"/>
  <c r="F833" i="3"/>
  <c r="F832" i="3"/>
  <c r="F831" i="3"/>
  <c r="F830" i="3"/>
  <c r="F829" i="3"/>
  <c r="F828" i="3"/>
  <c r="D827" i="3"/>
  <c r="F827" i="3" s="1"/>
  <c r="F826" i="3"/>
  <c r="F825" i="3"/>
  <c r="F824" i="3"/>
  <c r="F823" i="3"/>
  <c r="F822" i="3"/>
  <c r="F821" i="3"/>
  <c r="D820" i="3"/>
  <c r="F819" i="3"/>
  <c r="F818" i="3"/>
  <c r="F817" i="3"/>
  <c r="F816" i="3"/>
  <c r="F815" i="3"/>
  <c r="F814" i="3"/>
  <c r="F813" i="3"/>
  <c r="F812" i="3"/>
  <c r="F811" i="3"/>
  <c r="F810" i="3"/>
  <c r="F809" i="3"/>
  <c r="E805" i="3"/>
  <c r="D804" i="3"/>
  <c r="F804" i="3" s="1"/>
  <c r="F803" i="3"/>
  <c r="F802" i="3"/>
  <c r="F801" i="3"/>
  <c r="F800" i="3"/>
  <c r="F799" i="3"/>
  <c r="F798" i="3"/>
  <c r="F797" i="3"/>
  <c r="F796" i="3"/>
  <c r="F795" i="3"/>
  <c r="F794" i="3"/>
  <c r="F793" i="3"/>
  <c r="F792" i="3"/>
  <c r="F791" i="3"/>
  <c r="F790" i="3"/>
  <c r="F789" i="3"/>
  <c r="F788" i="3"/>
  <c r="F787" i="3"/>
  <c r="F786" i="3"/>
  <c r="F785" i="3"/>
  <c r="F784" i="3"/>
  <c r="F783" i="3"/>
  <c r="F782" i="3"/>
  <c r="F781" i="3"/>
  <c r="F780" i="3"/>
  <c r="F779" i="3"/>
  <c r="D778" i="3"/>
  <c r="F778" i="3" s="1"/>
  <c r="F777" i="3"/>
  <c r="F776" i="3"/>
  <c r="F775" i="3"/>
  <c r="F774" i="3"/>
  <c r="F773" i="3"/>
  <c r="F772" i="3"/>
  <c r="D771" i="3"/>
  <c r="F771" i="3" s="1"/>
  <c r="F770" i="3"/>
  <c r="F769" i="3"/>
  <c r="F768" i="3"/>
  <c r="F767" i="3"/>
  <c r="F766" i="3"/>
  <c r="F765" i="3"/>
  <c r="F764" i="3"/>
  <c r="F763" i="3"/>
  <c r="F762" i="3"/>
  <c r="F761" i="3"/>
  <c r="F760" i="3"/>
  <c r="D759" i="3"/>
  <c r="F759" i="3" s="1"/>
  <c r="F758" i="3"/>
  <c r="F757" i="3"/>
  <c r="F756" i="3"/>
  <c r="F755" i="3"/>
  <c r="F754" i="3"/>
  <c r="F753" i="3"/>
  <c r="F752" i="3"/>
  <c r="F751" i="3"/>
  <c r="F750" i="3"/>
  <c r="F749" i="3"/>
  <c r="F748" i="3"/>
  <c r="D747" i="3"/>
  <c r="F747" i="3" s="1"/>
  <c r="F746" i="3"/>
  <c r="F745" i="3"/>
  <c r="F744" i="3"/>
  <c r="F743" i="3"/>
  <c r="F742" i="3"/>
  <c r="D741" i="3"/>
  <c r="F740" i="3"/>
  <c r="F739" i="3"/>
  <c r="F738" i="3"/>
  <c r="F737" i="3"/>
  <c r="F736" i="3"/>
  <c r="F735" i="3"/>
  <c r="F734" i="3"/>
  <c r="G730" i="3"/>
  <c r="E730" i="3"/>
  <c r="D730" i="3"/>
  <c r="F729" i="3"/>
  <c r="F728" i="3"/>
  <c r="F727" i="3"/>
  <c r="F726" i="3"/>
  <c r="F725" i="3"/>
  <c r="F724" i="3"/>
  <c r="F723" i="3"/>
  <c r="F722" i="3"/>
  <c r="F721" i="3"/>
  <c r="F720" i="3"/>
  <c r="F719" i="3"/>
  <c r="F718" i="3"/>
  <c r="F717" i="3"/>
  <c r="F716" i="3"/>
  <c r="F715" i="3"/>
  <c r="F714" i="3"/>
  <c r="F713" i="3"/>
  <c r="F712" i="3"/>
  <c r="F711" i="3"/>
  <c r="F710" i="3"/>
  <c r="F709" i="3"/>
  <c r="F708" i="3"/>
  <c r="F707" i="3"/>
  <c r="F706" i="3"/>
  <c r="F705" i="3"/>
  <c r="F704" i="3"/>
  <c r="F703" i="3"/>
  <c r="F702" i="3"/>
  <c r="F701" i="3"/>
  <c r="F700" i="3"/>
  <c r="F699" i="3"/>
  <c r="F698" i="3"/>
  <c r="F697" i="3"/>
  <c r="F696" i="3"/>
  <c r="F695" i="3"/>
  <c r="F694" i="3"/>
  <c r="F693" i="3"/>
  <c r="F692" i="3"/>
  <c r="F691" i="3"/>
  <c r="F690" i="3"/>
  <c r="D1438" i="3" l="1"/>
  <c r="F1061" i="3"/>
  <c r="F1694" i="3"/>
  <c r="F1329" i="3"/>
  <c r="F730" i="3"/>
  <c r="D686" i="3"/>
  <c r="F686" i="3" s="1"/>
  <c r="D805" i="3"/>
  <c r="D923" i="3"/>
  <c r="F923" i="3" s="1"/>
  <c r="F1052" i="3"/>
  <c r="E1252" i="3"/>
  <c r="F1213" i="3"/>
  <c r="D1647" i="3"/>
  <c r="F1647" i="3" s="1"/>
  <c r="F685" i="3"/>
  <c r="E1438" i="3"/>
  <c r="F1438" i="3" s="1"/>
  <c r="D1252" i="3"/>
  <c r="E1141" i="3"/>
  <c r="F1141" i="3" s="1"/>
  <c r="D1019" i="3"/>
  <c r="F1019" i="3" s="1"/>
  <c r="F820" i="3"/>
  <c r="F805" i="3"/>
  <c r="F741" i="3"/>
  <c r="D625" i="3"/>
  <c r="F625" i="3" s="1"/>
  <c r="E624" i="3"/>
  <c r="E626" i="3" s="1"/>
  <c r="D624" i="3"/>
  <c r="F623" i="3"/>
  <c r="F622" i="3"/>
  <c r="F621" i="3"/>
  <c r="F620" i="3"/>
  <c r="F619" i="3"/>
  <c r="F618" i="3"/>
  <c r="F617" i="3"/>
  <c r="F616" i="3"/>
  <c r="F615" i="3"/>
  <c r="F614" i="3"/>
  <c r="F613" i="3"/>
  <c r="F612" i="3"/>
  <c r="F611" i="3"/>
  <c r="F610" i="3"/>
  <c r="F609" i="3"/>
  <c r="F608" i="3"/>
  <c r="F607" i="3"/>
  <c r="F606" i="3"/>
  <c r="F605" i="3"/>
  <c r="F604" i="3"/>
  <c r="F603" i="3"/>
  <c r="F602" i="3"/>
  <c r="F601" i="3"/>
  <c r="F600" i="3"/>
  <c r="F599" i="3"/>
  <c r="F598" i="3"/>
  <c r="F597" i="3"/>
  <c r="F596" i="3"/>
  <c r="F595" i="3"/>
  <c r="F594" i="3"/>
  <c r="D593" i="3"/>
  <c r="D626" i="3" s="1"/>
  <c r="F592" i="3"/>
  <c r="F591" i="3"/>
  <c r="F590" i="3"/>
  <c r="F589" i="3"/>
  <c r="F588" i="3"/>
  <c r="F587" i="3"/>
  <c r="F586" i="3"/>
  <c r="F585" i="3"/>
  <c r="F584" i="3"/>
  <c r="F583" i="3"/>
  <c r="F582" i="3"/>
  <c r="F581" i="3"/>
  <c r="F580" i="3"/>
  <c r="F579" i="3"/>
  <c r="F578" i="3"/>
  <c r="F577" i="3"/>
  <c r="F576" i="3"/>
  <c r="F575" i="3"/>
  <c r="F574" i="3"/>
  <c r="F573" i="3"/>
  <c r="F572" i="3"/>
  <c r="F571" i="3"/>
  <c r="F570" i="3"/>
  <c r="F569" i="3"/>
  <c r="F568" i="3"/>
  <c r="F567" i="3"/>
  <c r="F566" i="3"/>
  <c r="F565" i="3"/>
  <c r="F564" i="3"/>
  <c r="F563" i="3"/>
  <c r="F562" i="3"/>
  <c r="F561" i="3"/>
  <c r="F560" i="3"/>
  <c r="F559" i="3"/>
  <c r="F558" i="3"/>
  <c r="F557" i="3"/>
  <c r="F556" i="3"/>
  <c r="F555" i="3"/>
  <c r="F554" i="3"/>
  <c r="F553" i="3"/>
  <c r="F552" i="3"/>
  <c r="F551" i="3"/>
  <c r="F550" i="3"/>
  <c r="F549" i="3"/>
  <c r="F548" i="3"/>
  <c r="F547" i="3"/>
  <c r="F546" i="3"/>
  <c r="F545" i="3"/>
  <c r="F544" i="3"/>
  <c r="F543" i="3"/>
  <c r="F542" i="3"/>
  <c r="F541" i="3"/>
  <c r="F540" i="3"/>
  <c r="F539" i="3"/>
  <c r="F538" i="3"/>
  <c r="F537" i="3"/>
  <c r="F536" i="3"/>
  <c r="F535" i="3"/>
  <c r="F534" i="3"/>
  <c r="F533" i="3"/>
  <c r="F532" i="3"/>
  <c r="F531" i="3"/>
  <c r="F530" i="3"/>
  <c r="F529" i="3"/>
  <c r="F528" i="3"/>
  <c r="F527" i="3"/>
  <c r="F526" i="3"/>
  <c r="F525" i="3"/>
  <c r="E520" i="3"/>
  <c r="E521" i="3" s="1"/>
  <c r="D520" i="3"/>
  <c r="F519" i="3"/>
  <c r="F518" i="3"/>
  <c r="F517" i="3"/>
  <c r="F516" i="3"/>
  <c r="F515" i="3"/>
  <c r="F514" i="3"/>
  <c r="F513" i="3"/>
  <c r="F512" i="3"/>
  <c r="F511" i="3"/>
  <c r="F510" i="3"/>
  <c r="F509" i="3"/>
  <c r="F508" i="3"/>
  <c r="F507" i="3"/>
  <c r="F506" i="3"/>
  <c r="F505" i="3"/>
  <c r="F504" i="3"/>
  <c r="F503" i="3"/>
  <c r="F502" i="3"/>
  <c r="F501" i="3"/>
  <c r="F500" i="3"/>
  <c r="F499" i="3"/>
  <c r="F498" i="3"/>
  <c r="F497" i="3"/>
  <c r="F496" i="3"/>
  <c r="F495" i="3"/>
  <c r="F494" i="3"/>
  <c r="F493" i="3"/>
  <c r="F492" i="3"/>
  <c r="F491" i="3"/>
  <c r="F490" i="3"/>
  <c r="F489" i="3"/>
  <c r="F488" i="3"/>
  <c r="F487" i="3"/>
  <c r="F486" i="3"/>
  <c r="F485" i="3"/>
  <c r="F484" i="3"/>
  <c r="F483" i="3"/>
  <c r="F482" i="3"/>
  <c r="F481" i="3"/>
  <c r="F480" i="3"/>
  <c r="F479" i="3"/>
  <c r="F478" i="3"/>
  <c r="F477" i="3"/>
  <c r="F476" i="3"/>
  <c r="F475" i="3"/>
  <c r="F474" i="3"/>
  <c r="F473" i="3"/>
  <c r="F472" i="3"/>
  <c r="D471" i="3"/>
  <c r="D521" i="3" s="1"/>
  <c r="F470" i="3"/>
  <c r="F469" i="3"/>
  <c r="F468" i="3"/>
  <c r="F467" i="3"/>
  <c r="F466" i="3"/>
  <c r="F465" i="3"/>
  <c r="F464" i="3"/>
  <c r="F463" i="3"/>
  <c r="F462" i="3"/>
  <c r="F461" i="3"/>
  <c r="F460" i="3"/>
  <c r="F459" i="3"/>
  <c r="F458" i="3"/>
  <c r="F457" i="3"/>
  <c r="F456" i="3"/>
  <c r="F455" i="3"/>
  <c r="F454" i="3"/>
  <c r="F453" i="3"/>
  <c r="F452" i="3"/>
  <c r="F451" i="3"/>
  <c r="F450" i="3"/>
  <c r="F449" i="3"/>
  <c r="F520" i="3" l="1"/>
  <c r="F626" i="3"/>
  <c r="F1252" i="3"/>
  <c r="F624" i="3"/>
  <c r="F593" i="3"/>
  <c r="F471" i="3"/>
  <c r="F521" i="3" s="1"/>
  <c r="H445" i="3" l="1"/>
  <c r="E445" i="3"/>
  <c r="F444" i="3"/>
  <c r="D444" i="3"/>
  <c r="D445" i="3" s="1"/>
  <c r="F443" i="3"/>
  <c r="F442" i="3"/>
  <c r="F441" i="3"/>
  <c r="F440" i="3"/>
  <c r="F439" i="3"/>
  <c r="F438" i="3"/>
  <c r="F437" i="3"/>
  <c r="F436" i="3"/>
  <c r="F435" i="3"/>
  <c r="F434" i="3"/>
  <c r="F433" i="3"/>
  <c r="F432" i="3"/>
  <c r="F431" i="3"/>
  <c r="F430" i="3"/>
  <c r="F429" i="3"/>
  <c r="F428" i="3"/>
  <c r="F427" i="3"/>
  <c r="F426" i="3"/>
  <c r="F425" i="3"/>
  <c r="F424" i="3"/>
  <c r="F423" i="3"/>
  <c r="F422" i="3"/>
  <c r="F421" i="3"/>
  <c r="F420" i="3"/>
  <c r="F419" i="3"/>
  <c r="F418" i="3"/>
  <c r="F417" i="3"/>
  <c r="F416" i="3"/>
  <c r="F415" i="3"/>
  <c r="F414" i="3"/>
  <c r="F413" i="3"/>
  <c r="F412" i="3"/>
  <c r="F411" i="3"/>
  <c r="F410" i="3"/>
  <c r="F409" i="3"/>
  <c r="F408" i="3"/>
  <c r="F407" i="3"/>
  <c r="F406" i="3"/>
  <c r="F405" i="3"/>
  <c r="F404" i="3"/>
  <c r="F403" i="3"/>
  <c r="F402" i="3"/>
  <c r="F401" i="3"/>
  <c r="F400" i="3"/>
  <c r="F399" i="3"/>
  <c r="F398" i="3"/>
  <c r="F397" i="3"/>
  <c r="F396" i="3"/>
  <c r="F395" i="3"/>
  <c r="F394" i="3"/>
  <c r="F393" i="3"/>
  <c r="F392" i="3"/>
  <c r="F391" i="3"/>
  <c r="F390" i="3"/>
  <c r="F389" i="3"/>
  <c r="F388" i="3"/>
  <c r="F387" i="3"/>
  <c r="F386" i="3"/>
  <c r="F385" i="3"/>
  <c r="F384" i="3"/>
  <c r="F383" i="3"/>
  <c r="F382" i="3"/>
  <c r="F381" i="3"/>
  <c r="F379" i="3"/>
  <c r="F378" i="3"/>
  <c r="F377" i="3"/>
  <c r="F376" i="3"/>
  <c r="F375" i="3"/>
  <c r="F374" i="3"/>
  <c r="F373" i="3"/>
  <c r="F372" i="3"/>
  <c r="F371" i="3"/>
  <c r="F370" i="3"/>
  <c r="F369" i="3"/>
  <c r="F368" i="3"/>
  <c r="F367" i="3"/>
  <c r="F366" i="3"/>
  <c r="F365" i="3"/>
  <c r="F364" i="3"/>
  <c r="F363" i="3"/>
  <c r="F362" i="3"/>
  <c r="F361" i="3"/>
  <c r="F360" i="3"/>
  <c r="F359" i="3"/>
  <c r="F358" i="3"/>
  <c r="F357" i="3"/>
  <c r="F356" i="3"/>
  <c r="F355" i="3"/>
  <c r="F354" i="3"/>
  <c r="F353" i="3"/>
  <c r="F352" i="3"/>
  <c r="F351" i="3"/>
  <c r="E346" i="3"/>
  <c r="D346" i="3"/>
  <c r="F346" i="3" s="1"/>
  <c r="F345" i="3"/>
  <c r="F344" i="3"/>
  <c r="F343" i="3"/>
  <c r="F342" i="3"/>
  <c r="F341" i="3"/>
  <c r="F340" i="3"/>
  <c r="F339" i="3"/>
  <c r="F338" i="3"/>
  <c r="F337" i="3"/>
  <c r="F336" i="3"/>
  <c r="F335" i="3"/>
  <c r="F334" i="3"/>
  <c r="F333" i="3"/>
  <c r="F332" i="3"/>
  <c r="F331" i="3"/>
  <c r="F330" i="3"/>
  <c r="F329" i="3"/>
  <c r="F328" i="3"/>
  <c r="F327" i="3"/>
  <c r="F326" i="3"/>
  <c r="F325" i="3"/>
  <c r="F324" i="3"/>
  <c r="F323" i="3"/>
  <c r="F322" i="3"/>
  <c r="F321" i="3"/>
  <c r="F320" i="3"/>
  <c r="F319" i="3"/>
  <c r="F318" i="3"/>
  <c r="F317" i="3"/>
  <c r="F316" i="3"/>
  <c r="F315" i="3"/>
  <c r="F314" i="3"/>
  <c r="F313" i="3"/>
  <c r="F312" i="3"/>
  <c r="F311" i="3"/>
  <c r="F310" i="3"/>
  <c r="F309" i="3"/>
  <c r="F308" i="3"/>
  <c r="F307" i="3"/>
  <c r="F306" i="3"/>
  <c r="F305" i="3"/>
  <c r="F304" i="3"/>
  <c r="F303" i="3"/>
  <c r="F302" i="3"/>
  <c r="F301" i="3"/>
  <c r="F300" i="3"/>
  <c r="F299" i="3"/>
  <c r="F298" i="3"/>
  <c r="F297" i="3"/>
  <c r="F296" i="3"/>
  <c r="F295" i="3"/>
  <c r="F294" i="3"/>
  <c r="F293" i="3"/>
  <c r="F292" i="3"/>
  <c r="F291" i="3"/>
  <c r="F290" i="3"/>
  <c r="F289" i="3"/>
  <c r="F288" i="3"/>
  <c r="F287" i="3"/>
  <c r="F286" i="3"/>
  <c r="F285" i="3"/>
  <c r="F284" i="3"/>
  <c r="F283" i="3"/>
  <c r="F282" i="3"/>
  <c r="F281" i="3"/>
  <c r="F280" i="3"/>
  <c r="F279" i="3"/>
  <c r="F278" i="3"/>
  <c r="F277" i="3"/>
  <c r="F276" i="3"/>
  <c r="F275" i="3"/>
  <c r="F274" i="3"/>
  <c r="F273" i="3"/>
  <c r="F272" i="3"/>
  <c r="F271" i="3"/>
  <c r="F270" i="3"/>
  <c r="F269" i="3"/>
  <c r="F268" i="3"/>
  <c r="E267" i="3"/>
  <c r="F267" i="3" s="1"/>
  <c r="F266" i="3"/>
  <c r="F265" i="3"/>
  <c r="F264" i="3"/>
  <c r="F263" i="3"/>
  <c r="F262" i="3"/>
  <c r="F261" i="3"/>
  <c r="F260" i="3"/>
  <c r="F259" i="3"/>
  <c r="F258" i="3"/>
  <c r="F257" i="3"/>
  <c r="F256" i="3"/>
  <c r="F255" i="3"/>
  <c r="F254" i="3"/>
  <c r="F253" i="3"/>
  <c r="F252" i="3"/>
  <c r="F251" i="3"/>
  <c r="F250" i="3"/>
  <c r="F249" i="3"/>
  <c r="F248" i="3"/>
  <c r="F247" i="3"/>
  <c r="F246" i="3"/>
  <c r="D245" i="3"/>
  <c r="F245" i="3" s="1"/>
  <c r="F244" i="3"/>
  <c r="F243" i="3"/>
  <c r="F242" i="3"/>
  <c r="F241" i="3"/>
  <c r="F240" i="3"/>
  <c r="F239" i="3"/>
  <c r="F238" i="3"/>
  <c r="F237" i="3"/>
  <c r="F236" i="3"/>
  <c r="F235" i="3"/>
  <c r="F234" i="3"/>
  <c r="F233" i="3"/>
  <c r="F232" i="3"/>
  <c r="F231" i="3"/>
  <c r="F230" i="3"/>
  <c r="F229" i="3"/>
  <c r="F228" i="3"/>
  <c r="F227" i="3"/>
  <c r="F226" i="3"/>
  <c r="D225" i="3"/>
  <c r="F225" i="3" s="1"/>
  <c r="F224" i="3"/>
  <c r="F223" i="3"/>
  <c r="F222" i="3"/>
  <c r="F221" i="3"/>
  <c r="F220" i="3"/>
  <c r="F219" i="3"/>
  <c r="F218" i="3"/>
  <c r="F217" i="3"/>
  <c r="F216" i="3"/>
  <c r="F215" i="3"/>
  <c r="F214" i="3"/>
  <c r="F213" i="3"/>
  <c r="F212" i="3"/>
  <c r="F211" i="3"/>
  <c r="F210" i="3"/>
  <c r="F209" i="3"/>
  <c r="F208" i="3"/>
  <c r="F207" i="3"/>
  <c r="F206" i="3"/>
  <c r="F205" i="3"/>
  <c r="F204" i="3"/>
  <c r="F203" i="3"/>
  <c r="F202" i="3"/>
  <c r="F201" i="3"/>
  <c r="F200" i="3"/>
  <c r="E199" i="3"/>
  <c r="F198" i="3"/>
  <c r="F197" i="3"/>
  <c r="F196" i="3"/>
  <c r="F195" i="3"/>
  <c r="F194" i="3"/>
  <c r="F193" i="3"/>
  <c r="F192" i="3"/>
  <c r="F191" i="3"/>
  <c r="F190" i="3"/>
  <c r="F189" i="3"/>
  <c r="F188" i="3"/>
  <c r="F187" i="3"/>
  <c r="F186" i="3"/>
  <c r="F185" i="3"/>
  <c r="F184" i="3"/>
  <c r="F183" i="3"/>
  <c r="F182" i="3"/>
  <c r="F181" i="3"/>
  <c r="F180" i="3"/>
  <c r="F179" i="3"/>
  <c r="D178" i="3"/>
  <c r="F178" i="3" s="1"/>
  <c r="F177" i="3"/>
  <c r="F176" i="3"/>
  <c r="F175" i="3"/>
  <c r="F174" i="3"/>
  <c r="F173" i="3"/>
  <c r="F172" i="3"/>
  <c r="F171" i="3"/>
  <c r="F170" i="3"/>
  <c r="F169" i="3"/>
  <c r="F168" i="3"/>
  <c r="F167" i="3"/>
  <c r="F166" i="3"/>
  <c r="F165" i="3"/>
  <c r="F164" i="3"/>
  <c r="F163" i="3"/>
  <c r="F162" i="3"/>
  <c r="F161" i="3"/>
  <c r="F160" i="3"/>
  <c r="F159" i="3"/>
  <c r="F158" i="3"/>
  <c r="F157" i="3"/>
  <c r="F156" i="3"/>
  <c r="F155" i="3"/>
  <c r="F154" i="3"/>
  <c r="F153" i="3"/>
  <c r="F152" i="3"/>
  <c r="F151" i="3"/>
  <c r="F150" i="3"/>
  <c r="F149" i="3"/>
  <c r="F148" i="3"/>
  <c r="F147" i="3"/>
  <c r="F146" i="3"/>
  <c r="F145" i="3"/>
  <c r="F144" i="3"/>
  <c r="F143" i="3"/>
  <c r="F142" i="3"/>
  <c r="F141" i="3"/>
  <c r="F140" i="3"/>
  <c r="F139" i="3"/>
  <c r="F138" i="3"/>
  <c r="F137" i="3"/>
  <c r="F136" i="3"/>
  <c r="F135" i="3"/>
  <c r="F134" i="3"/>
  <c r="F133" i="3"/>
  <c r="F132" i="3"/>
  <c r="F131" i="3"/>
  <c r="F130" i="3"/>
  <c r="F129" i="3"/>
  <c r="F128" i="3"/>
  <c r="F127" i="3"/>
  <c r="F126" i="3"/>
  <c r="F125" i="3"/>
  <c r="F124" i="3"/>
  <c r="F123" i="3"/>
  <c r="F122" i="3"/>
  <c r="F121" i="3"/>
  <c r="F445" i="3" l="1"/>
  <c r="E347" i="3"/>
  <c r="F199" i="3"/>
  <c r="D347" i="3"/>
  <c r="F347" i="3" l="1"/>
  <c r="E117" i="3"/>
  <c r="D116" i="3"/>
  <c r="F116" i="3" s="1"/>
  <c r="F115" i="3"/>
  <c r="F114" i="3"/>
  <c r="F113" i="3"/>
  <c r="F112" i="3"/>
  <c r="F111" i="3"/>
  <c r="F110" i="3"/>
  <c r="F109" i="3"/>
  <c r="F108" i="3"/>
  <c r="F107" i="3"/>
  <c r="F106" i="3"/>
  <c r="F105" i="3"/>
  <c r="F104" i="3"/>
  <c r="F103" i="3"/>
  <c r="F102" i="3"/>
  <c r="F101" i="3"/>
  <c r="F100" i="3"/>
  <c r="F99" i="3"/>
  <c r="F98" i="3"/>
  <c r="F97" i="3"/>
  <c r="F96" i="3"/>
  <c r="F95" i="3"/>
  <c r="F94" i="3"/>
  <c r="F93" i="3"/>
  <c r="F92" i="3"/>
  <c r="F91" i="3"/>
  <c r="F90" i="3"/>
  <c r="F89" i="3"/>
  <c r="F88" i="3"/>
  <c r="F87" i="3"/>
  <c r="F86" i="3"/>
  <c r="F85" i="3"/>
  <c r="F84" i="3"/>
  <c r="F83" i="3"/>
  <c r="F82" i="3"/>
  <c r="F81" i="3"/>
  <c r="F80" i="3"/>
  <c r="F79" i="3"/>
  <c r="F78" i="3"/>
  <c r="D77" i="3"/>
  <c r="F77" i="3" s="1"/>
  <c r="F76" i="3"/>
  <c r="F75" i="3"/>
  <c r="F74" i="3"/>
  <c r="F73" i="3"/>
  <c r="F72" i="3"/>
  <c r="F71" i="3"/>
  <c r="F70" i="3"/>
  <c r="D69" i="3"/>
  <c r="F69" i="3" s="1"/>
  <c r="F68" i="3"/>
  <c r="F67" i="3"/>
  <c r="F66" i="3"/>
  <c r="F65" i="3"/>
  <c r="F64" i="3"/>
  <c r="F63" i="3"/>
  <c r="F62" i="3"/>
  <c r="F61" i="3"/>
  <c r="F60" i="3"/>
  <c r="F59" i="3"/>
  <c r="F58" i="3"/>
  <c r="F57" i="3"/>
  <c r="F56" i="3"/>
  <c r="F55" i="3"/>
  <c r="F54" i="3"/>
  <c r="F53" i="3"/>
  <c r="F52" i="3"/>
  <c r="F51" i="3"/>
  <c r="F50" i="3"/>
  <c r="F49" i="3"/>
  <c r="F48" i="3"/>
  <c r="F47" i="3"/>
  <c r="F46" i="3"/>
  <c r="F45" i="3"/>
  <c r="F44" i="3"/>
  <c r="F43" i="3"/>
  <c r="F42" i="3"/>
  <c r="F41" i="3"/>
  <c r="F40" i="3"/>
  <c r="F39" i="3"/>
  <c r="F38" i="3"/>
  <c r="F37" i="3"/>
  <c r="D36" i="3"/>
  <c r="F36" i="3" s="1"/>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D7" i="3"/>
  <c r="F7" i="3" s="1"/>
  <c r="F6" i="3"/>
  <c r="F5" i="3"/>
  <c r="F4" i="3"/>
  <c r="D117" i="3" l="1"/>
  <c r="F117" i="3" s="1"/>
  <c r="O2062" i="2" l="1"/>
  <c r="O2061" i="2"/>
  <c r="O2060" i="2"/>
  <c r="O2059" i="2"/>
  <c r="O2058" i="2"/>
  <c r="O2057" i="2"/>
  <c r="O2056" i="2"/>
  <c r="O2055" i="2"/>
  <c r="O2054" i="2"/>
  <c r="O427" i="2"/>
  <c r="O11" i="2" l="1"/>
  <c r="P11" i="4" s="1"/>
  <c r="O6" i="2"/>
  <c r="P6" i="4" s="1"/>
  <c r="O10" i="2"/>
  <c r="P10" i="4" s="1"/>
  <c r="O16" i="2"/>
  <c r="P14" i="4" s="1"/>
  <c r="O21" i="2"/>
  <c r="P18" i="4" s="1"/>
  <c r="O26" i="2"/>
  <c r="P23" i="4" s="1"/>
  <c r="O28" i="2"/>
  <c r="P25" i="4" s="1"/>
  <c r="O34" i="2"/>
  <c r="P30" i="4" s="1"/>
  <c r="O50" i="2"/>
  <c r="P43" i="4" s="1"/>
  <c r="O52" i="2"/>
  <c r="P45" i="4" s="1"/>
  <c r="O53" i="2"/>
  <c r="P46" i="4" s="1"/>
  <c r="O57" i="2"/>
  <c r="O59" i="2"/>
  <c r="P50" i="4" s="1"/>
  <c r="O65" i="2"/>
  <c r="O69" i="2"/>
  <c r="P59" i="4" s="1"/>
  <c r="O71" i="2"/>
  <c r="P60" i="4" s="1"/>
  <c r="O73" i="2"/>
  <c r="P62" i="4" s="1"/>
  <c r="O76" i="2"/>
  <c r="P65" i="4" s="1"/>
  <c r="O78" i="2"/>
  <c r="P67" i="4" s="1"/>
  <c r="O82" i="2"/>
  <c r="P70" i="4" s="1"/>
  <c r="O84" i="2"/>
  <c r="P73" i="4" s="1"/>
  <c r="O86" i="2"/>
  <c r="P75" i="4" s="1"/>
  <c r="O106" i="2"/>
  <c r="P92" i="4" s="1"/>
  <c r="O112" i="2"/>
  <c r="P98" i="4" s="1"/>
  <c r="O114" i="2"/>
  <c r="P100" i="4" s="1"/>
  <c r="O116" i="2"/>
  <c r="P101" i="4" s="1"/>
  <c r="O118" i="2"/>
  <c r="P103" i="4" s="1"/>
  <c r="O120" i="2"/>
  <c r="P105" i="4" s="1"/>
  <c r="O126" i="2"/>
  <c r="P111" i="4" s="1"/>
  <c r="O128" i="2"/>
  <c r="P113" i="4" s="1"/>
  <c r="O136" i="2"/>
  <c r="P119" i="4" s="1"/>
  <c r="O156" i="2"/>
  <c r="O18" i="5" s="1"/>
  <c r="O169" i="2"/>
  <c r="O31" i="5" s="1"/>
  <c r="O173" i="2"/>
  <c r="O35" i="5" s="1"/>
  <c r="O184" i="2"/>
  <c r="O46" i="5" s="1"/>
  <c r="O186" i="2"/>
  <c r="O198" i="2"/>
  <c r="O57" i="5" s="1"/>
  <c r="O207" i="2"/>
  <c r="O66" i="5" s="1"/>
  <c r="O209" i="2"/>
  <c r="O68" i="5" s="1"/>
  <c r="O223" i="2"/>
  <c r="O81" i="5" s="1"/>
  <c r="O229" i="2"/>
  <c r="O87" i="5" s="1"/>
  <c r="O233" i="2"/>
  <c r="O91" i="5" s="1"/>
  <c r="O236" i="2"/>
  <c r="O94" i="5" s="1"/>
  <c r="O242" i="2"/>
  <c r="O99" i="5" s="1"/>
  <c r="O244" i="2"/>
  <c r="O100" i="5" s="1"/>
  <c r="O246" i="2"/>
  <c r="O102" i="5" s="1"/>
  <c r="O248" i="2"/>
  <c r="O103" i="5" s="1"/>
  <c r="O252" i="2"/>
  <c r="O107" i="5" s="1"/>
  <c r="O255" i="2"/>
  <c r="O110" i="5" s="1"/>
  <c r="O257" i="2"/>
  <c r="O112" i="5" s="1"/>
  <c r="O261" i="2"/>
  <c r="O116" i="5" s="1"/>
  <c r="O263" i="2"/>
  <c r="O118" i="5" s="1"/>
  <c r="O265" i="2"/>
  <c r="O120" i="5" s="1"/>
  <c r="O267" i="2"/>
  <c r="O122" i="5" s="1"/>
  <c r="O269" i="2"/>
  <c r="O123" i="5" s="1"/>
  <c r="O271" i="2"/>
  <c r="O283" i="2"/>
  <c r="O132" i="5" s="1"/>
  <c r="O290" i="2"/>
  <c r="O139" i="5" s="1"/>
  <c r="O294" i="2"/>
  <c r="O62" i="5" s="1"/>
  <c r="O296" i="2"/>
  <c r="O143" i="5" s="1"/>
  <c r="O300" i="2"/>
  <c r="O146" i="5" s="1"/>
  <c r="O302" i="2"/>
  <c r="O148" i="5" s="1"/>
  <c r="O304" i="2"/>
  <c r="O150" i="5" s="1"/>
  <c r="O308" i="2"/>
  <c r="O312" i="2"/>
  <c r="O155" i="5" s="1"/>
  <c r="O314" i="2"/>
  <c r="O157" i="5" s="1"/>
  <c r="O318" i="2"/>
  <c r="O160" i="5" s="1"/>
  <c r="O324" i="2"/>
  <c r="O165" i="5" s="1"/>
  <c r="O326" i="2"/>
  <c r="O166" i="5" s="1"/>
  <c r="O328" i="2"/>
  <c r="O168" i="5" s="1"/>
  <c r="O332" i="2"/>
  <c r="O172" i="5" s="1"/>
  <c r="O336" i="2"/>
  <c r="O175" i="5" s="1"/>
  <c r="O337" i="2"/>
  <c r="O176" i="5" s="1"/>
  <c r="O339" i="2"/>
  <c r="O178" i="5" s="1"/>
  <c r="O341" i="2"/>
  <c r="O345" i="2"/>
  <c r="O347" i="2"/>
  <c r="O349" i="2"/>
  <c r="O186" i="5" s="1"/>
  <c r="O353" i="2"/>
  <c r="O188" i="5" s="1"/>
  <c r="O355" i="2"/>
  <c r="O190" i="5" s="1"/>
  <c r="O357" i="2"/>
  <c r="O192" i="5" s="1"/>
  <c r="O361" i="2"/>
  <c r="O196" i="5" s="1"/>
  <c r="O363" i="2"/>
  <c r="O197" i="5" s="1"/>
  <c r="O367" i="2"/>
  <c r="O369" i="2"/>
  <c r="O373" i="2"/>
  <c r="O205" i="5" s="1"/>
  <c r="O375" i="2"/>
  <c r="O206" i="5" s="1"/>
  <c r="O377" i="2"/>
  <c r="O208" i="5" s="1"/>
  <c r="O381" i="2"/>
  <c r="O211" i="5" s="1"/>
  <c r="O389" i="2"/>
  <c r="O218" i="5" s="1"/>
  <c r="O390" i="2"/>
  <c r="O219" i="5" s="1"/>
  <c r="O392" i="2"/>
  <c r="O221" i="5" s="1"/>
  <c r="O396" i="2"/>
  <c r="O225" i="5" s="1"/>
  <c r="O400" i="2"/>
  <c r="O402" i="2"/>
  <c r="O230" i="5" s="1"/>
  <c r="O404" i="2"/>
  <c r="O232" i="5" s="1"/>
  <c r="O406" i="2"/>
  <c r="O408" i="2"/>
  <c r="O235" i="5" s="1"/>
  <c r="O410" i="2"/>
  <c r="O412" i="2"/>
  <c r="O419" i="2"/>
  <c r="O423" i="2"/>
  <c r="O425" i="2"/>
  <c r="O429" i="2"/>
  <c r="O433" i="2"/>
  <c r="O435" i="2"/>
  <c r="O437" i="2"/>
  <c r="O443" i="2"/>
  <c r="O447" i="2"/>
  <c r="O452" i="2"/>
  <c r="O454" i="2"/>
  <c r="O456" i="2"/>
  <c r="O458" i="2"/>
  <c r="O460" i="2"/>
  <c r="O462" i="2"/>
  <c r="O464" i="2"/>
  <c r="O467" i="2"/>
  <c r="O469" i="2"/>
  <c r="O479" i="2"/>
  <c r="O487" i="2"/>
  <c r="O493" i="2"/>
  <c r="O495" i="2"/>
  <c r="O501" i="2"/>
  <c r="O507" i="2"/>
  <c r="O517" i="2"/>
  <c r="O537" i="2"/>
  <c r="L8" i="6" s="1"/>
  <c r="O539" i="2"/>
  <c r="L10" i="6" s="1"/>
  <c r="O545" i="2"/>
  <c r="L15" i="6" s="1"/>
  <c r="O548" i="2"/>
  <c r="L18" i="6" s="1"/>
  <c r="O552" i="2"/>
  <c r="L22" i="6" s="1"/>
  <c r="O556" i="2"/>
  <c r="L24" i="6" s="1"/>
  <c r="O564" i="2"/>
  <c r="L33" i="6" s="1"/>
  <c r="O570" i="2"/>
  <c r="L65" i="6" s="1"/>
  <c r="O574" i="2"/>
  <c r="L43" i="6" s="1"/>
  <c r="O577" i="2"/>
  <c r="L45" i="6" s="1"/>
  <c r="O581" i="2"/>
  <c r="L48" i="6" s="1"/>
  <c r="O583" i="2"/>
  <c r="L50" i="6" s="1"/>
  <c r="O585" i="2"/>
  <c r="L52" i="6" s="1"/>
  <c r="O603" i="2"/>
  <c r="L70" i="6" s="1"/>
  <c r="O605" i="2"/>
  <c r="L72" i="6" s="1"/>
  <c r="O607" i="2"/>
  <c r="L74" i="6" s="1"/>
  <c r="O630" i="2"/>
  <c r="O12" i="7" s="1"/>
  <c r="O632" i="2"/>
  <c r="O14" i="7" s="1"/>
  <c r="O634" i="2"/>
  <c r="O16" i="7" s="1"/>
  <c r="O636" i="2"/>
  <c r="O638" i="2"/>
  <c r="O20" i="7" s="1"/>
  <c r="O640" i="2"/>
  <c r="O22" i="7" s="1"/>
  <c r="O642" i="2"/>
  <c r="O56" i="7" s="1"/>
  <c r="O644" i="2"/>
  <c r="O25" i="7" s="1"/>
  <c r="O648" i="2"/>
  <c r="O28" i="7" s="1"/>
  <c r="O650" i="2"/>
  <c r="O654" i="2"/>
  <c r="O656" i="2"/>
  <c r="O34" i="7" s="1"/>
  <c r="O658" i="2"/>
  <c r="O664" i="2"/>
  <c r="O42" i="7" s="1"/>
  <c r="O668" i="2"/>
  <c r="O45" i="7" s="1"/>
  <c r="O670" i="2"/>
  <c r="O46" i="7" s="1"/>
  <c r="O672" i="2"/>
  <c r="O48" i="7" s="1"/>
  <c r="O674" i="2"/>
  <c r="O676" i="2"/>
  <c r="O52" i="7" s="1"/>
  <c r="O680" i="2"/>
  <c r="O682" i="2"/>
  <c r="O684" i="2"/>
  <c r="O58" i="7" s="1"/>
  <c r="O686" i="2"/>
  <c r="O688" i="2"/>
  <c r="O706" i="2"/>
  <c r="O73" i="7" s="1"/>
  <c r="O708" i="2"/>
  <c r="O75" i="7" s="1"/>
  <c r="O724" i="2"/>
  <c r="O86" i="7" s="1"/>
  <c r="O730" i="2"/>
  <c r="O92" i="7" s="1"/>
  <c r="O732" i="2"/>
  <c r="O94" i="7" s="1"/>
  <c r="O742" i="2"/>
  <c r="O102" i="7" s="1"/>
  <c r="O748" i="2"/>
  <c r="O106" i="7" s="1"/>
  <c r="O750" i="2"/>
  <c r="O108" i="7" s="1"/>
  <c r="O762" i="2"/>
  <c r="M6" i="9" s="1"/>
  <c r="O770" i="2"/>
  <c r="M10" i="9" s="1"/>
  <c r="O788" i="2"/>
  <c r="M18" i="9" s="1"/>
  <c r="O795" i="2"/>
  <c r="O797" i="2"/>
  <c r="M54" i="9" s="1"/>
  <c r="O801" i="2"/>
  <c r="O805" i="2"/>
  <c r="M31" i="9" s="1"/>
  <c r="O807" i="2"/>
  <c r="M33" i="9" s="1"/>
  <c r="O809" i="2"/>
  <c r="M34" i="9" s="1"/>
  <c r="O811" i="2"/>
  <c r="M35" i="9" s="1"/>
  <c r="O813" i="2"/>
  <c r="O820" i="2"/>
  <c r="M40" i="9" s="1"/>
  <c r="O822" i="2"/>
  <c r="O824" i="2"/>
  <c r="M42" i="9" s="1"/>
  <c r="O826" i="2"/>
  <c r="M43" i="9" s="1"/>
  <c r="O828" i="2"/>
  <c r="M44" i="9" s="1"/>
  <c r="O830" i="2"/>
  <c r="M46" i="9" s="1"/>
  <c r="O832" i="2"/>
  <c r="M47" i="9" s="1"/>
  <c r="O836" i="2"/>
  <c r="O838" i="2"/>
  <c r="O842" i="2"/>
  <c r="O844" i="2"/>
  <c r="O846" i="2"/>
  <c r="O854" i="2"/>
  <c r="O860" i="2"/>
  <c r="F6" i="10" s="1"/>
  <c r="O868" i="2"/>
  <c r="F14" i="10" s="1"/>
  <c r="O884" i="2"/>
  <c r="F28" i="10" s="1"/>
  <c r="O888" i="2"/>
  <c r="F31" i="10" s="1"/>
  <c r="O890" i="2"/>
  <c r="F32" i="10" s="1"/>
  <c r="O895" i="2"/>
  <c r="F36" i="10" s="1"/>
  <c r="O899" i="2"/>
  <c r="O901" i="2"/>
  <c r="O903" i="2"/>
  <c r="F41" i="10" s="1"/>
  <c r="O905" i="2"/>
  <c r="O907" i="2"/>
  <c r="O909" i="2"/>
  <c r="O911" i="2"/>
  <c r="O3" i="11" s="1"/>
  <c r="O913" i="2"/>
  <c r="O5" i="11" s="1"/>
  <c r="O915" i="2"/>
  <c r="O7" i="11" s="1"/>
  <c r="O917" i="2"/>
  <c r="O919" i="2"/>
  <c r="O9" i="11" s="1"/>
  <c r="O923" i="2"/>
  <c r="O937" i="2"/>
  <c r="O23" i="11" s="1"/>
  <c r="O945" i="2"/>
  <c r="O34" i="11" s="1"/>
  <c r="O957" i="2"/>
  <c r="O43" i="11" s="1"/>
  <c r="O963" i="2"/>
  <c r="O979" i="2"/>
  <c r="O62" i="11" s="1"/>
  <c r="O989" i="2"/>
  <c r="O68" i="11" s="1"/>
  <c r="O994" i="2"/>
  <c r="O71" i="11" s="1"/>
  <c r="O1003" i="2"/>
  <c r="O79" i="11" s="1"/>
  <c r="O1005" i="2"/>
  <c r="O1007" i="2"/>
  <c r="O81" i="11" s="1"/>
  <c r="O1009" i="2"/>
  <c r="O83" i="11" s="1"/>
  <c r="O1013" i="2"/>
  <c r="O85" i="11" s="1"/>
  <c r="O1015" i="2"/>
  <c r="F4" i="12" s="1"/>
  <c r="O1025" i="2"/>
  <c r="F13" i="12" s="1"/>
  <c r="O1030" i="2"/>
  <c r="F19" i="12" s="1"/>
  <c r="O1032" i="2"/>
  <c r="F21" i="12" s="1"/>
  <c r="O1036" i="2"/>
  <c r="O1038" i="2"/>
  <c r="O1042" i="2"/>
  <c r="O1057" i="2"/>
  <c r="O1059" i="2"/>
  <c r="O1061" i="2"/>
  <c r="O1079" i="2"/>
  <c r="F58" i="12" s="1"/>
  <c r="O1081" i="2"/>
  <c r="F60" i="12" s="1"/>
  <c r="O1086" i="2"/>
  <c r="O1088" i="2"/>
  <c r="F67" i="12" s="1"/>
  <c r="O1090" i="2"/>
  <c r="F68" i="12" s="1"/>
  <c r="O1092" i="2"/>
  <c r="F70" i="12" s="1"/>
  <c r="O1096" i="2"/>
  <c r="F72" i="12" s="1"/>
  <c r="O1100" i="2"/>
  <c r="O1104" i="2"/>
  <c r="F79" i="12" s="1"/>
  <c r="O1106" i="2"/>
  <c r="F81" i="12" s="1"/>
  <c r="O1114" i="2"/>
  <c r="F89" i="12" s="1"/>
  <c r="O1116" i="2"/>
  <c r="O1120" i="2"/>
  <c r="O1124" i="2"/>
  <c r="F93" i="12" s="1"/>
  <c r="O1126" i="2"/>
  <c r="O1128" i="2"/>
  <c r="O1130" i="2"/>
  <c r="F96" i="12" s="1"/>
  <c r="O1132" i="2"/>
  <c r="O1136" i="2"/>
  <c r="F100" i="12" s="1"/>
  <c r="O4" i="2"/>
  <c r="P4" i="4" s="1"/>
  <c r="O12" i="2"/>
  <c r="P12" i="4" s="1"/>
  <c r="O14" i="2"/>
  <c r="O20" i="2"/>
  <c r="P17" i="4" s="1"/>
  <c r="O23" i="2"/>
  <c r="P20" i="4" s="1"/>
  <c r="O25" i="2"/>
  <c r="P22" i="4" s="1"/>
  <c r="O27" i="2"/>
  <c r="P24" i="4" s="1"/>
  <c r="O30" i="2"/>
  <c r="P27" i="4" s="1"/>
  <c r="O32" i="2"/>
  <c r="O36" i="2"/>
  <c r="O38" i="2"/>
  <c r="O40" i="2"/>
  <c r="P34" i="4" s="1"/>
  <c r="O42" i="2"/>
  <c r="O44" i="2"/>
  <c r="P37" i="4" s="1"/>
  <c r="O46" i="2"/>
  <c r="P39" i="4" s="1"/>
  <c r="O48" i="2"/>
  <c r="O54" i="2"/>
  <c r="P47" i="4" s="1"/>
  <c r="O62" i="2"/>
  <c r="P53" i="4" s="1"/>
  <c r="O64" i="2"/>
  <c r="P55" i="4" s="1"/>
  <c r="O80" i="2"/>
  <c r="O88" i="2"/>
  <c r="P77" i="4" s="1"/>
  <c r="O90" i="2"/>
  <c r="P79" i="4" s="1"/>
  <c r="O92" i="2"/>
  <c r="P82" i="4" s="1"/>
  <c r="O94" i="2"/>
  <c r="P84" i="4" s="1"/>
  <c r="O96" i="2"/>
  <c r="O98" i="2"/>
  <c r="P87" i="4" s="1"/>
  <c r="O100" i="2"/>
  <c r="P88" i="4" s="1"/>
  <c r="O102" i="2"/>
  <c r="P90" i="4" s="1"/>
  <c r="O104" i="2"/>
  <c r="O108" i="2"/>
  <c r="P94" i="4" s="1"/>
  <c r="O110" i="2"/>
  <c r="P96" i="4" s="1"/>
  <c r="O122" i="2"/>
  <c r="P107" i="4" s="1"/>
  <c r="O124" i="2"/>
  <c r="O130" i="2"/>
  <c r="P115" i="4" s="1"/>
  <c r="O132" i="2"/>
  <c r="P117" i="4" s="1"/>
  <c r="O134" i="2"/>
  <c r="P118" i="4" s="1"/>
  <c r="O138" i="2"/>
  <c r="O140" i="2"/>
  <c r="P120" i="4" s="1"/>
  <c r="O142" i="2"/>
  <c r="O4" i="5" s="1"/>
  <c r="O144" i="2"/>
  <c r="O6" i="5" s="1"/>
  <c r="O146" i="2"/>
  <c r="O8" i="5" s="1"/>
  <c r="O148" i="2"/>
  <c r="O10" i="5" s="1"/>
  <c r="O150" i="2"/>
  <c r="O12" i="5" s="1"/>
  <c r="O152" i="2"/>
  <c r="O14" i="5" s="1"/>
  <c r="O154" i="2"/>
  <c r="O16" i="5" s="1"/>
  <c r="O158" i="2"/>
  <c r="O20" i="5" s="1"/>
  <c r="O160" i="2"/>
  <c r="O22" i="5" s="1"/>
  <c r="O162" i="2"/>
  <c r="O24" i="5" s="1"/>
  <c r="O164" i="2"/>
  <c r="O26" i="5" s="1"/>
  <c r="O166" i="2"/>
  <c r="O170" i="2"/>
  <c r="O32" i="5" s="1"/>
  <c r="O175" i="2"/>
  <c r="O37" i="5" s="1"/>
  <c r="O177" i="2"/>
  <c r="O39" i="5" s="1"/>
  <c r="O179" i="2"/>
  <c r="O41" i="5" s="1"/>
  <c r="O181" i="2"/>
  <c r="O43" i="5" s="1"/>
  <c r="O188" i="2"/>
  <c r="O49" i="5" s="1"/>
  <c r="O190" i="2"/>
  <c r="O50" i="5" s="1"/>
  <c r="O192" i="2"/>
  <c r="O52" i="5" s="1"/>
  <c r="O194" i="2"/>
  <c r="O200" i="2"/>
  <c r="O59" i="5" s="1"/>
  <c r="O202" i="2"/>
  <c r="O206" i="2"/>
  <c r="O65" i="5" s="1"/>
  <c r="O208" i="2"/>
  <c r="O67" i="5" s="1"/>
  <c r="O213" i="2"/>
  <c r="O72" i="5" s="1"/>
  <c r="O215" i="2"/>
  <c r="O73" i="5" s="1"/>
  <c r="O217" i="2"/>
  <c r="O75" i="5" s="1"/>
  <c r="O219" i="2"/>
  <c r="O76" i="5" s="1"/>
  <c r="O221" i="2"/>
  <c r="O79" i="5" s="1"/>
  <c r="O225" i="2"/>
  <c r="O84" i="5" s="1"/>
  <c r="O227" i="2"/>
  <c r="O86" i="5" s="1"/>
  <c r="O231" i="2"/>
  <c r="O89" i="5" s="1"/>
  <c r="O237" i="2"/>
  <c r="O95" i="5" s="1"/>
  <c r="O238" i="2"/>
  <c r="O96" i="5" s="1"/>
  <c r="O240" i="2"/>
  <c r="O98" i="5" s="1"/>
  <c r="O250" i="2"/>
  <c r="O105" i="5" s="1"/>
  <c r="O256" i="2"/>
  <c r="O111" i="5" s="1"/>
  <c r="O258" i="2"/>
  <c r="O113" i="5" s="1"/>
  <c r="O260" i="2"/>
  <c r="O115" i="5" s="1"/>
  <c r="O273" i="2"/>
  <c r="O275" i="2"/>
  <c r="O127" i="5" s="1"/>
  <c r="O277" i="2"/>
  <c r="O279" i="2"/>
  <c r="O281" i="2"/>
  <c r="O130" i="5" s="1"/>
  <c r="O285" i="2"/>
  <c r="O134" i="5" s="1"/>
  <c r="O291" i="2"/>
  <c r="O140" i="5" s="1"/>
  <c r="O299" i="2"/>
  <c r="O145" i="5" s="1"/>
  <c r="O305" i="2"/>
  <c r="O151" i="5" s="1"/>
  <c r="O311" i="2"/>
  <c r="O154" i="5" s="1"/>
  <c r="O315" i="2"/>
  <c r="O158" i="5" s="1"/>
  <c r="O316" i="2"/>
  <c r="O159" i="5" s="1"/>
  <c r="O320" i="2"/>
  <c r="O162" i="5" s="1"/>
  <c r="O322" i="2"/>
  <c r="O163" i="5" s="1"/>
  <c r="O330" i="2"/>
  <c r="O170" i="5" s="1"/>
  <c r="O334" i="2"/>
  <c r="O174" i="5" s="1"/>
  <c r="O354" i="2"/>
  <c r="O189" i="5" s="1"/>
  <c r="O358" i="2"/>
  <c r="O193" i="5" s="1"/>
  <c r="O360" i="2"/>
  <c r="O195" i="5" s="1"/>
  <c r="O366" i="2"/>
  <c r="O200" i="5" s="1"/>
  <c r="O368" i="2"/>
  <c r="O201" i="5" s="1"/>
  <c r="O376" i="2"/>
  <c r="O207" i="5" s="1"/>
  <c r="O383" i="2"/>
  <c r="O212" i="5" s="1"/>
  <c r="O385" i="2"/>
  <c r="O214" i="5" s="1"/>
  <c r="O387" i="2"/>
  <c r="O216" i="5" s="1"/>
  <c r="O395" i="2"/>
  <c r="O224" i="5" s="1"/>
  <c r="O401" i="2"/>
  <c r="O229" i="5" s="1"/>
  <c r="O411" i="2"/>
  <c r="O420" i="2"/>
  <c r="O439" i="2"/>
  <c r="O441" i="2"/>
  <c r="O445" i="2"/>
  <c r="O449" i="2"/>
  <c r="O457" i="2"/>
  <c r="O466" i="2"/>
  <c r="O471" i="2"/>
  <c r="O473" i="2"/>
  <c r="O475" i="2"/>
  <c r="O477" i="2"/>
  <c r="O481" i="2"/>
  <c r="O483" i="2"/>
  <c r="O485" i="2"/>
  <c r="O489" i="2"/>
  <c r="O491" i="2"/>
  <c r="O497" i="2"/>
  <c r="O499" i="2"/>
  <c r="O503" i="2"/>
  <c r="O505" i="2"/>
  <c r="O509" i="2"/>
  <c r="O511" i="2"/>
  <c r="O513" i="2"/>
  <c r="O515" i="2"/>
  <c r="O519" i="2"/>
  <c r="O521" i="2"/>
  <c r="O523" i="2"/>
  <c r="O525" i="2"/>
  <c r="O527" i="2"/>
  <c r="O529" i="2"/>
  <c r="O531" i="2"/>
  <c r="O533" i="2"/>
  <c r="L4" i="6" s="1"/>
  <c r="O535" i="2"/>
  <c r="L6" i="6" s="1"/>
  <c r="O541" i="2"/>
  <c r="O543" i="2"/>
  <c r="L13" i="6" s="1"/>
  <c r="O547" i="2"/>
  <c r="L17" i="6" s="1"/>
  <c r="O551" i="2"/>
  <c r="L21" i="6" s="1"/>
  <c r="O559" i="2"/>
  <c r="L28" i="6" s="1"/>
  <c r="O569" i="2"/>
  <c r="L38" i="6" s="1"/>
  <c r="O572" i="2"/>
  <c r="L41" i="6" s="1"/>
  <c r="O576" i="2"/>
  <c r="L44" i="6" s="1"/>
  <c r="O579" i="2"/>
  <c r="L47" i="6" s="1"/>
  <c r="O587" i="2"/>
  <c r="L55" i="6" s="1"/>
  <c r="O589" i="2"/>
  <c r="L58" i="6" s="1"/>
  <c r="O591" i="2"/>
  <c r="L60" i="6" s="1"/>
  <c r="O593" i="2"/>
  <c r="O595" i="2"/>
  <c r="L63" i="6" s="1"/>
  <c r="O597" i="2"/>
  <c r="L56" i="6" s="1"/>
  <c r="O599" i="2"/>
  <c r="O601" i="2"/>
  <c r="L68" i="6" s="1"/>
  <c r="O609" i="2"/>
  <c r="L76" i="6" s="1"/>
  <c r="O611" i="2"/>
  <c r="O613" i="2"/>
  <c r="O615" i="2"/>
  <c r="O617" i="2"/>
  <c r="O619" i="2"/>
  <c r="O3" i="7" s="1"/>
  <c r="O621" i="2"/>
  <c r="O5" i="7" s="1"/>
  <c r="O623" i="2"/>
  <c r="O625" i="2"/>
  <c r="O8" i="7" s="1"/>
  <c r="O627" i="2"/>
  <c r="O9" i="7" s="1"/>
  <c r="O629" i="2"/>
  <c r="O11" i="7" s="1"/>
  <c r="O639" i="2"/>
  <c r="O21" i="7" s="1"/>
  <c r="O647" i="2"/>
  <c r="O27" i="7" s="1"/>
  <c r="O655" i="2"/>
  <c r="O33" i="7" s="1"/>
  <c r="O661" i="2"/>
  <c r="O39" i="7" s="1"/>
  <c r="O663" i="2"/>
  <c r="O41" i="7" s="1"/>
  <c r="O671" i="2"/>
  <c r="O47" i="7" s="1"/>
  <c r="O675" i="2"/>
  <c r="O51" i="7" s="1"/>
  <c r="O687" i="2"/>
  <c r="O60" i="7" s="1"/>
  <c r="O690" i="2"/>
  <c r="O62" i="7" s="1"/>
  <c r="O692" i="2"/>
  <c r="O112" i="7" s="1"/>
  <c r="O694" i="2"/>
  <c r="O65" i="7" s="1"/>
  <c r="O696" i="2"/>
  <c r="O698" i="2"/>
  <c r="O68" i="7" s="1"/>
  <c r="O700" i="2"/>
  <c r="O70" i="7" s="1"/>
  <c r="O702" i="2"/>
  <c r="O113" i="7" s="1"/>
  <c r="O704" i="2"/>
  <c r="O710" i="2"/>
  <c r="O712" i="2"/>
  <c r="O77" i="7" s="1"/>
  <c r="O714" i="2"/>
  <c r="O79" i="7" s="1"/>
  <c r="O716" i="2"/>
  <c r="O81" i="7" s="1"/>
  <c r="O718" i="2"/>
  <c r="O720" i="2"/>
  <c r="O83" i="7" s="1"/>
  <c r="O722" i="2"/>
  <c r="O726" i="2"/>
  <c r="O88" i="7" s="1"/>
  <c r="O728" i="2"/>
  <c r="O90" i="7" s="1"/>
  <c r="O734" i="2"/>
  <c r="O95" i="7" s="1"/>
  <c r="O736" i="2"/>
  <c r="O96" i="7" s="1"/>
  <c r="O738" i="2"/>
  <c r="O740" i="2"/>
  <c r="O100" i="7" s="1"/>
  <c r="O744" i="2"/>
  <c r="O746" i="2"/>
  <c r="O752" i="2"/>
  <c r="O754" i="2"/>
  <c r="O756" i="2"/>
  <c r="M3" i="9" s="1"/>
  <c r="O758" i="2"/>
  <c r="M4" i="9" s="1"/>
  <c r="O760" i="2"/>
  <c r="O764" i="2"/>
  <c r="M7" i="9" s="1"/>
  <c r="O766" i="2"/>
  <c r="O768" i="2"/>
  <c r="O772" i="2"/>
  <c r="O774" i="2"/>
  <c r="O776" i="2"/>
  <c r="M12" i="9" s="1"/>
  <c r="O778" i="2"/>
  <c r="O780" i="2"/>
  <c r="M13" i="9" s="1"/>
  <c r="O782" i="2"/>
  <c r="M14" i="9" s="1"/>
  <c r="O784" i="2"/>
  <c r="O786" i="2"/>
  <c r="M49" i="9" s="1"/>
  <c r="O790" i="2"/>
  <c r="O796" i="2"/>
  <c r="M24" i="9" s="1"/>
  <c r="O802" i="2"/>
  <c r="M29" i="9" s="1"/>
  <c r="O812" i="2"/>
  <c r="M36" i="9" s="1"/>
  <c r="O815" i="2"/>
  <c r="O817" i="2"/>
  <c r="M39" i="9" s="1"/>
  <c r="O819" i="2"/>
  <c r="O821" i="2"/>
  <c r="M41" i="9" s="1"/>
  <c r="O837" i="2"/>
  <c r="M52" i="9" s="1"/>
  <c r="O843" i="2"/>
  <c r="M56" i="9" s="1"/>
  <c r="O849" i="2"/>
  <c r="M58" i="9" s="1"/>
  <c r="O856" i="2"/>
  <c r="M63" i="9" s="1"/>
  <c r="O858" i="2"/>
  <c r="F4" i="10" s="1"/>
  <c r="O862" i="2"/>
  <c r="F8" i="10" s="1"/>
  <c r="O864" i="2"/>
  <c r="F10" i="10" s="1"/>
  <c r="O866" i="2"/>
  <c r="F12" i="10" s="1"/>
  <c r="O870" i="2"/>
  <c r="F18" i="10" s="1"/>
  <c r="O872" i="2"/>
  <c r="O874" i="2"/>
  <c r="O876" i="2"/>
  <c r="O878" i="2"/>
  <c r="F17" i="10" s="1"/>
  <c r="O880" i="2"/>
  <c r="F25" i="10" s="1"/>
  <c r="O882" i="2"/>
  <c r="O886" i="2"/>
  <c r="O892" i="2"/>
  <c r="F34" i="10" s="1"/>
  <c r="O920" i="2"/>
  <c r="O10" i="11" s="1"/>
  <c r="O924" i="2"/>
  <c r="O13" i="11" s="1"/>
  <c r="O925" i="2"/>
  <c r="O14" i="11" s="1"/>
  <c r="O927" i="2"/>
  <c r="O51" i="11" s="1"/>
  <c r="O929" i="2"/>
  <c r="O931" i="2"/>
  <c r="O933" i="2"/>
  <c r="O20" i="11" s="1"/>
  <c r="O935" i="2"/>
  <c r="O22" i="11" s="1"/>
  <c r="O939" i="2"/>
  <c r="O941" i="2"/>
  <c r="O26" i="11" s="1"/>
  <c r="O943" i="2"/>
  <c r="O32" i="11" s="1"/>
  <c r="O947" i="2"/>
  <c r="O35" i="11" s="1"/>
  <c r="O949" i="2"/>
  <c r="O36" i="11" s="1"/>
  <c r="O951" i="2"/>
  <c r="O953" i="2"/>
  <c r="O39" i="11" s="1"/>
  <c r="O955" i="2"/>
  <c r="O42" i="11" s="1"/>
  <c r="O959" i="2"/>
  <c r="O46" i="11" s="1"/>
  <c r="O961" i="2"/>
  <c r="O48" i="11" s="1"/>
  <c r="O965" i="2"/>
  <c r="O50" i="11" s="1"/>
  <c r="O967" i="2"/>
  <c r="O969" i="2"/>
  <c r="O971" i="2"/>
  <c r="O54" i="11" s="1"/>
  <c r="O973" i="2"/>
  <c r="O45" i="11" s="1"/>
  <c r="O975" i="2"/>
  <c r="O57" i="11" s="1"/>
  <c r="O977" i="2"/>
  <c r="O59" i="11" s="1"/>
  <c r="O981" i="2"/>
  <c r="O63" i="11" s="1"/>
  <c r="O983" i="2"/>
  <c r="O64" i="11" s="1"/>
  <c r="O985" i="2"/>
  <c r="O987" i="2"/>
  <c r="O67" i="11" s="1"/>
  <c r="O991" i="2"/>
  <c r="O69" i="11" s="1"/>
  <c r="O993" i="2"/>
  <c r="O995" i="2"/>
  <c r="O28" i="11" s="1"/>
  <c r="O997" i="2"/>
  <c r="O73" i="11" s="1"/>
  <c r="O1000" i="2"/>
  <c r="O76" i="11" s="1"/>
  <c r="O1002" i="2"/>
  <c r="O30" i="11" s="1"/>
  <c r="O1014" i="2"/>
  <c r="F3" i="12" s="1"/>
  <c r="O1018" i="2"/>
  <c r="F8" i="12" s="1"/>
  <c r="O1019" i="2"/>
  <c r="F9" i="12" s="1"/>
  <c r="O1021" i="2"/>
  <c r="F11" i="12" s="1"/>
  <c r="O1023" i="2"/>
  <c r="F15" i="12" s="1"/>
  <c r="O1033" i="2"/>
  <c r="F22" i="12" s="1"/>
  <c r="O1035" i="2"/>
  <c r="F25" i="12" s="1"/>
  <c r="O1037" i="2"/>
  <c r="F26" i="12" s="1"/>
  <c r="O1044" i="2"/>
  <c r="F31" i="12" s="1"/>
  <c r="O1046" i="2"/>
  <c r="F33" i="12" s="1"/>
  <c r="O1048" i="2"/>
  <c r="O1050" i="2"/>
  <c r="F36" i="12" s="1"/>
  <c r="O1052" i="2"/>
  <c r="O1058" i="2"/>
  <c r="F42" i="12" s="1"/>
  <c r="O1066" i="2"/>
  <c r="F48" i="12" s="1"/>
  <c r="O1067" i="2"/>
  <c r="F49" i="12" s="1"/>
  <c r="O1069" i="2"/>
  <c r="O1071" i="2"/>
  <c r="F51" i="12" s="1"/>
  <c r="O1073" i="2"/>
  <c r="F53" i="12" s="1"/>
  <c r="O1075" i="2"/>
  <c r="F54" i="12" s="1"/>
  <c r="O1077" i="2"/>
  <c r="F57" i="12" s="1"/>
  <c r="O1097" i="2"/>
  <c r="F73" i="12" s="1"/>
  <c r="O1101" i="2"/>
  <c r="F76" i="12" s="1"/>
  <c r="O1105" i="2"/>
  <c r="F80" i="12" s="1"/>
  <c r="O1107" i="2"/>
  <c r="F82" i="12" s="1"/>
  <c r="O1129" i="2"/>
  <c r="F95" i="12" s="1"/>
  <c r="O1131" i="2"/>
  <c r="F97" i="12" s="1"/>
  <c r="O1133" i="2"/>
  <c r="F98" i="12" s="1"/>
  <c r="O5" i="2"/>
  <c r="P5" i="4" s="1"/>
  <c r="O18" i="2"/>
  <c r="P15" i="4" s="1"/>
  <c r="O22" i="2"/>
  <c r="P19" i="4" s="1"/>
  <c r="O35" i="2"/>
  <c r="P31" i="4" s="1"/>
  <c r="O37" i="2"/>
  <c r="P32" i="4" s="1"/>
  <c r="O39" i="2"/>
  <c r="P33" i="4" s="1"/>
  <c r="O49" i="2"/>
  <c r="P42" i="4" s="1"/>
  <c r="O56" i="2"/>
  <c r="P49" i="4" s="1"/>
  <c r="O58" i="2"/>
  <c r="O60" i="2"/>
  <c r="P51" i="4" s="1"/>
  <c r="O66" i="2"/>
  <c r="P56" i="4" s="1"/>
  <c r="O75" i="2"/>
  <c r="P64" i="4" s="1"/>
  <c r="O77" i="2"/>
  <c r="P66" i="4" s="1"/>
  <c r="O83" i="2"/>
  <c r="P72" i="4" s="1"/>
  <c r="O85" i="2"/>
  <c r="P74" i="4" s="1"/>
  <c r="O87" i="2"/>
  <c r="P76" i="4" s="1"/>
  <c r="O91" i="2"/>
  <c r="P81" i="4" s="1"/>
  <c r="O93" i="2"/>
  <c r="P83" i="4" s="1"/>
  <c r="O97" i="2"/>
  <c r="P86" i="4" s="1"/>
  <c r="O107" i="2"/>
  <c r="P93" i="4" s="1"/>
  <c r="O123" i="2"/>
  <c r="P109" i="4" s="1"/>
  <c r="O125" i="2"/>
  <c r="P110" i="4" s="1"/>
  <c r="O129" i="2"/>
  <c r="P114" i="4" s="1"/>
  <c r="O149" i="2"/>
  <c r="O11" i="5" s="1"/>
  <c r="O151" i="2"/>
  <c r="O13" i="5" s="1"/>
  <c r="O159" i="2"/>
  <c r="O21" i="5" s="1"/>
  <c r="O161" i="2"/>
  <c r="O23" i="5" s="1"/>
  <c r="O165" i="2"/>
  <c r="O27" i="5" s="1"/>
  <c r="O183" i="2"/>
  <c r="O45" i="5" s="1"/>
  <c r="O185" i="2"/>
  <c r="O47" i="5" s="1"/>
  <c r="O197" i="2"/>
  <c r="O56" i="5" s="1"/>
  <c r="O204" i="2"/>
  <c r="O63" i="5" s="1"/>
  <c r="O210" i="2"/>
  <c r="O69" i="5" s="1"/>
  <c r="O216" i="2"/>
  <c r="O74" i="5" s="1"/>
  <c r="O226" i="2"/>
  <c r="O85" i="5" s="1"/>
  <c r="O230" i="2"/>
  <c r="O88" i="5" s="1"/>
  <c r="O234" i="2"/>
  <c r="O92" i="5" s="1"/>
  <c r="O235" i="2"/>
  <c r="O93" i="5" s="1"/>
  <c r="O245" i="2"/>
  <c r="O101" i="5" s="1"/>
  <c r="O251" i="2"/>
  <c r="O106" i="5" s="1"/>
  <c r="O254" i="2"/>
  <c r="O109" i="5" s="1"/>
  <c r="O262" i="2"/>
  <c r="O117" i="5" s="1"/>
  <c r="O264" i="2"/>
  <c r="O119" i="5" s="1"/>
  <c r="O266" i="2"/>
  <c r="O121" i="5" s="1"/>
  <c r="O268" i="2"/>
  <c r="O270" i="2"/>
  <c r="O124" i="5" s="1"/>
  <c r="O278" i="2"/>
  <c r="O128" i="5" s="1"/>
  <c r="O284" i="2"/>
  <c r="O133" i="5" s="1"/>
  <c r="O287" i="2"/>
  <c r="O136" i="5" s="1"/>
  <c r="O289" i="2"/>
  <c r="O138" i="5" s="1"/>
  <c r="O293" i="2"/>
  <c r="O295" i="2"/>
  <c r="O142" i="5" s="1"/>
  <c r="O297" i="2"/>
  <c r="O301" i="2"/>
  <c r="O147" i="5" s="1"/>
  <c r="O303" i="2"/>
  <c r="O149" i="5" s="1"/>
  <c r="O307" i="2"/>
  <c r="O309" i="2"/>
  <c r="O313" i="2"/>
  <c r="O156" i="5" s="1"/>
  <c r="O323" i="2"/>
  <c r="O164" i="5" s="1"/>
  <c r="O329" i="2"/>
  <c r="O169" i="5" s="1"/>
  <c r="O333" i="2"/>
  <c r="O173" i="5" s="1"/>
  <c r="O338" i="2"/>
  <c r="O340" i="2"/>
  <c r="O179" i="5" s="1"/>
  <c r="O342" i="2"/>
  <c r="O181" i="5" s="1"/>
  <c r="O344" i="2"/>
  <c r="O183" i="5" s="1"/>
  <c r="O346" i="2"/>
  <c r="O184" i="5" s="1"/>
  <c r="O348" i="2"/>
  <c r="O185" i="5" s="1"/>
  <c r="O350" i="2"/>
  <c r="O352" i="2"/>
  <c r="O356" i="2"/>
  <c r="O191" i="5" s="1"/>
  <c r="O362" i="2"/>
  <c r="O364" i="2"/>
  <c r="O198" i="5" s="1"/>
  <c r="O370" i="2"/>
  <c r="O202" i="5" s="1"/>
  <c r="O372" i="2"/>
  <c r="O204" i="5" s="1"/>
  <c r="O374" i="2"/>
  <c r="O378" i="2"/>
  <c r="O391" i="2"/>
  <c r="O220" i="5" s="1"/>
  <c r="O393" i="2"/>
  <c r="O222" i="5" s="1"/>
  <c r="O397" i="2"/>
  <c r="O226" i="5" s="1"/>
  <c r="O399" i="2"/>
  <c r="O228" i="5" s="1"/>
  <c r="O403" i="2"/>
  <c r="O231" i="5" s="1"/>
  <c r="O405" i="2"/>
  <c r="O233" i="5" s="1"/>
  <c r="O407" i="2"/>
  <c r="O234" i="5" s="1"/>
  <c r="O409" i="2"/>
  <c r="O413" i="2"/>
  <c r="O415" i="2"/>
  <c r="O416" i="2"/>
  <c r="O418" i="2"/>
  <c r="O422" i="2"/>
  <c r="O424" i="2"/>
  <c r="O426" i="2"/>
  <c r="O428" i="2"/>
  <c r="O430" i="2"/>
  <c r="O432" i="2"/>
  <c r="O434" i="2"/>
  <c r="O436" i="2"/>
  <c r="O438" i="2"/>
  <c r="O440" i="2"/>
  <c r="O451" i="2"/>
  <c r="O453" i="2"/>
  <c r="O455" i="2"/>
  <c r="O459" i="2"/>
  <c r="O461" i="2"/>
  <c r="O463" i="2"/>
  <c r="O465" i="2"/>
  <c r="O468" i="2"/>
  <c r="O470" i="2"/>
  <c r="O476" i="2"/>
  <c r="O478" i="2"/>
  <c r="O482" i="2"/>
  <c r="O484" i="2"/>
  <c r="O496" i="2"/>
  <c r="O510" i="2"/>
  <c r="O518" i="2"/>
  <c r="O542" i="2"/>
  <c r="L12" i="6" s="1"/>
  <c r="O549" i="2"/>
  <c r="L19" i="6" s="1"/>
  <c r="O553" i="2"/>
  <c r="L54" i="6" s="1"/>
  <c r="O555" i="2"/>
  <c r="O557" i="2"/>
  <c r="L25" i="6" s="1"/>
  <c r="O561" i="2"/>
  <c r="L30" i="6" s="1"/>
  <c r="O563" i="2"/>
  <c r="L26" i="6" s="1"/>
  <c r="O565" i="2"/>
  <c r="L34" i="6" s="1"/>
  <c r="O567" i="2"/>
  <c r="L36" i="6" s="1"/>
  <c r="O571" i="2"/>
  <c r="L40" i="6" s="1"/>
  <c r="O573" i="2"/>
  <c r="L42" i="6" s="1"/>
  <c r="O596" i="2"/>
  <c r="L64" i="6" s="1"/>
  <c r="O598" i="2"/>
  <c r="L66" i="6" s="1"/>
  <c r="O604" i="2"/>
  <c r="L71" i="6" s="1"/>
  <c r="O608" i="2"/>
  <c r="L75" i="6" s="1"/>
  <c r="O610" i="2"/>
  <c r="L77" i="6" s="1"/>
  <c r="O622" i="2"/>
  <c r="O6" i="7" s="1"/>
  <c r="O631" i="2"/>
  <c r="O13" i="7" s="1"/>
  <c r="O633" i="2"/>
  <c r="O15" i="7" s="1"/>
  <c r="O635" i="2"/>
  <c r="O17" i="7" s="1"/>
  <c r="O637" i="2"/>
  <c r="O19" i="7" s="1"/>
  <c r="O641" i="2"/>
  <c r="O23" i="7" s="1"/>
  <c r="O643" i="2"/>
  <c r="O24" i="7" s="1"/>
  <c r="O645" i="2"/>
  <c r="O649" i="2"/>
  <c r="O29" i="7" s="1"/>
  <c r="O651" i="2"/>
  <c r="O30" i="7" s="1"/>
  <c r="O653" i="2"/>
  <c r="O32" i="7" s="1"/>
  <c r="O657" i="2"/>
  <c r="O35" i="7" s="1"/>
  <c r="O659" i="2"/>
  <c r="O665" i="2"/>
  <c r="O111" i="7" s="1"/>
  <c r="O667" i="2"/>
  <c r="O44" i="7" s="1"/>
  <c r="O669" i="2"/>
  <c r="O673" i="2"/>
  <c r="O49" i="7" s="1"/>
  <c r="O677" i="2"/>
  <c r="O679" i="2"/>
  <c r="O54" i="7" s="1"/>
  <c r="O681" i="2"/>
  <c r="O55" i="7" s="1"/>
  <c r="O683" i="2"/>
  <c r="O57" i="7" s="1"/>
  <c r="O685" i="2"/>
  <c r="O59" i="7" s="1"/>
  <c r="O689" i="2"/>
  <c r="O61" i="7" s="1"/>
  <c r="O695" i="2"/>
  <c r="O66" i="7" s="1"/>
  <c r="O709" i="2"/>
  <c r="O76" i="7" s="1"/>
  <c r="O715" i="2"/>
  <c r="O80" i="7" s="1"/>
  <c r="O723" i="2"/>
  <c r="O85" i="7" s="1"/>
  <c r="O727" i="2"/>
  <c r="O89" i="7" s="1"/>
  <c r="O731" i="2"/>
  <c r="O93" i="7" s="1"/>
  <c r="O739" i="2"/>
  <c r="O99" i="7" s="1"/>
  <c r="O751" i="2"/>
  <c r="O109" i="7" s="1"/>
  <c r="O753" i="2"/>
  <c r="O110" i="7" s="1"/>
  <c r="O767" i="2"/>
  <c r="M8" i="9" s="1"/>
  <c r="O783" i="2"/>
  <c r="M15" i="9" s="1"/>
  <c r="O791" i="2"/>
  <c r="M20" i="9" s="1"/>
  <c r="O792" i="2"/>
  <c r="M21" i="9" s="1"/>
  <c r="O794" i="2"/>
  <c r="M59" i="9" s="1"/>
  <c r="O798" i="2"/>
  <c r="M25" i="9" s="1"/>
  <c r="O800" i="2"/>
  <c r="M27" i="9" s="1"/>
  <c r="O804" i="2"/>
  <c r="O806" i="2"/>
  <c r="M32" i="9" s="1"/>
  <c r="O808" i="2"/>
  <c r="O810" i="2"/>
  <c r="O823" i="2"/>
  <c r="O825" i="2"/>
  <c r="O827" i="2"/>
  <c r="O829" i="2"/>
  <c r="M45" i="9" s="1"/>
  <c r="O831" i="2"/>
  <c r="O833" i="2"/>
  <c r="M48" i="9" s="1"/>
  <c r="O835" i="2"/>
  <c r="M51" i="9" s="1"/>
  <c r="O839" i="2"/>
  <c r="M53" i="9" s="1"/>
  <c r="O841" i="2"/>
  <c r="O845" i="2"/>
  <c r="O847" i="2"/>
  <c r="O851" i="2"/>
  <c r="O853" i="2"/>
  <c r="O869" i="2"/>
  <c r="F16" i="10" s="1"/>
  <c r="O875" i="2"/>
  <c r="F22" i="10" s="1"/>
  <c r="O877" i="2"/>
  <c r="F23" i="10" s="1"/>
  <c r="O881" i="2"/>
  <c r="F26" i="10" s="1"/>
  <c r="O883" i="2"/>
  <c r="F27" i="10" s="1"/>
  <c r="O894" i="2"/>
  <c r="F35" i="10" s="1"/>
  <c r="O896" i="2"/>
  <c r="O898" i="2"/>
  <c r="F38" i="10" s="1"/>
  <c r="O900" i="2"/>
  <c r="F39" i="10" s="1"/>
  <c r="O902" i="2"/>
  <c r="F40" i="10" s="1"/>
  <c r="O904" i="2"/>
  <c r="F42" i="10" s="1"/>
  <c r="O906" i="2"/>
  <c r="F44" i="10" s="1"/>
  <c r="O908" i="2"/>
  <c r="F46" i="10" s="1"/>
  <c r="O910" i="2"/>
  <c r="F47" i="10" s="1"/>
  <c r="O912" i="2"/>
  <c r="O4" i="11" s="1"/>
  <c r="O914" i="2"/>
  <c r="O6" i="11" s="1"/>
  <c r="O916" i="2"/>
  <c r="O918" i="2"/>
  <c r="O8" i="11" s="1"/>
  <c r="O922" i="2"/>
  <c r="O12" i="11" s="1"/>
  <c r="O928" i="2"/>
  <c r="O17" i="11" s="1"/>
  <c r="O934" i="2"/>
  <c r="O942" i="2"/>
  <c r="O27" i="11" s="1"/>
  <c r="O976" i="2"/>
  <c r="O58" i="11" s="1"/>
  <c r="O986" i="2"/>
  <c r="O66" i="11" s="1"/>
  <c r="O1004" i="2"/>
  <c r="O80" i="11" s="1"/>
  <c r="O1006" i="2"/>
  <c r="O1008" i="2"/>
  <c r="O82" i="11" s="1"/>
  <c r="O1010" i="2"/>
  <c r="O1012" i="2"/>
  <c r="O84" i="11" s="1"/>
  <c r="O1016" i="2"/>
  <c r="F5" i="12" s="1"/>
  <c r="O1024" i="2"/>
  <c r="O1027" i="2"/>
  <c r="F16" i="12" s="1"/>
  <c r="O1029" i="2"/>
  <c r="F18" i="12" s="1"/>
  <c r="O1031" i="2"/>
  <c r="F20" i="12" s="1"/>
  <c r="O1039" i="2"/>
  <c r="F27" i="12" s="1"/>
  <c r="O1041" i="2"/>
  <c r="F29" i="12" s="1"/>
  <c r="O1051" i="2"/>
  <c r="F37" i="12" s="1"/>
  <c r="O1054" i="2"/>
  <c r="F39" i="12" s="1"/>
  <c r="O1056" i="2"/>
  <c r="F41" i="12" s="1"/>
  <c r="O1060" i="2"/>
  <c r="F43" i="12" s="1"/>
  <c r="O1062" i="2"/>
  <c r="F44" i="12" s="1"/>
  <c r="O1064" i="2"/>
  <c r="F46" i="12" s="1"/>
  <c r="O1083" i="2"/>
  <c r="F62" i="12" s="1"/>
  <c r="O1085" i="2"/>
  <c r="F65" i="12" s="1"/>
  <c r="O1087" i="2"/>
  <c r="F66" i="12" s="1"/>
  <c r="O1089" i="2"/>
  <c r="O1091" i="2"/>
  <c r="F69" i="12" s="1"/>
  <c r="O1093" i="2"/>
  <c r="F112" i="12" s="1"/>
  <c r="O1095" i="2"/>
  <c r="O1099" i="2"/>
  <c r="F75" i="12" s="1"/>
  <c r="O1103" i="2"/>
  <c r="F78" i="12" s="1"/>
  <c r="O1109" i="2"/>
  <c r="F84" i="12" s="1"/>
  <c r="O1111" i="2"/>
  <c r="F86" i="12" s="1"/>
  <c r="O1113" i="2"/>
  <c r="O1115" i="2"/>
  <c r="O1117" i="2"/>
  <c r="O1119" i="2"/>
  <c r="F91" i="12" s="1"/>
  <c r="O1121" i="2"/>
  <c r="O1123" i="2"/>
  <c r="O1125" i="2"/>
  <c r="O1127" i="2"/>
  <c r="F94" i="12" s="1"/>
  <c r="O3" i="2"/>
  <c r="O7" i="2"/>
  <c r="P7" i="4" s="1"/>
  <c r="O9" i="2"/>
  <c r="P9" i="4" s="1"/>
  <c r="O13" i="2"/>
  <c r="O15" i="2"/>
  <c r="P13" i="4" s="1"/>
  <c r="O17" i="2"/>
  <c r="O19" i="2"/>
  <c r="P16" i="4" s="1"/>
  <c r="O24" i="2"/>
  <c r="P21" i="4" s="1"/>
  <c r="O29" i="2"/>
  <c r="P26" i="4" s="1"/>
  <c r="O31" i="2"/>
  <c r="P28" i="4" s="1"/>
  <c r="O33" i="2"/>
  <c r="P29" i="4" s="1"/>
  <c r="O41" i="2"/>
  <c r="P35" i="4" s="1"/>
  <c r="O43" i="2"/>
  <c r="P36" i="4" s="1"/>
  <c r="O45" i="2"/>
  <c r="P38" i="4" s="1"/>
  <c r="O47" i="2"/>
  <c r="P40" i="4" s="1"/>
  <c r="O51" i="2"/>
  <c r="P44" i="4" s="1"/>
  <c r="O55" i="2"/>
  <c r="P48" i="4" s="1"/>
  <c r="O61" i="2"/>
  <c r="P52" i="4" s="1"/>
  <c r="O63" i="2"/>
  <c r="P54" i="4" s="1"/>
  <c r="O67" i="2"/>
  <c r="P57" i="4" s="1"/>
  <c r="O68" i="2"/>
  <c r="P58" i="4" s="1"/>
  <c r="O70" i="2"/>
  <c r="P108" i="4" s="1"/>
  <c r="O72" i="2"/>
  <c r="P61" i="4" s="1"/>
  <c r="O74" i="2"/>
  <c r="P63" i="4" s="1"/>
  <c r="O79" i="2"/>
  <c r="P68" i="4" s="1"/>
  <c r="O81" i="2"/>
  <c r="P69" i="4" s="1"/>
  <c r="O89" i="2"/>
  <c r="P78" i="4" s="1"/>
  <c r="O95" i="2"/>
  <c r="P85" i="4" s="1"/>
  <c r="O99" i="2"/>
  <c r="O101" i="2"/>
  <c r="P89" i="4" s="1"/>
  <c r="O103" i="2"/>
  <c r="P80" i="4" s="1"/>
  <c r="O105" i="2"/>
  <c r="P91" i="4" s="1"/>
  <c r="O109" i="2"/>
  <c r="P95" i="4" s="1"/>
  <c r="O111" i="2"/>
  <c r="P97" i="4" s="1"/>
  <c r="O113" i="2"/>
  <c r="P99" i="4" s="1"/>
  <c r="O115" i="2"/>
  <c r="O117" i="2"/>
  <c r="P102" i="4" s="1"/>
  <c r="O119" i="2"/>
  <c r="P104" i="4" s="1"/>
  <c r="O121" i="2"/>
  <c r="P106" i="4" s="1"/>
  <c r="O127" i="2"/>
  <c r="P112" i="4" s="1"/>
  <c r="O131" i="2"/>
  <c r="P116" i="4" s="1"/>
  <c r="O133" i="2"/>
  <c r="O135" i="2"/>
  <c r="P71" i="4" s="1"/>
  <c r="O137" i="2"/>
  <c r="O139" i="2"/>
  <c r="O141" i="2"/>
  <c r="O3" i="5" s="1"/>
  <c r="O143" i="2"/>
  <c r="O5" i="5" s="1"/>
  <c r="O145" i="2"/>
  <c r="O7" i="5" s="1"/>
  <c r="O147" i="2"/>
  <c r="O9" i="5" s="1"/>
  <c r="O153" i="2"/>
  <c r="O15" i="5" s="1"/>
  <c r="O155" i="2"/>
  <c r="O17" i="5" s="1"/>
  <c r="O157" i="2"/>
  <c r="O19" i="5" s="1"/>
  <c r="O163" i="2"/>
  <c r="O25" i="5" s="1"/>
  <c r="O167" i="2"/>
  <c r="O29" i="5" s="1"/>
  <c r="O171" i="2"/>
  <c r="O33" i="5" s="1"/>
  <c r="O172" i="2"/>
  <c r="O34" i="5" s="1"/>
  <c r="O174" i="2"/>
  <c r="O36" i="5" s="1"/>
  <c r="O176" i="2"/>
  <c r="O38" i="5" s="1"/>
  <c r="O178" i="2"/>
  <c r="O40" i="5" s="1"/>
  <c r="O180" i="2"/>
  <c r="O42" i="5" s="1"/>
  <c r="O182" i="2"/>
  <c r="O44" i="5" s="1"/>
  <c r="O187" i="2"/>
  <c r="O48" i="5" s="1"/>
  <c r="O189" i="2"/>
  <c r="O82" i="5" s="1"/>
  <c r="O191" i="2"/>
  <c r="O51" i="5" s="1"/>
  <c r="O193" i="2"/>
  <c r="O53" i="5" s="1"/>
  <c r="O195" i="2"/>
  <c r="O54" i="5" s="1"/>
  <c r="O196" i="2"/>
  <c r="O55" i="5" s="1"/>
  <c r="O199" i="2"/>
  <c r="O58" i="5" s="1"/>
  <c r="O201" i="2"/>
  <c r="O60" i="5" s="1"/>
  <c r="O203" i="2"/>
  <c r="O61" i="5" s="1"/>
  <c r="P61" i="5" s="1"/>
  <c r="O205" i="2"/>
  <c r="O64" i="5" s="1"/>
  <c r="O211" i="2"/>
  <c r="O70" i="5" s="1"/>
  <c r="O212" i="2"/>
  <c r="O71" i="5" s="1"/>
  <c r="O214" i="2"/>
  <c r="O218" i="2"/>
  <c r="O220" i="2"/>
  <c r="O77" i="5" s="1"/>
  <c r="O222" i="2"/>
  <c r="O80" i="5" s="1"/>
  <c r="O224" i="2"/>
  <c r="O83" i="5" s="1"/>
  <c r="O228" i="2"/>
  <c r="O232" i="2"/>
  <c r="O90" i="5" s="1"/>
  <c r="O239" i="2"/>
  <c r="O97" i="5" s="1"/>
  <c r="O241" i="2"/>
  <c r="O243" i="2"/>
  <c r="O247" i="2"/>
  <c r="O249" i="2"/>
  <c r="O253" i="2"/>
  <c r="O108" i="5" s="1"/>
  <c r="O259" i="2"/>
  <c r="O114" i="5" s="1"/>
  <c r="O272" i="2"/>
  <c r="O125" i="5" s="1"/>
  <c r="O274" i="2"/>
  <c r="O126" i="5" s="1"/>
  <c r="O276" i="2"/>
  <c r="O280" i="2"/>
  <c r="O129" i="5" s="1"/>
  <c r="O282" i="2"/>
  <c r="O131" i="5" s="1"/>
  <c r="O286" i="2"/>
  <c r="O135" i="5" s="1"/>
  <c r="O288" i="2"/>
  <c r="O137" i="5" s="1"/>
  <c r="O292" i="2"/>
  <c r="O141" i="5" s="1"/>
  <c r="O298" i="2"/>
  <c r="O144" i="5" s="1"/>
  <c r="O306" i="2"/>
  <c r="O152" i="5" s="1"/>
  <c r="O310" i="2"/>
  <c r="O153" i="5" s="1"/>
  <c r="O317" i="2"/>
  <c r="O319" i="2"/>
  <c r="O161" i="5" s="1"/>
  <c r="O321" i="2"/>
  <c r="O325" i="2"/>
  <c r="O327" i="2"/>
  <c r="O167" i="5" s="1"/>
  <c r="O331" i="2"/>
  <c r="O171" i="5" s="1"/>
  <c r="O335" i="2"/>
  <c r="O343" i="2"/>
  <c r="O182" i="5" s="1"/>
  <c r="O351" i="2"/>
  <c r="O187" i="5" s="1"/>
  <c r="O359" i="2"/>
  <c r="O194" i="5" s="1"/>
  <c r="O365" i="2"/>
  <c r="O199" i="5" s="1"/>
  <c r="O371" i="2"/>
  <c r="O203" i="5" s="1"/>
  <c r="O380" i="2"/>
  <c r="O210" i="5" s="1"/>
  <c r="O382" i="2"/>
  <c r="O384" i="2"/>
  <c r="O213" i="5" s="1"/>
  <c r="O386" i="2"/>
  <c r="O215" i="5" s="1"/>
  <c r="O388" i="2"/>
  <c r="O217" i="5" s="1"/>
  <c r="O394" i="2"/>
  <c r="O223" i="5" s="1"/>
  <c r="O398" i="2"/>
  <c r="O227" i="5" s="1"/>
  <c r="O414" i="2"/>
  <c r="O417" i="2"/>
  <c r="O421" i="2"/>
  <c r="O431" i="2"/>
  <c r="O442" i="2"/>
  <c r="O444" i="2"/>
  <c r="O446" i="2"/>
  <c r="O448" i="2"/>
  <c r="O450" i="2"/>
  <c r="O472" i="2"/>
  <c r="O474" i="2"/>
  <c r="O480" i="2"/>
  <c r="O486" i="2"/>
  <c r="O488" i="2"/>
  <c r="O490" i="2"/>
  <c r="O492" i="2"/>
  <c r="O494" i="2"/>
  <c r="O498" i="2"/>
  <c r="O500" i="2"/>
  <c r="O502" i="2"/>
  <c r="O504" i="2"/>
  <c r="O506" i="2"/>
  <c r="O508" i="2"/>
  <c r="O512" i="2"/>
  <c r="O514" i="2"/>
  <c r="O516" i="2"/>
  <c r="O520" i="2"/>
  <c r="O522" i="2"/>
  <c r="O524" i="2"/>
  <c r="O526" i="2"/>
  <c r="O528" i="2"/>
  <c r="O530" i="2"/>
  <c r="O532" i="2"/>
  <c r="L3" i="6" s="1"/>
  <c r="O534" i="2"/>
  <c r="L5" i="6" s="1"/>
  <c r="O536" i="2"/>
  <c r="L7" i="6" s="1"/>
  <c r="O538" i="2"/>
  <c r="L9" i="6" s="1"/>
  <c r="O540" i="2"/>
  <c r="L11" i="6" s="1"/>
  <c r="O544" i="2"/>
  <c r="L14" i="6" s="1"/>
  <c r="O546" i="2"/>
  <c r="L16" i="6" s="1"/>
  <c r="O550" i="2"/>
  <c r="L20" i="6" s="1"/>
  <c r="O554" i="2"/>
  <c r="L23" i="6" s="1"/>
  <c r="O558" i="2"/>
  <c r="L27" i="6" s="1"/>
  <c r="O560" i="2"/>
  <c r="L29" i="6" s="1"/>
  <c r="O562" i="2"/>
  <c r="L31" i="6" s="1"/>
  <c r="O566" i="2"/>
  <c r="L35" i="6" s="1"/>
  <c r="O568" i="2"/>
  <c r="L37" i="6" s="1"/>
  <c r="O575" i="2"/>
  <c r="O578" i="2"/>
  <c r="L46" i="6" s="1"/>
  <c r="O580" i="2"/>
  <c r="O582" i="2"/>
  <c r="L49" i="6" s="1"/>
  <c r="O584" i="2"/>
  <c r="L51" i="6" s="1"/>
  <c r="O586" i="2"/>
  <c r="L53" i="6" s="1"/>
  <c r="O588" i="2"/>
  <c r="L57" i="6" s="1"/>
  <c r="O590" i="2"/>
  <c r="L59" i="6" s="1"/>
  <c r="O592" i="2"/>
  <c r="L61" i="6" s="1"/>
  <c r="O594" i="2"/>
  <c r="L62" i="6" s="1"/>
  <c r="O600" i="2"/>
  <c r="L67" i="6" s="1"/>
  <c r="O602" i="2"/>
  <c r="L69" i="6" s="1"/>
  <c r="O606" i="2"/>
  <c r="L73" i="6" s="1"/>
  <c r="O612" i="2"/>
  <c r="L78" i="6" s="1"/>
  <c r="O614" i="2"/>
  <c r="O616" i="2"/>
  <c r="O618" i="2"/>
  <c r="L79" i="6" s="1"/>
  <c r="O620" i="2"/>
  <c r="O4" i="7" s="1"/>
  <c r="O624" i="2"/>
  <c r="O7" i="7" s="1"/>
  <c r="O626" i="2"/>
  <c r="O628" i="2"/>
  <c r="O10" i="7" s="1"/>
  <c r="O646" i="2"/>
  <c r="O26" i="7" s="1"/>
  <c r="O652" i="2"/>
  <c r="O31" i="7" s="1"/>
  <c r="O660" i="2"/>
  <c r="O38" i="7" s="1"/>
  <c r="O662" i="2"/>
  <c r="O40" i="7" s="1"/>
  <c r="O666" i="2"/>
  <c r="O43" i="7" s="1"/>
  <c r="O678" i="2"/>
  <c r="O53" i="7" s="1"/>
  <c r="O691" i="2"/>
  <c r="O63" i="7" s="1"/>
  <c r="O693" i="2"/>
  <c r="O64" i="7" s="1"/>
  <c r="O697" i="2"/>
  <c r="O67" i="7" s="1"/>
  <c r="O699" i="2"/>
  <c r="O701" i="2"/>
  <c r="O71" i="7" s="1"/>
  <c r="O703" i="2"/>
  <c r="O72" i="7" s="1"/>
  <c r="O705" i="2"/>
  <c r="O114" i="7" s="1"/>
  <c r="O707" i="2"/>
  <c r="O74" i="7" s="1"/>
  <c r="O711" i="2"/>
  <c r="O115" i="7" s="1"/>
  <c r="O713" i="2"/>
  <c r="O78" i="7" s="1"/>
  <c r="O717" i="2"/>
  <c r="O82" i="7" s="1"/>
  <c r="O719" i="2"/>
  <c r="O116" i="7" s="1"/>
  <c r="O721" i="2"/>
  <c r="O725" i="2"/>
  <c r="O87" i="7" s="1"/>
  <c r="O729" i="2"/>
  <c r="O91" i="7" s="1"/>
  <c r="O733" i="2"/>
  <c r="O735" i="2"/>
  <c r="O737" i="2"/>
  <c r="O97" i="7" s="1"/>
  <c r="O741" i="2"/>
  <c r="O101" i="7" s="1"/>
  <c r="O743" i="2"/>
  <c r="O103" i="7" s="1"/>
  <c r="O745" i="2"/>
  <c r="O104" i="7" s="1"/>
  <c r="O747" i="2"/>
  <c r="O105" i="7" s="1"/>
  <c r="O749" i="2"/>
  <c r="O107" i="7" s="1"/>
  <c r="O755" i="2"/>
  <c r="O117" i="7" s="1"/>
  <c r="O757" i="2"/>
  <c r="O759" i="2"/>
  <c r="M5" i="9" s="1"/>
  <c r="O761" i="2"/>
  <c r="O763" i="2"/>
  <c r="O765" i="2"/>
  <c r="O769" i="2"/>
  <c r="M9" i="9" s="1"/>
  <c r="O771" i="2"/>
  <c r="O773" i="2"/>
  <c r="M11" i="9" s="1"/>
  <c r="O775" i="2"/>
  <c r="O777" i="2"/>
  <c r="O779" i="2"/>
  <c r="O781" i="2"/>
  <c r="O785" i="2"/>
  <c r="M16" i="9" s="1"/>
  <c r="O787" i="2"/>
  <c r="M17" i="9" s="1"/>
  <c r="O789" i="2"/>
  <c r="M19" i="9" s="1"/>
  <c r="O793" i="2"/>
  <c r="M22" i="9" s="1"/>
  <c r="O799" i="2"/>
  <c r="M26" i="9" s="1"/>
  <c r="O803" i="2"/>
  <c r="M30" i="9" s="1"/>
  <c r="O814" i="2"/>
  <c r="M37" i="9" s="1"/>
  <c r="O816" i="2"/>
  <c r="M38" i="9" s="1"/>
  <c r="O818" i="2"/>
  <c r="O834" i="2"/>
  <c r="M50" i="9" s="1"/>
  <c r="O840" i="2"/>
  <c r="M55" i="9" s="1"/>
  <c r="O848" i="2"/>
  <c r="M57" i="9" s="1"/>
  <c r="O850" i="2"/>
  <c r="M60" i="9" s="1"/>
  <c r="O852" i="2"/>
  <c r="M61" i="9" s="1"/>
  <c r="O855" i="2"/>
  <c r="M62" i="9" s="1"/>
  <c r="O857" i="2"/>
  <c r="F3" i="10" s="1"/>
  <c r="O859" i="2"/>
  <c r="F5" i="10" s="1"/>
  <c r="O861" i="2"/>
  <c r="F7" i="10" s="1"/>
  <c r="O863" i="2"/>
  <c r="F9" i="10" s="1"/>
  <c r="O865" i="2"/>
  <c r="F11" i="10" s="1"/>
  <c r="O867" i="2"/>
  <c r="F13" i="10" s="1"/>
  <c r="O871" i="2"/>
  <c r="F19" i="10" s="1"/>
  <c r="O873" i="2"/>
  <c r="F20" i="10" s="1"/>
  <c r="O879" i="2"/>
  <c r="F24" i="10" s="1"/>
  <c r="O885" i="2"/>
  <c r="F30" i="10" s="1"/>
  <c r="O887" i="2"/>
  <c r="F29" i="10" s="1"/>
  <c r="O889" i="2"/>
  <c r="O891" i="2"/>
  <c r="F33" i="10" s="1"/>
  <c r="O893" i="2"/>
  <c r="O897" i="2"/>
  <c r="F37" i="10" s="1"/>
  <c r="O921" i="2"/>
  <c r="O11" i="11" s="1"/>
  <c r="O926" i="2"/>
  <c r="O15" i="11" s="1"/>
  <c r="O930" i="2"/>
  <c r="O18" i="11" s="1"/>
  <c r="O932" i="2"/>
  <c r="O19" i="11" s="1"/>
  <c r="O936" i="2"/>
  <c r="O938" i="2"/>
  <c r="O24" i="11" s="1"/>
  <c r="O940" i="2"/>
  <c r="O25" i="11" s="1"/>
  <c r="O944" i="2"/>
  <c r="O33" i="11" s="1"/>
  <c r="O946" i="2"/>
  <c r="O948" i="2"/>
  <c r="O950" i="2"/>
  <c r="O952" i="2"/>
  <c r="O38" i="11" s="1"/>
  <c r="O954" i="2"/>
  <c r="O40" i="11" s="1"/>
  <c r="O956" i="2"/>
  <c r="O958" i="2"/>
  <c r="O44" i="11" s="1"/>
  <c r="O960" i="2"/>
  <c r="O47" i="11" s="1"/>
  <c r="O962" i="2"/>
  <c r="O49" i="11" s="1"/>
  <c r="O964" i="2"/>
  <c r="O41" i="11" s="1"/>
  <c r="O966" i="2"/>
  <c r="O52" i="11" s="1"/>
  <c r="O968" i="2"/>
  <c r="O53" i="11" s="1"/>
  <c r="O970" i="2"/>
  <c r="O972" i="2"/>
  <c r="O55" i="11" s="1"/>
  <c r="O974" i="2"/>
  <c r="O56" i="11" s="1"/>
  <c r="O978" i="2"/>
  <c r="O61" i="11" s="1"/>
  <c r="O980" i="2"/>
  <c r="O982" i="2"/>
  <c r="O60" i="11" s="1"/>
  <c r="O984" i="2"/>
  <c r="O65" i="11" s="1"/>
  <c r="O988" i="2"/>
  <c r="O990" i="2"/>
  <c r="O992" i="2"/>
  <c r="O70" i="11" s="1"/>
  <c r="O996" i="2"/>
  <c r="O72" i="11" s="1"/>
  <c r="O998" i="2"/>
  <c r="O74" i="11" s="1"/>
  <c r="O1001" i="2"/>
  <c r="O29" i="11" s="1"/>
  <c r="O1011" i="2"/>
  <c r="O31" i="11" s="1"/>
  <c r="O1017" i="2"/>
  <c r="F7" i="12" s="1"/>
  <c r="O1020" i="2"/>
  <c r="F10" i="12" s="1"/>
  <c r="O1022" i="2"/>
  <c r="F12" i="12" s="1"/>
  <c r="O1026" i="2"/>
  <c r="F14" i="12" s="1"/>
  <c r="P15" i="12" s="1"/>
  <c r="O1028" i="2"/>
  <c r="F17" i="12" s="1"/>
  <c r="O1034" i="2"/>
  <c r="F24" i="12" s="1"/>
  <c r="O1040" i="2"/>
  <c r="F28" i="12" s="1"/>
  <c r="O1043" i="2"/>
  <c r="F30" i="12" s="1"/>
  <c r="O1045" i="2"/>
  <c r="F32" i="12" s="1"/>
  <c r="O1047" i="2"/>
  <c r="F34" i="12" s="1"/>
  <c r="O1049" i="2"/>
  <c r="F35" i="12" s="1"/>
  <c r="O1053" i="2"/>
  <c r="F38" i="12" s="1"/>
  <c r="O1055" i="2"/>
  <c r="F40" i="12" s="1"/>
  <c r="O1063" i="2"/>
  <c r="F45" i="12" s="1"/>
  <c r="O1065" i="2"/>
  <c r="F47" i="12" s="1"/>
  <c r="O1068" i="2"/>
  <c r="F56" i="12" s="1"/>
  <c r="O1070" i="2"/>
  <c r="F50" i="12" s="1"/>
  <c r="O1072" i="2"/>
  <c r="F52" i="12" s="1"/>
  <c r="O1074" i="2"/>
  <c r="O1076" i="2"/>
  <c r="F55" i="12" s="1"/>
  <c r="O1078" i="2"/>
  <c r="O1080" i="2"/>
  <c r="F59" i="12" s="1"/>
  <c r="O1082" i="2"/>
  <c r="F61" i="12" s="1"/>
  <c r="O1084" i="2"/>
  <c r="F63" i="12" s="1"/>
  <c r="O1094" i="2"/>
  <c r="F71" i="12" s="1"/>
  <c r="O1098" i="2"/>
  <c r="F74" i="12" s="1"/>
  <c r="O1102" i="2"/>
  <c r="F77" i="12" s="1"/>
  <c r="O1108" i="2"/>
  <c r="F83" i="12" s="1"/>
  <c r="O1110" i="2"/>
  <c r="F85" i="12" s="1"/>
  <c r="O1112" i="2"/>
  <c r="F88" i="12" s="1"/>
  <c r="O1118" i="2"/>
  <c r="F90" i="12" s="1"/>
  <c r="O1122" i="2"/>
  <c r="F92" i="12" s="1"/>
  <c r="O1134" i="2"/>
  <c r="F99" i="12" s="1"/>
  <c r="O1138" i="2"/>
  <c r="F101" i="12" s="1"/>
  <c r="O1140" i="2"/>
  <c r="F103" i="12" s="1"/>
  <c r="O1144" i="2"/>
  <c r="O1146" i="2"/>
  <c r="F107" i="12" s="1"/>
  <c r="O1148" i="2"/>
  <c r="O1150" i="2"/>
  <c r="F110" i="12" s="1"/>
  <c r="O1152" i="2"/>
  <c r="F113" i="12" s="1"/>
  <c r="O1154" i="2"/>
  <c r="F115" i="12" s="1"/>
  <c r="O1160" i="2"/>
  <c r="F119" i="12" s="1"/>
  <c r="O1163" i="2"/>
  <c r="F121" i="12" s="1"/>
  <c r="O1165" i="2"/>
  <c r="F122" i="12" s="1"/>
  <c r="O1170" i="2"/>
  <c r="O7" i="13" s="1"/>
  <c r="O1173" i="2"/>
  <c r="O9" i="13" s="1"/>
  <c r="O1176" i="2"/>
  <c r="O12" i="13" s="1"/>
  <c r="O1180" i="2"/>
  <c r="O16" i="13" s="1"/>
  <c r="O1190" i="2"/>
  <c r="O26" i="13" s="1"/>
  <c r="O1196" i="2"/>
  <c r="O33" i="13" s="1"/>
  <c r="O1198" i="2"/>
  <c r="O35" i="13" s="1"/>
  <c r="O1204" i="2"/>
  <c r="O81" i="13" s="1"/>
  <c r="O1206" i="2"/>
  <c r="O42" i="13" s="1"/>
  <c r="O1210" i="2"/>
  <c r="O1212" i="2"/>
  <c r="O1214" i="2"/>
  <c r="O1218" i="2"/>
  <c r="O1220" i="2"/>
  <c r="O1224" i="2"/>
  <c r="O1226" i="2"/>
  <c r="O1228" i="2"/>
  <c r="O1230" i="2"/>
  <c r="O1232" i="2"/>
  <c r="O1236" i="2"/>
  <c r="O59" i="13" s="1"/>
  <c r="O1238" i="2"/>
  <c r="O61" i="13" s="1"/>
  <c r="O1242" i="2"/>
  <c r="O64" i="13" s="1"/>
  <c r="O1248" i="2"/>
  <c r="O1252" i="2"/>
  <c r="O73" i="13" s="1"/>
  <c r="O1254" i="2"/>
  <c r="O1264" i="2"/>
  <c r="O87" i="13" s="1"/>
  <c r="O1266" i="2"/>
  <c r="O89" i="13" s="1"/>
  <c r="O1270" i="2"/>
  <c r="O93" i="13" s="1"/>
  <c r="O1272" i="2"/>
  <c r="O95" i="13" s="1"/>
  <c r="O1274" i="2"/>
  <c r="O96" i="13" s="1"/>
  <c r="O1280" i="2"/>
  <c r="P5" i="1" s="1"/>
  <c r="O1282" i="2"/>
  <c r="P6" i="1" s="1"/>
  <c r="O1289" i="2"/>
  <c r="P11" i="1" s="1"/>
  <c r="O1291" i="2"/>
  <c r="O1293" i="2"/>
  <c r="O1295" i="2"/>
  <c r="P15" i="1" s="1"/>
  <c r="O1299" i="2"/>
  <c r="P18" i="1" s="1"/>
  <c r="O1305" i="2"/>
  <c r="P24" i="1" s="1"/>
  <c r="O1307" i="2"/>
  <c r="P26" i="1" s="1"/>
  <c r="O1314" i="2"/>
  <c r="P32" i="1" s="1"/>
  <c r="O1316" i="2"/>
  <c r="P34" i="1" s="1"/>
  <c r="O1318" i="2"/>
  <c r="O1327" i="2"/>
  <c r="P41" i="1" s="1"/>
  <c r="O1331" i="2"/>
  <c r="P45" i="1" s="1"/>
  <c r="O1333" i="2"/>
  <c r="P48" i="1" s="1"/>
  <c r="O1335" i="2"/>
  <c r="P49" i="1" s="1"/>
  <c r="O1337" i="2"/>
  <c r="O1339" i="2"/>
  <c r="P52" i="1" s="1"/>
  <c r="O1343" i="2"/>
  <c r="O1345" i="2"/>
  <c r="P56" i="1" s="1"/>
  <c r="O1347" i="2"/>
  <c r="P58" i="1" s="1"/>
  <c r="O1349" i="2"/>
  <c r="O1351" i="2"/>
  <c r="O1356" i="2"/>
  <c r="P65" i="1" s="1"/>
  <c r="O1370" i="2"/>
  <c r="P79" i="1" s="1"/>
  <c r="O1378" i="2"/>
  <c r="P85" i="1" s="1"/>
  <c r="O1386" i="2"/>
  <c r="P91" i="1" s="1"/>
  <c r="O1404" i="2"/>
  <c r="P107" i="1" s="1"/>
  <c r="O1407" i="2"/>
  <c r="P109" i="1" s="1"/>
  <c r="O1409" i="2"/>
  <c r="P111" i="1" s="1"/>
  <c r="O1411" i="2"/>
  <c r="O1413" i="2"/>
  <c r="P113" i="1" s="1"/>
  <c r="O1417" i="2"/>
  <c r="P116" i="1" s="1"/>
  <c r="O1419" i="2"/>
  <c r="P118" i="1" s="1"/>
  <c r="O1425" i="2"/>
  <c r="O1427" i="2"/>
  <c r="P124" i="1" s="1"/>
  <c r="O1433" i="2"/>
  <c r="L8" i="14" s="1"/>
  <c r="O1437" i="2"/>
  <c r="L12" i="14" s="1"/>
  <c r="O1441" i="2"/>
  <c r="L16" i="14" s="1"/>
  <c r="O1443" i="2"/>
  <c r="O1445" i="2"/>
  <c r="L19" i="14" s="1"/>
  <c r="O1451" i="2"/>
  <c r="L25" i="14" s="1"/>
  <c r="O1453" i="2"/>
  <c r="L27" i="14" s="1"/>
  <c r="O1455" i="2"/>
  <c r="L29" i="14" s="1"/>
  <c r="O1457" i="2"/>
  <c r="O1459" i="2"/>
  <c r="O1463" i="2"/>
  <c r="L35" i="14" s="1"/>
  <c r="O1465" i="2"/>
  <c r="L37" i="14" s="1"/>
  <c r="O1467" i="2"/>
  <c r="L39" i="14" s="1"/>
  <c r="O1469" i="2"/>
  <c r="L41" i="14" s="1"/>
  <c r="O1473" i="2"/>
  <c r="L45" i="14" s="1"/>
  <c r="O1475" i="2"/>
  <c r="L47" i="14" s="1"/>
  <c r="O1477" i="2"/>
  <c r="L49" i="14" s="1"/>
  <c r="O1479" i="2"/>
  <c r="L51" i="14" s="1"/>
  <c r="O1483" i="2"/>
  <c r="L55" i="14" s="1"/>
  <c r="O1485" i="2"/>
  <c r="O1487" i="2"/>
  <c r="L59" i="14" s="1"/>
  <c r="O1489" i="2"/>
  <c r="O1491" i="2"/>
  <c r="L61" i="14" s="1"/>
  <c r="O1497" i="2"/>
  <c r="L66" i="14" s="1"/>
  <c r="O1503" i="2"/>
  <c r="L71" i="14" s="1"/>
  <c r="O1505" i="2"/>
  <c r="L73" i="14" s="1"/>
  <c r="O1509" i="2"/>
  <c r="L78" i="14" s="1"/>
  <c r="O1516" i="2"/>
  <c r="L84" i="14" s="1"/>
  <c r="O1521" i="2"/>
  <c r="L89" i="14" s="1"/>
  <c r="O1525" i="2"/>
  <c r="L92" i="14" s="1"/>
  <c r="O1529" i="2"/>
  <c r="L94" i="14" s="1"/>
  <c r="O1535" i="2"/>
  <c r="L100" i="14" s="1"/>
  <c r="O1541" i="2"/>
  <c r="L105" i="14" s="1"/>
  <c r="O1553" i="2"/>
  <c r="O5" i="15" s="1"/>
  <c r="O1556" i="2"/>
  <c r="O8" i="15" s="1"/>
  <c r="O1560" i="2"/>
  <c r="O1562" i="2"/>
  <c r="O11" i="15" s="1"/>
  <c r="O1564" i="2"/>
  <c r="O13" i="15" s="1"/>
  <c r="O1568" i="2"/>
  <c r="O16" i="15" s="1"/>
  <c r="O1583" i="2"/>
  <c r="O30" i="15" s="1"/>
  <c r="O1589" i="2"/>
  <c r="O35" i="15" s="1"/>
  <c r="O1591" i="2"/>
  <c r="O37" i="15" s="1"/>
  <c r="O1593" i="2"/>
  <c r="O39" i="15" s="1"/>
  <c r="O1595" i="2"/>
  <c r="O41" i="15" s="1"/>
  <c r="O1597" i="2"/>
  <c r="O1599" i="2"/>
  <c r="O43" i="15" s="1"/>
  <c r="O1601" i="2"/>
  <c r="O45" i="15" s="1"/>
  <c r="O1603" i="2"/>
  <c r="O47" i="15" s="1"/>
  <c r="O1607" i="2"/>
  <c r="O50" i="15" s="1"/>
  <c r="O1609" i="2"/>
  <c r="O52" i="15" s="1"/>
  <c r="O1611" i="2"/>
  <c r="O53" i="15" s="1"/>
  <c r="O1613" i="2"/>
  <c r="O55" i="15" s="1"/>
  <c r="O1622" i="2"/>
  <c r="O64" i="15" s="1"/>
  <c r="O1624" i="2"/>
  <c r="O66" i="15" s="1"/>
  <c r="O1626" i="2"/>
  <c r="O68" i="15" s="1"/>
  <c r="O1628" i="2"/>
  <c r="O70" i="15" s="1"/>
  <c r="O1630" i="2"/>
  <c r="O72" i="15" s="1"/>
  <c r="O1634" i="2"/>
  <c r="O75" i="15" s="1"/>
  <c r="O1636" i="2"/>
  <c r="O77" i="15" s="1"/>
  <c r="O1645" i="2"/>
  <c r="O84" i="15" s="1"/>
  <c r="O1647" i="2"/>
  <c r="O86" i="15" s="1"/>
  <c r="O1649" i="2"/>
  <c r="O1653" i="2"/>
  <c r="O91" i="15" s="1"/>
  <c r="O1655" i="2"/>
  <c r="O93" i="15" s="1"/>
  <c r="O1657" i="2"/>
  <c r="O95" i="15" s="1"/>
  <c r="O1659" i="2"/>
  <c r="O1661" i="2"/>
  <c r="O1663" i="2"/>
  <c r="O98" i="15" s="1"/>
  <c r="O1665" i="2"/>
  <c r="O100" i="15" s="1"/>
  <c r="O1671" i="2"/>
  <c r="O104" i="15" s="1"/>
  <c r="O1675" i="2"/>
  <c r="O108" i="15" s="1"/>
  <c r="O1691" i="2"/>
  <c r="O123" i="15" s="1"/>
  <c r="O1693" i="2"/>
  <c r="O125" i="15" s="1"/>
  <c r="O1700" i="2"/>
  <c r="O130" i="15" s="1"/>
  <c r="O1704" i="2"/>
  <c r="O134" i="15" s="1"/>
  <c r="O1716" i="2"/>
  <c r="O143" i="15" s="1"/>
  <c r="O1732" i="2"/>
  <c r="O157" i="15" s="1"/>
  <c r="O1734" i="2"/>
  <c r="O159" i="15" s="1"/>
  <c r="O1739" i="2"/>
  <c r="O163" i="15" s="1"/>
  <c r="O1745" i="2"/>
  <c r="O169" i="15" s="1"/>
  <c r="O1749" i="2"/>
  <c r="O173" i="15" s="1"/>
  <c r="O1752" i="2"/>
  <c r="O176" i="15" s="1"/>
  <c r="O1754" i="2"/>
  <c r="O178" i="15" s="1"/>
  <c r="O1756" i="2"/>
  <c r="O179" i="15" s="1"/>
  <c r="O1760" i="2"/>
  <c r="O182" i="15" s="1"/>
  <c r="O1762" i="2"/>
  <c r="O184" i="15" s="1"/>
  <c r="O1764" i="2"/>
  <c r="O1766" i="2"/>
  <c r="O187" i="15" s="1"/>
  <c r="O1768" i="2"/>
  <c r="O1772" i="2"/>
  <c r="P7" i="16" s="1"/>
  <c r="O1794" i="2"/>
  <c r="P29" i="16" s="1"/>
  <c r="O1797" i="2"/>
  <c r="P32" i="16" s="1"/>
  <c r="O1806" i="2"/>
  <c r="P40" i="16" s="1"/>
  <c r="O1808" i="2"/>
  <c r="P42" i="16" s="1"/>
  <c r="O1810" i="2"/>
  <c r="P44" i="16" s="1"/>
  <c r="O1812" i="2"/>
  <c r="P46" i="16" s="1"/>
  <c r="O1814" i="2"/>
  <c r="P48" i="16" s="1"/>
  <c r="O1816" i="2"/>
  <c r="P49" i="16" s="1"/>
  <c r="O1818" i="2"/>
  <c r="P51" i="16" s="1"/>
  <c r="O1820" i="2"/>
  <c r="P53" i="16" s="1"/>
  <c r="O1822" i="2"/>
  <c r="O1824" i="2"/>
  <c r="P56" i="16" s="1"/>
  <c r="O1826" i="2"/>
  <c r="O1828" i="2"/>
  <c r="P59" i="16" s="1"/>
  <c r="O1830" i="2"/>
  <c r="P61" i="16" s="1"/>
  <c r="O1832" i="2"/>
  <c r="P63" i="16" s="1"/>
  <c r="O1834" i="2"/>
  <c r="P65" i="16" s="1"/>
  <c r="O1838" i="2"/>
  <c r="P69" i="16" s="1"/>
  <c r="O1844" i="2"/>
  <c r="P74" i="16" s="1"/>
  <c r="O1846" i="2"/>
  <c r="O1848" i="2"/>
  <c r="P77" i="16" s="1"/>
  <c r="O1850" i="2"/>
  <c r="P79" i="16" s="1"/>
  <c r="O1852" i="2"/>
  <c r="P81" i="16" s="1"/>
  <c r="O1854" i="2"/>
  <c r="P83" i="16" s="1"/>
  <c r="O1868" i="2"/>
  <c r="P97" i="16" s="1"/>
  <c r="O1876" i="2"/>
  <c r="P104" i="16" s="1"/>
  <c r="O1881" i="2"/>
  <c r="P108" i="16" s="1"/>
  <c r="O1888" i="2"/>
  <c r="P116" i="16" s="1"/>
  <c r="O1890" i="2"/>
  <c r="P118" i="16" s="1"/>
  <c r="O1894" i="2"/>
  <c r="P122" i="16" s="1"/>
  <c r="O1896" i="2"/>
  <c r="O1898" i="2"/>
  <c r="P125" i="16" s="1"/>
  <c r="O1900" i="2"/>
  <c r="P127" i="16" s="1"/>
  <c r="O1904" i="2"/>
  <c r="P131" i="16" s="1"/>
  <c r="O1906" i="2"/>
  <c r="O1910" i="2"/>
  <c r="P136" i="16" s="1"/>
  <c r="O1912" i="2"/>
  <c r="P138" i="16" s="1"/>
  <c r="O1914" i="2"/>
  <c r="P140" i="16" s="1"/>
  <c r="O1916" i="2"/>
  <c r="P141" i="16" s="1"/>
  <c r="O1925" i="2"/>
  <c r="P148" i="16" s="1"/>
  <c r="O1927" i="2"/>
  <c r="P150" i="16" s="1"/>
  <c r="O1929" i="2"/>
  <c r="P151" i="16" s="1"/>
  <c r="O1931" i="2"/>
  <c r="P153" i="16" s="1"/>
  <c r="O1933" i="2"/>
  <c r="O1935" i="2"/>
  <c r="O1937" i="2"/>
  <c r="P157" i="16" s="1"/>
  <c r="O1939" i="2"/>
  <c r="P159" i="16" s="1"/>
  <c r="O1943" i="2"/>
  <c r="P163" i="16" s="1"/>
  <c r="O1945" i="2"/>
  <c r="P165" i="16" s="1"/>
  <c r="O1947" i="2"/>
  <c r="P167" i="16" s="1"/>
  <c r="O1949" i="2"/>
  <c r="P169" i="16" s="1"/>
  <c r="O1951" i="2"/>
  <c r="P171" i="16" s="1"/>
  <c r="O1955" i="2"/>
  <c r="P175" i="16" s="1"/>
  <c r="O1957" i="2"/>
  <c r="P177" i="16" s="1"/>
  <c r="O1961" i="2"/>
  <c r="O1968" i="2"/>
  <c r="P187" i="16" s="1"/>
  <c r="O1970" i="2"/>
  <c r="P189" i="16" s="1"/>
  <c r="O1974" i="2"/>
  <c r="P193" i="16" s="1"/>
  <c r="O1976" i="2"/>
  <c r="P195" i="16" s="1"/>
  <c r="O1978" i="2"/>
  <c r="P197" i="16" s="1"/>
  <c r="O1980" i="2"/>
  <c r="P199" i="16" s="1"/>
  <c r="O1982" i="2"/>
  <c r="P201" i="16" s="1"/>
  <c r="O1984" i="2"/>
  <c r="P203" i="16" s="1"/>
  <c r="O1986" i="2"/>
  <c r="P205" i="16" s="1"/>
  <c r="O1990" i="2"/>
  <c r="O4" i="17" s="1"/>
  <c r="O1992" i="2"/>
  <c r="O1994" i="2"/>
  <c r="O1996" i="2"/>
  <c r="O8" i="17" s="1"/>
  <c r="O2000" i="2"/>
  <c r="O10" i="17" s="1"/>
  <c r="O2002" i="2"/>
  <c r="O2004" i="2"/>
  <c r="O11" i="17" s="1"/>
  <c r="O2008" i="2"/>
  <c r="O2010" i="2"/>
  <c r="O15" i="17" s="1"/>
  <c r="O2012" i="2"/>
  <c r="O17" i="17" s="1"/>
  <c r="O2019" i="2"/>
  <c r="O23" i="17" s="1"/>
  <c r="O2021" i="2"/>
  <c r="O25" i="17" s="1"/>
  <c r="O2027" i="2"/>
  <c r="O29" i="17" s="1"/>
  <c r="O2029" i="2"/>
  <c r="O31" i="17" s="1"/>
  <c r="O2033" i="2"/>
  <c r="O34" i="17" s="1"/>
  <c r="O2035" i="2"/>
  <c r="O2037" i="2"/>
  <c r="O37" i="17" s="1"/>
  <c r="O2039" i="2"/>
  <c r="O2041" i="2"/>
  <c r="O38" i="17" s="1"/>
  <c r="O2044" i="2"/>
  <c r="O41" i="17" s="1"/>
  <c r="O2046" i="2"/>
  <c r="O2050" i="2"/>
  <c r="O2052" i="2"/>
  <c r="O1145" i="2"/>
  <c r="F106" i="12" s="1"/>
  <c r="O1147" i="2"/>
  <c r="F108" i="12" s="1"/>
  <c r="O1156" i="2"/>
  <c r="F116" i="12" s="1"/>
  <c r="O1158" i="2"/>
  <c r="O1162" i="2"/>
  <c r="F120" i="12" s="1"/>
  <c r="O1167" i="2"/>
  <c r="O5" i="13" s="1"/>
  <c r="O1169" i="2"/>
  <c r="O6" i="13" s="1"/>
  <c r="O1172" i="2"/>
  <c r="O4" i="13" s="1"/>
  <c r="O1175" i="2"/>
  <c r="O11" i="13" s="1"/>
  <c r="O1182" i="2"/>
  <c r="O18" i="13" s="1"/>
  <c r="O1184" i="2"/>
  <c r="O20" i="13" s="1"/>
  <c r="O1186" i="2"/>
  <c r="O22" i="13" s="1"/>
  <c r="O1188" i="2"/>
  <c r="O24" i="13" s="1"/>
  <c r="O1192" i="2"/>
  <c r="O28" i="13" s="1"/>
  <c r="O1194" i="2"/>
  <c r="O1200" i="2"/>
  <c r="O37" i="13" s="1"/>
  <c r="O1202" i="2"/>
  <c r="O1209" i="2"/>
  <c r="O45" i="13" s="1"/>
  <c r="O1213" i="2"/>
  <c r="O47" i="13" s="1"/>
  <c r="O1215" i="2"/>
  <c r="O48" i="13" s="1"/>
  <c r="O1225" i="2"/>
  <c r="O54" i="13" s="1"/>
  <c r="O1229" i="2"/>
  <c r="O56" i="13" s="1"/>
  <c r="O1245" i="2"/>
  <c r="O67" i="13" s="1"/>
  <c r="O1247" i="2"/>
  <c r="O70" i="13" s="1"/>
  <c r="O1251" i="2"/>
  <c r="O72" i="13" s="1"/>
  <c r="O1255" i="2"/>
  <c r="O75" i="13" s="1"/>
  <c r="O1257" i="2"/>
  <c r="O77" i="13" s="1"/>
  <c r="O1258" i="2"/>
  <c r="O78" i="13" s="1"/>
  <c r="O1260" i="2"/>
  <c r="O1262" i="2"/>
  <c r="O84" i="13" s="1"/>
  <c r="O1268" i="2"/>
  <c r="O91" i="13" s="1"/>
  <c r="O1276" i="2"/>
  <c r="O98" i="13" s="1"/>
  <c r="O1278" i="2"/>
  <c r="P3" i="1" s="1"/>
  <c r="O1284" i="2"/>
  <c r="O1286" i="2"/>
  <c r="P9" i="1" s="1"/>
  <c r="O1288" i="2"/>
  <c r="O1292" i="2"/>
  <c r="P13" i="1" s="1"/>
  <c r="O1308" i="2"/>
  <c r="P27" i="1" s="1"/>
  <c r="O1311" i="2"/>
  <c r="P30" i="1" s="1"/>
  <c r="O1320" i="2"/>
  <c r="O1322" i="2"/>
  <c r="O1324" i="2"/>
  <c r="O1332" i="2"/>
  <c r="P46" i="1" s="1"/>
  <c r="O1334" i="2"/>
  <c r="P47" i="1" s="1"/>
  <c r="O1336" i="2"/>
  <c r="P50" i="1" s="1"/>
  <c r="O1342" i="2"/>
  <c r="P54" i="1" s="1"/>
  <c r="O1346" i="2"/>
  <c r="P57" i="1" s="1"/>
  <c r="O1353" i="2"/>
  <c r="P62" i="1" s="1"/>
  <c r="O1360" i="2"/>
  <c r="P69" i="1" s="1"/>
  <c r="O1362" i="2"/>
  <c r="P71" i="1" s="1"/>
  <c r="O1364" i="2"/>
  <c r="P73" i="1" s="1"/>
  <c r="O1366" i="2"/>
  <c r="P75" i="1" s="1"/>
  <c r="O1368" i="2"/>
  <c r="P77" i="1" s="1"/>
  <c r="O1372" i="2"/>
  <c r="P80" i="1" s="1"/>
  <c r="O1374" i="2"/>
  <c r="O1376" i="2"/>
  <c r="P83" i="1" s="1"/>
  <c r="O1380" i="2"/>
  <c r="P87" i="1" s="1"/>
  <c r="O1382" i="2"/>
  <c r="P89" i="1" s="1"/>
  <c r="O1384" i="2"/>
  <c r="P90" i="1" s="1"/>
  <c r="O1388" i="2"/>
  <c r="O1390" i="2"/>
  <c r="O1392" i="2"/>
  <c r="P96" i="1" s="1"/>
  <c r="O1394" i="2"/>
  <c r="P98" i="1" s="1"/>
  <c r="O1396" i="2"/>
  <c r="P100" i="1" s="1"/>
  <c r="O1398" i="2"/>
  <c r="P102" i="1" s="1"/>
  <c r="O1400" i="2"/>
  <c r="P103" i="1" s="1"/>
  <c r="O1402" i="2"/>
  <c r="P105" i="1" s="1"/>
  <c r="O1406" i="2"/>
  <c r="P108" i="1" s="1"/>
  <c r="O1408" i="2"/>
  <c r="P110" i="1" s="1"/>
  <c r="O1416" i="2"/>
  <c r="P115" i="1" s="1"/>
  <c r="O1422" i="2"/>
  <c r="P121" i="1" s="1"/>
  <c r="O1428" i="2"/>
  <c r="L3" i="14" s="1"/>
  <c r="O1432" i="2"/>
  <c r="L7" i="14" s="1"/>
  <c r="O1434" i="2"/>
  <c r="L9" i="14" s="1"/>
  <c r="O1442" i="2"/>
  <c r="L17" i="14" s="1"/>
  <c r="O1446" i="2"/>
  <c r="L20" i="14" s="1"/>
  <c r="O1458" i="2"/>
  <c r="L31" i="14" s="1"/>
  <c r="O1462" i="2"/>
  <c r="L34" i="14" s="1"/>
  <c r="O1464" i="2"/>
  <c r="L36" i="14" s="1"/>
  <c r="O1468" i="2"/>
  <c r="L40" i="14" s="1"/>
  <c r="O1474" i="2"/>
  <c r="L46" i="14" s="1"/>
  <c r="O1482" i="2"/>
  <c r="L54" i="14" s="1"/>
  <c r="O1504" i="2"/>
  <c r="L72" i="14" s="1"/>
  <c r="O1507" i="2"/>
  <c r="L76" i="14" s="1"/>
  <c r="O1511" i="2"/>
  <c r="L80" i="14" s="1"/>
  <c r="O1513" i="2"/>
  <c r="O1515" i="2"/>
  <c r="L83" i="14" s="1"/>
  <c r="O1518" i="2"/>
  <c r="L86" i="14" s="1"/>
  <c r="O1523" i="2"/>
  <c r="O1527" i="2"/>
  <c r="L93" i="14" s="1"/>
  <c r="O1531" i="2"/>
  <c r="L97" i="14" s="1"/>
  <c r="O1533" i="2"/>
  <c r="L98" i="14" s="1"/>
  <c r="O1537" i="2"/>
  <c r="L102" i="14" s="1"/>
  <c r="O1539" i="2"/>
  <c r="O1543" i="2"/>
  <c r="L107" i="14" s="1"/>
  <c r="O1545" i="2"/>
  <c r="L109" i="14" s="1"/>
  <c r="O1547" i="2"/>
  <c r="L111" i="14" s="1"/>
  <c r="O1549" i="2"/>
  <c r="L113" i="14" s="1"/>
  <c r="O1551" i="2"/>
  <c r="O4" i="15" s="1"/>
  <c r="O1565" i="2"/>
  <c r="O14" i="15" s="1"/>
  <c r="O1570" i="2"/>
  <c r="O18" i="15" s="1"/>
  <c r="O1572" i="2"/>
  <c r="O20" i="15" s="1"/>
  <c r="O1574" i="2"/>
  <c r="O22" i="15" s="1"/>
  <c r="O1576" i="2"/>
  <c r="O24" i="15" s="1"/>
  <c r="O1578" i="2"/>
  <c r="O1580" i="2"/>
  <c r="O27" i="15" s="1"/>
  <c r="O1586" i="2"/>
  <c r="O33" i="15" s="1"/>
  <c r="O1598" i="2"/>
  <c r="O42" i="15" s="1"/>
  <c r="O1605" i="2"/>
  <c r="O48" i="15" s="1"/>
  <c r="O1615" i="2"/>
  <c r="O1617" i="2"/>
  <c r="O59" i="15" s="1"/>
  <c r="O1619" i="2"/>
  <c r="O61" i="15" s="1"/>
  <c r="O1623" i="2"/>
  <c r="O65" i="15" s="1"/>
  <c r="O1629" i="2"/>
  <c r="O71" i="15" s="1"/>
  <c r="O1633" i="2"/>
  <c r="O74" i="15" s="1"/>
  <c r="O1640" i="2"/>
  <c r="O1642" i="2"/>
  <c r="O81" i="15" s="1"/>
  <c r="O1669" i="2"/>
  <c r="O103" i="15" s="1"/>
  <c r="O1673" i="2"/>
  <c r="O106" i="15" s="1"/>
  <c r="O1677" i="2"/>
  <c r="O110" i="15" s="1"/>
  <c r="O1679" i="2"/>
  <c r="O112" i="15" s="1"/>
  <c r="O1681" i="2"/>
  <c r="O114" i="15" s="1"/>
  <c r="O1683" i="2"/>
  <c r="O116" i="15" s="1"/>
  <c r="O1685" i="2"/>
  <c r="O1687" i="2"/>
  <c r="O119" i="15" s="1"/>
  <c r="O1689" i="2"/>
  <c r="O121" i="15" s="1"/>
  <c r="O1695" i="2"/>
  <c r="O126" i="15" s="1"/>
  <c r="O1697" i="2"/>
  <c r="O127" i="15" s="1"/>
  <c r="O1708" i="2"/>
  <c r="O138" i="15" s="1"/>
  <c r="O1710" i="2"/>
  <c r="O1712" i="2"/>
  <c r="O140" i="15" s="1"/>
  <c r="O1714" i="2"/>
  <c r="O141" i="15" s="1"/>
  <c r="O1718" i="2"/>
  <c r="O145" i="15" s="1"/>
  <c r="O1720" i="2"/>
  <c r="O147" i="15" s="1"/>
  <c r="O1722" i="2"/>
  <c r="O1724" i="2"/>
  <c r="O1726" i="2"/>
  <c r="O151" i="15" s="1"/>
  <c r="O1728" i="2"/>
  <c r="O153" i="15" s="1"/>
  <c r="O1730" i="2"/>
  <c r="O155" i="15" s="1"/>
  <c r="O1736" i="2"/>
  <c r="O1742" i="2"/>
  <c r="O166" i="15" s="1"/>
  <c r="O1747" i="2"/>
  <c r="O171" i="15" s="1"/>
  <c r="O1751" i="2"/>
  <c r="O175" i="15" s="1"/>
  <c r="O1753" i="2"/>
  <c r="O177" i="15" s="1"/>
  <c r="O1759" i="2"/>
  <c r="O181" i="15" s="1"/>
  <c r="O1763" i="2"/>
  <c r="O185" i="15" s="1"/>
  <c r="O1773" i="2"/>
  <c r="P8" i="16" s="1"/>
  <c r="O1774" i="2"/>
  <c r="P9" i="16" s="1"/>
  <c r="O1776" i="2"/>
  <c r="P11" i="16" s="1"/>
  <c r="O1778" i="2"/>
  <c r="P13" i="16" s="1"/>
  <c r="O1780" i="2"/>
  <c r="P15" i="16" s="1"/>
  <c r="O1782" i="2"/>
  <c r="P17" i="16" s="1"/>
  <c r="O1784" i="2"/>
  <c r="P19" i="16" s="1"/>
  <c r="O1786" i="2"/>
  <c r="P21" i="16" s="1"/>
  <c r="O1788" i="2"/>
  <c r="P23" i="16" s="1"/>
  <c r="O1790" i="2"/>
  <c r="P25" i="16" s="1"/>
  <c r="O1792" i="2"/>
  <c r="P27" i="16" s="1"/>
  <c r="O1796" i="2"/>
  <c r="P31" i="16" s="1"/>
  <c r="O1799" i="2"/>
  <c r="P34" i="16" s="1"/>
  <c r="O1801" i="2"/>
  <c r="P36" i="16" s="1"/>
  <c r="O1803" i="2"/>
  <c r="O1805" i="2"/>
  <c r="P39" i="16" s="1"/>
  <c r="O1817" i="2"/>
  <c r="P50" i="16" s="1"/>
  <c r="O1825" i="2"/>
  <c r="P57" i="16" s="1"/>
  <c r="O1829" i="2"/>
  <c r="P60" i="16" s="1"/>
  <c r="O1831" i="2"/>
  <c r="P62" i="16" s="1"/>
  <c r="O1845" i="2"/>
  <c r="P75" i="16" s="1"/>
  <c r="O1856" i="2"/>
  <c r="P85" i="16" s="1"/>
  <c r="O1858" i="2"/>
  <c r="P87" i="16" s="1"/>
  <c r="O1860" i="2"/>
  <c r="P89" i="16" s="1"/>
  <c r="O1862" i="2"/>
  <c r="P91" i="16" s="1"/>
  <c r="O1864" i="2"/>
  <c r="P93" i="16" s="1"/>
  <c r="O1866" i="2"/>
  <c r="P95" i="16" s="1"/>
  <c r="O1870" i="2"/>
  <c r="O1872" i="2"/>
  <c r="P100" i="16" s="1"/>
  <c r="O1874" i="2"/>
  <c r="P102" i="16" s="1"/>
  <c r="O1878" i="2"/>
  <c r="O1880" i="2"/>
  <c r="P107" i="16" s="1"/>
  <c r="O1883" i="2"/>
  <c r="P110" i="16" s="1"/>
  <c r="O1885" i="2"/>
  <c r="P112" i="16" s="1"/>
  <c r="O1887" i="2"/>
  <c r="O1889" i="2"/>
  <c r="P117" i="16" s="1"/>
  <c r="O1891" i="2"/>
  <c r="P119" i="16" s="1"/>
  <c r="O1920" i="2"/>
  <c r="O1922" i="2"/>
  <c r="P145" i="16" s="1"/>
  <c r="O1946" i="2"/>
  <c r="P166" i="16" s="1"/>
  <c r="O1963" i="2"/>
  <c r="P182" i="16" s="1"/>
  <c r="O1965" i="2"/>
  <c r="P184" i="16" s="1"/>
  <c r="O1967" i="2"/>
  <c r="P186" i="16" s="1"/>
  <c r="O1971" i="2"/>
  <c r="P190" i="16" s="1"/>
  <c r="O1991" i="2"/>
  <c r="O5" i="17" s="1"/>
  <c r="O2007" i="2"/>
  <c r="O13" i="17" s="1"/>
  <c r="O2009" i="2"/>
  <c r="O14" i="17" s="1"/>
  <c r="O2011" i="2"/>
  <c r="O16" i="17" s="1"/>
  <c r="O2013" i="2"/>
  <c r="O18" i="17" s="1"/>
  <c r="O2014" i="2"/>
  <c r="O19" i="17" s="1"/>
  <c r="O2016" i="2"/>
  <c r="O21" i="17" s="1"/>
  <c r="O2018" i="2"/>
  <c r="O2020" i="2"/>
  <c r="O24" i="17" s="1"/>
  <c r="O2024" i="2"/>
  <c r="O27" i="17" s="1"/>
  <c r="O2028" i="2"/>
  <c r="O30" i="17" s="1"/>
  <c r="O2032" i="2"/>
  <c r="O33" i="17" s="1"/>
  <c r="O2042" i="2"/>
  <c r="O39" i="17" s="1"/>
  <c r="O2045" i="2"/>
  <c r="O42" i="17" s="1"/>
  <c r="O2049" i="2"/>
  <c r="O44" i="17" s="1"/>
  <c r="O1135" i="2"/>
  <c r="O1137" i="2"/>
  <c r="O1139" i="2"/>
  <c r="F102" i="12" s="1"/>
  <c r="O1141" i="2"/>
  <c r="O1143" i="2"/>
  <c r="F105" i="12" s="1"/>
  <c r="O1164" i="2"/>
  <c r="O1177" i="2"/>
  <c r="O13" i="13" s="1"/>
  <c r="O1179" i="2"/>
  <c r="O15" i="13" s="1"/>
  <c r="O1191" i="2"/>
  <c r="O27" i="13" s="1"/>
  <c r="O1193" i="2"/>
  <c r="O31" i="13" s="1"/>
  <c r="O1195" i="2"/>
  <c r="O32" i="13" s="1"/>
  <c r="O1197" i="2"/>
  <c r="O34" i="13" s="1"/>
  <c r="O1199" i="2"/>
  <c r="O36" i="13" s="1"/>
  <c r="O1203" i="2"/>
  <c r="O40" i="13" s="1"/>
  <c r="O1205" i="2"/>
  <c r="O41" i="13" s="1"/>
  <c r="O1207" i="2"/>
  <c r="O43" i="13" s="1"/>
  <c r="O1211" i="2"/>
  <c r="O46" i="13" s="1"/>
  <c r="O1217" i="2"/>
  <c r="O49" i="13" s="1"/>
  <c r="O1219" i="2"/>
  <c r="O50" i="13" s="1"/>
  <c r="O1221" i="2"/>
  <c r="O51" i="13" s="1"/>
  <c r="O1223" i="2"/>
  <c r="O53" i="13" s="1"/>
  <c r="O1227" i="2"/>
  <c r="O55" i="13" s="1"/>
  <c r="O1231" i="2"/>
  <c r="O57" i="13" s="1"/>
  <c r="O1233" i="2"/>
  <c r="O1235" i="2"/>
  <c r="O1237" i="2"/>
  <c r="O60" i="13" s="1"/>
  <c r="O1239" i="2"/>
  <c r="O1241" i="2"/>
  <c r="O63" i="13" s="1"/>
  <c r="O1243" i="2"/>
  <c r="O65" i="13" s="1"/>
  <c r="O1249" i="2"/>
  <c r="O1253" i="2"/>
  <c r="O74" i="13" s="1"/>
  <c r="O1263" i="2"/>
  <c r="O85" i="13" s="1"/>
  <c r="O1265" i="2"/>
  <c r="O88" i="13" s="1"/>
  <c r="O1271" i="2"/>
  <c r="O94" i="13" s="1"/>
  <c r="O1275" i="2"/>
  <c r="O97" i="13" s="1"/>
  <c r="O1279" i="2"/>
  <c r="P4" i="1" s="1"/>
  <c r="O1283" i="2"/>
  <c r="P7" i="1" s="1"/>
  <c r="O1290" i="2"/>
  <c r="P12" i="1" s="1"/>
  <c r="O1294" i="2"/>
  <c r="P14" i="1" s="1"/>
  <c r="O1296" i="2"/>
  <c r="O1298" i="2"/>
  <c r="P17" i="1" s="1"/>
  <c r="O1300" i="2"/>
  <c r="P19" i="1" s="1"/>
  <c r="O1302" i="2"/>
  <c r="P21" i="1" s="1"/>
  <c r="O1304" i="2"/>
  <c r="P23" i="1" s="1"/>
  <c r="O1306" i="2"/>
  <c r="P25" i="1" s="1"/>
  <c r="O1313" i="2"/>
  <c r="P43" i="1" s="1"/>
  <c r="O1315" i="2"/>
  <c r="P33" i="1" s="1"/>
  <c r="O1317" i="2"/>
  <c r="P35" i="1" s="1"/>
  <c r="O1321" i="2"/>
  <c r="P37" i="1" s="1"/>
  <c r="O1326" i="2"/>
  <c r="P40" i="1" s="1"/>
  <c r="O1328" i="2"/>
  <c r="O1330" i="2"/>
  <c r="P44" i="1" s="1"/>
  <c r="O1338" i="2"/>
  <c r="P51" i="1" s="1"/>
  <c r="O1340" i="2"/>
  <c r="O1344" i="2"/>
  <c r="P55" i="1" s="1"/>
  <c r="O1348" i="2"/>
  <c r="P59" i="1" s="1"/>
  <c r="O1350" i="2"/>
  <c r="P60" i="1" s="1"/>
  <c r="O1354" i="2"/>
  <c r="P63" i="1" s="1"/>
  <c r="O1355" i="2"/>
  <c r="P64" i="1" s="1"/>
  <c r="O1357" i="2"/>
  <c r="P66" i="1" s="1"/>
  <c r="O1361" i="2"/>
  <c r="P70" i="1" s="1"/>
  <c r="O1373" i="2"/>
  <c r="P81" i="1" s="1"/>
  <c r="O1395" i="2"/>
  <c r="P99" i="1" s="1"/>
  <c r="O1410" i="2"/>
  <c r="P112" i="1" s="1"/>
  <c r="O1412" i="2"/>
  <c r="O1414" i="2"/>
  <c r="O1418" i="2"/>
  <c r="P117" i="1" s="1"/>
  <c r="O1420" i="2"/>
  <c r="P119" i="1" s="1"/>
  <c r="O1424" i="2"/>
  <c r="P123" i="1" s="1"/>
  <c r="O1426" i="2"/>
  <c r="O1430" i="2"/>
  <c r="L5" i="14" s="1"/>
  <c r="O1436" i="2"/>
  <c r="L11" i="14" s="1"/>
  <c r="O1438" i="2"/>
  <c r="L13" i="14" s="1"/>
  <c r="O1440" i="2"/>
  <c r="L15" i="14" s="1"/>
  <c r="O1444" i="2"/>
  <c r="L18" i="14" s="1"/>
  <c r="O1448" i="2"/>
  <c r="L22" i="14" s="1"/>
  <c r="O1450" i="2"/>
  <c r="L24" i="14" s="1"/>
  <c r="O1452" i="2"/>
  <c r="L26" i="14" s="1"/>
  <c r="O1454" i="2"/>
  <c r="L28" i="14" s="1"/>
  <c r="O1456" i="2"/>
  <c r="L30" i="14" s="1"/>
  <c r="O1460" i="2"/>
  <c r="L32" i="14" s="1"/>
  <c r="O1466" i="2"/>
  <c r="L38" i="14" s="1"/>
  <c r="O1470" i="2"/>
  <c r="L42" i="14" s="1"/>
  <c r="O1472" i="2"/>
  <c r="L44" i="14" s="1"/>
  <c r="O1476" i="2"/>
  <c r="L48" i="14" s="1"/>
  <c r="O1478" i="2"/>
  <c r="L50" i="14" s="1"/>
  <c r="O1480" i="2"/>
  <c r="L52" i="14" s="1"/>
  <c r="O1484" i="2"/>
  <c r="L56" i="14" s="1"/>
  <c r="O1486" i="2"/>
  <c r="L58" i="14" s="1"/>
  <c r="O1488" i="2"/>
  <c r="L60" i="14" s="1"/>
  <c r="O1490" i="2"/>
  <c r="O1492" i="2"/>
  <c r="L62" i="14" s="1"/>
  <c r="O1494" i="2"/>
  <c r="L64" i="14" s="1"/>
  <c r="O1496" i="2"/>
  <c r="O1498" i="2"/>
  <c r="L67" i="14" s="1"/>
  <c r="O1500" i="2"/>
  <c r="L69" i="14" s="1"/>
  <c r="O1502" i="2"/>
  <c r="L74" i="14" s="1"/>
  <c r="O1520" i="2"/>
  <c r="L88" i="14" s="1"/>
  <c r="O1524" i="2"/>
  <c r="L91" i="14" s="1"/>
  <c r="O1536" i="2"/>
  <c r="L101" i="14" s="1"/>
  <c r="O1538" i="2"/>
  <c r="L103" i="14" s="1"/>
  <c r="O1542" i="2"/>
  <c r="L106" i="14" s="1"/>
  <c r="O1546" i="2"/>
  <c r="L110" i="14" s="1"/>
  <c r="O1548" i="2"/>
  <c r="L112" i="14" s="1"/>
  <c r="O1554" i="2"/>
  <c r="O6" i="15" s="1"/>
  <c r="O1555" i="2"/>
  <c r="O7" i="15" s="1"/>
  <c r="O1557" i="2"/>
  <c r="O1559" i="2"/>
  <c r="O10" i="15" s="1"/>
  <c r="O1561" i="2"/>
  <c r="O1563" i="2"/>
  <c r="O12" i="15" s="1"/>
  <c r="O1567" i="2"/>
  <c r="O1575" i="2"/>
  <c r="O23" i="15" s="1"/>
  <c r="O1579" i="2"/>
  <c r="O26" i="15" s="1"/>
  <c r="O1582" i="2"/>
  <c r="O29" i="15" s="1"/>
  <c r="O1584" i="2"/>
  <c r="O31" i="15" s="1"/>
  <c r="O1588" i="2"/>
  <c r="O1590" i="2"/>
  <c r="O36" i="15" s="1"/>
  <c r="O1592" i="2"/>
  <c r="O38" i="15" s="1"/>
  <c r="O1594" i="2"/>
  <c r="O40" i="15" s="1"/>
  <c r="O1596" i="2"/>
  <c r="O1600" i="2"/>
  <c r="O44" i="15" s="1"/>
  <c r="O1602" i="2"/>
  <c r="O46" i="15" s="1"/>
  <c r="O1604" i="2"/>
  <c r="O1606" i="2"/>
  <c r="O49" i="15" s="1"/>
  <c r="O1614" i="2"/>
  <c r="O56" i="15" s="1"/>
  <c r="O1616" i="2"/>
  <c r="O58" i="15" s="1"/>
  <c r="O1618" i="2"/>
  <c r="O60" i="15" s="1"/>
  <c r="O1621" i="2"/>
  <c r="O63" i="15" s="1"/>
  <c r="O1625" i="2"/>
  <c r="O67" i="15" s="1"/>
  <c r="O1627" i="2"/>
  <c r="O69" i="15" s="1"/>
  <c r="O1631" i="2"/>
  <c r="O1635" i="2"/>
  <c r="O76" i="15" s="1"/>
  <c r="O1637" i="2"/>
  <c r="O1643" i="2"/>
  <c r="O82" i="15" s="1"/>
  <c r="O1644" i="2"/>
  <c r="O83" i="15" s="1"/>
  <c r="O1646" i="2"/>
  <c r="O85" i="15" s="1"/>
  <c r="O1648" i="2"/>
  <c r="O87" i="15" s="1"/>
  <c r="O1650" i="2"/>
  <c r="O1652" i="2"/>
  <c r="O90" i="15" s="1"/>
  <c r="O1654" i="2"/>
  <c r="O92" i="15" s="1"/>
  <c r="O1656" i="2"/>
  <c r="O94" i="15" s="1"/>
  <c r="O1658" i="2"/>
  <c r="O96" i="15" s="1"/>
  <c r="O1660" i="2"/>
  <c r="O1662" i="2"/>
  <c r="O97" i="15" s="1"/>
  <c r="O1664" i="2"/>
  <c r="O99" i="15" s="1"/>
  <c r="O1666" i="2"/>
  <c r="O1668" i="2"/>
  <c r="O102" i="15" s="1"/>
  <c r="O1672" i="2"/>
  <c r="O105" i="15" s="1"/>
  <c r="O1674" i="2"/>
  <c r="O107" i="15" s="1"/>
  <c r="O1684" i="2"/>
  <c r="O117" i="15" s="1"/>
  <c r="O1690" i="2"/>
  <c r="O122" i="15" s="1"/>
  <c r="O1698" i="2"/>
  <c r="O128" i="15" s="1"/>
  <c r="O1699" i="2"/>
  <c r="O129" i="15" s="1"/>
  <c r="O1701" i="2"/>
  <c r="O131" i="15" s="1"/>
  <c r="O1703" i="2"/>
  <c r="O133" i="15" s="1"/>
  <c r="O1705" i="2"/>
  <c r="O135" i="15" s="1"/>
  <c r="O1707" i="2"/>
  <c r="O137" i="15" s="1"/>
  <c r="O1717" i="2"/>
  <c r="O144" i="15" s="1"/>
  <c r="O1719" i="2"/>
  <c r="O146" i="15" s="1"/>
  <c r="O1725" i="2"/>
  <c r="O150" i="15" s="1"/>
  <c r="O1727" i="2"/>
  <c r="O152" i="15" s="1"/>
  <c r="O1735" i="2"/>
  <c r="O160" i="15" s="1"/>
  <c r="O1738" i="2"/>
  <c r="O162" i="15" s="1"/>
  <c r="O1740" i="2"/>
  <c r="O164" i="15" s="1"/>
  <c r="O1744" i="2"/>
  <c r="O168" i="15" s="1"/>
  <c r="O1746" i="2"/>
  <c r="O170" i="15" s="1"/>
  <c r="O1755" i="2"/>
  <c r="O1757" i="2"/>
  <c r="O1761" i="2"/>
  <c r="O183" i="15" s="1"/>
  <c r="P183" i="15" s="1"/>
  <c r="O1765" i="2"/>
  <c r="O186" i="15" s="1"/>
  <c r="O1767" i="2"/>
  <c r="P3" i="16" s="1"/>
  <c r="O1769" i="2"/>
  <c r="P4" i="16" s="1"/>
  <c r="O1771" i="2"/>
  <c r="P6" i="16" s="1"/>
  <c r="O1777" i="2"/>
  <c r="P12" i="16" s="1"/>
  <c r="O1789" i="2"/>
  <c r="P24" i="16" s="1"/>
  <c r="O1807" i="2"/>
  <c r="P41" i="16" s="1"/>
  <c r="O1809" i="2"/>
  <c r="P43" i="16" s="1"/>
  <c r="O1811" i="2"/>
  <c r="P45" i="16" s="1"/>
  <c r="O1813" i="2"/>
  <c r="P47" i="16" s="1"/>
  <c r="O1815" i="2"/>
  <c r="O1819" i="2"/>
  <c r="P52" i="16" s="1"/>
  <c r="O1821" i="2"/>
  <c r="P54" i="16" s="1"/>
  <c r="O1823" i="2"/>
  <c r="P55" i="16" s="1"/>
  <c r="O1827" i="2"/>
  <c r="P58" i="16" s="1"/>
  <c r="O1833" i="2"/>
  <c r="P64" i="16" s="1"/>
  <c r="O1835" i="2"/>
  <c r="P66" i="16" s="1"/>
  <c r="O1837" i="2"/>
  <c r="P68" i="16" s="1"/>
  <c r="O1839" i="2"/>
  <c r="P70" i="16" s="1"/>
  <c r="O1841" i="2"/>
  <c r="P72" i="16" s="1"/>
  <c r="O1843" i="2"/>
  <c r="O1847" i="2"/>
  <c r="P76" i="16" s="1"/>
  <c r="O1849" i="2"/>
  <c r="P78" i="16" s="1"/>
  <c r="O1851" i="2"/>
  <c r="P80" i="16" s="1"/>
  <c r="O1853" i="2"/>
  <c r="P82" i="16" s="1"/>
  <c r="O1857" i="2"/>
  <c r="P86" i="16" s="1"/>
  <c r="O1859" i="2"/>
  <c r="P88" i="16" s="1"/>
  <c r="O1865" i="2"/>
  <c r="P94" i="16" s="1"/>
  <c r="O1884" i="2"/>
  <c r="P111" i="16" s="1"/>
  <c r="O1893" i="2"/>
  <c r="P121" i="16" s="1"/>
  <c r="O1895" i="2"/>
  <c r="P123" i="16" s="1"/>
  <c r="O1897" i="2"/>
  <c r="P124" i="16" s="1"/>
  <c r="O1899" i="2"/>
  <c r="P126" i="16" s="1"/>
  <c r="O1901" i="2"/>
  <c r="P128" i="16" s="1"/>
  <c r="O1903" i="2"/>
  <c r="P130" i="16" s="1"/>
  <c r="O1905" i="2"/>
  <c r="P132" i="16" s="1"/>
  <c r="O1907" i="2"/>
  <c r="P133" i="16" s="1"/>
  <c r="O1909" i="2"/>
  <c r="P135" i="16" s="1"/>
  <c r="O1911" i="2"/>
  <c r="P137" i="16" s="1"/>
  <c r="O1913" i="2"/>
  <c r="P139" i="16" s="1"/>
  <c r="O1915" i="2"/>
  <c r="O1917" i="2"/>
  <c r="P142" i="16" s="1"/>
  <c r="O1921" i="2"/>
  <c r="P114" i="16" s="1"/>
  <c r="O1923" i="2"/>
  <c r="P146" i="16" s="1"/>
  <c r="O1924" i="2"/>
  <c r="P147" i="16" s="1"/>
  <c r="O1926" i="2"/>
  <c r="P149" i="16" s="1"/>
  <c r="O1928" i="2"/>
  <c r="O1930" i="2"/>
  <c r="P152" i="16" s="1"/>
  <c r="O1932" i="2"/>
  <c r="P154" i="16" s="1"/>
  <c r="O1934" i="2"/>
  <c r="P155" i="16" s="1"/>
  <c r="O1936" i="2"/>
  <c r="P156" i="16" s="1"/>
  <c r="O1938" i="2"/>
  <c r="P158" i="16" s="1"/>
  <c r="O1940" i="2"/>
  <c r="P160" i="16" s="1"/>
  <c r="O1942" i="2"/>
  <c r="P162" i="16" s="1"/>
  <c r="O1944" i="2"/>
  <c r="P164" i="16" s="1"/>
  <c r="O1948" i="2"/>
  <c r="P168" i="16" s="1"/>
  <c r="O1950" i="2"/>
  <c r="P170" i="16" s="1"/>
  <c r="O1952" i="2"/>
  <c r="P172" i="16" s="1"/>
  <c r="O1954" i="2"/>
  <c r="P174" i="16" s="1"/>
  <c r="O1956" i="2"/>
  <c r="P176" i="16" s="1"/>
  <c r="O1958" i="2"/>
  <c r="P178" i="16" s="1"/>
  <c r="O1960" i="2"/>
  <c r="P180" i="16" s="1"/>
  <c r="O1962" i="2"/>
  <c r="P181" i="16" s="1"/>
  <c r="O1964" i="2"/>
  <c r="P183" i="16" s="1"/>
  <c r="O1966" i="2"/>
  <c r="P185" i="16" s="1"/>
  <c r="O1969" i="2"/>
  <c r="P188" i="16" s="1"/>
  <c r="O1973" i="2"/>
  <c r="P192" i="16" s="1"/>
  <c r="O1975" i="2"/>
  <c r="P194" i="16" s="1"/>
  <c r="O1977" i="2"/>
  <c r="P196" i="16" s="1"/>
  <c r="O1979" i="2"/>
  <c r="P198" i="16" s="1"/>
  <c r="O1981" i="2"/>
  <c r="P200" i="16" s="1"/>
  <c r="O1983" i="2"/>
  <c r="P202" i="16" s="1"/>
  <c r="O1985" i="2"/>
  <c r="P204" i="16" s="1"/>
  <c r="O1987" i="2"/>
  <c r="P206" i="16" s="1"/>
  <c r="O1989" i="2"/>
  <c r="O1993" i="2"/>
  <c r="O6" i="17" s="1"/>
  <c r="O1995" i="2"/>
  <c r="O1997" i="2"/>
  <c r="O1999" i="2"/>
  <c r="O2001" i="2"/>
  <c r="O2003" i="2"/>
  <c r="O2005" i="2"/>
  <c r="O2015" i="2"/>
  <c r="O20" i="17" s="1"/>
  <c r="O2022" i="2"/>
  <c r="O2026" i="2"/>
  <c r="O2030" i="2"/>
  <c r="O35" i="17"/>
  <c r="O2036" i="2"/>
  <c r="O2038" i="2"/>
  <c r="O2040" i="2"/>
  <c r="O2047" i="2"/>
  <c r="O2051" i="2"/>
  <c r="O45" i="17" s="1"/>
  <c r="O2053" i="2"/>
  <c r="O46" i="17" s="1"/>
  <c r="O1142" i="2"/>
  <c r="F104" i="12" s="1"/>
  <c r="O1149" i="2"/>
  <c r="F109" i="12" s="1"/>
  <c r="O1151" i="2"/>
  <c r="F111" i="12" s="1"/>
  <c r="O1153" i="2"/>
  <c r="F114" i="12" s="1"/>
  <c r="O1155" i="2"/>
  <c r="F64" i="12" s="1"/>
  <c r="O1157" i="2"/>
  <c r="F117" i="12" s="1"/>
  <c r="O1159" i="2"/>
  <c r="F118" i="12" s="1"/>
  <c r="O1161" i="2"/>
  <c r="O1166" i="2"/>
  <c r="O3" i="13" s="1"/>
  <c r="P3" i="13" s="1"/>
  <c r="O1168" i="2"/>
  <c r="O1171" i="2"/>
  <c r="O8" i="13" s="1"/>
  <c r="O1174" i="2"/>
  <c r="O10" i="13" s="1"/>
  <c r="O1178" i="2"/>
  <c r="O14" i="13" s="1"/>
  <c r="O1181" i="2"/>
  <c r="O17" i="13" s="1"/>
  <c r="O1183" i="2"/>
  <c r="O19" i="13" s="1"/>
  <c r="O1185" i="2"/>
  <c r="O21" i="13" s="1"/>
  <c r="O1187" i="2"/>
  <c r="O23" i="13" s="1"/>
  <c r="O1189" i="2"/>
  <c r="O25" i="13" s="1"/>
  <c r="O1201" i="2"/>
  <c r="O38" i="13" s="1"/>
  <c r="O1208" i="2"/>
  <c r="O44" i="13" s="1"/>
  <c r="O1216" i="2"/>
  <c r="O1222" i="2"/>
  <c r="O52" i="13" s="1"/>
  <c r="O1234" i="2"/>
  <c r="O58" i="13" s="1"/>
  <c r="O1240" i="2"/>
  <c r="O69" i="13" s="1"/>
  <c r="O1244" i="2"/>
  <c r="O66" i="13" s="1"/>
  <c r="O1246" i="2"/>
  <c r="O68" i="13" s="1"/>
  <c r="O1250" i="2"/>
  <c r="O71" i="13" s="1"/>
  <c r="O1256" i="2"/>
  <c r="O76" i="13" s="1"/>
  <c r="O1259" i="2"/>
  <c r="O79" i="13" s="1"/>
  <c r="O1261" i="2"/>
  <c r="O1267" i="2"/>
  <c r="O90" i="13" s="1"/>
  <c r="O1269" i="2"/>
  <c r="O92" i="13" s="1"/>
  <c r="O1273" i="2"/>
  <c r="O1277" i="2"/>
  <c r="O99" i="13" s="1"/>
  <c r="O1281" i="2"/>
  <c r="O1285" i="2"/>
  <c r="P8" i="1" s="1"/>
  <c r="O1287" i="2"/>
  <c r="P10" i="1" s="1"/>
  <c r="O1297" i="2"/>
  <c r="P16" i="1" s="1"/>
  <c r="O1301" i="2"/>
  <c r="P20" i="1" s="1"/>
  <c r="O1303" i="2"/>
  <c r="P22" i="1" s="1"/>
  <c r="O1309" i="2"/>
  <c r="P28" i="1" s="1"/>
  <c r="O1310" i="2"/>
  <c r="P29" i="1" s="1"/>
  <c r="O1312" i="2"/>
  <c r="P31" i="1" s="1"/>
  <c r="O1319" i="2"/>
  <c r="P36" i="1" s="1"/>
  <c r="O1323" i="2"/>
  <c r="P38" i="1" s="1"/>
  <c r="O1325" i="2"/>
  <c r="O1329" i="2"/>
  <c r="P42" i="1" s="1"/>
  <c r="O1341" i="2"/>
  <c r="P53" i="1" s="1"/>
  <c r="O1352" i="2"/>
  <c r="P61" i="1" s="1"/>
  <c r="O1358" i="2"/>
  <c r="P67" i="1" s="1"/>
  <c r="O1359" i="2"/>
  <c r="P68" i="1" s="1"/>
  <c r="O1363" i="2"/>
  <c r="P72" i="1" s="1"/>
  <c r="O1365" i="2"/>
  <c r="P74" i="1" s="1"/>
  <c r="O1367" i="2"/>
  <c r="P76" i="1" s="1"/>
  <c r="O1369" i="2"/>
  <c r="P78" i="1" s="1"/>
  <c r="O1371" i="2"/>
  <c r="O1375" i="2"/>
  <c r="P82" i="1" s="1"/>
  <c r="O1377" i="2"/>
  <c r="P84" i="1" s="1"/>
  <c r="O1379" i="2"/>
  <c r="P86" i="1" s="1"/>
  <c r="O1381" i="2"/>
  <c r="P88" i="1" s="1"/>
  <c r="O1383" i="2"/>
  <c r="O1385" i="2"/>
  <c r="O1387" i="2"/>
  <c r="P92" i="1" s="1"/>
  <c r="O1389" i="2"/>
  <c r="P94" i="1" s="1"/>
  <c r="O1391" i="2"/>
  <c r="P95" i="1" s="1"/>
  <c r="O1393" i="2"/>
  <c r="P97" i="1" s="1"/>
  <c r="O1397" i="2"/>
  <c r="P101" i="1" s="1"/>
  <c r="O1399" i="2"/>
  <c r="O1401" i="2"/>
  <c r="P104" i="1" s="1"/>
  <c r="O1403" i="2"/>
  <c r="P106" i="1" s="1"/>
  <c r="O1405" i="2"/>
  <c r="O1415" i="2"/>
  <c r="P114" i="1" s="1"/>
  <c r="O1421" i="2"/>
  <c r="P120" i="1" s="1"/>
  <c r="O1423" i="2"/>
  <c r="P122" i="1" s="1"/>
  <c r="O1429" i="2"/>
  <c r="L4" i="14" s="1"/>
  <c r="O1431" i="2"/>
  <c r="L6" i="14" s="1"/>
  <c r="O1435" i="2"/>
  <c r="L10" i="14" s="1"/>
  <c r="O1439" i="2"/>
  <c r="L14" i="14" s="1"/>
  <c r="O1447" i="2"/>
  <c r="L21" i="14" s="1"/>
  <c r="O1449" i="2"/>
  <c r="L23" i="14" s="1"/>
  <c r="O1461" i="2"/>
  <c r="L33" i="14" s="1"/>
  <c r="O1471" i="2"/>
  <c r="L43" i="14" s="1"/>
  <c r="O1481" i="2"/>
  <c r="L53" i="14" s="1"/>
  <c r="O1493" i="2"/>
  <c r="L63" i="14" s="1"/>
  <c r="O1495" i="2"/>
  <c r="L65" i="14" s="1"/>
  <c r="O1499" i="2"/>
  <c r="L68" i="14" s="1"/>
  <c r="O1501" i="2"/>
  <c r="L70" i="14" s="1"/>
  <c r="O1506" i="2"/>
  <c r="L75" i="14" s="1"/>
  <c r="O1508" i="2"/>
  <c r="L77" i="14" s="1"/>
  <c r="O1510" i="2"/>
  <c r="L79" i="14" s="1"/>
  <c r="O1512" i="2"/>
  <c r="L81" i="14" s="1"/>
  <c r="O1514" i="2"/>
  <c r="L82" i="14" s="1"/>
  <c r="M82" i="14" s="1"/>
  <c r="O1517" i="2"/>
  <c r="L85" i="14" s="1"/>
  <c r="O1519" i="2"/>
  <c r="L87" i="14" s="1"/>
  <c r="O1522" i="2"/>
  <c r="L90" i="14" s="1"/>
  <c r="O1526" i="2"/>
  <c r="O1528" i="2"/>
  <c r="O1530" i="2"/>
  <c r="L95" i="14" s="1"/>
  <c r="O1532" i="2"/>
  <c r="L96" i="14" s="1"/>
  <c r="O1534" i="2"/>
  <c r="L99" i="14" s="1"/>
  <c r="M99" i="14" s="1"/>
  <c r="O1540" i="2"/>
  <c r="L104" i="14" s="1"/>
  <c r="O1544" i="2"/>
  <c r="L108" i="14" s="1"/>
  <c r="O1550" i="2"/>
  <c r="O3" i="15" s="1"/>
  <c r="O1552" i="2"/>
  <c r="O1558" i="2"/>
  <c r="O9" i="15" s="1"/>
  <c r="O1566" i="2"/>
  <c r="O15" i="15" s="1"/>
  <c r="O1569" i="2"/>
  <c r="O17" i="15" s="1"/>
  <c r="O1571" i="2"/>
  <c r="O19" i="15" s="1"/>
  <c r="O1573" i="2"/>
  <c r="O21" i="15" s="1"/>
  <c r="O1577" i="2"/>
  <c r="O25" i="15" s="1"/>
  <c r="O1581" i="2"/>
  <c r="O28" i="15" s="1"/>
  <c r="O1585" i="2"/>
  <c r="O32" i="15" s="1"/>
  <c r="O1587" i="2"/>
  <c r="O34" i="15" s="1"/>
  <c r="O1608" i="2"/>
  <c r="O51" i="15" s="1"/>
  <c r="O1610" i="2"/>
  <c r="O1612" i="2"/>
  <c r="O54" i="15" s="1"/>
  <c r="O1620" i="2"/>
  <c r="O62" i="15" s="1"/>
  <c r="O1632" i="2"/>
  <c r="O73" i="15" s="1"/>
  <c r="O1638" i="2"/>
  <c r="O78" i="15" s="1"/>
  <c r="O1639" i="2"/>
  <c r="O79" i="15" s="1"/>
  <c r="O1641" i="2"/>
  <c r="O80" i="15" s="1"/>
  <c r="O1651" i="2"/>
  <c r="O89" i="15" s="1"/>
  <c r="O1667" i="2"/>
  <c r="O101" i="15" s="1"/>
  <c r="O1670" i="2"/>
  <c r="O1676" i="2"/>
  <c r="O109" i="15" s="1"/>
  <c r="O1678" i="2"/>
  <c r="O111" i="15" s="1"/>
  <c r="O1680" i="2"/>
  <c r="O113" i="15" s="1"/>
  <c r="O1682" i="2"/>
  <c r="O115" i="15" s="1"/>
  <c r="O1686" i="2"/>
  <c r="O118" i="15" s="1"/>
  <c r="O1688" i="2"/>
  <c r="O120" i="15" s="1"/>
  <c r="O1692" i="2"/>
  <c r="O124" i="15" s="1"/>
  <c r="O1694" i="2"/>
  <c r="O1696" i="2"/>
  <c r="O1702" i="2"/>
  <c r="O132" i="15" s="1"/>
  <c r="O1706" i="2"/>
  <c r="O136" i="15" s="1"/>
  <c r="O1709" i="2"/>
  <c r="O139" i="15" s="1"/>
  <c r="O1711" i="2"/>
  <c r="O1713" i="2"/>
  <c r="O1715" i="2"/>
  <c r="O142" i="15" s="1"/>
  <c r="O1721" i="2"/>
  <c r="O148" i="15" s="1"/>
  <c r="O1723" i="2"/>
  <c r="O149" i="15" s="1"/>
  <c r="O1729" i="2"/>
  <c r="O154" i="15" s="1"/>
  <c r="O1731" i="2"/>
  <c r="O156" i="15" s="1"/>
  <c r="O1733" i="2"/>
  <c r="O158" i="15" s="1"/>
  <c r="O1737" i="2"/>
  <c r="O161" i="15" s="1"/>
  <c r="O1741" i="2"/>
  <c r="O165" i="15" s="1"/>
  <c r="O1743" i="2"/>
  <c r="O167" i="15" s="1"/>
  <c r="O1748" i="2"/>
  <c r="O172" i="15" s="1"/>
  <c r="O1750" i="2"/>
  <c r="O174" i="15" s="1"/>
  <c r="O1758" i="2"/>
  <c r="O180" i="15" s="1"/>
  <c r="O1770" i="2"/>
  <c r="P5" i="16" s="1"/>
  <c r="O1775" i="2"/>
  <c r="P10" i="16" s="1"/>
  <c r="O1779" i="2"/>
  <c r="P14" i="16" s="1"/>
  <c r="O1781" i="2"/>
  <c r="P16" i="16" s="1"/>
  <c r="O1783" i="2"/>
  <c r="P18" i="16" s="1"/>
  <c r="O1785" i="2"/>
  <c r="P20" i="16" s="1"/>
  <c r="O1787" i="2"/>
  <c r="P22" i="16" s="1"/>
  <c r="O1791" i="2"/>
  <c r="P26" i="16" s="1"/>
  <c r="O1793" i="2"/>
  <c r="P28" i="16" s="1"/>
  <c r="O1795" i="2"/>
  <c r="P30" i="16" s="1"/>
  <c r="O1798" i="2"/>
  <c r="P33" i="16" s="1"/>
  <c r="O1800" i="2"/>
  <c r="P35" i="16" s="1"/>
  <c r="O1802" i="2"/>
  <c r="P37" i="16" s="1"/>
  <c r="O1804" i="2"/>
  <c r="P38" i="16" s="1"/>
  <c r="O1836" i="2"/>
  <c r="P67" i="16" s="1"/>
  <c r="O1840" i="2"/>
  <c r="P71" i="16" s="1"/>
  <c r="O1842" i="2"/>
  <c r="P73" i="16" s="1"/>
  <c r="O1855" i="2"/>
  <c r="P84" i="16" s="1"/>
  <c r="O1861" i="2"/>
  <c r="P90" i="16" s="1"/>
  <c r="O1863" i="2"/>
  <c r="P92" i="16" s="1"/>
  <c r="O1867" i="2"/>
  <c r="P96" i="16" s="1"/>
  <c r="O1869" i="2"/>
  <c r="P98" i="16" s="1"/>
  <c r="O1871" i="2"/>
  <c r="P99" i="16" s="1"/>
  <c r="O1873" i="2"/>
  <c r="P101" i="16" s="1"/>
  <c r="O1875" i="2"/>
  <c r="P103" i="16" s="1"/>
  <c r="O1877" i="2"/>
  <c r="P105" i="16" s="1"/>
  <c r="O1879" i="2"/>
  <c r="P106" i="16" s="1"/>
  <c r="O1882" i="2"/>
  <c r="P109" i="16" s="1"/>
  <c r="O1886" i="2"/>
  <c r="P113" i="16" s="1"/>
  <c r="O1892" i="2"/>
  <c r="P120" i="16" s="1"/>
  <c r="O1902" i="2"/>
  <c r="P129" i="16" s="1"/>
  <c r="O1908" i="2"/>
  <c r="P134" i="16" s="1"/>
  <c r="O1918" i="2"/>
  <c r="P143" i="16" s="1"/>
  <c r="O1919" i="2"/>
  <c r="P144" i="16" s="1"/>
  <c r="O1941" i="2"/>
  <c r="P161" i="16" s="1"/>
  <c r="O1953" i="2"/>
  <c r="P173" i="16" s="1"/>
  <c r="O1959" i="2"/>
  <c r="P179" i="16" s="1"/>
  <c r="O1972" i="2"/>
  <c r="P191" i="16" s="1"/>
  <c r="O1988" i="2"/>
  <c r="O3" i="17" s="1"/>
  <c r="O1998" i="2"/>
  <c r="O9" i="17" s="1"/>
  <c r="O2006" i="2"/>
  <c r="O12" i="17" s="1"/>
  <c r="O2017" i="2"/>
  <c r="O22" i="17" s="1"/>
  <c r="O2023" i="2"/>
  <c r="O26" i="17" s="1"/>
  <c r="O2025" i="2"/>
  <c r="O28" i="17" s="1"/>
  <c r="O2031" i="2"/>
  <c r="O32" i="17" s="1"/>
  <c r="O2048" i="2"/>
  <c r="O43" i="17" s="1"/>
  <c r="Q42" i="1" l="1"/>
  <c r="Q64" i="1"/>
  <c r="Q107" i="4"/>
  <c r="Q70" i="4"/>
  <c r="Q79" i="4"/>
  <c r="Q35" i="4"/>
  <c r="M25" i="6"/>
  <c r="M55" i="6"/>
  <c r="P44" i="11"/>
  <c r="Q102" i="1"/>
  <c r="P50" i="11"/>
  <c r="P39" i="11"/>
  <c r="P133" i="5"/>
  <c r="P52" i="11"/>
  <c r="P18" i="11"/>
  <c r="P59" i="11"/>
  <c r="P10" i="11"/>
  <c r="P23" i="11"/>
  <c r="P81" i="5"/>
  <c r="M73" i="14"/>
  <c r="P16" i="13"/>
  <c r="P65" i="12"/>
  <c r="N49" i="9"/>
  <c r="M37" i="14"/>
  <c r="N58" i="9"/>
  <c r="P77" i="7"/>
  <c r="O80" i="13"/>
  <c r="O190" i="15"/>
  <c r="O82" i="13"/>
  <c r="O39" i="13"/>
  <c r="O86" i="13"/>
  <c r="P85" i="13" s="1"/>
  <c r="P115" i="16"/>
  <c r="O29" i="13"/>
  <c r="P28" i="13" s="1"/>
  <c r="O62" i="13"/>
  <c r="P61" i="13" s="1"/>
  <c r="O36" i="17"/>
  <c r="O78" i="5"/>
  <c r="O177" i="5"/>
  <c r="F6" i="12"/>
  <c r="F87" i="12"/>
  <c r="O37" i="11"/>
  <c r="P36" i="11" s="1"/>
  <c r="F23" i="12"/>
  <c r="F15" i="10"/>
  <c r="O16" i="11"/>
  <c r="O2" i="2"/>
  <c r="P3" i="4" s="1"/>
  <c r="O2043" i="2"/>
  <c r="O40" i="17" s="1"/>
  <c r="O999" i="2"/>
  <c r="O75" i="11" s="1"/>
  <c r="O379" i="2"/>
  <c r="O209" i="5" s="1"/>
  <c r="O168" i="2"/>
  <c r="O30" i="5" s="1"/>
  <c r="A3" i="10" l="1"/>
  <c r="A224" i="5"/>
  <c r="A208" i="5"/>
  <c r="A192" i="5"/>
  <c r="A175" i="5"/>
  <c r="A159" i="5"/>
  <c r="A143" i="5"/>
  <c r="A135" i="5"/>
  <c r="A85" i="5"/>
  <c r="A232" i="5"/>
  <c r="A216" i="5"/>
  <c r="A200" i="5"/>
  <c r="A184" i="5"/>
  <c r="A167" i="5"/>
  <c r="A151" i="5"/>
  <c r="A118" i="5"/>
  <c r="A101" i="5"/>
  <c r="A126" i="5"/>
  <c r="A110" i="5"/>
  <c r="A93" i="5"/>
  <c r="A75" i="5"/>
  <c r="A58" i="5"/>
  <c r="A42" i="5"/>
  <c r="A25" i="5"/>
  <c r="A9" i="5"/>
  <c r="A223" i="5"/>
  <c r="A207" i="5"/>
  <c r="A191" i="5"/>
  <c r="A174" i="5"/>
  <c r="A158" i="5"/>
  <c r="A142" i="5"/>
  <c r="A125" i="5"/>
  <c r="A109" i="5"/>
  <c r="A92" i="5"/>
  <c r="A74" i="5"/>
  <c r="A53" i="5"/>
  <c r="A37" i="5"/>
  <c r="A20" i="5"/>
  <c r="A153" i="5"/>
  <c r="A228" i="5"/>
  <c r="A212" i="5"/>
  <c r="A196" i="5"/>
  <c r="A179" i="5"/>
  <c r="A163" i="5"/>
  <c r="A147" i="5"/>
  <c r="A130" i="5"/>
  <c r="A97" i="5"/>
  <c r="A63" i="5"/>
  <c r="A198" i="5"/>
  <c r="A60" i="5"/>
  <c r="A136" i="5"/>
  <c r="A30" i="5"/>
  <c r="A90" i="5"/>
  <c r="A67" i="5"/>
  <c r="A50" i="5"/>
  <c r="A34" i="5"/>
  <c r="A17" i="5"/>
  <c r="A231" i="5"/>
  <c r="A215" i="5"/>
  <c r="A199" i="5"/>
  <c r="A183" i="5"/>
  <c r="A166" i="5"/>
  <c r="A150" i="5"/>
  <c r="A133" i="5"/>
  <c r="A117" i="5"/>
  <c r="A100" i="5"/>
  <c r="A84" i="5"/>
  <c r="A66" i="5"/>
  <c r="A45" i="5"/>
  <c r="A29" i="5"/>
  <c r="A12" i="5"/>
  <c r="A157" i="5"/>
  <c r="A220" i="5"/>
  <c r="A204" i="5"/>
  <c r="A188" i="5"/>
  <c r="A171" i="5"/>
  <c r="A155" i="5"/>
  <c r="A139" i="5"/>
  <c r="A122" i="5"/>
  <c r="A89" i="5"/>
  <c r="A54" i="5"/>
  <c r="A13" i="5"/>
  <c r="A211" i="5"/>
  <c r="A187" i="5"/>
  <c r="A161" i="5"/>
  <c r="A156" i="5"/>
  <c r="A18" i="5"/>
  <c r="A178" i="5"/>
  <c r="A146" i="5"/>
  <c r="A113" i="5"/>
  <c r="A79" i="5"/>
  <c r="A41" i="5"/>
  <c r="A8" i="5"/>
  <c r="A137" i="5"/>
  <c r="A120" i="5"/>
  <c r="A103" i="5"/>
  <c r="A87" i="5"/>
  <c r="A65" i="5"/>
  <c r="A48" i="5"/>
  <c r="A32" i="5"/>
  <c r="A15" i="5"/>
  <c r="A230" i="5"/>
  <c r="A214" i="5"/>
  <c r="A182" i="5"/>
  <c r="A165" i="5"/>
  <c r="A193" i="5"/>
  <c r="A121" i="5"/>
  <c r="A49" i="5"/>
  <c r="A116" i="5"/>
  <c r="A44" i="5"/>
  <c r="A27" i="5"/>
  <c r="A210" i="5"/>
  <c r="A221" i="5"/>
  <c r="A80" i="5"/>
  <c r="A185" i="5"/>
  <c r="A119" i="5"/>
  <c r="A102" i="5"/>
  <c r="A47" i="5"/>
  <c r="A114" i="5"/>
  <c r="A172" i="5"/>
  <c r="A107" i="5"/>
  <c r="A35" i="5"/>
  <c r="A4" i="5"/>
  <c r="A5" i="5"/>
  <c r="A203" i="5"/>
  <c r="A170" i="5"/>
  <c r="A138" i="5"/>
  <c r="A105" i="5"/>
  <c r="A70" i="5"/>
  <c r="A33" i="5"/>
  <c r="A145" i="5"/>
  <c r="A128" i="5"/>
  <c r="A112" i="5"/>
  <c r="A95" i="5"/>
  <c r="A73" i="5"/>
  <c r="A56" i="5"/>
  <c r="A40" i="5"/>
  <c r="A23" i="5"/>
  <c r="A7" i="5"/>
  <c r="A222" i="5"/>
  <c r="A206" i="5"/>
  <c r="A225" i="5"/>
  <c r="A209" i="5"/>
  <c r="A71" i="5"/>
  <c r="A21" i="5"/>
  <c r="A149" i="5"/>
  <c r="A132" i="5"/>
  <c r="A99" i="5"/>
  <c r="A83" i="5"/>
  <c r="A11" i="5"/>
  <c r="A226" i="5"/>
  <c r="A194" i="5"/>
  <c r="A177" i="5"/>
  <c r="A162" i="5"/>
  <c r="A24" i="5"/>
  <c r="A168" i="5"/>
  <c r="A152" i="5"/>
  <c r="A86" i="5"/>
  <c r="A64" i="5"/>
  <c r="A31" i="5"/>
  <c r="A14" i="5"/>
  <c r="A61" i="5"/>
  <c r="A129" i="5"/>
  <c r="A189" i="5"/>
  <c r="A140" i="5"/>
  <c r="A123" i="5"/>
  <c r="A68" i="5"/>
  <c r="A51" i="5"/>
  <c r="A77" i="5"/>
  <c r="A205" i="5"/>
  <c r="A190" i="5"/>
  <c r="A173" i="5"/>
  <c r="A233" i="5"/>
  <c r="A217" i="5"/>
  <c r="A201" i="5"/>
  <c r="A106" i="5"/>
  <c r="A38" i="5"/>
  <c r="A219" i="5"/>
  <c r="A154" i="5"/>
  <c r="A88" i="5"/>
  <c r="A16" i="5"/>
  <c r="A141" i="5"/>
  <c r="A124" i="5"/>
  <c r="A108" i="5"/>
  <c r="A91" i="5"/>
  <c r="A69" i="5"/>
  <c r="A52" i="5"/>
  <c r="A36" i="5"/>
  <c r="A19" i="5"/>
  <c r="A234" i="5"/>
  <c r="A218" i="5"/>
  <c r="A202" i="5"/>
  <c r="A186" i="5"/>
  <c r="A169" i="5"/>
  <c r="A229" i="5"/>
  <c r="A213" i="5"/>
  <c r="A227" i="5"/>
  <c r="A96" i="5"/>
  <c r="A197" i="5"/>
  <c r="A176" i="5"/>
  <c r="A160" i="5"/>
  <c r="A144" i="5"/>
  <c r="A127" i="5"/>
  <c r="A111" i="5"/>
  <c r="A94" i="5"/>
  <c r="A72" i="5"/>
  <c r="A55" i="5"/>
  <c r="A39" i="5"/>
  <c r="A22" i="5"/>
  <c r="A6" i="5"/>
  <c r="A81" i="5"/>
  <c r="A46" i="5"/>
  <c r="A195" i="5"/>
  <c r="A57" i="5"/>
  <c r="A181" i="5"/>
  <c r="A164" i="5"/>
  <c r="A148" i="5"/>
  <c r="A131" i="5"/>
  <c r="A115" i="5"/>
  <c r="A98" i="5"/>
  <c r="A76" i="5"/>
  <c r="A59" i="5"/>
  <c r="A43" i="5"/>
  <c r="A26" i="5"/>
  <c r="A10" i="5"/>
  <c r="A235" i="5"/>
  <c r="A23" i="14"/>
  <c r="A48" i="14"/>
  <c r="A90" i="14"/>
  <c r="A37" i="14"/>
  <c r="A4" i="14"/>
  <c r="A28" i="14"/>
  <c r="A53" i="14"/>
  <c r="A78" i="14"/>
  <c r="A105" i="14"/>
  <c r="A42" i="14"/>
  <c r="A10" i="14"/>
  <c r="A51" i="14"/>
  <c r="A85" i="14"/>
  <c r="A111" i="14"/>
  <c r="A102" i="14"/>
  <c r="A7" i="14"/>
  <c r="A15" i="14"/>
  <c r="A31" i="14"/>
  <c r="A40" i="14"/>
  <c r="A56" i="14"/>
  <c r="A64" i="14"/>
  <c r="A72" i="14"/>
  <c r="A81" i="14"/>
  <c r="A99" i="14"/>
  <c r="A108" i="14"/>
  <c r="A13" i="14"/>
  <c r="A66" i="14"/>
  <c r="A92" i="14"/>
  <c r="A12" i="14"/>
  <c r="A20" i="14"/>
  <c r="A36" i="14"/>
  <c r="A45" i="14"/>
  <c r="A61" i="14"/>
  <c r="A69" i="14"/>
  <c r="A87" i="14"/>
  <c r="A95" i="14"/>
  <c r="A113" i="14"/>
  <c r="A17" i="14"/>
  <c r="A62" i="14"/>
  <c r="A84" i="14"/>
  <c r="A110" i="14"/>
  <c r="A18" i="14"/>
  <c r="A26" i="14"/>
  <c r="A34" i="14"/>
  <c r="A43" i="14"/>
  <c r="A59" i="14"/>
  <c r="A67" i="14"/>
  <c r="A76" i="14"/>
  <c r="A93" i="14"/>
  <c r="A103" i="14"/>
  <c r="A21" i="14"/>
  <c r="A46" i="14"/>
  <c r="A75" i="14"/>
  <c r="A11" i="14"/>
  <c r="A27" i="14"/>
  <c r="A35" i="14"/>
  <c r="A44" i="14"/>
  <c r="A60" i="14"/>
  <c r="A68" i="14"/>
  <c r="A77" i="14"/>
  <c r="A86" i="14"/>
  <c r="A94" i="14"/>
  <c r="A104" i="14"/>
  <c r="A25" i="14"/>
  <c r="A50" i="14"/>
  <c r="A79" i="14"/>
  <c r="A106" i="14"/>
  <c r="A8" i="14"/>
  <c r="A16" i="14"/>
  <c r="A24" i="14"/>
  <c r="A32" i="14"/>
  <c r="A41" i="14"/>
  <c r="A49" i="14"/>
  <c r="A65" i="14"/>
  <c r="A73" i="14"/>
  <c r="A82" i="14"/>
  <c r="A91" i="14"/>
  <c r="A101" i="14"/>
  <c r="A109" i="14"/>
  <c r="A9" i="14"/>
  <c r="A29" i="14"/>
  <c r="A54" i="14"/>
  <c r="A70" i="14"/>
  <c r="A97" i="14"/>
  <c r="A6" i="14"/>
  <c r="A14" i="14"/>
  <c r="A22" i="14"/>
  <c r="A30" i="14"/>
  <c r="A39" i="14"/>
  <c r="A47" i="14"/>
  <c r="A55" i="14"/>
  <c r="A63" i="14"/>
  <c r="A71" i="14"/>
  <c r="A80" i="14"/>
  <c r="A89" i="14"/>
  <c r="A98" i="14"/>
  <c r="A107" i="14"/>
  <c r="A5" i="14"/>
  <c r="A33" i="14"/>
  <c r="A58" i="14"/>
  <c r="A88" i="14"/>
  <c r="A19" i="14"/>
  <c r="A52" i="14"/>
  <c r="A112" i="14"/>
  <c r="A158" i="15"/>
  <c r="A118" i="15"/>
  <c r="A85" i="15"/>
  <c r="A44" i="15"/>
  <c r="A28" i="15"/>
  <c r="A12" i="15"/>
  <c r="A171" i="15"/>
  <c r="A150" i="15"/>
  <c r="A126" i="15"/>
  <c r="A110" i="15"/>
  <c r="A94" i="15"/>
  <c r="A77" i="15"/>
  <c r="A52" i="15"/>
  <c r="A36" i="15"/>
  <c r="A20" i="15"/>
  <c r="A187" i="15"/>
  <c r="A181" i="15"/>
  <c r="A175" i="15"/>
  <c r="A170" i="15"/>
  <c r="A163" i="15"/>
  <c r="A155" i="15"/>
  <c r="A147" i="15"/>
  <c r="A139" i="15"/>
  <c r="A131" i="15"/>
  <c r="A123" i="15"/>
  <c r="A115" i="15"/>
  <c r="A107" i="15"/>
  <c r="A99" i="15"/>
  <c r="A91" i="15"/>
  <c r="A82" i="15"/>
  <c r="A74" i="15"/>
  <c r="A66" i="15"/>
  <c r="A58" i="15"/>
  <c r="A49" i="15"/>
  <c r="A41" i="15"/>
  <c r="A33" i="15"/>
  <c r="A25" i="15"/>
  <c r="A17" i="15"/>
  <c r="A9" i="15"/>
  <c r="A177" i="15"/>
  <c r="A142" i="15"/>
  <c r="A102" i="15"/>
  <c r="A61" i="15"/>
  <c r="A186" i="15"/>
  <c r="A179" i="15"/>
  <c r="A174" i="15"/>
  <c r="A169" i="15"/>
  <c r="A162" i="15"/>
  <c r="A154" i="15"/>
  <c r="A146" i="15"/>
  <c r="A138" i="15"/>
  <c r="A130" i="15"/>
  <c r="A122" i="15"/>
  <c r="A114" i="15"/>
  <c r="A106" i="15"/>
  <c r="A98" i="15"/>
  <c r="A90" i="15"/>
  <c r="A81" i="15"/>
  <c r="A73" i="15"/>
  <c r="A65" i="15"/>
  <c r="A56" i="15"/>
  <c r="A48" i="15"/>
  <c r="A40" i="15"/>
  <c r="A32" i="15"/>
  <c r="A24" i="15"/>
  <c r="A16" i="15"/>
  <c r="A8" i="15"/>
  <c r="A182" i="15"/>
  <c r="A166" i="15"/>
  <c r="A134" i="15"/>
  <c r="A69" i="15"/>
  <c r="A183" i="15"/>
  <c r="A178" i="15"/>
  <c r="A173" i="15"/>
  <c r="A167" i="15"/>
  <c r="A159" i="15"/>
  <c r="A151" i="15"/>
  <c r="A143" i="15"/>
  <c r="A135" i="15"/>
  <c r="A127" i="15"/>
  <c r="A119" i="15"/>
  <c r="A111" i="15"/>
  <c r="A103" i="15"/>
  <c r="A95" i="15"/>
  <c r="A86" i="15"/>
  <c r="A78" i="15"/>
  <c r="A70" i="15"/>
  <c r="A62" i="15"/>
  <c r="A53" i="15"/>
  <c r="A45" i="15"/>
  <c r="A37" i="15"/>
  <c r="A29" i="15"/>
  <c r="A21" i="15"/>
  <c r="A13" i="15"/>
  <c r="A5" i="15"/>
  <c r="A165" i="15"/>
  <c r="A161" i="15"/>
  <c r="A157" i="15"/>
  <c r="A153" i="15"/>
  <c r="A149" i="15"/>
  <c r="A145" i="15"/>
  <c r="A141" i="15"/>
  <c r="A137" i="15"/>
  <c r="A133" i="15"/>
  <c r="A129" i="15"/>
  <c r="A125" i="15"/>
  <c r="A121" i="15"/>
  <c r="A117" i="15"/>
  <c r="A113" i="15"/>
  <c r="A109" i="15"/>
  <c r="A105" i="15"/>
  <c r="A101" i="15"/>
  <c r="A97" i="15"/>
  <c r="A93" i="15"/>
  <c r="A89" i="15"/>
  <c r="A84" i="15"/>
  <c r="A80" i="15"/>
  <c r="A76" i="15"/>
  <c r="A72" i="15"/>
  <c r="A68" i="15"/>
  <c r="A64" i="15"/>
  <c r="A60" i="15"/>
  <c r="A55" i="15"/>
  <c r="A51" i="15"/>
  <c r="A47" i="15"/>
  <c r="A43" i="15"/>
  <c r="A39" i="15"/>
  <c r="A35" i="15"/>
  <c r="A31" i="15"/>
  <c r="A27" i="15"/>
  <c r="A23" i="15"/>
  <c r="A19" i="15"/>
  <c r="A15" i="15"/>
  <c r="A11" i="15"/>
  <c r="A7" i="15"/>
  <c r="A185" i="15"/>
  <c r="A180" i="15"/>
  <c r="A176" i="15"/>
  <c r="A172" i="15"/>
  <c r="A168" i="15"/>
  <c r="A164" i="15"/>
  <c r="A160" i="15"/>
  <c r="A156" i="15"/>
  <c r="A152" i="15"/>
  <c r="A148" i="15"/>
  <c r="A144" i="15"/>
  <c r="A140" i="15"/>
  <c r="A136" i="15"/>
  <c r="A132" i="15"/>
  <c r="A128" i="15"/>
  <c r="A124" i="15"/>
  <c r="A120" i="15"/>
  <c r="A116" i="15"/>
  <c r="A112" i="15"/>
  <c r="A108" i="15"/>
  <c r="A104" i="15"/>
  <c r="A100" i="15"/>
  <c r="A96" i="15"/>
  <c r="A92" i="15"/>
  <c r="A87" i="15"/>
  <c r="A83" i="15"/>
  <c r="A79" i="15"/>
  <c r="A75" i="15"/>
  <c r="A71" i="15"/>
  <c r="A67" i="15"/>
  <c r="A63" i="15"/>
  <c r="A59" i="15"/>
  <c r="A54" i="15"/>
  <c r="A50" i="15"/>
  <c r="A46" i="15"/>
  <c r="A42" i="15"/>
  <c r="A38" i="15"/>
  <c r="A34" i="15"/>
  <c r="A30" i="15"/>
  <c r="A26" i="15"/>
  <c r="A22" i="15"/>
  <c r="A18" i="15"/>
  <c r="A14" i="15"/>
  <c r="A10" i="15"/>
  <c r="A6" i="15"/>
  <c r="A4" i="15"/>
  <c r="A45" i="17"/>
  <c r="A41" i="17"/>
  <c r="A33" i="17"/>
  <c r="A29" i="17"/>
  <c r="A25" i="17"/>
  <c r="A21" i="17"/>
  <c r="A17" i="17"/>
  <c r="A13" i="17"/>
  <c r="A9" i="17"/>
  <c r="A4" i="17"/>
  <c r="A44" i="17"/>
  <c r="A40" i="17"/>
  <c r="A37" i="17"/>
  <c r="A32" i="17"/>
  <c r="A28" i="17"/>
  <c r="A24" i="17"/>
  <c r="A20" i="17"/>
  <c r="A16" i="17"/>
  <c r="A12" i="17"/>
  <c r="A8" i="17"/>
  <c r="A43" i="17"/>
  <c r="A39" i="17"/>
  <c r="A35" i="17"/>
  <c r="A31" i="17"/>
  <c r="A27" i="17"/>
  <c r="A23" i="17"/>
  <c r="A19" i="17"/>
  <c r="A15" i="17"/>
  <c r="A11" i="17"/>
  <c r="A6" i="17"/>
  <c r="A46" i="17"/>
  <c r="A42" i="17"/>
  <c r="A38" i="17"/>
  <c r="A34" i="17"/>
  <c r="A30" i="17"/>
  <c r="A26" i="17"/>
  <c r="A22" i="17"/>
  <c r="A18" i="17"/>
  <c r="A14" i="17"/>
  <c r="A10" i="17"/>
  <c r="A5"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tc={0831617E-10E9-4143-8389-9B57ABC3D790}</author>
    <author>tc={7F6CB831-1B77-433A-AAC8-FB6BE8CCAE4B}</author>
  </authors>
  <commentList>
    <comment ref="X3" authorId="0" shapeId="0" xr:uid="{00000000-0006-0000-0000-000001000000}">
      <text>
        <r>
          <rPr>
            <b/>
            <sz val="9"/>
            <color indexed="81"/>
            <rFont val="Tahoma"/>
            <family val="2"/>
          </rPr>
          <t>administrator:</t>
        </r>
        <r>
          <rPr>
            <sz val="9"/>
            <color indexed="81"/>
            <rFont val="Tahoma"/>
            <family val="2"/>
          </rPr>
          <t xml:space="preserve">
This is part of sacred heart and our Lady NOR008</t>
        </r>
      </text>
    </comment>
    <comment ref="Y3" authorId="1" shapeId="0" xr:uid="{00000000-0006-0000-0000-000002000000}">
      <text>
        <t>[Threaded comment]
Your version of Excel allows you to read this threaded comment; however, any edits to it will get removed if the file is opened in a newer version of Excel. Learn more: https://go.microsoft.com/fwlink/?linkid=870924
Comment:
    stated as NOR029/008?</t>
      </text>
    </comment>
    <comment ref="M5" authorId="2" shapeId="0" xr:uid="{00000000-0006-0000-0000-000003000000}">
      <text>
        <t>[Threaded comment]
Your version of Excel allows you to read this threaded comment; however, any edits to it will get removed if the file is opened in a newer version of Excel. Learn more: https://go.microsoft.com/fwlink/?linkid=870924
Comment:
    Current year</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catherine.scott</author>
    <author>administrator</author>
  </authors>
  <commentList>
    <comment ref="E40" authorId="0" shapeId="0" xr:uid="{00000000-0006-0000-0D00-000001000000}">
      <text>
        <r>
          <rPr>
            <b/>
            <sz val="9"/>
            <color indexed="81"/>
            <rFont val="Tahoma"/>
            <family val="2"/>
          </rPr>
          <t>catherine.scott:</t>
        </r>
        <r>
          <rPr>
            <sz val="9"/>
            <color indexed="81"/>
            <rFont val="Tahoma"/>
            <family val="2"/>
          </rPr>
          <t xml:space="preserve">
figure origianlly attributed to EAS048 by DD but upon checking it belongs to EAS043</t>
        </r>
      </text>
    </comment>
    <comment ref="A53" authorId="1" shapeId="0" xr:uid="{00000000-0006-0000-0D00-000002000000}">
      <text>
        <r>
          <rPr>
            <b/>
            <sz val="9"/>
            <color indexed="81"/>
            <rFont val="Tahoma"/>
            <family val="2"/>
          </rPr>
          <t>administrator:</t>
        </r>
        <r>
          <rPr>
            <sz val="9"/>
            <color indexed="81"/>
            <rFont val="Tahoma"/>
            <family val="2"/>
          </rPr>
          <t xml:space="preserve">
Do combined certificate and send two copies</t>
        </r>
      </text>
    </comment>
    <comment ref="A54" authorId="1" shapeId="0" xr:uid="{00000000-0006-0000-0D00-000003000000}">
      <text>
        <r>
          <rPr>
            <b/>
            <sz val="9"/>
            <color indexed="81"/>
            <rFont val="Tahoma"/>
            <family val="2"/>
          </rPr>
          <t>administrator:</t>
        </r>
        <r>
          <rPr>
            <sz val="9"/>
            <color indexed="81"/>
            <rFont val="Tahoma"/>
            <family val="2"/>
          </rPr>
          <t xml:space="preserve">
Do combined certificate and send two copies</t>
        </r>
      </text>
    </comment>
    <comment ref="O63" authorId="1" shapeId="0" xr:uid="{00000000-0006-0000-0D00-000004000000}">
      <text>
        <r>
          <rPr>
            <b/>
            <sz val="9"/>
            <color indexed="81"/>
            <rFont val="Tahoma"/>
            <family val="2"/>
          </rPr>
          <t>administrator:</t>
        </r>
        <r>
          <rPr>
            <sz val="9"/>
            <color indexed="81"/>
            <rFont val="Tahoma"/>
            <family val="2"/>
          </rPr>
          <t xml:space="preserve">
Added £12.00 to make figure balance with audit figure</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14" authorId="0" shapeId="0" xr:uid="{00000000-0006-0000-1300-000001000000}">
      <text>
        <r>
          <rPr>
            <b/>
            <sz val="9"/>
            <color indexed="81"/>
            <rFont val="Tahoma"/>
            <family val="2"/>
          </rPr>
          <t>administrator:</t>
        </r>
        <r>
          <rPr>
            <sz val="9"/>
            <color indexed="81"/>
            <rFont val="Tahoma"/>
            <family val="2"/>
          </rPr>
          <t xml:space="preserve">
Removed Llandovery as this is now joined with Lampeter</t>
        </r>
      </text>
    </comment>
    <comment ref="B28" authorId="0" shapeId="0" xr:uid="{00000000-0006-0000-1300-000002000000}">
      <text>
        <r>
          <rPr>
            <b/>
            <sz val="9"/>
            <color indexed="81"/>
            <rFont val="Tahoma"/>
            <family val="2"/>
          </rPr>
          <t>administrator:</t>
        </r>
        <r>
          <rPr>
            <sz val="9"/>
            <color indexed="81"/>
            <rFont val="Tahoma"/>
            <family val="2"/>
          </rPr>
          <t xml:space="preserve">
Informed by LS Trefor Williams that Llandovery now joined with Lampeter 4/18 CMS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administrator</author>
    <author>Missio Guest</author>
    <author>tc={5074864C-2149-46C9-842E-0C27FCB90A15}</author>
    <author>tc={B0BCAD7E-0D8D-40EF-BFA6-C87AF8A6DB2C}</author>
    <author>catherine.scott</author>
  </authors>
  <commentList>
    <comment ref="C10" authorId="0" shapeId="0" xr:uid="{00000000-0006-0000-1500-000001000000}">
      <text>
        <r>
          <rPr>
            <b/>
            <sz val="9"/>
            <color indexed="81"/>
            <rFont val="Tahoma"/>
            <family val="2"/>
          </rPr>
          <t>administrator:</t>
        </r>
        <r>
          <rPr>
            <sz val="9"/>
            <color indexed="81"/>
            <rFont val="Tahoma"/>
            <family val="2"/>
          </rPr>
          <t xml:space="preserve">
incorporates aston le walls and King's sutton c of e possibly also daventry NOR029</t>
        </r>
      </text>
    </comment>
    <comment ref="C11" authorId="0" shapeId="0" xr:uid="{00000000-0006-0000-1500-000002000000}">
      <text>
        <r>
          <rPr>
            <b/>
            <sz val="9"/>
            <color indexed="81"/>
            <rFont val="Tahoma"/>
            <family val="2"/>
          </rPr>
          <t>administrator:</t>
        </r>
        <r>
          <rPr>
            <sz val="9"/>
            <color indexed="81"/>
            <rFont val="Tahoma"/>
            <family val="2"/>
          </rPr>
          <t xml:space="preserve">
incorporates aston le walls and King's sutton c of e possibly also daventry NOR029</t>
        </r>
      </text>
    </comment>
    <comment ref="N15" authorId="1" shapeId="0" xr:uid="{00000000-0006-0000-1500-000003000000}">
      <text>
        <r>
          <rPr>
            <b/>
            <sz val="9"/>
            <color indexed="81"/>
            <rFont val="Tahoma"/>
            <family val="2"/>
          </rPr>
          <t>Missio Guest:</t>
        </r>
        <r>
          <rPr>
            <sz val="9"/>
            <color indexed="81"/>
            <rFont val="Tahoma"/>
            <family val="2"/>
          </rPr>
          <t xml:space="preserve">
Includes both St Theresa's and St. Dunstan's £181.39 paid in on 31.12.18 probably did not clear in time ans has not been included</t>
        </r>
      </text>
    </comment>
    <comment ref="A28" authorId="1" shapeId="0" xr:uid="{00000000-0006-0000-1500-000004000000}">
      <text>
        <r>
          <rPr>
            <b/>
            <sz val="9"/>
            <color indexed="81"/>
            <rFont val="Tahoma"/>
            <family val="2"/>
          </rPr>
          <t>Missio Guest:</t>
        </r>
        <r>
          <rPr>
            <sz val="9"/>
            <color indexed="81"/>
            <rFont val="Tahoma"/>
            <family val="2"/>
          </rPr>
          <t xml:space="preserve">
Perhaps these two, NOR063 and 069 should be combined?</t>
        </r>
      </text>
    </comment>
    <comment ref="N33" authorId="1" shapeId="0" xr:uid="{00000000-0006-0000-1500-000005000000}">
      <text>
        <r>
          <rPr>
            <b/>
            <sz val="9"/>
            <color indexed="81"/>
            <rFont val="Tahoma"/>
            <family val="2"/>
          </rPr>
          <t>Missio Guest:</t>
        </r>
        <r>
          <rPr>
            <sz val="9"/>
            <color indexed="81"/>
            <rFont val="Tahoma"/>
            <family val="2"/>
          </rPr>
          <t xml:space="preserve">
have not included cf for 95.66 as altough it was allegedly paid on 30.12 it did not appear on the bank statement </t>
        </r>
      </text>
    </comment>
    <comment ref="O39" authorId="2" shapeId="0" xr:uid="{00000000-0006-0000-1500-000006000000}">
      <text>
        <t>[Threaded comment]
Your version of Excel allows you to read this threaded comment; however, any edits to it will get removed if the file is opened in a newer version of Excel. Learn more: https://go.microsoft.com/fwlink/?linkid=870924
Comment:
    To add £381.01 from foreign coins per letter - see Annual Return</t>
      </text>
    </comment>
    <comment ref="P39" authorId="3" shapeId="0" xr:uid="{00000000-0006-0000-1500-000007000000}">
      <text>
        <t>[Threaded comment]
Your version of Excel allows you to read this threaded comment; however, any edits to it will get removed if the file is opened in a newer version of Excel. Learn more: https://go.microsoft.com/fwlink/?linkid=870924
Comment:
    Added £381.01 from foreign coins per letter - see Annual Return</t>
      </text>
    </comment>
    <comment ref="C46" authorId="1" shapeId="0" xr:uid="{00000000-0006-0000-1500-000008000000}">
      <text>
        <r>
          <rPr>
            <b/>
            <sz val="9"/>
            <color indexed="81"/>
            <rFont val="Tahoma"/>
            <family val="2"/>
          </rPr>
          <t>Missio Guest:</t>
        </r>
        <r>
          <rPr>
            <sz val="9"/>
            <color indexed="81"/>
            <rFont val="Tahoma"/>
            <family val="2"/>
          </rPr>
          <t xml:space="preserve">
Church closed</t>
        </r>
      </text>
    </comment>
    <comment ref="N61" authorId="1" shapeId="0" xr:uid="{00000000-0006-0000-1500-000009000000}">
      <text>
        <r>
          <rPr>
            <b/>
            <sz val="9"/>
            <color indexed="81"/>
            <rFont val="Tahoma"/>
            <family val="2"/>
          </rPr>
          <t>Missio Guest:</t>
        </r>
        <r>
          <rPr>
            <sz val="9"/>
            <color indexed="81"/>
            <rFont val="Tahoma"/>
            <family val="2"/>
          </rPr>
          <t xml:space="preserve">
Amount of £824.58 mentioned on Keyna's account which she has included in the total was actually sent to ES. </t>
        </r>
      </text>
    </comment>
    <comment ref="N64" authorId="4" shapeId="0" xr:uid="{00000000-0006-0000-1500-00000A000000}">
      <text>
        <r>
          <rPr>
            <b/>
            <sz val="9"/>
            <color indexed="81"/>
            <rFont val="Tahoma"/>
            <family val="2"/>
          </rPr>
          <t>catherine.scott:</t>
        </r>
        <r>
          <rPr>
            <sz val="9"/>
            <color indexed="81"/>
            <rFont val="Tahoma"/>
            <family val="2"/>
          </rPr>
          <t xml:space="preserve">
ok</t>
        </r>
      </text>
    </comment>
    <comment ref="N68" authorId="4" shapeId="0" xr:uid="{00000000-0006-0000-1500-00000B000000}">
      <text>
        <r>
          <rPr>
            <b/>
            <sz val="9"/>
            <color indexed="81"/>
            <rFont val="Tahoma"/>
            <family val="2"/>
          </rPr>
          <t>catherine.scott:</t>
        </r>
        <r>
          <rPr>
            <sz val="9"/>
            <color indexed="81"/>
            <rFont val="Tahoma"/>
            <family val="2"/>
          </rPr>
          <t xml:space="preserve">
ok</t>
        </r>
      </text>
    </comment>
    <comment ref="N69" authorId="4" shapeId="0" xr:uid="{00000000-0006-0000-1500-00000C000000}">
      <text>
        <r>
          <rPr>
            <b/>
            <sz val="9"/>
            <color indexed="81"/>
            <rFont val="Tahoma"/>
            <family val="2"/>
          </rPr>
          <t>catherine.scott:</t>
        </r>
        <r>
          <rPr>
            <sz val="9"/>
            <color indexed="81"/>
            <rFont val="Tahoma"/>
            <family val="2"/>
          </rPr>
          <t xml:space="preserve">
ok</t>
        </r>
      </text>
    </comment>
    <comment ref="N71" authorId="1" shapeId="0" xr:uid="{00000000-0006-0000-1500-00000D000000}">
      <text>
        <r>
          <rPr>
            <b/>
            <sz val="9"/>
            <color indexed="81"/>
            <rFont val="Tahoma"/>
            <family val="2"/>
          </rPr>
          <t>Missio Guest:</t>
        </r>
        <r>
          <rPr>
            <sz val="9"/>
            <color indexed="81"/>
            <rFont val="Tahoma"/>
            <family val="2"/>
          </rPr>
          <t xml:space="preserve">
Keyna has included £919.63 but this is not on the bankstatements so money was probably included in the ES total - leaving a zero here</t>
        </r>
      </text>
    </comment>
    <comment ref="N74" authorId="4" shapeId="0" xr:uid="{00000000-0006-0000-1500-00000E000000}">
      <text>
        <r>
          <rPr>
            <b/>
            <sz val="9"/>
            <color indexed="81"/>
            <rFont val="Tahoma"/>
            <family val="2"/>
          </rPr>
          <t>catherine.scott:</t>
        </r>
        <r>
          <rPr>
            <sz val="9"/>
            <color indexed="81"/>
            <rFont val="Tahoma"/>
            <family val="2"/>
          </rPr>
          <t xml:space="preserve">
Have only found £222.74 not £295.46</t>
        </r>
      </text>
    </comment>
    <comment ref="N76" authorId="1" shapeId="0" xr:uid="{00000000-0006-0000-1500-00000F000000}">
      <text>
        <r>
          <rPr>
            <b/>
            <sz val="9"/>
            <color indexed="81"/>
            <rFont val="Tahoma"/>
            <family val="2"/>
          </rPr>
          <t>Missio Guest:</t>
        </r>
        <r>
          <rPr>
            <sz val="9"/>
            <color indexed="81"/>
            <rFont val="Tahoma"/>
            <family val="2"/>
          </rPr>
          <t xml:space="preserve">
It maybe that £187 of this total is not on the bank statement - investigate</t>
        </r>
      </text>
    </comment>
    <comment ref="N85" authorId="4" shapeId="0" xr:uid="{00000000-0006-0000-1500-000010000000}">
      <text>
        <r>
          <rPr>
            <b/>
            <sz val="9"/>
            <color indexed="81"/>
            <rFont val="Tahoma"/>
            <family val="2"/>
          </rPr>
          <t>catherine.scott:</t>
        </r>
        <r>
          <rPr>
            <sz val="9"/>
            <color indexed="81"/>
            <rFont val="Tahoma"/>
            <family val="2"/>
          </rPr>
          <t xml:space="preserve">
all unknown amounts plus balancing fig</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administrator</author>
    <author>Missio Guest</author>
  </authors>
  <commentList>
    <comment ref="R5" authorId="0" shapeId="0" xr:uid="{00000000-0006-0000-1600-000001000000}">
      <text>
        <r>
          <rPr>
            <b/>
            <sz val="9"/>
            <color indexed="81"/>
            <rFont val="Tahoma"/>
            <family val="2"/>
          </rPr>
          <t>administrator:</t>
        </r>
        <r>
          <rPr>
            <sz val="9"/>
            <color indexed="81"/>
            <rFont val="Tahoma"/>
            <family val="2"/>
          </rPr>
          <t xml:space="preserve">
includes Cotgrave £313</t>
        </r>
      </text>
    </comment>
    <comment ref="R6" authorId="0" shapeId="0" xr:uid="{00000000-0006-0000-1600-000002000000}">
      <text>
        <r>
          <rPr>
            <b/>
            <sz val="9"/>
            <color indexed="81"/>
            <rFont val="Tahoma"/>
            <family val="2"/>
          </rPr>
          <t>administrator:</t>
        </r>
        <r>
          <rPr>
            <sz val="9"/>
            <color indexed="81"/>
            <rFont val="Tahoma"/>
            <family val="2"/>
          </rPr>
          <t xml:space="preserve">
includes Cotgrave £313</t>
        </r>
      </text>
    </comment>
    <comment ref="R13" authorId="0" shapeId="0" xr:uid="{00000000-0006-0000-1600-000003000000}">
      <text>
        <r>
          <rPr>
            <b/>
            <sz val="9"/>
            <color indexed="81"/>
            <rFont val="Tahoma"/>
            <family val="2"/>
          </rPr>
          <t>administrator:</t>
        </r>
        <r>
          <rPr>
            <sz val="9"/>
            <color indexed="81"/>
            <rFont val="Tahoma"/>
            <family val="2"/>
          </rPr>
          <t xml:space="preserve">
There could be a bank error here as the GF says one counterfoil for 20.16 twice whilst the GF lists it only once.  Needs checking with bank</t>
        </r>
      </text>
    </comment>
    <comment ref="R28" authorId="0" shapeId="0" xr:uid="{00000000-0006-0000-1600-000004000000}">
      <text>
        <r>
          <rPr>
            <b/>
            <sz val="9"/>
            <color indexed="81"/>
            <rFont val="Tahoma"/>
            <family val="2"/>
          </rPr>
          <t>administrator:</t>
        </r>
        <r>
          <rPr>
            <sz val="9"/>
            <color indexed="81"/>
            <rFont val="Tahoma"/>
            <family val="2"/>
          </rPr>
          <t xml:space="preserve">
last payment cf £110.00 paid 5/12 20455 not listed on form</t>
        </r>
      </text>
    </comment>
    <comment ref="A36" authorId="0" shapeId="0" xr:uid="{00000000-0006-0000-1600-000005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55" authorId="0" shapeId="0" xr:uid="{00000000-0006-0000-1600-000006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56" authorId="0" shapeId="0" xr:uid="{00000000-0006-0000-1600-000007000000}">
      <text>
        <r>
          <rPr>
            <b/>
            <sz val="9"/>
            <color indexed="81"/>
            <rFont val="Tahoma"/>
            <family val="2"/>
          </rPr>
          <t>administrator:</t>
        </r>
        <r>
          <rPr>
            <sz val="9"/>
            <color indexed="81"/>
            <rFont val="Tahoma"/>
            <family val="2"/>
          </rPr>
          <t xml:space="preserve">
pairsh now closed and parishioners incorporated into St. Mary &amp; St. John Fisher, Corpus Christi Cleethorpes and OL Star of the Sea, Immingham.</t>
        </r>
      </text>
    </comment>
    <comment ref="A64" authorId="0" shapeId="0" xr:uid="{00000000-0006-0000-1600-000008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R70" authorId="0" shapeId="0" xr:uid="{00000000-0006-0000-1600-000009000000}">
      <text>
        <r>
          <rPr>
            <b/>
            <sz val="9"/>
            <color indexed="81"/>
            <rFont val="Tahoma"/>
            <family val="2"/>
          </rPr>
          <t>administrator:</t>
        </r>
        <r>
          <rPr>
            <sz val="9"/>
            <color indexed="81"/>
            <rFont val="Tahoma"/>
            <family val="2"/>
          </rPr>
          <t xml:space="preserve">
misclculation on GF</t>
        </r>
      </text>
    </comment>
    <comment ref="R72" authorId="0" shapeId="0" xr:uid="{00000000-0006-0000-1600-00000A000000}">
      <text>
        <r>
          <rPr>
            <b/>
            <sz val="9"/>
            <color indexed="81"/>
            <rFont val="Tahoma"/>
            <family val="2"/>
          </rPr>
          <t>administrator:</t>
        </r>
        <r>
          <rPr>
            <sz val="9"/>
            <color indexed="81"/>
            <rFont val="Tahoma"/>
            <family val="2"/>
          </rPr>
          <t xml:space="preserve">
Money from 2017 not banked - will go into 2018</t>
        </r>
      </text>
    </comment>
    <comment ref="F77" authorId="1" shapeId="0" xr:uid="{00000000-0006-0000-1600-00000B000000}">
      <text>
        <r>
          <rPr>
            <b/>
            <sz val="9"/>
            <color indexed="81"/>
            <rFont val="Tahoma"/>
            <family val="2"/>
          </rPr>
          <t>Missio Guest:</t>
        </r>
        <r>
          <rPr>
            <sz val="9"/>
            <color indexed="81"/>
            <rFont val="Tahoma"/>
            <family val="2"/>
          </rPr>
          <t xml:space="preserve">
added on £53.75 wrongly attributed to BRE - record no 113853</t>
        </r>
      </text>
    </comment>
    <comment ref="R87" authorId="0" shapeId="0" xr:uid="{00000000-0006-0000-1600-00000C000000}">
      <text>
        <r>
          <rPr>
            <b/>
            <sz val="9"/>
            <color indexed="81"/>
            <rFont val="Tahoma"/>
            <family val="2"/>
          </rPr>
          <t>administrator:</t>
        </r>
        <r>
          <rPr>
            <sz val="9"/>
            <color indexed="81"/>
            <rFont val="Tahoma"/>
            <family val="2"/>
          </rPr>
          <t xml:space="preserve">
send 3 results certificates for the 3 churches</t>
        </r>
      </text>
    </comment>
    <comment ref="R88" authorId="0" shapeId="0" xr:uid="{00000000-0006-0000-1600-00000D000000}">
      <text>
        <r>
          <rPr>
            <b/>
            <sz val="9"/>
            <color indexed="81"/>
            <rFont val="Tahoma"/>
            <family val="2"/>
          </rPr>
          <t>administrator:</t>
        </r>
        <r>
          <rPr>
            <sz val="9"/>
            <color indexed="81"/>
            <rFont val="Tahoma"/>
            <family val="2"/>
          </rPr>
          <t xml:space="preserve">
send 3 results certificates for the 3 churches</t>
        </r>
      </text>
    </comment>
    <comment ref="R90" authorId="0" shapeId="0" xr:uid="{00000000-0006-0000-1600-00000E000000}">
      <text>
        <r>
          <rPr>
            <b/>
            <sz val="9"/>
            <color indexed="81"/>
            <rFont val="Tahoma"/>
            <family val="2"/>
          </rPr>
          <t>administrator:</t>
        </r>
        <r>
          <rPr>
            <sz val="9"/>
            <color indexed="81"/>
            <rFont val="Tahoma"/>
            <family val="2"/>
          </rPr>
          <t xml:space="preserve">
plus £28 s/o from M. Atkin</t>
        </r>
      </text>
    </comment>
    <comment ref="R107" authorId="0" shapeId="0" xr:uid="{00000000-0006-0000-1600-00000F000000}">
      <text>
        <r>
          <rPr>
            <b/>
            <sz val="9"/>
            <color indexed="81"/>
            <rFont val="Tahoma"/>
            <family val="2"/>
          </rPr>
          <t>administrator:</t>
        </r>
        <r>
          <rPr>
            <sz val="9"/>
            <color indexed="81"/>
            <rFont val="Tahoma"/>
            <family val="2"/>
          </rPr>
          <t xml:space="preserve">
Money given at an appeal and paid into WES by Eileen Tompkins using her own PIB</t>
        </r>
      </text>
    </comment>
    <comment ref="S126" authorId="0" shapeId="0" xr:uid="{00000000-0006-0000-1600-000010000000}">
      <text>
        <r>
          <rPr>
            <b/>
            <sz val="9"/>
            <color indexed="81"/>
            <rFont val="Tahoma"/>
            <family val="2"/>
          </rPr>
          <t>administrator:</t>
        </r>
        <r>
          <rPr>
            <sz val="9"/>
            <color indexed="81"/>
            <rFont val="Tahoma"/>
            <family val="2"/>
          </rPr>
          <t xml:space="preserve">
ADDED £125 TO MAKE IT BALANCE TO THE TOTAL IN LAST YEAR#'S RESULTS SHEET SOMETHING MUST HAVE ACCIDENTALLY BEEN DELETED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administrator</author>
    <author>catherine.scott</author>
    <author>tc={B3CEBFB2-2066-4169-9E37-A7D2AA309971}</author>
    <author>tc={AFDD9C6A-8A5C-4427-BB15-636333E8ED51}</author>
    <author>tc={EF4454FC-C337-44AE-96DD-15DFB58692A1}</author>
    <author>stephen.davies</author>
  </authors>
  <commentList>
    <comment ref="C10" authorId="0" shapeId="0" xr:uid="{00000000-0006-0000-1700-000001000000}">
      <text>
        <r>
          <rPr>
            <b/>
            <sz val="9"/>
            <color indexed="81"/>
            <rFont val="Tahoma"/>
            <family val="2"/>
          </rPr>
          <t>administrator:</t>
        </r>
        <r>
          <rPr>
            <sz val="9"/>
            <color indexed="81"/>
            <rFont val="Tahoma"/>
            <family val="2"/>
          </rPr>
          <t xml:space="preserve">
Keep results for PLY009 and 011 separate next year</t>
        </r>
      </text>
    </comment>
    <comment ref="C12" authorId="0" shapeId="0" xr:uid="{00000000-0006-0000-1700-000002000000}">
      <text>
        <r>
          <rPr>
            <b/>
            <sz val="9"/>
            <color indexed="81"/>
            <rFont val="Tahoma"/>
            <family val="2"/>
          </rPr>
          <t>administrator:</t>
        </r>
        <r>
          <rPr>
            <sz val="9"/>
            <color indexed="81"/>
            <rFont val="Tahoma"/>
            <family val="2"/>
          </rPr>
          <t xml:space="preserve">
Keep results for PLY009 and 011 separate next year</t>
        </r>
      </text>
    </comment>
    <comment ref="E16" authorId="1" shapeId="0" xr:uid="{00000000-0006-0000-1700-000003000000}">
      <text>
        <r>
          <rPr>
            <b/>
            <sz val="9"/>
            <color indexed="81"/>
            <rFont val="Tahoma"/>
            <family val="2"/>
          </rPr>
          <t>catherine.scott:</t>
        </r>
        <r>
          <rPr>
            <sz val="9"/>
            <color indexed="81"/>
            <rFont val="Tahoma"/>
            <family val="2"/>
          </rPr>
          <t xml:space="preserve">
Includes £225.04 from South Molton</t>
        </r>
      </text>
    </comment>
    <comment ref="E17" authorId="1" shapeId="0" xr:uid="{00000000-0006-0000-1700-000004000000}">
      <text>
        <r>
          <rPr>
            <b/>
            <sz val="9"/>
            <color indexed="81"/>
            <rFont val="Tahoma"/>
            <family val="2"/>
          </rPr>
          <t>catherine.scott:</t>
        </r>
        <r>
          <rPr>
            <sz val="9"/>
            <color indexed="81"/>
            <rFont val="Tahoma"/>
            <family val="2"/>
          </rPr>
          <t xml:space="preserve">
Includes £225.04 from South Molton</t>
        </r>
      </text>
    </comment>
    <comment ref="B18" authorId="1" shapeId="0" xr:uid="{00000000-0006-0000-1700-000005000000}">
      <text>
        <r>
          <rPr>
            <b/>
            <sz val="9"/>
            <color indexed="81"/>
            <rFont val="Tahoma"/>
            <family val="2"/>
          </rPr>
          <t>catherine.scott:</t>
        </r>
        <r>
          <rPr>
            <sz val="9"/>
            <color indexed="81"/>
            <rFont val="Tahoma"/>
            <family val="2"/>
          </rPr>
          <t xml:space="preserve">
Combine with PLY025</t>
        </r>
      </text>
    </comment>
    <comment ref="A28" authorId="0" shapeId="0" xr:uid="{00000000-0006-0000-1700-000006000000}">
      <text>
        <r>
          <rPr>
            <b/>
            <sz val="9"/>
            <color indexed="81"/>
            <rFont val="Tahoma"/>
            <family val="2"/>
          </rPr>
          <t>administrator:</t>
        </r>
        <r>
          <rPr>
            <sz val="9"/>
            <color indexed="81"/>
            <rFont val="Tahoma"/>
            <family val="2"/>
          </rPr>
          <t xml:space="preserve">
Combine with Brannoc and lynton</t>
        </r>
      </text>
    </comment>
    <comment ref="A29" authorId="0" shapeId="0" xr:uid="{00000000-0006-0000-1700-000007000000}">
      <text>
        <r>
          <rPr>
            <b/>
            <sz val="9"/>
            <color indexed="81"/>
            <rFont val="Tahoma"/>
            <family val="2"/>
          </rPr>
          <t>administrator:</t>
        </r>
        <r>
          <rPr>
            <sz val="9"/>
            <color indexed="81"/>
            <rFont val="Tahoma"/>
            <family val="2"/>
          </rPr>
          <t xml:space="preserve">
Combine with Brannoc and lynton</t>
        </r>
      </text>
    </comment>
    <comment ref="O29" authorId="2" shapeId="0" xr:uid="{00000000-0006-0000-1700-000008000000}">
      <text>
        <t>[Threaded comment]
Your version of Excel allows you to read this threaded comment; however, any edits to it will get removed if the file is opened in a newer version of Excel. Learn more: https://go.microsoft.com/fwlink/?linkid=870924
Comment:
    Red Box collection incl PLY024/623</t>
      </text>
    </comment>
    <comment ref="A30" authorId="0" shapeId="0" xr:uid="{00000000-0006-0000-1700-000009000000}">
      <text>
        <r>
          <rPr>
            <b/>
            <sz val="9"/>
            <color indexed="81"/>
            <rFont val="Tahoma"/>
            <family val="2"/>
          </rPr>
          <t>administrator:</t>
        </r>
        <r>
          <rPr>
            <sz val="9"/>
            <color indexed="81"/>
            <rFont val="Tahoma"/>
            <family val="2"/>
          </rPr>
          <t xml:space="preserve">
Combine with Brannoc and lynton</t>
        </r>
      </text>
    </comment>
    <comment ref="C30" authorId="3" shapeId="0" xr:uid="{00000000-0006-0000-1700-00000A000000}">
      <text>
        <t>[Threaded comment]
Your version of Excel allows you to read this threaded comment; however, any edits to it will get removed if the file is opened in a newer version of Excel. Learn more: https://go.microsoft.com/fwlink/?linkid=870924
Comment:
    Convent and therefore no PCN</t>
      </text>
    </comment>
    <comment ref="B31" authorId="1" shapeId="0" xr:uid="{00000000-0006-0000-1700-00000B000000}">
      <text>
        <r>
          <rPr>
            <b/>
            <sz val="9"/>
            <color indexed="81"/>
            <rFont val="Tahoma"/>
            <family val="2"/>
          </rPr>
          <t>catherine.scott:</t>
        </r>
        <r>
          <rPr>
            <sz val="9"/>
            <color indexed="81"/>
            <rFont val="Tahoma"/>
            <family val="2"/>
          </rPr>
          <t xml:space="preserve">
Combine with Beaminster &amp; Chideock</t>
        </r>
      </text>
    </comment>
    <comment ref="B61" authorId="0" shapeId="0" xr:uid="{00000000-0006-0000-1700-00000C000000}">
      <text>
        <r>
          <rPr>
            <b/>
            <sz val="9"/>
            <color indexed="81"/>
            <rFont val="Tahoma"/>
            <family val="2"/>
          </rPr>
          <t>administrator:</t>
        </r>
        <r>
          <rPr>
            <sz val="9"/>
            <color indexed="81"/>
            <rFont val="Tahoma"/>
            <family val="2"/>
          </rPr>
          <t xml:space="preserve">
Combine with PLY069 - st Ives - holy family parish LS Pauline Chamberlain will send in St. Ives chque.</t>
        </r>
      </text>
    </comment>
    <comment ref="E80" authorId="4" shapeId="0" xr:uid="{00000000-0006-0000-1700-00000D000000}">
      <text>
        <t>[Threaded comment]
Your version of Excel allows you to read this threaded comment; however, any edits to it will get removed if the file is opened in a newer version of Excel. Learn more: https://go.microsoft.com/fwlink/?linkid=870924
Comment:
    should be 678</t>
      </text>
    </comment>
    <comment ref="D99" authorId="5" shapeId="0" xr:uid="{00000000-0006-0000-1700-00000E000000}">
      <text>
        <r>
          <rPr>
            <b/>
            <sz val="9"/>
            <color indexed="81"/>
            <rFont val="Tahoma"/>
            <family val="2"/>
          </rPr>
          <t>stephen.davies:</t>
        </r>
        <r>
          <rPr>
            <sz val="9"/>
            <color indexed="81"/>
            <rFont val="Tahoma"/>
            <family val="2"/>
          </rPr>
          <t xml:space="preserve">
£50 removed for balance</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catherine.scott</author>
    <author>administrator</author>
    <author>tc={A76AB0CD-7A01-48A7-8B9D-002547EAE8FD}</author>
    <author>Missio Guest</author>
  </authors>
  <commentList>
    <comment ref="C24" authorId="0" shapeId="0" xr:uid="{00000000-0006-0000-1800-000001000000}">
      <text>
        <r>
          <rPr>
            <b/>
            <sz val="9"/>
            <color indexed="81"/>
            <rFont val="Tahoma"/>
            <family val="2"/>
          </rPr>
          <t>catherine.scott:</t>
        </r>
        <r>
          <rPr>
            <sz val="9"/>
            <color indexed="81"/>
            <rFont val="Tahoma"/>
            <family val="2"/>
          </rPr>
          <t xml:space="preserve">
Send two certificates in future</t>
        </r>
      </text>
    </comment>
    <comment ref="C26" authorId="1" shapeId="0" xr:uid="{00000000-0006-0000-1800-000002000000}">
      <text>
        <r>
          <rPr>
            <b/>
            <sz val="9"/>
            <color indexed="81"/>
            <rFont val="Tahoma"/>
            <family val="2"/>
          </rPr>
          <t>administrator:</t>
        </r>
        <r>
          <rPr>
            <sz val="9"/>
            <color indexed="81"/>
            <rFont val="Tahoma"/>
            <family val="2"/>
          </rPr>
          <t xml:space="preserve">
Church was closed and amalgamated with st joseph's</t>
        </r>
      </text>
    </comment>
    <comment ref="B47" authorId="2" shapeId="0" xr:uid="{00000000-0006-0000-1800-000003000000}">
      <text>
        <t>[Threaded comment]
Your version of Excel allows you to read this threaded comment; however, any edits to it will get removed if the file is opened in a newer version of Excel. Learn more: https://go.microsoft.com/fwlink/?linkid=870924
Comment:
    one poster for all 3 parishes</t>
      </text>
    </comment>
    <comment ref="B117" authorId="1" shapeId="0" xr:uid="{00000000-0006-0000-1800-000004000000}">
      <text>
        <r>
          <rPr>
            <b/>
            <sz val="9"/>
            <color indexed="81"/>
            <rFont val="Tahoma"/>
            <family val="2"/>
          </rPr>
          <t>administrator:</t>
        </r>
        <r>
          <rPr>
            <sz val="9"/>
            <color indexed="81"/>
            <rFont val="Tahoma"/>
            <family val="2"/>
          </rPr>
          <t xml:space="preserve">
NOT WOOLHAMPTON</t>
        </r>
      </text>
    </comment>
    <comment ref="E124" authorId="3" shapeId="0" xr:uid="{00000000-0006-0000-1800-000005000000}">
      <text>
        <r>
          <rPr>
            <b/>
            <sz val="9"/>
            <color indexed="81"/>
            <rFont val="Tahoma"/>
            <family val="2"/>
          </rPr>
          <t>Missio Guest:</t>
        </r>
        <r>
          <rPr>
            <sz val="9"/>
            <color indexed="81"/>
            <rFont val="Tahoma"/>
            <family val="2"/>
          </rPr>
          <t xml:space="preserve">
Accounts were £70.32 over so have ajusted various as could not find the discrepancy</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administrator</author>
    <author>catherine.scott</author>
  </authors>
  <commentList>
    <comment ref="A13" authorId="0" shapeId="0" xr:uid="{00000000-0006-0000-1A00-000001000000}">
      <text>
        <r>
          <rPr>
            <b/>
            <sz val="9"/>
            <color indexed="81"/>
            <rFont val="Tahoma"/>
            <family val="2"/>
          </rPr>
          <t>administrator:</t>
        </r>
        <r>
          <rPr>
            <sz val="9"/>
            <color indexed="81"/>
            <rFont val="Tahoma"/>
            <family val="2"/>
          </rPr>
          <t xml:space="preserve">
Combine with SHR017</t>
        </r>
      </text>
    </comment>
    <comment ref="A17" authorId="0" shapeId="0" xr:uid="{00000000-0006-0000-1A00-000002000000}">
      <text>
        <r>
          <rPr>
            <b/>
            <sz val="9"/>
            <color indexed="81"/>
            <rFont val="Tahoma"/>
            <family val="2"/>
          </rPr>
          <t>administrator:</t>
        </r>
        <r>
          <rPr>
            <sz val="9"/>
            <color indexed="81"/>
            <rFont val="Tahoma"/>
            <family val="2"/>
          </rPr>
          <t xml:space="preserve">
May be combined with SHR012</t>
        </r>
      </text>
    </comment>
    <comment ref="A35" authorId="0" shapeId="0" xr:uid="{00000000-0006-0000-1A00-000003000000}">
      <text>
        <r>
          <rPr>
            <b/>
            <sz val="9"/>
            <color indexed="81"/>
            <rFont val="Tahoma"/>
            <family val="2"/>
          </rPr>
          <t>administrator:</t>
        </r>
        <r>
          <rPr>
            <sz val="9"/>
            <color indexed="81"/>
            <rFont val="Tahoma"/>
            <family val="2"/>
          </rPr>
          <t xml:space="preserve">
NO LS</t>
        </r>
      </text>
    </comment>
    <comment ref="E37" authorId="1" shapeId="0" xr:uid="{00000000-0006-0000-1A00-000004000000}">
      <text>
        <r>
          <rPr>
            <b/>
            <sz val="9"/>
            <color indexed="81"/>
            <rFont val="Tahoma"/>
            <family val="2"/>
          </rPr>
          <t>catherine.scott:</t>
        </r>
        <r>
          <rPr>
            <sz val="9"/>
            <color indexed="81"/>
            <rFont val="Tahoma"/>
            <family val="2"/>
          </rPr>
          <t xml:space="preserve">
Figure revised on 3/4/19 as some counterfoils had been missed</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catherine.scott</author>
  </authors>
  <commentList>
    <comment ref="E187" authorId="0" shapeId="0" xr:uid="{00000000-0006-0000-1B00-000001000000}">
      <text>
        <r>
          <rPr>
            <b/>
            <sz val="9"/>
            <color indexed="81"/>
            <rFont val="Tahoma"/>
            <family val="2"/>
          </rPr>
          <t>catherine.scott:</t>
        </r>
        <r>
          <rPr>
            <sz val="9"/>
            <color indexed="81"/>
            <rFont val="Tahoma"/>
            <family val="2"/>
          </rPr>
          <t xml:space="preserve">
Balancing figure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administrator</author>
    <author>stephen.davies</author>
  </authors>
  <commentList>
    <comment ref="A14" authorId="0" shapeId="0" xr:uid="{00000000-0006-0000-1D00-000001000000}">
      <text>
        <r>
          <rPr>
            <b/>
            <sz val="9"/>
            <color indexed="81"/>
            <rFont val="Tahoma"/>
            <family val="2"/>
          </rPr>
          <t>administrator:</t>
        </r>
        <r>
          <rPr>
            <sz val="9"/>
            <color indexed="81"/>
            <rFont val="Tahoma"/>
            <family val="2"/>
          </rPr>
          <t xml:space="preserve">
Parish of St. Richard Gwyn</t>
        </r>
      </text>
    </comment>
    <comment ref="A26" authorId="0" shapeId="0" xr:uid="{00000000-0006-0000-1D00-000002000000}">
      <text>
        <r>
          <rPr>
            <b/>
            <sz val="9"/>
            <color indexed="81"/>
            <rFont val="Tahoma"/>
            <family val="2"/>
          </rPr>
          <t>administrator:</t>
        </r>
        <r>
          <rPr>
            <sz val="9"/>
            <color indexed="81"/>
            <rFont val="Tahoma"/>
            <family val="2"/>
          </rPr>
          <t xml:space="preserve">
Parish of St. Richard Gwyn</t>
        </r>
      </text>
    </comment>
    <comment ref="A40" authorId="0" shapeId="0" xr:uid="{00000000-0006-0000-1D00-000003000000}">
      <text>
        <r>
          <rPr>
            <b/>
            <sz val="9"/>
            <color indexed="81"/>
            <rFont val="Tahoma"/>
            <family val="2"/>
          </rPr>
          <t>administrator:</t>
        </r>
        <r>
          <rPr>
            <sz val="9"/>
            <color indexed="81"/>
            <rFont val="Tahoma"/>
            <family val="2"/>
          </rPr>
          <t xml:space="preserve">
Parish of St. Richard Gwyn</t>
        </r>
      </text>
    </comment>
    <comment ref="D46" authorId="1" shapeId="0" xr:uid="{00000000-0006-0000-1D00-000004000000}">
      <text>
        <r>
          <rPr>
            <b/>
            <sz val="9"/>
            <color indexed="81"/>
            <rFont val="Tahoma"/>
            <family val="2"/>
          </rPr>
          <t>stephen.davies:</t>
        </r>
        <r>
          <rPr>
            <sz val="9"/>
            <color indexed="81"/>
            <rFont val="Tahoma"/>
            <family val="2"/>
          </rPr>
          <t xml:space="preserve">
£50 taken off to balance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catherine.scott</author>
    <author>Missio Guest</author>
    <author>stephen.davies</author>
  </authors>
  <commentList>
    <comment ref="G14" authorId="0" shapeId="0" xr:uid="{00000000-0006-0000-0100-000001000000}">
      <text>
        <r>
          <rPr>
            <b/>
            <sz val="9"/>
            <color indexed="81"/>
            <rFont val="Tahoma"/>
            <family val="2"/>
          </rPr>
          <t>administrator:</t>
        </r>
        <r>
          <rPr>
            <sz val="9"/>
            <color indexed="81"/>
            <rFont val="Tahoma"/>
            <family val="2"/>
          </rPr>
          <t xml:space="preserve">
Add on ARU097 in 2018</t>
        </r>
      </text>
    </comment>
    <comment ref="C19" authorId="0" shapeId="0" xr:uid="{00000000-0006-0000-0100-000002000000}">
      <text>
        <r>
          <rPr>
            <b/>
            <sz val="9"/>
            <color indexed="81"/>
            <rFont val="Tahoma"/>
            <family val="2"/>
          </rPr>
          <t>administrator:</t>
        </r>
        <r>
          <rPr>
            <sz val="9"/>
            <color indexed="81"/>
            <rFont val="Tahoma"/>
            <family val="2"/>
          </rPr>
          <t xml:space="preserve">
Church closed in 2017 and LS retired</t>
        </r>
      </text>
    </comment>
    <comment ref="D19" authorId="1" shapeId="0" xr:uid="{00000000-0006-0000-0100-000003000000}">
      <text>
        <r>
          <rPr>
            <b/>
            <sz val="9"/>
            <color indexed="81"/>
            <rFont val="Tahoma"/>
            <family val="2"/>
          </rPr>
          <t>catherine.scott:</t>
        </r>
        <r>
          <rPr>
            <sz val="9"/>
            <color indexed="81"/>
            <rFont val="Tahoma"/>
            <family val="2"/>
          </rPr>
          <t xml:space="preserve">
Check as parish closed</t>
        </r>
      </text>
    </comment>
    <comment ref="A24" authorId="0" shapeId="0" xr:uid="{00000000-0006-0000-0100-000004000000}">
      <text>
        <r>
          <rPr>
            <b/>
            <sz val="9"/>
            <color indexed="81"/>
            <rFont val="Tahoma"/>
            <family val="2"/>
          </rPr>
          <t>administrator:</t>
        </r>
        <r>
          <rPr>
            <sz val="9"/>
            <color indexed="81"/>
            <rFont val="Tahoma"/>
            <family val="2"/>
          </rPr>
          <t xml:space="preserve">
Shares LS with ARU063</t>
        </r>
      </text>
    </comment>
    <comment ref="A57" authorId="0" shapeId="0" xr:uid="{00000000-0006-0000-0100-000005000000}">
      <text>
        <r>
          <rPr>
            <b/>
            <sz val="9"/>
            <color indexed="81"/>
            <rFont val="Tahoma"/>
            <family val="2"/>
          </rPr>
          <t>administrator:</t>
        </r>
        <r>
          <rPr>
            <sz val="9"/>
            <color indexed="81"/>
            <rFont val="Tahoma"/>
            <family val="2"/>
          </rPr>
          <t xml:space="preserve">
Shared LS with o26</t>
        </r>
      </text>
    </comment>
    <comment ref="A87" authorId="0" shapeId="0" xr:uid="{00000000-0006-0000-0100-000006000000}">
      <text>
        <r>
          <rPr>
            <b/>
            <sz val="9"/>
            <color indexed="81"/>
            <rFont val="Tahoma"/>
            <family val="2"/>
          </rPr>
          <t>administrator:</t>
        </r>
        <r>
          <rPr>
            <sz val="9"/>
            <color indexed="81"/>
            <rFont val="Tahoma"/>
            <family val="2"/>
          </rPr>
          <t xml:space="preserve">
combine with ARU013 in 2018</t>
        </r>
      </text>
    </comment>
    <comment ref="B97" authorId="1" shapeId="0" xr:uid="{00000000-0006-0000-0100-000007000000}">
      <text>
        <r>
          <rPr>
            <b/>
            <sz val="9"/>
            <color indexed="81"/>
            <rFont val="Tahoma"/>
            <family val="2"/>
          </rPr>
          <t>catherine.scott:</t>
        </r>
        <r>
          <rPr>
            <sz val="9"/>
            <color indexed="81"/>
            <rFont val="Tahoma"/>
            <family val="2"/>
          </rPr>
          <t xml:space="preserve">
Include Hove and delete Portslade in 2019 as latter is closing</t>
        </r>
      </text>
    </comment>
    <comment ref="B104" authorId="0" shapeId="0" xr:uid="{00000000-0006-0000-0100-000008000000}">
      <text>
        <r>
          <rPr>
            <b/>
            <sz val="9"/>
            <color indexed="81"/>
            <rFont val="Tahoma"/>
            <family val="2"/>
          </rPr>
          <t>administrator:</t>
        </r>
        <r>
          <rPr>
            <sz val="9"/>
            <color indexed="81"/>
            <rFont val="Tahoma"/>
            <family val="2"/>
          </rPr>
          <t xml:space="preserve">
May include ARU065</t>
        </r>
      </text>
    </comment>
    <comment ref="E116" authorId="1" shapeId="0" xr:uid="{00000000-0006-0000-0100-000009000000}">
      <text>
        <r>
          <rPr>
            <b/>
            <sz val="9"/>
            <color indexed="81"/>
            <rFont val="Tahoma"/>
            <family val="2"/>
          </rPr>
          <t>catherine.scott:</t>
        </r>
        <r>
          <rPr>
            <sz val="9"/>
            <color indexed="81"/>
            <rFont val="Tahoma"/>
            <family val="2"/>
          </rPr>
          <t xml:space="preserve">
Balancing figure as Terry's figures do not match reconciliation figure</t>
        </r>
      </text>
    </comment>
    <comment ref="C243" authorId="0" shapeId="0" xr:uid="{00000000-0006-0000-0100-00000A000000}">
      <text>
        <r>
          <rPr>
            <b/>
            <sz val="9"/>
            <color indexed="81"/>
            <rFont val="Tahoma"/>
            <family val="2"/>
          </rPr>
          <t>administrator:</t>
        </r>
        <r>
          <rPr>
            <sz val="9"/>
            <color indexed="81"/>
            <rFont val="Tahoma"/>
            <family val="2"/>
          </rPr>
          <t xml:space="preserve">
church has closed down and some parishioners attend St John the Evangelist Chesterton</t>
        </r>
      </text>
    </comment>
    <comment ref="C325" authorId="0" shapeId="0" xr:uid="{00000000-0006-0000-0100-00000B000000}">
      <text>
        <r>
          <rPr>
            <b/>
            <sz val="9"/>
            <color indexed="81"/>
            <rFont val="Tahoma"/>
            <family val="2"/>
          </rPr>
          <t>administrator:</t>
        </r>
        <r>
          <rPr>
            <sz val="9"/>
            <color indexed="81"/>
            <rFont val="Tahoma"/>
            <family val="2"/>
          </rPr>
          <t xml:space="preserve">
changed to omit st edmund gennings at request of LS as this chrch is now closed</t>
        </r>
      </text>
    </comment>
    <comment ref="D346" authorId="1" shapeId="0" xr:uid="{00000000-0006-0000-0100-00000C000000}">
      <text>
        <r>
          <rPr>
            <b/>
            <sz val="9"/>
            <color indexed="81"/>
            <rFont val="Tahoma"/>
            <family val="2"/>
          </rPr>
          <t>catherine.scott:</t>
        </r>
        <r>
          <rPr>
            <sz val="9"/>
            <color indexed="81"/>
            <rFont val="Tahoma"/>
            <family val="2"/>
          </rPr>
          <t xml:space="preserve">
£5 balancing figure inserted at end of various</t>
        </r>
      </text>
    </comment>
    <comment ref="E346" authorId="1" shapeId="0" xr:uid="{00000000-0006-0000-0100-00000D000000}">
      <text>
        <r>
          <rPr>
            <b/>
            <sz val="9"/>
            <color indexed="81"/>
            <rFont val="Tahoma"/>
            <family val="2"/>
          </rPr>
          <t>catherine.scott:</t>
        </r>
        <r>
          <rPr>
            <sz val="9"/>
            <color indexed="81"/>
            <rFont val="Tahoma"/>
            <family val="2"/>
          </rPr>
          <t xml:space="preserve">
balancing figure of £36</t>
        </r>
      </text>
    </comment>
    <comment ref="G364" authorId="0" shapeId="0" xr:uid="{00000000-0006-0000-0100-00000E000000}">
      <text>
        <r>
          <rPr>
            <b/>
            <sz val="9"/>
            <color indexed="81"/>
            <rFont val="Tahoma"/>
            <family val="2"/>
          </rPr>
          <t>administrator:</t>
        </r>
        <r>
          <rPr>
            <sz val="9"/>
            <color indexed="81"/>
            <rFont val="Tahoma"/>
            <family val="2"/>
          </rPr>
          <t xml:space="preserve">
ONE CHEQUE AS MENTIONED ON gf PLUS DIRECT DONATIONS</t>
        </r>
      </text>
    </comment>
    <comment ref="G365" authorId="0" shapeId="0" xr:uid="{00000000-0006-0000-0100-00000F000000}">
      <text>
        <r>
          <rPr>
            <b/>
            <sz val="9"/>
            <color indexed="81"/>
            <rFont val="Tahoma"/>
            <family val="2"/>
          </rPr>
          <t>administrator:</t>
        </r>
        <r>
          <rPr>
            <sz val="9"/>
            <color indexed="81"/>
            <rFont val="Tahoma"/>
            <family val="2"/>
          </rPr>
          <t xml:space="preserve">
LOOKS LIKE THIS FIGURE IS TWO YEAR'S WORTH AS LATE PAYMENT FOR 2016 CAME IN JANUARY 2017</t>
        </r>
      </text>
    </comment>
    <comment ref="B477" authorId="0" shapeId="0" xr:uid="{00000000-0006-0000-0100-000010000000}">
      <text>
        <r>
          <rPr>
            <b/>
            <sz val="9"/>
            <color indexed="81"/>
            <rFont val="Tahoma"/>
            <family val="2"/>
          </rPr>
          <t>administrator:</t>
        </r>
        <r>
          <rPr>
            <sz val="9"/>
            <color indexed="81"/>
            <rFont val="Tahoma"/>
            <family val="2"/>
          </rPr>
          <t xml:space="preserve">
Two certificates in future please</t>
        </r>
      </text>
    </comment>
    <comment ref="A483" authorId="0" shapeId="0" xr:uid="{00000000-0006-0000-0100-000011000000}">
      <text>
        <r>
          <rPr>
            <b/>
            <sz val="9"/>
            <color indexed="81"/>
            <rFont val="Tahoma"/>
            <family val="2"/>
          </rPr>
          <t>administrator:</t>
        </r>
        <r>
          <rPr>
            <sz val="9"/>
            <color indexed="81"/>
            <rFont val="Tahoma"/>
            <family val="2"/>
          </rPr>
          <t xml:space="preserve">
combined with CAR074 Penarth</t>
        </r>
      </text>
    </comment>
    <comment ref="D625" authorId="1" shapeId="0" xr:uid="{00000000-0006-0000-0100-000012000000}">
      <text>
        <r>
          <rPr>
            <b/>
            <sz val="9"/>
            <color indexed="81"/>
            <rFont val="Tahoma"/>
            <family val="2"/>
          </rPr>
          <t>catherine.scott:</t>
        </r>
        <r>
          <rPr>
            <sz val="9"/>
            <color indexed="81"/>
            <rFont val="Tahoma"/>
            <family val="2"/>
          </rPr>
          <t xml:space="preserve">
Last figure a balancing figure of £71</t>
        </r>
      </text>
    </comment>
    <comment ref="E665" authorId="1" shapeId="0" xr:uid="{00000000-0006-0000-0100-000013000000}">
      <text>
        <r>
          <rPr>
            <b/>
            <sz val="9"/>
            <color indexed="81"/>
            <rFont val="Tahoma"/>
            <family val="2"/>
          </rPr>
          <t>catherine.scott:</t>
        </r>
        <r>
          <rPr>
            <sz val="9"/>
            <color indexed="81"/>
            <rFont val="Tahoma"/>
            <family val="2"/>
          </rPr>
          <t xml:space="preserve">
figure origianlly attributed to EAS048 by DD but upon checking it belongs to EAS043</t>
        </r>
      </text>
    </comment>
    <comment ref="A677" authorId="0" shapeId="0" xr:uid="{00000000-0006-0000-0100-000014000000}">
      <text>
        <r>
          <rPr>
            <b/>
            <sz val="9"/>
            <color indexed="81"/>
            <rFont val="Tahoma"/>
            <family val="2"/>
          </rPr>
          <t>administrator:</t>
        </r>
        <r>
          <rPr>
            <sz val="9"/>
            <color indexed="81"/>
            <rFont val="Tahoma"/>
            <family val="2"/>
          </rPr>
          <t xml:space="preserve">
Do combined certificate and send two copies</t>
        </r>
      </text>
    </comment>
    <comment ref="G685" authorId="0" shapeId="0" xr:uid="{00000000-0006-0000-0100-000015000000}">
      <text>
        <r>
          <rPr>
            <b/>
            <sz val="9"/>
            <color indexed="81"/>
            <rFont val="Tahoma"/>
            <family val="2"/>
          </rPr>
          <t>administrator:</t>
        </r>
        <r>
          <rPr>
            <sz val="9"/>
            <color indexed="81"/>
            <rFont val="Tahoma"/>
            <family val="2"/>
          </rPr>
          <t xml:space="preserve">
Added £12.00 to make figure balance with audit figure</t>
        </r>
      </text>
    </comment>
    <comment ref="B701" authorId="0" shapeId="0" xr:uid="{00000000-0006-0000-0100-000016000000}">
      <text>
        <r>
          <rPr>
            <b/>
            <sz val="9"/>
            <color indexed="81"/>
            <rFont val="Tahoma"/>
            <family val="2"/>
          </rPr>
          <t>administrator:</t>
        </r>
        <r>
          <rPr>
            <sz val="9"/>
            <color indexed="81"/>
            <rFont val="Tahoma"/>
            <family val="2"/>
          </rPr>
          <t xml:space="preserve">
Removed Llandovery as this is now joined with Lampeter</t>
        </r>
      </text>
    </comment>
    <comment ref="B712" authorId="0" shapeId="0" xr:uid="{00000000-0006-0000-0100-000017000000}">
      <text>
        <r>
          <rPr>
            <b/>
            <sz val="9"/>
            <color indexed="81"/>
            <rFont val="Tahoma"/>
            <family val="2"/>
          </rPr>
          <t>administrator:</t>
        </r>
        <r>
          <rPr>
            <sz val="9"/>
            <color indexed="81"/>
            <rFont val="Tahoma"/>
            <family val="2"/>
          </rPr>
          <t xml:space="preserve">
Informed by LS Trefor Williams that Llandovery now joined with Lampeter 4/18 CMS</t>
        </r>
      </text>
    </comment>
    <comment ref="E738" authorId="1" shapeId="0" xr:uid="{00000000-0006-0000-0100-000018000000}">
      <text>
        <r>
          <rPr>
            <b/>
            <sz val="9"/>
            <color indexed="81"/>
            <rFont val="Tahoma"/>
            <family val="2"/>
          </rPr>
          <t>catherine.scott:</t>
        </r>
        <r>
          <rPr>
            <sz val="9"/>
            <color indexed="81"/>
            <rFont val="Tahoma"/>
            <family val="2"/>
          </rPr>
          <t xml:space="preserve">
Cheques sent to ES too late for 2018</t>
        </r>
      </text>
    </comment>
    <comment ref="C741" authorId="0" shapeId="0" xr:uid="{00000000-0006-0000-0100-000019000000}">
      <text>
        <r>
          <rPr>
            <b/>
            <sz val="9"/>
            <color indexed="81"/>
            <rFont val="Tahoma"/>
            <family val="2"/>
          </rPr>
          <t>administrator:</t>
        </r>
        <r>
          <rPr>
            <sz val="9"/>
            <color indexed="81"/>
            <rFont val="Tahoma"/>
            <family val="2"/>
          </rPr>
          <t xml:space="preserve">
incorporates aston le walls and King's sutton c of e possibly also daventry NOR029</t>
        </r>
      </text>
    </comment>
    <comment ref="E745" authorId="2" shapeId="0" xr:uid="{00000000-0006-0000-0100-00001A000000}">
      <text>
        <r>
          <rPr>
            <b/>
            <sz val="9"/>
            <color indexed="81"/>
            <rFont val="Tahoma"/>
            <family val="2"/>
          </rPr>
          <t>Missio Guest:</t>
        </r>
        <r>
          <rPr>
            <sz val="9"/>
            <color indexed="81"/>
            <rFont val="Tahoma"/>
            <family val="2"/>
          </rPr>
          <t xml:space="preserve">
Includes both St Theresa's and St. Dunstan's £181.39 paid in on 31.12.18 probably did not clear in time ans has not been included</t>
        </r>
      </text>
    </comment>
    <comment ref="E747" authorId="2" shapeId="0" xr:uid="{00000000-0006-0000-0100-00001B000000}">
      <text>
        <r>
          <rPr>
            <b/>
            <sz val="9"/>
            <color indexed="81"/>
            <rFont val="Tahoma"/>
            <family val="2"/>
          </rPr>
          <t>Missio Guest:</t>
        </r>
        <r>
          <rPr>
            <sz val="9"/>
            <color indexed="81"/>
            <rFont val="Tahoma"/>
            <family val="2"/>
          </rPr>
          <t xml:space="preserve">
£646.49 Holy Cross and £356.87 St Philip &amp; St. James</t>
        </r>
      </text>
    </comment>
    <comment ref="E751" authorId="2" shapeId="0" xr:uid="{00000000-0006-0000-0100-00001C000000}">
      <text>
        <r>
          <rPr>
            <b/>
            <sz val="9"/>
            <color indexed="81"/>
            <rFont val="Tahoma"/>
            <family val="2"/>
          </rPr>
          <t>Missio Guest:</t>
        </r>
        <r>
          <rPr>
            <sz val="9"/>
            <color indexed="81"/>
            <rFont val="Tahoma"/>
            <family val="2"/>
          </rPr>
          <t xml:space="preserve">
deducted £100 as it was a cheque which was probably sent to ES</t>
        </r>
      </text>
    </comment>
    <comment ref="E756" authorId="2" shapeId="0" xr:uid="{00000000-0006-0000-0100-00001D000000}">
      <text>
        <r>
          <rPr>
            <b/>
            <sz val="9"/>
            <color indexed="81"/>
            <rFont val="Tahoma"/>
            <family val="2"/>
          </rPr>
          <t>Missio Guest:</t>
        </r>
        <r>
          <rPr>
            <sz val="9"/>
            <color indexed="81"/>
            <rFont val="Tahoma"/>
            <family val="2"/>
          </rPr>
          <t xml:space="preserve">
have not included cf for 95.66 as altough it was allegedly paid on 30.12 it did not appear on the bank statement </t>
        </r>
      </text>
    </comment>
    <comment ref="C758" authorId="0" shapeId="0" xr:uid="{00000000-0006-0000-0100-00001E000000}">
      <text>
        <r>
          <rPr>
            <b/>
            <sz val="9"/>
            <color indexed="81"/>
            <rFont val="Tahoma"/>
            <family val="2"/>
          </rPr>
          <t>administrator:</t>
        </r>
        <r>
          <rPr>
            <sz val="9"/>
            <color indexed="81"/>
            <rFont val="Tahoma"/>
            <family val="2"/>
          </rPr>
          <t xml:space="preserve">
This is part of sacred heart and our Lady NOR008</t>
        </r>
      </text>
    </comment>
    <comment ref="E761" authorId="2" shapeId="0" xr:uid="{00000000-0006-0000-0100-00001F000000}">
      <text>
        <r>
          <rPr>
            <b/>
            <sz val="9"/>
            <color indexed="81"/>
            <rFont val="Tahoma"/>
            <family val="2"/>
          </rPr>
          <t>Missio Guest:</t>
        </r>
        <r>
          <rPr>
            <sz val="9"/>
            <color indexed="81"/>
            <rFont val="Tahoma"/>
            <family val="2"/>
          </rPr>
          <t xml:space="preserve">
LS wants separate certificates this year for Gerrard's cross and the Bridgettine Convent £86.13 from the Covent</t>
        </r>
      </text>
    </comment>
    <comment ref="C765" authorId="2" shapeId="0" xr:uid="{00000000-0006-0000-0100-000020000000}">
      <text>
        <r>
          <rPr>
            <b/>
            <sz val="9"/>
            <color indexed="81"/>
            <rFont val="Tahoma"/>
            <family val="2"/>
          </rPr>
          <t>Missio Guest:</t>
        </r>
        <r>
          <rPr>
            <sz val="9"/>
            <color indexed="81"/>
            <rFont val="Tahoma"/>
            <family val="2"/>
          </rPr>
          <t xml:space="preserve">
Church closed</t>
        </r>
      </text>
    </comment>
    <comment ref="E779" authorId="2" shapeId="0" xr:uid="{00000000-0006-0000-0100-000021000000}">
      <text>
        <r>
          <rPr>
            <b/>
            <sz val="9"/>
            <color indexed="81"/>
            <rFont val="Tahoma"/>
            <family val="2"/>
          </rPr>
          <t>Missio Guest:</t>
        </r>
        <r>
          <rPr>
            <sz val="9"/>
            <color indexed="81"/>
            <rFont val="Tahoma"/>
            <family val="2"/>
          </rPr>
          <t xml:space="preserve">
Amount of £824.58 mentioned on Keyna's account which she has included in the total was actually sent to ES. </t>
        </r>
      </text>
    </comment>
    <comment ref="E782" authorId="1" shapeId="0" xr:uid="{00000000-0006-0000-0100-000022000000}">
      <text>
        <r>
          <rPr>
            <b/>
            <sz val="9"/>
            <color indexed="81"/>
            <rFont val="Tahoma"/>
            <family val="2"/>
          </rPr>
          <t>catherine.scott:</t>
        </r>
        <r>
          <rPr>
            <sz val="9"/>
            <color indexed="81"/>
            <rFont val="Tahoma"/>
            <family val="2"/>
          </rPr>
          <t xml:space="preserve">
ok</t>
        </r>
      </text>
    </comment>
    <comment ref="E786" authorId="1" shapeId="0" xr:uid="{00000000-0006-0000-0100-000023000000}">
      <text>
        <r>
          <rPr>
            <b/>
            <sz val="9"/>
            <color indexed="81"/>
            <rFont val="Tahoma"/>
            <family val="2"/>
          </rPr>
          <t>catherine.scott:</t>
        </r>
        <r>
          <rPr>
            <sz val="9"/>
            <color indexed="81"/>
            <rFont val="Tahoma"/>
            <family val="2"/>
          </rPr>
          <t xml:space="preserve">
ok</t>
        </r>
      </text>
    </comment>
    <comment ref="E787" authorId="1" shapeId="0" xr:uid="{00000000-0006-0000-0100-000024000000}">
      <text>
        <r>
          <rPr>
            <b/>
            <sz val="9"/>
            <color indexed="81"/>
            <rFont val="Tahoma"/>
            <family val="2"/>
          </rPr>
          <t>catherine.scott:</t>
        </r>
        <r>
          <rPr>
            <sz val="9"/>
            <color indexed="81"/>
            <rFont val="Tahoma"/>
            <family val="2"/>
          </rPr>
          <t xml:space="preserve">
ok</t>
        </r>
      </text>
    </comment>
    <comment ref="E789" authorId="2" shapeId="0" xr:uid="{00000000-0006-0000-0100-000025000000}">
      <text>
        <r>
          <rPr>
            <b/>
            <sz val="9"/>
            <color indexed="81"/>
            <rFont val="Tahoma"/>
            <family val="2"/>
          </rPr>
          <t>Missio Guest:</t>
        </r>
        <r>
          <rPr>
            <sz val="9"/>
            <color indexed="81"/>
            <rFont val="Tahoma"/>
            <family val="2"/>
          </rPr>
          <t xml:space="preserve">
Keyna has included £919.63 but this is not on the bankstatements so money was probably included in the ES total - leaving a zero here</t>
        </r>
      </text>
    </comment>
    <comment ref="A790" authorId="2" shapeId="0" xr:uid="{00000000-0006-0000-0100-000026000000}">
      <text>
        <r>
          <rPr>
            <b/>
            <sz val="9"/>
            <color indexed="81"/>
            <rFont val="Tahoma"/>
            <family val="2"/>
          </rPr>
          <t>Missio Guest:</t>
        </r>
        <r>
          <rPr>
            <sz val="9"/>
            <color indexed="81"/>
            <rFont val="Tahoma"/>
            <family val="2"/>
          </rPr>
          <t xml:space="preserve">
Perhaps these two, NOR063 and 069 should be combined?</t>
        </r>
      </text>
    </comment>
    <comment ref="E793" authorId="1" shapeId="0" xr:uid="{00000000-0006-0000-0100-000027000000}">
      <text>
        <r>
          <rPr>
            <b/>
            <sz val="9"/>
            <color indexed="81"/>
            <rFont val="Tahoma"/>
            <family val="2"/>
          </rPr>
          <t>catherine.scott:</t>
        </r>
        <r>
          <rPr>
            <sz val="9"/>
            <color indexed="81"/>
            <rFont val="Tahoma"/>
            <family val="2"/>
          </rPr>
          <t xml:space="preserve">
Have only found £222.74 not £295.46</t>
        </r>
      </text>
    </comment>
    <comment ref="E795" authorId="2" shapeId="0" xr:uid="{00000000-0006-0000-0100-000028000000}">
      <text>
        <r>
          <rPr>
            <b/>
            <sz val="9"/>
            <color indexed="81"/>
            <rFont val="Tahoma"/>
            <family val="2"/>
          </rPr>
          <t>Missio Guest:</t>
        </r>
        <r>
          <rPr>
            <sz val="9"/>
            <color indexed="81"/>
            <rFont val="Tahoma"/>
            <family val="2"/>
          </rPr>
          <t xml:space="preserve">
It maybe that £187 of this total is not on the bank statement - investigate</t>
        </r>
      </text>
    </comment>
    <comment ref="E804" authorId="1" shapeId="0" xr:uid="{00000000-0006-0000-0100-000029000000}">
      <text>
        <r>
          <rPr>
            <b/>
            <sz val="9"/>
            <color indexed="81"/>
            <rFont val="Tahoma"/>
            <family val="2"/>
          </rPr>
          <t>catherine.scott:</t>
        </r>
        <r>
          <rPr>
            <sz val="9"/>
            <color indexed="81"/>
            <rFont val="Tahoma"/>
            <family val="2"/>
          </rPr>
          <t xml:space="preserve">
all unknown amounts plus balancing fig</t>
        </r>
      </text>
    </comment>
    <comment ref="H811" authorId="0" shapeId="0" xr:uid="{00000000-0006-0000-0100-00002A000000}">
      <text>
        <r>
          <rPr>
            <b/>
            <sz val="9"/>
            <color indexed="81"/>
            <rFont val="Tahoma"/>
            <family val="2"/>
          </rPr>
          <t>administrator:</t>
        </r>
        <r>
          <rPr>
            <sz val="9"/>
            <color indexed="81"/>
            <rFont val="Tahoma"/>
            <family val="2"/>
          </rPr>
          <t xml:space="preserve">
includes Cotgrave £313</t>
        </r>
      </text>
    </comment>
    <comment ref="H818" authorId="0" shapeId="0" xr:uid="{00000000-0006-0000-0100-00002B000000}">
      <text>
        <r>
          <rPr>
            <b/>
            <sz val="9"/>
            <color indexed="81"/>
            <rFont val="Tahoma"/>
            <family val="2"/>
          </rPr>
          <t>administrator:</t>
        </r>
        <r>
          <rPr>
            <sz val="9"/>
            <color indexed="81"/>
            <rFont val="Tahoma"/>
            <family val="2"/>
          </rPr>
          <t xml:space="preserve">
There could be a bank error here as the GF says one counterfoil for 20.16 twice whilst the GF lists it only once.  Needs checking with bank</t>
        </r>
      </text>
    </comment>
    <comment ref="H831" authorId="0" shapeId="0" xr:uid="{00000000-0006-0000-0100-00002C000000}">
      <text>
        <r>
          <rPr>
            <b/>
            <sz val="9"/>
            <color indexed="81"/>
            <rFont val="Tahoma"/>
            <family val="2"/>
          </rPr>
          <t>administrator:</t>
        </r>
        <r>
          <rPr>
            <sz val="9"/>
            <color indexed="81"/>
            <rFont val="Tahoma"/>
            <family val="2"/>
          </rPr>
          <t xml:space="preserve">
last payment cf £110.00 paid 5/12 20455 not listed on form</t>
        </r>
      </text>
    </comment>
    <comment ref="A838" authorId="0" shapeId="0" xr:uid="{00000000-0006-0000-0100-00002D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857" authorId="0" shapeId="0" xr:uid="{00000000-0006-0000-0100-00002E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858" authorId="0" shapeId="0" xr:uid="{00000000-0006-0000-0100-00002F000000}">
      <text>
        <r>
          <rPr>
            <b/>
            <sz val="9"/>
            <color indexed="81"/>
            <rFont val="Tahoma"/>
            <family val="2"/>
          </rPr>
          <t>administrator:</t>
        </r>
        <r>
          <rPr>
            <sz val="9"/>
            <color indexed="81"/>
            <rFont val="Tahoma"/>
            <family val="2"/>
          </rPr>
          <t xml:space="preserve">
pairsh now closed and parishioners incorporated into St. Mary &amp; St. John Fisher, Corpus Christi Cleethorpes and OL Star of the Sea, Immingham.</t>
        </r>
      </text>
    </comment>
    <comment ref="A865" authorId="0" shapeId="0" xr:uid="{00000000-0006-0000-0100-000030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H869" authorId="0" shapeId="0" xr:uid="{00000000-0006-0000-0100-000031000000}">
      <text>
        <r>
          <rPr>
            <b/>
            <sz val="9"/>
            <color indexed="81"/>
            <rFont val="Tahoma"/>
            <family val="2"/>
          </rPr>
          <t>administrator:</t>
        </r>
        <r>
          <rPr>
            <sz val="9"/>
            <color indexed="81"/>
            <rFont val="Tahoma"/>
            <family val="2"/>
          </rPr>
          <t xml:space="preserve">
misclculation on GF</t>
        </r>
      </text>
    </comment>
    <comment ref="H871" authorId="0" shapeId="0" xr:uid="{00000000-0006-0000-0100-000032000000}">
      <text>
        <r>
          <rPr>
            <b/>
            <sz val="9"/>
            <color indexed="81"/>
            <rFont val="Tahoma"/>
            <family val="2"/>
          </rPr>
          <t>administrator:</t>
        </r>
        <r>
          <rPr>
            <sz val="9"/>
            <color indexed="81"/>
            <rFont val="Tahoma"/>
            <family val="2"/>
          </rPr>
          <t xml:space="preserve">
Money from 2017 not banked - will go into 2018</t>
        </r>
      </text>
    </comment>
    <comment ref="F878" authorId="2" shapeId="0" xr:uid="{00000000-0006-0000-0100-000033000000}">
      <text>
        <r>
          <rPr>
            <b/>
            <sz val="9"/>
            <color indexed="81"/>
            <rFont val="Tahoma"/>
            <family val="2"/>
          </rPr>
          <t>Missio Guest:</t>
        </r>
        <r>
          <rPr>
            <sz val="9"/>
            <color indexed="81"/>
            <rFont val="Tahoma"/>
            <family val="2"/>
          </rPr>
          <t xml:space="preserve">
added on £53.75 wrongly attributed to BRE - record no 113853</t>
        </r>
      </text>
    </comment>
    <comment ref="H886" authorId="0" shapeId="0" xr:uid="{00000000-0006-0000-0100-000034000000}">
      <text>
        <r>
          <rPr>
            <b/>
            <sz val="9"/>
            <color indexed="81"/>
            <rFont val="Tahoma"/>
            <family val="2"/>
          </rPr>
          <t>administrator:</t>
        </r>
        <r>
          <rPr>
            <sz val="9"/>
            <color indexed="81"/>
            <rFont val="Tahoma"/>
            <family val="2"/>
          </rPr>
          <t xml:space="preserve">
send 3 results certificates for the 3 churches</t>
        </r>
      </text>
    </comment>
    <comment ref="H887" authorId="0" shapeId="0" xr:uid="{00000000-0006-0000-0100-000035000000}">
      <text>
        <r>
          <rPr>
            <b/>
            <sz val="9"/>
            <color indexed="81"/>
            <rFont val="Tahoma"/>
            <family val="2"/>
          </rPr>
          <t>administrator:</t>
        </r>
        <r>
          <rPr>
            <sz val="9"/>
            <color indexed="81"/>
            <rFont val="Tahoma"/>
            <family val="2"/>
          </rPr>
          <t xml:space="preserve">
plus £28 s/o from M. Atkin</t>
        </r>
      </text>
    </comment>
    <comment ref="A898" authorId="0" shapeId="0" xr:uid="{00000000-0006-0000-0100-000036000000}">
      <text>
        <r>
          <rPr>
            <b/>
            <sz val="9"/>
            <color indexed="81"/>
            <rFont val="Tahoma"/>
            <family val="2"/>
          </rPr>
          <t>administrator:</t>
        </r>
        <r>
          <rPr>
            <sz val="9"/>
            <color indexed="81"/>
            <rFont val="Tahoma"/>
            <family val="2"/>
          </rPr>
          <t xml:space="preserve">
merged with St. Patrick's in Forest Town and St George's in Rainsworth</t>
        </r>
      </text>
    </comment>
    <comment ref="H905" authorId="0" shapeId="0" xr:uid="{00000000-0006-0000-0100-000037000000}">
      <text>
        <r>
          <rPr>
            <b/>
            <sz val="9"/>
            <color indexed="81"/>
            <rFont val="Tahoma"/>
            <family val="2"/>
          </rPr>
          <t>administrator:</t>
        </r>
        <r>
          <rPr>
            <sz val="9"/>
            <color indexed="81"/>
            <rFont val="Tahoma"/>
            <family val="2"/>
          </rPr>
          <t xml:space="preserve">
Money given at an appeal and paid into WES by Eileen Tompkins using her own PIB</t>
        </r>
      </text>
    </comment>
    <comment ref="I922" authorId="0" shapeId="0" xr:uid="{00000000-0006-0000-0100-000038000000}">
      <text>
        <r>
          <rPr>
            <b/>
            <sz val="9"/>
            <color indexed="81"/>
            <rFont val="Tahoma"/>
            <family val="2"/>
          </rPr>
          <t>administrator:</t>
        </r>
        <r>
          <rPr>
            <sz val="9"/>
            <color indexed="81"/>
            <rFont val="Tahoma"/>
            <family val="2"/>
          </rPr>
          <t xml:space="preserve">
ADDED £125 TO MAKE IT BALANCE TO THE TOTAL IN LAST YEAR#'S RESULTS SHEET SOMETHING MUST HAVE ACCIDENTALLY BEEN DELETED</t>
        </r>
      </text>
    </comment>
    <comment ref="H923" authorId="0" shapeId="0" xr:uid="{00000000-0006-0000-0100-000039000000}">
      <text>
        <r>
          <rPr>
            <b/>
            <sz val="9"/>
            <color indexed="81"/>
            <rFont val="Tahoma"/>
            <family val="2"/>
          </rPr>
          <t>administrator:</t>
        </r>
        <r>
          <rPr>
            <sz val="9"/>
            <color indexed="81"/>
            <rFont val="Tahoma"/>
            <family val="2"/>
          </rPr>
          <t xml:space="preserve">
When batching NOT999 Figure needs to increase by £462.11 to take account of appeal donations by NOT117 original reconcilation figure given as £63337.88</t>
        </r>
      </text>
    </comment>
    <comment ref="C933" authorId="0" shapeId="0" xr:uid="{00000000-0006-0000-0100-00003A000000}">
      <text>
        <r>
          <rPr>
            <b/>
            <sz val="9"/>
            <color indexed="81"/>
            <rFont val="Tahoma"/>
            <family val="2"/>
          </rPr>
          <t>administrator:</t>
        </r>
        <r>
          <rPr>
            <sz val="9"/>
            <color indexed="81"/>
            <rFont val="Tahoma"/>
            <family val="2"/>
          </rPr>
          <t xml:space="preserve">
Keep results for PLY009 and 011 separate next year</t>
        </r>
      </text>
    </comment>
    <comment ref="C935" authorId="0" shapeId="0" xr:uid="{00000000-0006-0000-0100-00003B000000}">
      <text>
        <r>
          <rPr>
            <b/>
            <sz val="9"/>
            <color indexed="81"/>
            <rFont val="Tahoma"/>
            <family val="2"/>
          </rPr>
          <t>administrator:</t>
        </r>
        <r>
          <rPr>
            <sz val="9"/>
            <color indexed="81"/>
            <rFont val="Tahoma"/>
            <family val="2"/>
          </rPr>
          <t xml:space="preserve">
Keep results for PLY009 and 011 separate next year</t>
        </r>
      </text>
    </comment>
    <comment ref="E939" authorId="1" shapeId="0" xr:uid="{00000000-0006-0000-0100-00003C000000}">
      <text>
        <r>
          <rPr>
            <b/>
            <sz val="9"/>
            <color indexed="81"/>
            <rFont val="Tahoma"/>
            <family val="2"/>
          </rPr>
          <t>catherine.scott:</t>
        </r>
        <r>
          <rPr>
            <sz val="9"/>
            <color indexed="81"/>
            <rFont val="Tahoma"/>
            <family val="2"/>
          </rPr>
          <t xml:space="preserve">
Includes £225.04 from South Molton</t>
        </r>
      </text>
    </comment>
    <comment ref="B940" authorId="1" shapeId="0" xr:uid="{00000000-0006-0000-0100-00003D000000}">
      <text>
        <r>
          <rPr>
            <b/>
            <sz val="9"/>
            <color indexed="81"/>
            <rFont val="Tahoma"/>
            <family val="2"/>
          </rPr>
          <t>catherine.scott:</t>
        </r>
        <r>
          <rPr>
            <sz val="9"/>
            <color indexed="81"/>
            <rFont val="Tahoma"/>
            <family val="2"/>
          </rPr>
          <t xml:space="preserve">
Combine with PLY025</t>
        </r>
      </text>
    </comment>
    <comment ref="A950" authorId="0" shapeId="0" xr:uid="{00000000-0006-0000-0100-00003E000000}">
      <text>
        <r>
          <rPr>
            <b/>
            <sz val="9"/>
            <color indexed="81"/>
            <rFont val="Tahoma"/>
            <family val="2"/>
          </rPr>
          <t>administrator:</t>
        </r>
        <r>
          <rPr>
            <sz val="9"/>
            <color indexed="81"/>
            <rFont val="Tahoma"/>
            <family val="2"/>
          </rPr>
          <t xml:space="preserve">
Combine with Brannoc and lynton</t>
        </r>
      </text>
    </comment>
    <comment ref="B951" authorId="1" shapeId="0" xr:uid="{00000000-0006-0000-0100-00003F000000}">
      <text>
        <r>
          <rPr>
            <b/>
            <sz val="9"/>
            <color indexed="81"/>
            <rFont val="Tahoma"/>
            <family val="2"/>
          </rPr>
          <t>catherine.scott:</t>
        </r>
        <r>
          <rPr>
            <sz val="9"/>
            <color indexed="81"/>
            <rFont val="Tahoma"/>
            <family val="2"/>
          </rPr>
          <t xml:space="preserve">
Combine with Beaminster &amp; Chideock</t>
        </r>
      </text>
    </comment>
    <comment ref="B984" authorId="0" shapeId="0" xr:uid="{00000000-0006-0000-0100-000040000000}">
      <text>
        <r>
          <rPr>
            <b/>
            <sz val="9"/>
            <color indexed="81"/>
            <rFont val="Tahoma"/>
            <family val="2"/>
          </rPr>
          <t>administrator:</t>
        </r>
        <r>
          <rPr>
            <sz val="9"/>
            <color indexed="81"/>
            <rFont val="Tahoma"/>
            <family val="2"/>
          </rPr>
          <t xml:space="preserve">
Combine with PLY069 - st Ives - holy family parish LS Pauline Chamberlain will send in St. Ives chque.</t>
        </r>
      </text>
    </comment>
    <comment ref="D1018" authorId="3" shapeId="0" xr:uid="{00000000-0006-0000-0100-000041000000}">
      <text>
        <r>
          <rPr>
            <b/>
            <sz val="9"/>
            <color indexed="81"/>
            <rFont val="Tahoma"/>
            <family val="2"/>
          </rPr>
          <t>stephen.davies:</t>
        </r>
        <r>
          <rPr>
            <sz val="9"/>
            <color indexed="81"/>
            <rFont val="Tahoma"/>
            <family val="2"/>
          </rPr>
          <t xml:space="preserve">
£50 removed for balance</t>
        </r>
      </text>
    </comment>
    <comment ref="C1044" authorId="1" shapeId="0" xr:uid="{00000000-0006-0000-0100-000042000000}">
      <text>
        <r>
          <rPr>
            <b/>
            <sz val="9"/>
            <color indexed="81"/>
            <rFont val="Tahoma"/>
            <family val="2"/>
          </rPr>
          <t>catherine.scott:</t>
        </r>
        <r>
          <rPr>
            <sz val="9"/>
            <color indexed="81"/>
            <rFont val="Tahoma"/>
            <family val="2"/>
          </rPr>
          <t xml:space="preserve">
Send two certificates in future</t>
        </r>
      </text>
    </comment>
    <comment ref="C1046" authorId="0" shapeId="0" xr:uid="{00000000-0006-0000-0100-000043000000}">
      <text>
        <r>
          <rPr>
            <b/>
            <sz val="9"/>
            <color indexed="81"/>
            <rFont val="Tahoma"/>
            <family val="2"/>
          </rPr>
          <t>administrator:</t>
        </r>
        <r>
          <rPr>
            <sz val="9"/>
            <color indexed="81"/>
            <rFont val="Tahoma"/>
            <family val="2"/>
          </rPr>
          <t xml:space="preserve">
Church was closed and amalgamated with st joseph's</t>
        </r>
      </text>
    </comment>
    <comment ref="B1132" authorId="0" shapeId="0" xr:uid="{00000000-0006-0000-0100-000044000000}">
      <text>
        <r>
          <rPr>
            <b/>
            <sz val="9"/>
            <color indexed="81"/>
            <rFont val="Tahoma"/>
            <family val="2"/>
          </rPr>
          <t>administrator:</t>
        </r>
        <r>
          <rPr>
            <sz val="9"/>
            <color indexed="81"/>
            <rFont val="Tahoma"/>
            <family val="2"/>
          </rPr>
          <t xml:space="preserve">
NOT WOOLHAMPTON</t>
        </r>
      </text>
    </comment>
    <comment ref="E1139" authorId="2" shapeId="0" xr:uid="{00000000-0006-0000-0100-000045000000}">
      <text>
        <r>
          <rPr>
            <b/>
            <sz val="9"/>
            <color indexed="81"/>
            <rFont val="Tahoma"/>
            <family val="2"/>
          </rPr>
          <t>Missio Guest:</t>
        </r>
        <r>
          <rPr>
            <sz val="9"/>
            <color indexed="81"/>
            <rFont val="Tahoma"/>
            <family val="2"/>
          </rPr>
          <t xml:space="preserve">
Accounts were £70.32 over so have ajusted various as could not find the discrepancy</t>
        </r>
      </text>
    </comment>
    <comment ref="A1155" authorId="0" shapeId="0" xr:uid="{00000000-0006-0000-0100-000046000000}">
      <text>
        <r>
          <rPr>
            <b/>
            <sz val="9"/>
            <color indexed="81"/>
            <rFont val="Tahoma"/>
            <family val="2"/>
          </rPr>
          <t>administrator:</t>
        </r>
        <r>
          <rPr>
            <sz val="9"/>
            <color indexed="81"/>
            <rFont val="Tahoma"/>
            <family val="2"/>
          </rPr>
          <t xml:space="preserve">
Combine with SHR017</t>
        </r>
      </text>
    </comment>
    <comment ref="A1159" authorId="0" shapeId="0" xr:uid="{00000000-0006-0000-0100-000047000000}">
      <text>
        <r>
          <rPr>
            <b/>
            <sz val="9"/>
            <color indexed="81"/>
            <rFont val="Tahoma"/>
            <family val="2"/>
          </rPr>
          <t>administrator:</t>
        </r>
        <r>
          <rPr>
            <sz val="9"/>
            <color indexed="81"/>
            <rFont val="Tahoma"/>
            <family val="2"/>
          </rPr>
          <t xml:space="preserve">
May be combined with SHR012</t>
        </r>
      </text>
    </comment>
    <comment ref="A1170" authorId="0" shapeId="0" xr:uid="{00000000-0006-0000-0100-000048000000}">
      <text>
        <r>
          <rPr>
            <b/>
            <sz val="9"/>
            <color indexed="81"/>
            <rFont val="Tahoma"/>
            <family val="2"/>
          </rPr>
          <t>administrator:</t>
        </r>
        <r>
          <rPr>
            <sz val="9"/>
            <color indexed="81"/>
            <rFont val="Tahoma"/>
            <family val="2"/>
          </rPr>
          <t xml:space="preserve">
No lay LS</t>
        </r>
      </text>
    </comment>
    <comment ref="A1177" authorId="0" shapeId="0" xr:uid="{00000000-0006-0000-0100-000049000000}">
      <text>
        <r>
          <rPr>
            <b/>
            <sz val="9"/>
            <color indexed="81"/>
            <rFont val="Tahoma"/>
            <family val="2"/>
          </rPr>
          <t>administrator:</t>
        </r>
        <r>
          <rPr>
            <sz val="9"/>
            <color indexed="81"/>
            <rFont val="Tahoma"/>
            <family val="2"/>
          </rPr>
          <t xml:space="preserve">
NO LS</t>
        </r>
      </text>
    </comment>
    <comment ref="E1179" authorId="1" shapeId="0" xr:uid="{00000000-0006-0000-0100-00004A000000}">
      <text>
        <r>
          <rPr>
            <b/>
            <sz val="9"/>
            <color indexed="81"/>
            <rFont val="Tahoma"/>
            <family val="2"/>
          </rPr>
          <t>catherine.scott:</t>
        </r>
        <r>
          <rPr>
            <sz val="9"/>
            <color indexed="81"/>
            <rFont val="Tahoma"/>
            <family val="2"/>
          </rPr>
          <t xml:space="preserve">
Figure revised on 3/4/19 as some counterfoils had been missed</t>
        </r>
      </text>
    </comment>
    <comment ref="E1208" authorId="1" shapeId="0" xr:uid="{00000000-0006-0000-0100-00004B000000}">
      <text>
        <r>
          <rPr>
            <b/>
            <sz val="9"/>
            <color indexed="81"/>
            <rFont val="Tahoma"/>
            <family val="2"/>
          </rPr>
          <t>catherine.scott:</t>
        </r>
        <r>
          <rPr>
            <sz val="9"/>
            <color indexed="81"/>
            <rFont val="Tahoma"/>
            <family val="2"/>
          </rPr>
          <t xml:space="preserve">
Amended due to error in misposting SHR071's figure to this parish</t>
        </r>
      </text>
    </comment>
    <comment ref="E1209" authorId="1" shapeId="0" xr:uid="{00000000-0006-0000-0100-00004C000000}">
      <text>
        <r>
          <rPr>
            <b/>
            <sz val="9"/>
            <color indexed="81"/>
            <rFont val="Tahoma"/>
            <family val="2"/>
          </rPr>
          <t>catherine.scott:</t>
        </r>
        <r>
          <rPr>
            <sz val="9"/>
            <color indexed="81"/>
            <rFont val="Tahoma"/>
            <family val="2"/>
          </rPr>
          <t xml:space="preserve">
Originally misposted to SHR070</t>
        </r>
      </text>
    </comment>
    <comment ref="A1235" authorId="0" shapeId="0" xr:uid="{00000000-0006-0000-0100-00004D000000}">
      <text>
        <r>
          <rPr>
            <b/>
            <sz val="9"/>
            <color indexed="81"/>
            <rFont val="Tahoma"/>
            <family val="2"/>
          </rPr>
          <t>administrator:</t>
        </r>
        <r>
          <rPr>
            <sz val="9"/>
            <color indexed="81"/>
            <rFont val="Tahoma"/>
            <family val="2"/>
          </rPr>
          <t xml:space="preserve">
NO LS</t>
        </r>
      </text>
    </comment>
    <comment ref="E1437" authorId="1" shapeId="0" xr:uid="{00000000-0006-0000-0100-00004E000000}">
      <text>
        <r>
          <rPr>
            <b/>
            <sz val="9"/>
            <color indexed="81"/>
            <rFont val="Tahoma"/>
            <family val="2"/>
          </rPr>
          <t>catherine.scott:</t>
        </r>
        <r>
          <rPr>
            <sz val="9"/>
            <color indexed="81"/>
            <rFont val="Tahoma"/>
            <family val="2"/>
          </rPr>
          <t xml:space="preserve">
Balancing figure</t>
        </r>
      </text>
    </comment>
    <comment ref="A1582" authorId="1" shapeId="0" xr:uid="{00000000-0006-0000-0100-00004F000000}">
      <text>
        <r>
          <rPr>
            <b/>
            <sz val="9"/>
            <color indexed="81"/>
            <rFont val="Tahoma"/>
            <family val="2"/>
          </rPr>
          <t>catherine.scott:</t>
        </r>
        <r>
          <rPr>
            <sz val="9"/>
            <color indexed="81"/>
            <rFont val="Tahoma"/>
            <family val="2"/>
          </rPr>
          <t xml:space="preserve">
2018: Seem to be combined at least the two forms were sent in together and it said 170 included in 159</t>
        </r>
      </text>
    </comment>
    <comment ref="D1646" authorId="3" shapeId="0" xr:uid="{00000000-0006-0000-0100-000050000000}">
      <text>
        <r>
          <rPr>
            <b/>
            <sz val="9"/>
            <color indexed="81"/>
            <rFont val="Tahoma"/>
            <family val="2"/>
          </rPr>
          <t>stephen.davies:</t>
        </r>
        <r>
          <rPr>
            <sz val="9"/>
            <color indexed="81"/>
            <rFont val="Tahoma"/>
            <family val="2"/>
          </rPr>
          <t xml:space="preserve">
£210 added to balance</t>
        </r>
      </text>
    </comment>
    <comment ref="A1661" authorId="0" shapeId="0" xr:uid="{00000000-0006-0000-0100-000051000000}">
      <text>
        <r>
          <rPr>
            <b/>
            <sz val="9"/>
            <color indexed="81"/>
            <rFont val="Tahoma"/>
            <family val="2"/>
          </rPr>
          <t>administrator:</t>
        </r>
        <r>
          <rPr>
            <sz val="9"/>
            <color indexed="81"/>
            <rFont val="Tahoma"/>
            <family val="2"/>
          </rPr>
          <t xml:space="preserve">
Parish of St. Richard Gwyn</t>
        </r>
      </text>
    </comment>
    <comment ref="A1673" authorId="0" shapeId="0" xr:uid="{00000000-0006-0000-0100-000052000000}">
      <text>
        <r>
          <rPr>
            <b/>
            <sz val="9"/>
            <color indexed="81"/>
            <rFont val="Tahoma"/>
            <family val="2"/>
          </rPr>
          <t>administrator:</t>
        </r>
        <r>
          <rPr>
            <sz val="9"/>
            <color indexed="81"/>
            <rFont val="Tahoma"/>
            <family val="2"/>
          </rPr>
          <t xml:space="preserve">
Parish of St. Richard Gwyn</t>
        </r>
      </text>
    </comment>
    <comment ref="A1687" authorId="0" shapeId="0" xr:uid="{00000000-0006-0000-0100-000053000000}">
      <text>
        <r>
          <rPr>
            <b/>
            <sz val="9"/>
            <color indexed="81"/>
            <rFont val="Tahoma"/>
            <family val="2"/>
          </rPr>
          <t>administrator:</t>
        </r>
        <r>
          <rPr>
            <sz val="9"/>
            <color indexed="81"/>
            <rFont val="Tahoma"/>
            <family val="2"/>
          </rPr>
          <t xml:space="preserve">
Parish of St. Richard Gwyn</t>
        </r>
      </text>
    </comment>
    <comment ref="D1693" authorId="3" shapeId="0" xr:uid="{00000000-0006-0000-0100-000054000000}">
      <text>
        <r>
          <rPr>
            <b/>
            <sz val="9"/>
            <color indexed="81"/>
            <rFont val="Tahoma"/>
            <family val="2"/>
          </rPr>
          <t>stephen.davies:</t>
        </r>
        <r>
          <rPr>
            <sz val="9"/>
            <color indexed="81"/>
            <rFont val="Tahoma"/>
            <family val="2"/>
          </rPr>
          <t xml:space="preserve">
£50 taken off to balance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administrator</author>
    <author>catherine.scott</author>
    <author>Missio Guest</author>
    <author>stephen.davies</author>
  </authors>
  <commentList>
    <comment ref="G14" authorId="0" shapeId="0" xr:uid="{00000000-0006-0000-0200-000001000000}">
      <text>
        <r>
          <rPr>
            <b/>
            <sz val="9"/>
            <color indexed="81"/>
            <rFont val="Tahoma"/>
            <family val="2"/>
          </rPr>
          <t>administrator:</t>
        </r>
        <r>
          <rPr>
            <sz val="9"/>
            <color indexed="81"/>
            <rFont val="Tahoma"/>
            <family val="2"/>
          </rPr>
          <t xml:space="preserve">
Add on ARU097 in 2018</t>
        </r>
      </text>
    </comment>
    <comment ref="C19" authorId="0" shapeId="0" xr:uid="{00000000-0006-0000-0200-000002000000}">
      <text>
        <r>
          <rPr>
            <b/>
            <sz val="9"/>
            <color indexed="81"/>
            <rFont val="Tahoma"/>
            <family val="2"/>
          </rPr>
          <t>administrator:</t>
        </r>
        <r>
          <rPr>
            <sz val="9"/>
            <color indexed="81"/>
            <rFont val="Tahoma"/>
            <family val="2"/>
          </rPr>
          <t xml:space="preserve">
Church closed in 2017 and LS retired</t>
        </r>
      </text>
    </comment>
    <comment ref="A24" authorId="0" shapeId="0" xr:uid="{00000000-0006-0000-0200-000003000000}">
      <text>
        <r>
          <rPr>
            <b/>
            <sz val="9"/>
            <color indexed="81"/>
            <rFont val="Tahoma"/>
            <family val="2"/>
          </rPr>
          <t>administrator:</t>
        </r>
        <r>
          <rPr>
            <sz val="9"/>
            <color indexed="81"/>
            <rFont val="Tahoma"/>
            <family val="2"/>
          </rPr>
          <t xml:space="preserve">
Shares LS with ARU063</t>
        </r>
      </text>
    </comment>
    <comment ref="A58" authorId="0" shapeId="0" xr:uid="{00000000-0006-0000-0200-000004000000}">
      <text>
        <r>
          <rPr>
            <b/>
            <sz val="9"/>
            <color indexed="81"/>
            <rFont val="Tahoma"/>
            <family val="2"/>
          </rPr>
          <t>administrator:</t>
        </r>
        <r>
          <rPr>
            <sz val="9"/>
            <color indexed="81"/>
            <rFont val="Tahoma"/>
            <family val="2"/>
          </rPr>
          <t xml:space="preserve">
Shared LS with o26</t>
        </r>
      </text>
    </comment>
    <comment ref="A88" authorId="0" shapeId="0" xr:uid="{00000000-0006-0000-0200-000005000000}">
      <text>
        <r>
          <rPr>
            <b/>
            <sz val="9"/>
            <color indexed="81"/>
            <rFont val="Tahoma"/>
            <family val="2"/>
          </rPr>
          <t>administrator:</t>
        </r>
        <r>
          <rPr>
            <sz val="9"/>
            <color indexed="81"/>
            <rFont val="Tahoma"/>
            <family val="2"/>
          </rPr>
          <t xml:space="preserve">
combine with ARU013 in 2018</t>
        </r>
      </text>
    </comment>
    <comment ref="B98" authorId="1" shapeId="0" xr:uid="{00000000-0006-0000-0200-000006000000}">
      <text>
        <r>
          <rPr>
            <b/>
            <sz val="9"/>
            <color indexed="81"/>
            <rFont val="Tahoma"/>
            <family val="2"/>
          </rPr>
          <t>catherine.scott:</t>
        </r>
        <r>
          <rPr>
            <sz val="9"/>
            <color indexed="81"/>
            <rFont val="Tahoma"/>
            <family val="2"/>
          </rPr>
          <t xml:space="preserve">
Include Hove and delete Portslade in 2019 as latter is closing</t>
        </r>
      </text>
    </comment>
    <comment ref="B105" authorId="0" shapeId="0" xr:uid="{00000000-0006-0000-0200-000007000000}">
      <text>
        <r>
          <rPr>
            <b/>
            <sz val="9"/>
            <color indexed="81"/>
            <rFont val="Tahoma"/>
            <family val="2"/>
          </rPr>
          <t>administrator:</t>
        </r>
        <r>
          <rPr>
            <sz val="9"/>
            <color indexed="81"/>
            <rFont val="Tahoma"/>
            <family val="2"/>
          </rPr>
          <t xml:space="preserve">
May include ARU065</t>
        </r>
      </text>
    </comment>
    <comment ref="C244" authorId="0" shapeId="0" xr:uid="{00000000-0006-0000-0200-000008000000}">
      <text>
        <r>
          <rPr>
            <b/>
            <sz val="9"/>
            <color indexed="81"/>
            <rFont val="Tahoma"/>
            <family val="2"/>
          </rPr>
          <t>administrator:</t>
        </r>
        <r>
          <rPr>
            <sz val="9"/>
            <color indexed="81"/>
            <rFont val="Tahoma"/>
            <family val="2"/>
          </rPr>
          <t xml:space="preserve">
church has closed down and some parishioners attend St John the Evangelist Chesterton</t>
        </r>
      </text>
    </comment>
    <comment ref="C326" authorId="0" shapeId="0" xr:uid="{00000000-0006-0000-0200-000009000000}">
      <text>
        <r>
          <rPr>
            <b/>
            <sz val="9"/>
            <color indexed="81"/>
            <rFont val="Tahoma"/>
            <family val="2"/>
          </rPr>
          <t>administrator:</t>
        </r>
        <r>
          <rPr>
            <sz val="9"/>
            <color indexed="81"/>
            <rFont val="Tahoma"/>
            <family val="2"/>
          </rPr>
          <t xml:space="preserve">
changed to omit st edmund gennings at request of LS as this chrch is now closed</t>
        </r>
      </text>
    </comment>
    <comment ref="D347" authorId="1" shapeId="0" xr:uid="{00000000-0006-0000-0200-00000A000000}">
      <text>
        <r>
          <rPr>
            <b/>
            <sz val="9"/>
            <color indexed="81"/>
            <rFont val="Tahoma"/>
            <family val="2"/>
          </rPr>
          <t>catherine.scott:</t>
        </r>
        <r>
          <rPr>
            <sz val="9"/>
            <color indexed="81"/>
            <rFont val="Tahoma"/>
            <family val="2"/>
          </rPr>
          <t xml:space="preserve">
£5 balancing figure inserted at end of various</t>
        </r>
      </text>
    </comment>
    <comment ref="E347" authorId="1" shapeId="0" xr:uid="{00000000-0006-0000-0200-00000B000000}">
      <text>
        <r>
          <rPr>
            <b/>
            <sz val="9"/>
            <color indexed="81"/>
            <rFont val="Tahoma"/>
            <family val="2"/>
          </rPr>
          <t>catherine.scott:</t>
        </r>
        <r>
          <rPr>
            <sz val="9"/>
            <color indexed="81"/>
            <rFont val="Tahoma"/>
            <family val="2"/>
          </rPr>
          <t xml:space="preserve">
balancing figure of £36</t>
        </r>
      </text>
    </comment>
    <comment ref="G365" authorId="0" shapeId="0" xr:uid="{00000000-0006-0000-0200-00000C000000}">
      <text>
        <r>
          <rPr>
            <b/>
            <sz val="9"/>
            <color indexed="81"/>
            <rFont val="Tahoma"/>
            <family val="2"/>
          </rPr>
          <t>administrator:</t>
        </r>
        <r>
          <rPr>
            <sz val="9"/>
            <color indexed="81"/>
            <rFont val="Tahoma"/>
            <family val="2"/>
          </rPr>
          <t xml:space="preserve">
ONE CHEQUE AS MENTIONED ON gf PLUS DIRECT DONATIONS</t>
        </r>
      </text>
    </comment>
    <comment ref="G366" authorId="0" shapeId="0" xr:uid="{00000000-0006-0000-0200-00000D000000}">
      <text>
        <r>
          <rPr>
            <b/>
            <sz val="9"/>
            <color indexed="81"/>
            <rFont val="Tahoma"/>
            <family val="2"/>
          </rPr>
          <t>administrator:</t>
        </r>
        <r>
          <rPr>
            <sz val="9"/>
            <color indexed="81"/>
            <rFont val="Tahoma"/>
            <family val="2"/>
          </rPr>
          <t xml:space="preserve">
LOOKS LIKE THIS FIGURE IS TWO YEAR'S WORTH AS LATE PAYMENT FOR 2016 CAME IN JANUARY 2017</t>
        </r>
      </text>
    </comment>
    <comment ref="B478" authorId="0" shapeId="0" xr:uid="{00000000-0006-0000-0200-00000E000000}">
      <text>
        <r>
          <rPr>
            <b/>
            <sz val="9"/>
            <color indexed="81"/>
            <rFont val="Tahoma"/>
            <family val="2"/>
          </rPr>
          <t>administrator:</t>
        </r>
        <r>
          <rPr>
            <sz val="9"/>
            <color indexed="81"/>
            <rFont val="Tahoma"/>
            <family val="2"/>
          </rPr>
          <t xml:space="preserve">
Two certificates in future please</t>
        </r>
      </text>
    </comment>
    <comment ref="A484" authorId="0" shapeId="0" xr:uid="{00000000-0006-0000-0200-00000F000000}">
      <text>
        <r>
          <rPr>
            <b/>
            <sz val="9"/>
            <color indexed="81"/>
            <rFont val="Tahoma"/>
            <family val="2"/>
          </rPr>
          <t>administrator:</t>
        </r>
        <r>
          <rPr>
            <sz val="9"/>
            <color indexed="81"/>
            <rFont val="Tahoma"/>
            <family val="2"/>
          </rPr>
          <t xml:space="preserve">
combined with CAR074 Penarth</t>
        </r>
      </text>
    </comment>
    <comment ref="D626" authorId="1" shapeId="0" xr:uid="{00000000-0006-0000-0200-000010000000}">
      <text>
        <r>
          <rPr>
            <b/>
            <sz val="9"/>
            <color indexed="81"/>
            <rFont val="Tahoma"/>
            <family val="2"/>
          </rPr>
          <t>catherine.scott:</t>
        </r>
        <r>
          <rPr>
            <sz val="9"/>
            <color indexed="81"/>
            <rFont val="Tahoma"/>
            <family val="2"/>
          </rPr>
          <t xml:space="preserve">
Last figure a balancing figure of £71</t>
        </r>
      </text>
    </comment>
    <comment ref="A678" authorId="0" shapeId="0" xr:uid="{00000000-0006-0000-0200-000011000000}">
      <text>
        <r>
          <rPr>
            <b/>
            <sz val="9"/>
            <color indexed="81"/>
            <rFont val="Tahoma"/>
            <family val="2"/>
          </rPr>
          <t>administrator:</t>
        </r>
        <r>
          <rPr>
            <sz val="9"/>
            <color indexed="81"/>
            <rFont val="Tahoma"/>
            <family val="2"/>
          </rPr>
          <t xml:space="preserve">
Do combined certificate and send two copies</t>
        </r>
      </text>
    </comment>
    <comment ref="G686" authorId="0" shapeId="0" xr:uid="{00000000-0006-0000-0200-000012000000}">
      <text>
        <r>
          <rPr>
            <b/>
            <sz val="9"/>
            <color indexed="81"/>
            <rFont val="Tahoma"/>
            <family val="2"/>
          </rPr>
          <t>administrator:</t>
        </r>
        <r>
          <rPr>
            <sz val="9"/>
            <color indexed="81"/>
            <rFont val="Tahoma"/>
            <family val="2"/>
          </rPr>
          <t xml:space="preserve">
Added £12.00 to make figure balance with audit figure</t>
        </r>
      </text>
    </comment>
    <comment ref="B702" authorId="0" shapeId="0" xr:uid="{00000000-0006-0000-0200-000013000000}">
      <text>
        <r>
          <rPr>
            <b/>
            <sz val="9"/>
            <color indexed="81"/>
            <rFont val="Tahoma"/>
            <family val="2"/>
          </rPr>
          <t>administrator:</t>
        </r>
        <r>
          <rPr>
            <sz val="9"/>
            <color indexed="81"/>
            <rFont val="Tahoma"/>
            <family val="2"/>
          </rPr>
          <t xml:space="preserve">
Removed Llandovery as this is now joined with Lampeter</t>
        </r>
      </text>
    </comment>
    <comment ref="B713" authorId="0" shapeId="0" xr:uid="{00000000-0006-0000-0200-000014000000}">
      <text>
        <r>
          <rPr>
            <b/>
            <sz val="9"/>
            <color indexed="81"/>
            <rFont val="Tahoma"/>
            <family val="2"/>
          </rPr>
          <t>administrator:</t>
        </r>
        <r>
          <rPr>
            <sz val="9"/>
            <color indexed="81"/>
            <rFont val="Tahoma"/>
            <family val="2"/>
          </rPr>
          <t xml:space="preserve">
Informed by LS Trefor Williams that Llandovery now joined with Lampeter 4/18 CMS</t>
        </r>
      </text>
    </comment>
    <comment ref="C742" authorId="0" shapeId="0" xr:uid="{00000000-0006-0000-0200-000015000000}">
      <text>
        <r>
          <rPr>
            <b/>
            <sz val="9"/>
            <color indexed="81"/>
            <rFont val="Tahoma"/>
            <family val="2"/>
          </rPr>
          <t>administrator:</t>
        </r>
        <r>
          <rPr>
            <sz val="9"/>
            <color indexed="81"/>
            <rFont val="Tahoma"/>
            <family val="2"/>
          </rPr>
          <t xml:space="preserve">
incorporates aston le walls and King's sutton c of e possibly also daventry NOR029</t>
        </r>
      </text>
    </comment>
    <comment ref="C759" authorId="0" shapeId="0" xr:uid="{00000000-0006-0000-0200-000016000000}">
      <text>
        <r>
          <rPr>
            <b/>
            <sz val="9"/>
            <color indexed="81"/>
            <rFont val="Tahoma"/>
            <family val="2"/>
          </rPr>
          <t>administrator:</t>
        </r>
        <r>
          <rPr>
            <sz val="9"/>
            <color indexed="81"/>
            <rFont val="Tahoma"/>
            <family val="2"/>
          </rPr>
          <t xml:space="preserve">
This is part of sacred heart and our Lady NOR008</t>
        </r>
      </text>
    </comment>
    <comment ref="C766" authorId="2" shapeId="0" xr:uid="{00000000-0006-0000-0200-000017000000}">
      <text>
        <r>
          <rPr>
            <b/>
            <sz val="9"/>
            <color indexed="81"/>
            <rFont val="Tahoma"/>
            <family val="2"/>
          </rPr>
          <t>Missio Guest:</t>
        </r>
        <r>
          <rPr>
            <sz val="9"/>
            <color indexed="81"/>
            <rFont val="Tahoma"/>
            <family val="2"/>
          </rPr>
          <t xml:space="preserve">
Church closed</t>
        </r>
      </text>
    </comment>
    <comment ref="A791" authorId="2" shapeId="0" xr:uid="{00000000-0006-0000-0200-000018000000}">
      <text>
        <r>
          <rPr>
            <b/>
            <sz val="9"/>
            <color indexed="81"/>
            <rFont val="Tahoma"/>
            <family val="2"/>
          </rPr>
          <t>Missio Guest:</t>
        </r>
        <r>
          <rPr>
            <sz val="9"/>
            <color indexed="81"/>
            <rFont val="Tahoma"/>
            <family val="2"/>
          </rPr>
          <t xml:space="preserve">
Perhaps these two, NOR063 and 069 should be combined?</t>
        </r>
      </text>
    </comment>
    <comment ref="H812" authorId="0" shapeId="0" xr:uid="{00000000-0006-0000-0200-000019000000}">
      <text>
        <r>
          <rPr>
            <b/>
            <sz val="9"/>
            <color indexed="81"/>
            <rFont val="Tahoma"/>
            <family val="2"/>
          </rPr>
          <t>administrator:</t>
        </r>
        <r>
          <rPr>
            <sz val="9"/>
            <color indexed="81"/>
            <rFont val="Tahoma"/>
            <family val="2"/>
          </rPr>
          <t xml:space="preserve">
includes Cotgrave £313</t>
        </r>
      </text>
    </comment>
    <comment ref="H819" authorId="0" shapeId="0" xr:uid="{00000000-0006-0000-0200-00001A000000}">
      <text>
        <r>
          <rPr>
            <b/>
            <sz val="9"/>
            <color indexed="81"/>
            <rFont val="Tahoma"/>
            <family val="2"/>
          </rPr>
          <t>administrator:</t>
        </r>
        <r>
          <rPr>
            <sz val="9"/>
            <color indexed="81"/>
            <rFont val="Tahoma"/>
            <family val="2"/>
          </rPr>
          <t xml:space="preserve">
There could be a bank error here as the GF says one counterfoil for 20.16 twice whilst the GF lists it only once.  Needs checking with bank</t>
        </r>
      </text>
    </comment>
    <comment ref="H832" authorId="0" shapeId="0" xr:uid="{00000000-0006-0000-0200-00001B000000}">
      <text>
        <r>
          <rPr>
            <b/>
            <sz val="9"/>
            <color indexed="81"/>
            <rFont val="Tahoma"/>
            <family val="2"/>
          </rPr>
          <t>administrator:</t>
        </r>
        <r>
          <rPr>
            <sz val="9"/>
            <color indexed="81"/>
            <rFont val="Tahoma"/>
            <family val="2"/>
          </rPr>
          <t xml:space="preserve">
last payment cf £110.00 paid 5/12 20455 not listed on form</t>
        </r>
      </text>
    </comment>
    <comment ref="A839" authorId="0" shapeId="0" xr:uid="{00000000-0006-0000-0200-00001C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858" authorId="0" shapeId="0" xr:uid="{00000000-0006-0000-0200-00001D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A859" authorId="0" shapeId="0" xr:uid="{00000000-0006-0000-0200-00001E000000}">
      <text>
        <r>
          <rPr>
            <b/>
            <sz val="9"/>
            <color indexed="81"/>
            <rFont val="Tahoma"/>
            <family val="2"/>
          </rPr>
          <t>administrator:</t>
        </r>
        <r>
          <rPr>
            <sz val="9"/>
            <color indexed="81"/>
            <rFont val="Tahoma"/>
            <family val="2"/>
          </rPr>
          <t xml:space="preserve">
pairsh now closed and parishioners incorporated into St. Mary &amp; St. John Fisher, Corpus Christi Cleethorpes and OL Star of the Sea, Immingham.</t>
        </r>
      </text>
    </comment>
    <comment ref="A866" authorId="0" shapeId="0" xr:uid="{00000000-0006-0000-0200-00001F000000}">
      <text>
        <r>
          <rPr>
            <b/>
            <sz val="9"/>
            <color indexed="81"/>
            <rFont val="Tahoma"/>
            <family val="2"/>
          </rPr>
          <t>administrator:</t>
        </r>
        <r>
          <rPr>
            <sz val="9"/>
            <color indexed="81"/>
            <rFont val="Tahoma"/>
            <family val="2"/>
          </rPr>
          <t xml:space="preserve">
parish of the Most Holy &amp; Undivided Trinity, Grimsby, Cleethorpes &amp; Immingham. Separate certs</t>
        </r>
      </text>
    </comment>
    <comment ref="H870" authorId="0" shapeId="0" xr:uid="{00000000-0006-0000-0200-000020000000}">
      <text>
        <r>
          <rPr>
            <b/>
            <sz val="9"/>
            <color indexed="81"/>
            <rFont val="Tahoma"/>
            <family val="2"/>
          </rPr>
          <t>administrator:</t>
        </r>
        <r>
          <rPr>
            <sz val="9"/>
            <color indexed="81"/>
            <rFont val="Tahoma"/>
            <family val="2"/>
          </rPr>
          <t xml:space="preserve">
misclculation on GF</t>
        </r>
      </text>
    </comment>
    <comment ref="H872" authorId="0" shapeId="0" xr:uid="{00000000-0006-0000-0200-000021000000}">
      <text>
        <r>
          <rPr>
            <b/>
            <sz val="9"/>
            <color indexed="81"/>
            <rFont val="Tahoma"/>
            <family val="2"/>
          </rPr>
          <t>administrator:</t>
        </r>
        <r>
          <rPr>
            <sz val="9"/>
            <color indexed="81"/>
            <rFont val="Tahoma"/>
            <family val="2"/>
          </rPr>
          <t xml:space="preserve">
Money from 2017 not banked - will go into 2018</t>
        </r>
      </text>
    </comment>
    <comment ref="F879" authorId="2" shapeId="0" xr:uid="{00000000-0006-0000-0200-000022000000}">
      <text>
        <r>
          <rPr>
            <b/>
            <sz val="9"/>
            <color indexed="81"/>
            <rFont val="Tahoma"/>
            <family val="2"/>
          </rPr>
          <t>Missio Guest:</t>
        </r>
        <r>
          <rPr>
            <sz val="9"/>
            <color indexed="81"/>
            <rFont val="Tahoma"/>
            <family val="2"/>
          </rPr>
          <t xml:space="preserve">
added on £53.75 wrongly attributed to BRE - record no 113853</t>
        </r>
      </text>
    </comment>
    <comment ref="H887" authorId="0" shapeId="0" xr:uid="{00000000-0006-0000-0200-000023000000}">
      <text>
        <r>
          <rPr>
            <b/>
            <sz val="9"/>
            <color indexed="81"/>
            <rFont val="Tahoma"/>
            <family val="2"/>
          </rPr>
          <t>administrator:</t>
        </r>
        <r>
          <rPr>
            <sz val="9"/>
            <color indexed="81"/>
            <rFont val="Tahoma"/>
            <family val="2"/>
          </rPr>
          <t xml:space="preserve">
send 3 results certificates for the 3 churches</t>
        </r>
      </text>
    </comment>
    <comment ref="H888" authorId="0" shapeId="0" xr:uid="{00000000-0006-0000-0200-000024000000}">
      <text>
        <r>
          <rPr>
            <b/>
            <sz val="9"/>
            <color indexed="81"/>
            <rFont val="Tahoma"/>
            <family val="2"/>
          </rPr>
          <t>administrator:</t>
        </r>
        <r>
          <rPr>
            <sz val="9"/>
            <color indexed="81"/>
            <rFont val="Tahoma"/>
            <family val="2"/>
          </rPr>
          <t xml:space="preserve">
plus £28 s/o from M. Atkin</t>
        </r>
      </text>
    </comment>
    <comment ref="A899" authorId="0" shapeId="0" xr:uid="{00000000-0006-0000-0200-000025000000}">
      <text>
        <r>
          <rPr>
            <b/>
            <sz val="9"/>
            <color indexed="81"/>
            <rFont val="Tahoma"/>
            <family val="2"/>
          </rPr>
          <t>administrator:</t>
        </r>
        <r>
          <rPr>
            <sz val="9"/>
            <color indexed="81"/>
            <rFont val="Tahoma"/>
            <family val="2"/>
          </rPr>
          <t xml:space="preserve">
merged with St. Patrick's in Forest Town and St George's in Rainsworth</t>
        </r>
      </text>
    </comment>
    <comment ref="H906" authorId="0" shapeId="0" xr:uid="{00000000-0006-0000-0200-000026000000}">
      <text>
        <r>
          <rPr>
            <b/>
            <sz val="9"/>
            <color indexed="81"/>
            <rFont val="Tahoma"/>
            <family val="2"/>
          </rPr>
          <t>administrator:</t>
        </r>
        <r>
          <rPr>
            <sz val="9"/>
            <color indexed="81"/>
            <rFont val="Tahoma"/>
            <family val="2"/>
          </rPr>
          <t xml:space="preserve">
Money given at an appeal and paid into WES by Eileen Tompkins using her own PIB</t>
        </r>
      </text>
    </comment>
    <comment ref="I923" authorId="0" shapeId="0" xr:uid="{00000000-0006-0000-0200-000027000000}">
      <text>
        <r>
          <rPr>
            <b/>
            <sz val="9"/>
            <color indexed="81"/>
            <rFont val="Tahoma"/>
            <family val="2"/>
          </rPr>
          <t>administrator:</t>
        </r>
        <r>
          <rPr>
            <sz val="9"/>
            <color indexed="81"/>
            <rFont val="Tahoma"/>
            <family val="2"/>
          </rPr>
          <t xml:space="preserve">
ADDED £125 TO MAKE IT BALANCE TO THE TOTAL IN LAST YEAR#'S RESULTS SHEET SOMETHING MUST HAVE ACCIDENTALLY BEEN DELETED</t>
        </r>
      </text>
    </comment>
    <comment ref="H924" authorId="0" shapeId="0" xr:uid="{00000000-0006-0000-0200-000028000000}">
      <text>
        <r>
          <rPr>
            <b/>
            <sz val="9"/>
            <color indexed="81"/>
            <rFont val="Tahoma"/>
            <family val="2"/>
          </rPr>
          <t>administrator:</t>
        </r>
        <r>
          <rPr>
            <sz val="9"/>
            <color indexed="81"/>
            <rFont val="Tahoma"/>
            <family val="2"/>
          </rPr>
          <t xml:space="preserve">
When batching NOT999 Figure needs to increase by £462.11 to take account of appeal donations by NOT117 original reconcilation figure given as £63337.88</t>
        </r>
      </text>
    </comment>
    <comment ref="C934" authorId="0" shapeId="0" xr:uid="{00000000-0006-0000-0200-000029000000}">
      <text>
        <r>
          <rPr>
            <b/>
            <sz val="9"/>
            <color indexed="81"/>
            <rFont val="Tahoma"/>
            <family val="2"/>
          </rPr>
          <t>administrator:</t>
        </r>
        <r>
          <rPr>
            <sz val="9"/>
            <color indexed="81"/>
            <rFont val="Tahoma"/>
            <family val="2"/>
          </rPr>
          <t xml:space="preserve">
Keep results for PLY009 and 011 separate next year</t>
        </r>
      </text>
    </comment>
    <comment ref="C936" authorId="0" shapeId="0" xr:uid="{00000000-0006-0000-0200-00002A000000}">
      <text>
        <r>
          <rPr>
            <b/>
            <sz val="9"/>
            <color indexed="81"/>
            <rFont val="Tahoma"/>
            <family val="2"/>
          </rPr>
          <t>administrator:</t>
        </r>
        <r>
          <rPr>
            <sz val="9"/>
            <color indexed="81"/>
            <rFont val="Tahoma"/>
            <family val="2"/>
          </rPr>
          <t xml:space="preserve">
Keep results for PLY009 and 011 separate next year</t>
        </r>
      </text>
    </comment>
    <comment ref="B941" authorId="1" shapeId="0" xr:uid="{00000000-0006-0000-0200-00002B000000}">
      <text>
        <r>
          <rPr>
            <b/>
            <sz val="9"/>
            <color indexed="81"/>
            <rFont val="Tahoma"/>
            <family val="2"/>
          </rPr>
          <t>catherine.scott:</t>
        </r>
        <r>
          <rPr>
            <sz val="9"/>
            <color indexed="81"/>
            <rFont val="Tahoma"/>
            <family val="2"/>
          </rPr>
          <t xml:space="preserve">
Combine with PLY025</t>
        </r>
      </text>
    </comment>
    <comment ref="A951" authorId="0" shapeId="0" xr:uid="{00000000-0006-0000-0200-00002C000000}">
      <text>
        <r>
          <rPr>
            <b/>
            <sz val="9"/>
            <color indexed="81"/>
            <rFont val="Tahoma"/>
            <family val="2"/>
          </rPr>
          <t>administrator:</t>
        </r>
        <r>
          <rPr>
            <sz val="9"/>
            <color indexed="81"/>
            <rFont val="Tahoma"/>
            <family val="2"/>
          </rPr>
          <t xml:space="preserve">
Combine with Brannoc and lynton</t>
        </r>
      </text>
    </comment>
    <comment ref="B952" authorId="1" shapeId="0" xr:uid="{00000000-0006-0000-0200-00002D000000}">
      <text>
        <r>
          <rPr>
            <b/>
            <sz val="9"/>
            <color indexed="81"/>
            <rFont val="Tahoma"/>
            <family val="2"/>
          </rPr>
          <t>catherine.scott:</t>
        </r>
        <r>
          <rPr>
            <sz val="9"/>
            <color indexed="81"/>
            <rFont val="Tahoma"/>
            <family val="2"/>
          </rPr>
          <t xml:space="preserve">
Combine with Beaminster &amp; Chideock</t>
        </r>
      </text>
    </comment>
    <comment ref="B985" authorId="0" shapeId="0" xr:uid="{00000000-0006-0000-0200-00002E000000}">
      <text>
        <r>
          <rPr>
            <b/>
            <sz val="9"/>
            <color indexed="81"/>
            <rFont val="Tahoma"/>
            <family val="2"/>
          </rPr>
          <t>administrator:</t>
        </r>
        <r>
          <rPr>
            <sz val="9"/>
            <color indexed="81"/>
            <rFont val="Tahoma"/>
            <family val="2"/>
          </rPr>
          <t xml:space="preserve">
Combine with PLY069 - st Ives - holy family parish LS Pauline Chamberlain will send in St. Ives chque.</t>
        </r>
      </text>
    </comment>
    <comment ref="C1045" authorId="1" shapeId="0" xr:uid="{00000000-0006-0000-0200-00002F000000}">
      <text>
        <r>
          <rPr>
            <b/>
            <sz val="9"/>
            <color indexed="81"/>
            <rFont val="Tahoma"/>
            <family val="2"/>
          </rPr>
          <t>catherine.scott:</t>
        </r>
        <r>
          <rPr>
            <sz val="9"/>
            <color indexed="81"/>
            <rFont val="Tahoma"/>
            <family val="2"/>
          </rPr>
          <t xml:space="preserve">
Send two certificates in future</t>
        </r>
      </text>
    </comment>
    <comment ref="C1047" authorId="0" shapeId="0" xr:uid="{00000000-0006-0000-0200-000030000000}">
      <text>
        <r>
          <rPr>
            <b/>
            <sz val="9"/>
            <color indexed="81"/>
            <rFont val="Tahoma"/>
            <family val="2"/>
          </rPr>
          <t>administrator:</t>
        </r>
        <r>
          <rPr>
            <sz val="9"/>
            <color indexed="81"/>
            <rFont val="Tahoma"/>
            <family val="2"/>
          </rPr>
          <t xml:space="preserve">
Church was closed and amalgamated with st joseph's</t>
        </r>
      </text>
    </comment>
    <comment ref="B1133" authorId="0" shapeId="0" xr:uid="{00000000-0006-0000-0200-000031000000}">
      <text>
        <r>
          <rPr>
            <b/>
            <sz val="9"/>
            <color indexed="81"/>
            <rFont val="Tahoma"/>
            <family val="2"/>
          </rPr>
          <t>administrator:</t>
        </r>
        <r>
          <rPr>
            <sz val="9"/>
            <color indexed="81"/>
            <rFont val="Tahoma"/>
            <family val="2"/>
          </rPr>
          <t xml:space="preserve">
NOT WOOLHAMPTON</t>
        </r>
      </text>
    </comment>
    <comment ref="E1140" authorId="2" shapeId="0" xr:uid="{00000000-0006-0000-0200-000032000000}">
      <text>
        <r>
          <rPr>
            <b/>
            <sz val="9"/>
            <color indexed="81"/>
            <rFont val="Tahoma"/>
            <family val="2"/>
          </rPr>
          <t>Missio Guest:</t>
        </r>
        <r>
          <rPr>
            <sz val="9"/>
            <color indexed="81"/>
            <rFont val="Tahoma"/>
            <family val="2"/>
          </rPr>
          <t xml:space="preserve">
Accounts were £70.32 over so have ajusted various as could not find the discrepancy</t>
        </r>
      </text>
    </comment>
    <comment ref="E1209" authorId="1" shapeId="0" xr:uid="{00000000-0006-0000-0200-000033000000}">
      <text>
        <r>
          <rPr>
            <b/>
            <sz val="9"/>
            <color indexed="81"/>
            <rFont val="Tahoma"/>
            <family val="2"/>
          </rPr>
          <t>catherine.scott:</t>
        </r>
        <r>
          <rPr>
            <sz val="9"/>
            <color indexed="81"/>
            <rFont val="Tahoma"/>
            <family val="2"/>
          </rPr>
          <t xml:space="preserve">
Amended due to error in misposting SHR071's figure to this parish</t>
        </r>
      </text>
    </comment>
    <comment ref="E1210" authorId="1" shapeId="0" xr:uid="{00000000-0006-0000-0200-000034000000}">
      <text>
        <r>
          <rPr>
            <b/>
            <sz val="9"/>
            <color indexed="81"/>
            <rFont val="Tahoma"/>
            <family val="2"/>
          </rPr>
          <t>catherine.scott:</t>
        </r>
        <r>
          <rPr>
            <sz val="9"/>
            <color indexed="81"/>
            <rFont val="Tahoma"/>
            <family val="2"/>
          </rPr>
          <t xml:space="preserve">
Originally misposted to SHR070</t>
        </r>
      </text>
    </comment>
    <comment ref="E1438" authorId="1" shapeId="0" xr:uid="{00000000-0006-0000-0200-000035000000}">
      <text>
        <r>
          <rPr>
            <b/>
            <sz val="9"/>
            <color indexed="81"/>
            <rFont val="Tahoma"/>
            <family val="2"/>
          </rPr>
          <t>catherine.scott:</t>
        </r>
        <r>
          <rPr>
            <sz val="9"/>
            <color indexed="81"/>
            <rFont val="Tahoma"/>
            <family val="2"/>
          </rPr>
          <t xml:space="preserve">
Balancing figure</t>
        </r>
      </text>
    </comment>
    <comment ref="A1583" authorId="1" shapeId="0" xr:uid="{00000000-0006-0000-0200-000036000000}">
      <text>
        <r>
          <rPr>
            <b/>
            <sz val="9"/>
            <color indexed="81"/>
            <rFont val="Tahoma"/>
            <family val="2"/>
          </rPr>
          <t>catherine.scott:</t>
        </r>
        <r>
          <rPr>
            <sz val="9"/>
            <color indexed="81"/>
            <rFont val="Tahoma"/>
            <family val="2"/>
          </rPr>
          <t xml:space="preserve">
2018: Seem to be combined at least the two forms were sent in together and it said 170 included in 159</t>
        </r>
      </text>
    </comment>
    <comment ref="D1647" authorId="3" shapeId="0" xr:uid="{00000000-0006-0000-0200-000037000000}">
      <text>
        <r>
          <rPr>
            <b/>
            <sz val="9"/>
            <color indexed="81"/>
            <rFont val="Tahoma"/>
            <family val="2"/>
          </rPr>
          <t>stephen.davies:</t>
        </r>
        <r>
          <rPr>
            <sz val="9"/>
            <color indexed="81"/>
            <rFont val="Tahoma"/>
            <family val="2"/>
          </rPr>
          <t xml:space="preserve">
£210 added to balance</t>
        </r>
      </text>
    </comment>
    <comment ref="A1662" authorId="0" shapeId="0" xr:uid="{00000000-0006-0000-0200-000038000000}">
      <text>
        <r>
          <rPr>
            <b/>
            <sz val="9"/>
            <color indexed="81"/>
            <rFont val="Tahoma"/>
            <family val="2"/>
          </rPr>
          <t>administrator:</t>
        </r>
        <r>
          <rPr>
            <sz val="9"/>
            <color indexed="81"/>
            <rFont val="Tahoma"/>
            <family val="2"/>
          </rPr>
          <t xml:space="preserve">
Parish of St. Richard Gwyn</t>
        </r>
      </text>
    </comment>
    <comment ref="A1674" authorId="0" shapeId="0" xr:uid="{00000000-0006-0000-0200-000039000000}">
      <text>
        <r>
          <rPr>
            <b/>
            <sz val="9"/>
            <color indexed="81"/>
            <rFont val="Tahoma"/>
            <family val="2"/>
          </rPr>
          <t>administrator:</t>
        </r>
        <r>
          <rPr>
            <sz val="9"/>
            <color indexed="81"/>
            <rFont val="Tahoma"/>
            <family val="2"/>
          </rPr>
          <t xml:space="preserve">
Parish of St. Richard Gwyn</t>
        </r>
      </text>
    </comment>
    <comment ref="A1688" authorId="0" shapeId="0" xr:uid="{00000000-0006-0000-0200-00003A000000}">
      <text>
        <r>
          <rPr>
            <b/>
            <sz val="9"/>
            <color indexed="81"/>
            <rFont val="Tahoma"/>
            <family val="2"/>
          </rPr>
          <t>administrator:</t>
        </r>
        <r>
          <rPr>
            <sz val="9"/>
            <color indexed="81"/>
            <rFont val="Tahoma"/>
            <family val="2"/>
          </rPr>
          <t xml:space="preserve">
Parish of St. Richard Gwyn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tc={DC4B789E-0B7F-4E47-A89E-FE210B51F9DC}</author>
    <author>tc={A0B2847E-0B4F-4E5C-9913-A30948DACDC8}</author>
    <author>tc={D7852BDD-3539-4613-95A8-5AC7C1620839}</author>
    <author>tc={37902826-B24E-483D-8556-D427E77BBC4D}</author>
    <author>tc={26A3D3EA-2E66-4162-9DF4-187D683B13EB}</author>
    <author>tc={F096DD13-4D6C-4150-9725-97101485AEEC}</author>
    <author>tc={408765EB-A7F9-44AA-8DB7-ECE78322A2D4}</author>
    <author>tc={DF33A0C1-CDCB-4409-A1AC-7DC6817F3C1E}</author>
    <author>tc={4F330C60-D5EE-411D-89D3-E4DD8D603793}</author>
    <author>tc={C976515D-3FCE-4B43-A0A0-F3342A4F9B83}</author>
    <author>tc={1467BF3F-0BCA-4A88-84DB-B088F34E9014}</author>
    <author>tc={0C2E6D31-8FB4-4A57-993D-152A0E006354}</author>
    <author>tc={3A1B147C-DF98-4E11-BFF5-4973A4577AF5}</author>
    <author>tc={8CFE97E4-5F21-4340-AB9C-BF98A9955ECB}</author>
    <author>tc={9740EDDC-3175-4C6C-A242-BC207E425DF8}</author>
    <author>tc={50724941-1AA7-4DF4-B46F-6A15268E2144}</author>
    <author>tc={282FDDC7-0005-4EC5-8954-B59F2EB5622D}</author>
    <author>tc={537334E4-512E-41DB-BF7D-8E786A34FC1C}</author>
    <author>tc={B3B92AF9-3FAE-489F-B49A-2B70F83A016D}</author>
    <author>tc={61258D06-55DA-4BA3-B2FD-5B1BCB8E5172}</author>
    <author>tc={41D0B13B-2FFA-49D8-9885-8628DD003589}</author>
    <author>tc={E9331710-BECA-42A0-9E2F-ADEE6074A2BE}</author>
    <author>tc={FDBC62FF-E9A6-480E-85B3-6754B44A5DFC}</author>
    <author>tc={6A43B55A-ABC8-46BF-981E-E3F11C955A04}</author>
    <author>tc={23B76D4B-D34F-4A4A-A72D-BC1905C6A52B}</author>
    <author>tc={A8945037-8AAC-4C3C-8B96-CEEE96AA4C37}</author>
  </authors>
  <commentList>
    <comment ref="H114" authorId="0" shapeId="0" xr:uid="{00000000-0006-0000-0500-000001000000}">
      <text>
        <t>[Threaded comment]
Your version of Excel allows you to read this threaded comment; however, any edits to it will get removed if the file is opened in a newer version of Excel. Learn more: https://go.microsoft.com/fwlink/?linkid=870924
Comment:
    DD's Return Summary shows £1223.34</t>
      </text>
    </comment>
    <comment ref="H204" authorId="1" shapeId="0" xr:uid="{00000000-0006-0000-0500-000002000000}">
      <text>
        <t>[Threaded comment]
Your version of Excel allows you to read this threaded comment; however, any edits to it will get removed if the file is opened in a newer version of Excel. Learn more: https://go.microsoft.com/fwlink/?linkid=870924
Comment:
    £416.40 banked on 16 Jul 19 to account 10824230 - so it is included in Ecc Sq column</t>
      </text>
    </comment>
    <comment ref="I235" authorId="2" shapeId="0" xr:uid="{00000000-0006-0000-0500-000003000000}">
      <text>
        <t>[Threaded comment]
Your version of Excel allows you to read this threaded comment; however, any edits to it will get removed if the file is opened in a newer version of Excel. Learn more: https://go.microsoft.com/fwlink/?linkid=870924
Comment:
    exclude £840.43 realting to Feb 2019 or Oct 2018 - to check please</t>
      </text>
    </comment>
    <comment ref="L408" authorId="3" shapeId="0" xr:uid="{00000000-0006-0000-0500-000004000000}">
      <text>
        <t>[Threaded comment]
Your version of Excel allows you to read this threaded comment; however, any edits to it will get removed if the file is opened in a newer version of Excel. Learn more: https://go.microsoft.com/fwlink/?linkid=870924
Comment:
    Misc diff of £4.28 to write off to Dio Various 999 account. (Agreed by Cedric)</t>
      </text>
    </comment>
    <comment ref="I414" authorId="4" shapeId="0" xr:uid="{00000000-0006-0000-0500-000005000000}">
      <text>
        <t>[Threaded comment]
Your version of Excel allows you to read this threaded comment; however, any edits to it will get removed if the file is opened in a newer version of Excel. Learn more: https://go.microsoft.com/fwlink/?linkid=870924
Comment:
    £30 in page 1 not included in total here</t>
      </text>
    </comment>
    <comment ref="D429" authorId="5" shapeId="0" xr:uid="{00000000-0006-0000-0500-000006000000}">
      <text>
        <t>[Threaded comment]
Your version of Excel allows you to read this threaded comment; however, any edits to it will get removed if the file is opened in a newer version of Excel. Learn more: https://go.microsoft.com/fwlink/?linkid=870924
Comment:
    was 2081. Should be 2083 based on printed Green Form</t>
      </text>
    </comment>
    <comment ref="I606" authorId="6" shapeId="0" xr:uid="{00000000-0006-0000-0500-000007000000}">
      <text>
        <t>[Threaded comment]
Your version of Excel allows you to read this threaded comment; however, any edits to it will get removed if the file is opened in a newer version of Excel. Learn more: https://go.microsoft.com/fwlink/?linkid=870924
Comment:
    Chq 701503 dated 29-01-2020 for £150.56 was received on 06-02-2020</t>
      </text>
    </comment>
    <comment ref="L618" authorId="7" shapeId="0" xr:uid="{00000000-0006-0000-0500-000008000000}">
      <text>
        <t>[Threaded comment]
Your version of Excel allows you to read this threaded comment; however, any edits to it will get removed if the file is opened in a newer version of Excel. Learn more: https://go.microsoft.com/fwlink/?linkid=870924
Comment:
    Misc diff of £779.63 to write off to Dio Various 999 account. (Agreed by Cedric)</t>
      </text>
    </comment>
    <comment ref="H919" authorId="8" shapeId="0" xr:uid="{00000000-0006-0000-0500-000009000000}">
      <text>
        <t>[Threaded comment]
Your version of Excel allows you to read this threaded comment; however, any edits to it will get removed if the file is opened in a newer version of Excel. Learn more: https://go.microsoft.com/fwlink/?linkid=870924
Comment:
    was
=(85+166+333+176+154+317+230+150)+48+40+52+46+106+41+1000+31+101+55</t>
      </text>
    </comment>
    <comment ref="K919" authorId="9" shapeId="0" xr:uid="{00000000-0006-0000-0500-00000A000000}">
      <text>
        <t>[Threaded comment]
Your version of Excel allows you to read this threaded comment; however, any edits to it will get removed if the file is opened in a newer version of Excel. Learn more: https://go.microsoft.com/fwlink/?linkid=870924
Comment:
    was
Diff £84: Grand total is £3047 in return (casting error? Have not to include 1st 3 items in Ecc  Sq column)</t>
      </text>
    </comment>
    <comment ref="L1013" authorId="10" shapeId="0" xr:uid="{00000000-0006-0000-0500-00000B000000}">
      <text>
        <t>[Threaded comment]
Your version of Excel allows you to read this threaded comment; however, any edits to it will get removed if the file is opened in a newer version of Excel. Learn more: https://go.microsoft.com/fwlink/?linkid=870924
Comment:
    Misc diff of £2619.64 to write off to Dio Various 999 account. (Agreed by Cedric)</t>
      </text>
    </comment>
    <comment ref="L1165" authorId="11" shapeId="0" xr:uid="{00000000-0006-0000-0500-00000C000000}">
      <text>
        <t>[Threaded comment]
Your version of Excel allows you to read this threaded comment; however, any edits to it will get removed if the file is opened in a newer version of Excel. Learn more: https://go.microsoft.com/fwlink/?linkid=870924
Comment:
    Misc diff of £0.10 to write off to Dio Various 999 account. (Agreed by Cedric)</t>
      </text>
    </comment>
    <comment ref="L1277" authorId="12" shapeId="0" xr:uid="{00000000-0006-0000-0500-00000D000000}">
      <text>
        <t>[Threaded comment]
Your version of Excel allows you to read this threaded comment; however, any edits to it will get removed if the file is opened in a newer version of Excel. Learn more: https://go.microsoft.com/fwlink/?linkid=870924
Comment:
    Misc diff of £169.88 to write off to Dio Various 999 account. (Agreed by Cedric)</t>
      </text>
    </comment>
    <comment ref="D1282" authorId="13" shapeId="0" xr:uid="{00000000-0006-0000-0500-00000E000000}">
      <text>
        <t>[Threaded comment]
Your version of Excel allows you to read this threaded comment; however, any edits to it will get removed if the file is opened in a newer version of Excel. Learn more: https://go.microsoft.com/fwlink/?linkid=870924
Comment:
    changed to 704 (was 701 which is incorrect)</t>
      </text>
    </comment>
    <comment ref="I1361" authorId="14" shapeId="0" xr:uid="{00000000-0006-0000-0500-00000F000000}">
      <text>
        <t>[Threaded comment]
Your version of Excel allows you to read this threaded comment; however, any edits to it will get removed if the file is opened in a newer version of Excel. Learn more: https://go.microsoft.com/fwlink/?linkid=870924
Comment:
    exclude £20 chq in Ecc Sq column on 01-04-19</t>
      </text>
    </comment>
    <comment ref="I1398" authorId="15" shapeId="0" xr:uid="{00000000-0006-0000-0500-000010000000}">
      <text>
        <t>[Threaded comment]
Your version of Excel allows you to read this threaded comment; however, any edits to it will get removed if the file is opened in a newer version of Excel. Learn more: https://go.microsoft.com/fwlink/?linkid=870924
Comment:
    CAF voucher: G. Poulter £100</t>
      </text>
    </comment>
    <comment ref="L1427" authorId="16" shapeId="0" xr:uid="{00000000-0006-0000-0500-000011000000}">
      <text>
        <t>[Threaded comment]
Your version of Excel allows you to read this threaded comment; however, any edits to it will get removed if the file is opened in a newer version of Excel. Learn more: https://go.microsoft.com/fwlink/?linkid=870924
Comment:
    Misc diff of £51.05 to write off to Dio Various 999 account. (Agreed by Cedric)</t>
      </text>
    </comment>
    <comment ref="H1505" authorId="17" shapeId="0" xr:uid="{00000000-0006-0000-0500-000012000000}">
      <text>
        <t>[Threaded comment]
Your version of Excel allows you to read this threaded comment; however, any edits to it will get removed if the file is opened in a newer version of Excel. Learn more: https://go.microsoft.com/fwlink/?linkid=870924
Comment:
    1x counterfoil total</t>
      </text>
    </comment>
    <comment ref="L1549" authorId="18" shapeId="0" xr:uid="{00000000-0006-0000-0500-000013000000}">
      <text>
        <t>[Threaded comment]
Your version of Excel allows you to read this threaded comment; however, any edits to it will get removed if the file is opened in a newer version of Excel. Learn more: https://go.microsoft.com/fwlink/?linkid=870924
Comment:
    Misc diff of £420.69 to write off to Dio Various 999 account. (Agreed by Cedric)</t>
      </text>
    </comment>
    <comment ref="H1741" authorId="19" shapeId="0" xr:uid="{00000000-0006-0000-0500-000014000000}">
      <text>
        <t>[Threaded comment]
Your version of Excel allows you to read this threaded comment; however, any edits to it will get removed if the file is opened in a newer version of Excel. Learn more: https://go.microsoft.com/fwlink/?linkid=870924
Comment:
    based on counterfoils attached</t>
      </text>
    </comment>
    <comment ref="I1746" authorId="20" shapeId="0" xr:uid="{00000000-0006-0000-0500-000015000000}">
      <text>
        <t>[Threaded comment]
Your version of Excel allows you to read this threaded comment; however, any edits to it will get removed if the file is opened in a newer version of Excel. Learn more: https://go.microsoft.com/fwlink/?linkid=870924
Comment:
    chq received in Ecc Sq with green foem</t>
      </text>
    </comment>
    <comment ref="L1766" authorId="21" shapeId="0" xr:uid="{00000000-0006-0000-0500-000016000000}">
      <text>
        <t>[Threaded comment]
Your version of Excel allows you to read this threaded comment; however, any edits to it will get removed if the file is opened in a newer version of Excel. Learn more: https://go.microsoft.com/fwlink/?linkid=870924
Comment:
    Misc diff of £1499.52 to write off to Dio Various 999 account. (Agreed by Cedric)</t>
      </text>
    </comment>
    <comment ref="I1774" authorId="22" shapeId="0" xr:uid="{00000000-0006-0000-0500-000017000000}">
      <text>
        <t>[Threaded comment]
Your version of Excel allows you to read this threaded comment; however, any edits to it will get removed if the file is opened in a newer version of Excel. Learn more: https://go.microsoft.com/fwlink/?linkid=870924
Comment:
    amended based on LocSec email received 27-02-2020</t>
      </text>
    </comment>
    <comment ref="K1910" authorId="23" shapeId="0" xr:uid="{00000000-0006-0000-0500-000018000000}">
      <text>
        <t>[Threaded comment]
Your version of Excel allows you to read this threaded comment; however, any edits to it will get removed if the file is opened in a newer version of Excel. Learn more: https://go.microsoft.com/fwlink/?linkid=870924
Comment:
    handed in by ex-LS (09-01-2020)</t>
      </text>
    </comment>
    <comment ref="H1926" authorId="24" shapeId="0" xr:uid="{00000000-0006-0000-0500-000019000000}">
      <text>
        <t>[Threaded comment]
Your version of Excel allows you to read this threaded comment; however, any edits to it will get removed if the file is opened in a newer version of Excel. Learn more: https://go.microsoft.com/fwlink/?linkid=870924
Comment:
    Chq 108515 £637.68 received 22 Jan 2020 (=29.89+24.19+483.6+100)</t>
      </text>
    </comment>
    <comment ref="L2053" authorId="25" shapeId="0" xr:uid="{00000000-0006-0000-0500-00001A000000}">
      <text>
        <t>[Threaded comment]
Your version of Excel allows you to read this threaded comment; however, any edits to it will get removed if the file is opened in a newer version of Excel. Learn more: https://go.microsoft.com/fwlink/?linkid=870924
Comment:
    Misc diff of £285.91 to write off to Dio Various 999 account. (Agreed by Cedric)</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tc={3B3E004A-7816-44C3-B70F-2BE435D5BD21}</author>
    <author>administrator</author>
    <author>catherine.scott</author>
    <author>tc={E123F266-3A1B-4008-A702-C6ACE82F090A}</author>
    <author>tc={8E29B617-A498-4112-B0F1-46A34BE5BEED}</author>
    <author>tc={7A26945E-9726-4D3F-A734-E9A6A02957BE}</author>
  </authors>
  <commentList>
    <comment ref="R2" authorId="0" shapeId="0" xr:uid="{00000000-0006-0000-0800-000001000000}">
      <text>
        <t>[Threaded comment]
Your version of Excel allows you to read this threaded comment; however, any edits to it will get removed if the file is opened in a newer version of Excel. Learn more: https://go.microsoft.com/fwlink/?linkid=870924
Comment:
    Input current year here and the other worksheets will be updated</t>
      </text>
    </comment>
    <comment ref="C18" authorId="1" shapeId="0" xr:uid="{00000000-0006-0000-0800-000002000000}">
      <text>
        <r>
          <rPr>
            <b/>
            <sz val="9"/>
            <color indexed="81"/>
            <rFont val="Tahoma"/>
            <family val="2"/>
          </rPr>
          <t>administrator:</t>
        </r>
        <r>
          <rPr>
            <sz val="9"/>
            <color indexed="81"/>
            <rFont val="Tahoma"/>
            <family val="2"/>
          </rPr>
          <t xml:space="preserve">
Church closed in 2017 and LS retired</t>
        </r>
      </text>
    </comment>
    <comment ref="D18" authorId="2" shapeId="0" xr:uid="{00000000-0006-0000-0800-000003000000}">
      <text>
        <r>
          <rPr>
            <b/>
            <sz val="9"/>
            <color indexed="81"/>
            <rFont val="Tahoma"/>
            <family val="2"/>
          </rPr>
          <t>catherine.scott:</t>
        </r>
        <r>
          <rPr>
            <sz val="9"/>
            <color indexed="81"/>
            <rFont val="Tahoma"/>
            <family val="2"/>
          </rPr>
          <t xml:space="preserve">
Check as parish closed</t>
        </r>
      </text>
    </comment>
    <comment ref="A23" authorId="1" shapeId="0" xr:uid="{00000000-0006-0000-0800-000004000000}">
      <text>
        <r>
          <rPr>
            <b/>
            <sz val="9"/>
            <color indexed="81"/>
            <rFont val="Tahoma"/>
            <family val="2"/>
          </rPr>
          <t>administrator:</t>
        </r>
        <r>
          <rPr>
            <sz val="9"/>
            <color indexed="81"/>
            <rFont val="Tahoma"/>
            <family val="2"/>
          </rPr>
          <t xml:space="preserve">
Shares LS with ARU063</t>
        </r>
      </text>
    </comment>
    <comment ref="A44" authorId="3" shapeId="0" xr:uid="{00000000-0006-0000-0800-000005000000}">
      <text>
        <t>[Threaded comment]
Your version of Excel allows you to read this threaded comment; however, any edits to it will get removed if the file is opened in a newer version of Excel. Learn more: https://go.microsoft.com/fwlink/?linkid=870924
Comment:
    newly inserted</t>
      </text>
    </comment>
    <comment ref="C45" authorId="4" shapeId="0" xr:uid="{00000000-0006-0000-0800-000006000000}">
      <text>
        <t>[Threaded comment]
Your version of Excel allows you to read this threaded comment; however, any edits to it will get removed if the file is opened in a newer version of Excel. Learn more: https://go.microsoft.com/fwlink/?linkid=870924
Comment:
    was English Martyrs, Horley</t>
      </text>
    </comment>
    <comment ref="A60" authorId="1" shapeId="0" xr:uid="{00000000-0006-0000-0800-000007000000}">
      <text>
        <r>
          <rPr>
            <b/>
            <sz val="9"/>
            <color indexed="81"/>
            <rFont val="Tahoma"/>
            <family val="2"/>
          </rPr>
          <t>administrator:</t>
        </r>
        <r>
          <rPr>
            <sz val="9"/>
            <color indexed="81"/>
            <rFont val="Tahoma"/>
            <family val="2"/>
          </rPr>
          <t xml:space="preserve">
Shared LS with o26</t>
        </r>
      </text>
    </comment>
    <comment ref="A91" authorId="1" shapeId="0" xr:uid="{00000000-0006-0000-0800-000008000000}">
      <text>
        <r>
          <rPr>
            <b/>
            <sz val="9"/>
            <color indexed="81"/>
            <rFont val="Tahoma"/>
            <family val="2"/>
          </rPr>
          <t>administrator:</t>
        </r>
        <r>
          <rPr>
            <sz val="9"/>
            <color indexed="81"/>
            <rFont val="Tahoma"/>
            <family val="2"/>
          </rPr>
          <t xml:space="preserve">
combine with ARU013 in 2018</t>
        </r>
      </text>
    </comment>
    <comment ref="B101" authorId="2" shapeId="0" xr:uid="{00000000-0006-0000-0800-000009000000}">
      <text>
        <r>
          <rPr>
            <b/>
            <sz val="9"/>
            <color indexed="81"/>
            <rFont val="Tahoma"/>
            <family val="2"/>
          </rPr>
          <t>catherine.scott:</t>
        </r>
        <r>
          <rPr>
            <sz val="9"/>
            <color indexed="81"/>
            <rFont val="Tahoma"/>
            <family val="2"/>
          </rPr>
          <t xml:space="preserve">
Include Hove and delete Portslade in 2019 as latter is closing</t>
        </r>
      </text>
    </comment>
    <comment ref="B109" authorId="1" shapeId="0" xr:uid="{00000000-0006-0000-0800-00000A000000}">
      <text>
        <r>
          <rPr>
            <b/>
            <sz val="9"/>
            <color indexed="81"/>
            <rFont val="Tahoma"/>
            <family val="2"/>
          </rPr>
          <t>administrator:</t>
        </r>
        <r>
          <rPr>
            <sz val="9"/>
            <color indexed="81"/>
            <rFont val="Tahoma"/>
            <family val="2"/>
          </rPr>
          <t xml:space="preserve">
May include ARU065</t>
        </r>
      </text>
    </comment>
    <comment ref="A114" authorId="5" shapeId="0" xr:uid="{00000000-0006-0000-0800-00000B000000}">
      <text>
        <t>[Threaded comment]
Your version of Excel allows you to read this threaded comment; however, any edits to it will get removed if the file is opened in a newer version of Excel. Learn more: https://go.microsoft.com/fwlink/?linkid=870924
Comment:
    newly inserted</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administrator</author>
    <author>catherine.scott</author>
  </authors>
  <commentList>
    <comment ref="C130" authorId="0" shapeId="0" xr:uid="{00000000-0006-0000-0900-000001000000}">
      <text>
        <r>
          <rPr>
            <b/>
            <sz val="9"/>
            <color indexed="81"/>
            <rFont val="Tahoma"/>
            <family val="2"/>
          </rPr>
          <t>administrator:</t>
        </r>
        <r>
          <rPr>
            <sz val="9"/>
            <color indexed="81"/>
            <rFont val="Tahoma"/>
            <family val="2"/>
          </rPr>
          <t xml:space="preserve">
church has closed down and some parishioners attend St John the Evangelist Chesterton</t>
        </r>
      </text>
    </comment>
    <comment ref="C214" authorId="0" shapeId="0" xr:uid="{00000000-0006-0000-0900-000002000000}">
      <text>
        <r>
          <rPr>
            <b/>
            <sz val="9"/>
            <color indexed="81"/>
            <rFont val="Tahoma"/>
            <family val="2"/>
          </rPr>
          <t>administrator:</t>
        </r>
        <r>
          <rPr>
            <sz val="9"/>
            <color indexed="81"/>
            <rFont val="Tahoma"/>
            <family val="2"/>
          </rPr>
          <t xml:space="preserve">
changed to omit st edmund gennings at request of LS as this chrch is now closed</t>
        </r>
      </text>
    </comment>
    <comment ref="D235" authorId="1" shapeId="0" xr:uid="{00000000-0006-0000-0900-000003000000}">
      <text>
        <r>
          <rPr>
            <b/>
            <sz val="9"/>
            <color indexed="81"/>
            <rFont val="Tahoma"/>
            <family val="2"/>
          </rPr>
          <t>catherine.scott:</t>
        </r>
        <r>
          <rPr>
            <sz val="9"/>
            <color indexed="81"/>
            <rFont val="Tahoma"/>
            <family val="2"/>
          </rPr>
          <t xml:space="preserve">
£5 balancing figure inserted at end of various</t>
        </r>
      </text>
    </comment>
    <comment ref="E235" authorId="1" shapeId="0" xr:uid="{00000000-0006-0000-0900-000004000000}">
      <text>
        <r>
          <rPr>
            <b/>
            <sz val="9"/>
            <color indexed="81"/>
            <rFont val="Tahoma"/>
            <family val="2"/>
          </rPr>
          <t>catherine.scott:</t>
        </r>
        <r>
          <rPr>
            <sz val="9"/>
            <color indexed="81"/>
            <rFont val="Tahoma"/>
            <family val="2"/>
          </rPr>
          <t xml:space="preserve">
balancing figure of £36</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R16" authorId="0" shapeId="0" xr:uid="{00000000-0006-0000-0A00-000001000000}">
      <text>
        <r>
          <rPr>
            <b/>
            <sz val="9"/>
            <color indexed="81"/>
            <rFont val="Tahoma"/>
            <family val="2"/>
          </rPr>
          <t>administrator:</t>
        </r>
        <r>
          <rPr>
            <sz val="9"/>
            <color indexed="81"/>
            <rFont val="Tahoma"/>
            <family val="2"/>
          </rPr>
          <t xml:space="preserve">
ONE CHEQUE AS MENTIONED ON gf PLUS DIRECT DONATIONS</t>
        </r>
      </text>
    </comment>
    <comment ref="R17" authorId="0" shapeId="0" xr:uid="{00000000-0006-0000-0A00-000002000000}">
      <text>
        <r>
          <rPr>
            <b/>
            <sz val="9"/>
            <color indexed="81"/>
            <rFont val="Tahoma"/>
            <family val="2"/>
          </rPr>
          <t>administrator:</t>
        </r>
        <r>
          <rPr>
            <sz val="9"/>
            <color indexed="81"/>
            <rFont val="Tahoma"/>
            <family val="2"/>
          </rPr>
          <t xml:space="preserve">
LOOKS LIKE THIS FIGURE IS TWO YEAR'S WORTH AS LATE PAYMENT FOR 2016 CAME IN JANUARY 2017</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B33" authorId="0" shapeId="0" xr:uid="{00000000-0006-0000-0B00-000001000000}">
      <text>
        <r>
          <rPr>
            <b/>
            <sz val="9"/>
            <color indexed="81"/>
            <rFont val="Tahoma"/>
            <family val="2"/>
          </rPr>
          <t>administrator:</t>
        </r>
        <r>
          <rPr>
            <sz val="9"/>
            <color indexed="81"/>
            <rFont val="Tahoma"/>
            <family val="2"/>
          </rPr>
          <t xml:space="preserve">
Two certificates in future please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catherine.scott</author>
  </authors>
  <commentList>
    <comment ref="D117" authorId="0" shapeId="0" xr:uid="{00000000-0006-0000-0C00-000001000000}">
      <text>
        <r>
          <rPr>
            <b/>
            <sz val="9"/>
            <color indexed="81"/>
            <rFont val="Tahoma"/>
            <family val="2"/>
          </rPr>
          <t>catherine.scott:</t>
        </r>
        <r>
          <rPr>
            <sz val="9"/>
            <color indexed="81"/>
            <rFont val="Tahoma"/>
            <family val="2"/>
          </rPr>
          <t xml:space="preserve">
Last figure a balancing figure of £71</t>
        </r>
      </text>
    </comment>
  </commentList>
</comments>
</file>

<file path=xl/sharedStrings.xml><?xml version="1.0" encoding="utf-8"?>
<sst xmlns="http://schemas.openxmlformats.org/spreadsheetml/2006/main" count="44216" uniqueCount="11406">
  <si>
    <t>Missio's APF-Mill Hill Red Box Annual Parish Results 2018 - Portsmouth Diocese</t>
  </si>
  <si>
    <t>PCN</t>
  </si>
  <si>
    <t>Town</t>
  </si>
  <si>
    <t>Dedication</t>
  </si>
  <si>
    <t>Corr Direct Don</t>
  </si>
  <si>
    <t>Diocesan A/C</t>
  </si>
  <si>
    <t xml:space="preserve">Total 2016 </t>
  </si>
  <si>
    <t>POR001</t>
  </si>
  <si>
    <t>PORTSMOUTH</t>
  </si>
  <si>
    <t>Cathedral of St John the Evangelist</t>
  </si>
  <si>
    <t>POR002</t>
  </si>
  <si>
    <t>Corpus Christi RC Church</t>
  </si>
  <si>
    <t>POR004</t>
  </si>
  <si>
    <t>St Colman &amp; St Paul</t>
  </si>
  <si>
    <t>POR005</t>
  </si>
  <si>
    <t>St  Joseph RC Church</t>
  </si>
  <si>
    <t>POR007</t>
  </si>
  <si>
    <t>Our Lady of Lourdes with St Swithun</t>
  </si>
  <si>
    <t>POR008</t>
  </si>
  <si>
    <t>ABINGDON</t>
  </si>
  <si>
    <t>Our Lady &amp; St Edmund RC Church</t>
  </si>
  <si>
    <t>POR009</t>
  </si>
  <si>
    <t>ALDERNEY</t>
  </si>
  <si>
    <t>St Anne &amp; St Mary Magdalen</t>
  </si>
  <si>
    <t>POR010</t>
  </si>
  <si>
    <t>ALDERSHOT</t>
  </si>
  <si>
    <t>POR013</t>
  </si>
  <si>
    <t>ALRESFORD - Hampshire Downs</t>
  </si>
  <si>
    <t>St Gregory the Great RC Church</t>
  </si>
  <si>
    <t>POR014</t>
  </si>
  <si>
    <t>ALTON</t>
  </si>
  <si>
    <t>St Mary RC Church</t>
  </si>
  <si>
    <t>POR016</t>
  </si>
  <si>
    <t>ANDOVER</t>
  </si>
  <si>
    <t>St John the Baptist RC Church</t>
  </si>
  <si>
    <t>POR017</t>
  </si>
  <si>
    <t>ASCOT</t>
  </si>
  <si>
    <t>St Francis RC Church</t>
  </si>
  <si>
    <t>POR018</t>
  </si>
  <si>
    <t>BASINGSTOKE</t>
  </si>
  <si>
    <t>Holy Ghost RC Church</t>
  </si>
  <si>
    <t>POR019</t>
  </si>
  <si>
    <t>POR020</t>
  </si>
  <si>
    <t>BISHOP'S WALTHAM</t>
  </si>
  <si>
    <t>Our Lady Queen of Apostles</t>
  </si>
  <si>
    <t>POR021</t>
  </si>
  <si>
    <t>BORDON</t>
  </si>
  <si>
    <t>The Sacred Heart RC Church</t>
  </si>
  <si>
    <t>POR022</t>
  </si>
  <si>
    <t>BOURNEMOUTH</t>
  </si>
  <si>
    <t>POR023</t>
  </si>
  <si>
    <t>POR025</t>
  </si>
  <si>
    <t>Our Lady Immaculate RC Church</t>
  </si>
  <si>
    <t>POR026</t>
  </si>
  <si>
    <t>Our Lady &amp; Blessed Margaret Pole</t>
  </si>
  <si>
    <t>POR027</t>
  </si>
  <si>
    <t>St Thomas More RC Church</t>
  </si>
  <si>
    <t>POR028</t>
  </si>
  <si>
    <t>The Annunciation &amp; St Edmund Campion</t>
  </si>
  <si>
    <t>POR029</t>
  </si>
  <si>
    <t>BRACKNELL</t>
  </si>
  <si>
    <t>St Joseph RC Church</t>
  </si>
  <si>
    <t>POR030</t>
  </si>
  <si>
    <t>St Margaret Clitherow</t>
  </si>
  <si>
    <t>POR032</t>
  </si>
  <si>
    <t>BROCKENHURST</t>
  </si>
  <si>
    <t>St Anne RC Church</t>
  </si>
  <si>
    <t>POR033</t>
  </si>
  <si>
    <t>BUCKLAND &amp; FARRINGDON</t>
  </si>
  <si>
    <t>St George RC Church</t>
  </si>
  <si>
    <t>POR034</t>
  </si>
  <si>
    <t>CHANDLERS FORD</t>
  </si>
  <si>
    <t>St Edward the Confessor</t>
  </si>
  <si>
    <t>POR035</t>
  </si>
  <si>
    <t>CHRISTCHURCH</t>
  </si>
  <si>
    <t>Immaculate Conception &amp; St Joseph</t>
  </si>
  <si>
    <t>POR036</t>
  </si>
  <si>
    <t>COWES</t>
  </si>
  <si>
    <t>St Thomas of Canterbury</t>
  </si>
  <si>
    <t>POR038</t>
  </si>
  <si>
    <t>CROWTHORNE</t>
  </si>
  <si>
    <t>POR039</t>
  </si>
  <si>
    <t>DIDCOT</t>
  </si>
  <si>
    <t>English Martyrs RC Church</t>
  </si>
  <si>
    <t>POR040</t>
  </si>
  <si>
    <t>READING</t>
  </si>
  <si>
    <t>Our Lady of Peace &amp; Blessed Dominic Barberi</t>
  </si>
  <si>
    <t>POR041</t>
  </si>
  <si>
    <t>EAST COWES</t>
  </si>
  <si>
    <t>St David</t>
  </si>
  <si>
    <t>POR042</t>
  </si>
  <si>
    <t>EAST HENDRED</t>
  </si>
  <si>
    <t>POR043</t>
  </si>
  <si>
    <t>EASTLEIGH</t>
  </si>
  <si>
    <t>Holy Cross RC Church</t>
  </si>
  <si>
    <t>POR044</t>
  </si>
  <si>
    <t>FAREHAM</t>
  </si>
  <si>
    <t>Our Lady Star of the Sea -Sacred Heart</t>
  </si>
  <si>
    <t>POR045</t>
  </si>
  <si>
    <t>FARNBOROUGH</t>
  </si>
  <si>
    <t>Our  Lady  Help of Christians RC Church</t>
  </si>
  <si>
    <t>POR046</t>
  </si>
  <si>
    <t>Our  Lady &amp; St Dominic RC Church</t>
  </si>
  <si>
    <t>POR049/37</t>
  </si>
  <si>
    <t>FLEET &amp; CHURCH CROOKHAM</t>
  </si>
  <si>
    <t>Our Lady &amp; Holy Trinity Church Crookham</t>
  </si>
  <si>
    <t>POR050</t>
  </si>
  <si>
    <t>FORDINGBRIDGE</t>
  </si>
  <si>
    <t>Our Lady of Sorrows &amp; St Philip Benizi</t>
  </si>
  <si>
    <t>POR051</t>
  </si>
  <si>
    <t>GOSPORT</t>
  </si>
  <si>
    <t>POR052</t>
  </si>
  <si>
    <t>GRAYSHOTT</t>
  </si>
  <si>
    <t>POR053</t>
  </si>
  <si>
    <t>GUERNSEY</t>
  </si>
  <si>
    <t>Our Lady &amp; The Saints of Guernsey</t>
  </si>
  <si>
    <t>POR054</t>
  </si>
  <si>
    <t>Notre Dame du Rosarie</t>
  </si>
  <si>
    <t>POR055</t>
  </si>
  <si>
    <t>Our Lady Star of the Sea</t>
  </si>
  <si>
    <t>POR056</t>
  </si>
  <si>
    <t>HAVANT &amp;  EMSWORTH</t>
  </si>
  <si>
    <t>POR058</t>
  </si>
  <si>
    <t>HAYLING ISLAND</t>
  </si>
  <si>
    <t>St Patrick RC Church</t>
  </si>
  <si>
    <t>POR059</t>
  </si>
  <si>
    <t>HEDGE END</t>
  </si>
  <si>
    <t>Our Lady of the Assumption</t>
  </si>
  <si>
    <t>POR060</t>
  </si>
  <si>
    <t>HIGHCLIFF</t>
  </si>
  <si>
    <t>Holy Redeemer RC Church</t>
  </si>
  <si>
    <t>POR061</t>
  </si>
  <si>
    <t>WATERSIDE</t>
  </si>
  <si>
    <t>St Bernard &amp; St Michael</t>
  </si>
  <si>
    <t>POR062</t>
  </si>
  <si>
    <t>HOOK</t>
  </si>
  <si>
    <t>Sacred Heart &amp; St Thomas More</t>
  </si>
  <si>
    <t>POR062A</t>
  </si>
  <si>
    <t>HARTLEY WINTNEY</t>
  </si>
  <si>
    <t>POR063</t>
  </si>
  <si>
    <t>HORNDEAN</t>
  </si>
  <si>
    <t>St Edmund RC Church</t>
  </si>
  <si>
    <t>POR065</t>
  </si>
  <si>
    <t>JERSEY</t>
  </si>
  <si>
    <t>St Mary &amp; St Peter</t>
  </si>
  <si>
    <t>POR066</t>
  </si>
  <si>
    <t>St Thomas</t>
  </si>
  <si>
    <t xml:space="preserve">                                                                                                                                                                    </t>
  </si>
  <si>
    <t>POR067</t>
  </si>
  <si>
    <t>JERSEY ST AUBIN - WEST</t>
  </si>
  <si>
    <t>Sacred Heart &amp; St Bernadette</t>
  </si>
  <si>
    <t>POR068</t>
  </si>
  <si>
    <t>Our Lady &amp; The Martyrs  of Japan</t>
  </si>
  <si>
    <t>POR069</t>
  </si>
  <si>
    <t>JERSEY - WEST</t>
  </si>
  <si>
    <t>St Matthew</t>
  </si>
  <si>
    <t>POR070</t>
  </si>
  <si>
    <t>JERSEY SAMARES</t>
  </si>
  <si>
    <t>St Patrick</t>
  </si>
  <si>
    <t>POR072</t>
  </si>
  <si>
    <t>LAMBOURN &amp; HUNGERFORD</t>
  </si>
  <si>
    <t>Sacred Heart &amp; Our Lady of Lourdes</t>
  </si>
  <si>
    <t>POR075</t>
  </si>
  <si>
    <t>LEE-ON-SOLENT</t>
  </si>
  <si>
    <t>St John the Evangelist</t>
  </si>
  <si>
    <t>POR076</t>
  </si>
  <si>
    <t>LEIGH PARK</t>
  </si>
  <si>
    <t>St Michael &amp; All Angels RC Church</t>
  </si>
  <si>
    <t>POR077</t>
  </si>
  <si>
    <t>LIPHOOK</t>
  </si>
  <si>
    <t>The Immculate Conception</t>
  </si>
  <si>
    <t>POR078</t>
  </si>
  <si>
    <t>LYMINGTON</t>
  </si>
  <si>
    <t>Our Lady &amp; St Joseph RC Church</t>
  </si>
  <si>
    <t>POR079</t>
  </si>
  <si>
    <t>LYNDHURST</t>
  </si>
  <si>
    <t>Our Lady &amp; St Edward the Confessor</t>
  </si>
  <si>
    <t>POR080</t>
  </si>
  <si>
    <t>MAIDENHEAD</t>
  </si>
  <si>
    <t>POR081</t>
  </si>
  <si>
    <t>St Edmund Campion RC Church</t>
  </si>
  <si>
    <t>POR082</t>
  </si>
  <si>
    <t>MILFORD-ON-SEA</t>
  </si>
  <si>
    <t>St Francis of Assisi RC Church</t>
  </si>
  <si>
    <t>POR083</t>
  </si>
  <si>
    <t>NETLEY</t>
  </si>
  <si>
    <t>The Annunciation</t>
  </si>
  <si>
    <t>POR084</t>
  </si>
  <si>
    <t>NEWBURY</t>
  </si>
  <si>
    <t>POR085</t>
  </si>
  <si>
    <t>St Francis de Sales RC Church</t>
  </si>
  <si>
    <t>POR086</t>
  </si>
  <si>
    <t>NEW MILTON</t>
  </si>
  <si>
    <t>Our Lady of Lourdes RC Church</t>
  </si>
  <si>
    <t>POR087</t>
  </si>
  <si>
    <t>NEWPORT</t>
  </si>
  <si>
    <t>POR089</t>
  </si>
  <si>
    <t>NORTH HINKSEY</t>
  </si>
  <si>
    <t>Our Lady of the Rosary</t>
  </si>
  <si>
    <t>POR092</t>
  </si>
  <si>
    <t>PARK GATE</t>
  </si>
  <si>
    <t>Our Lady Star of the Sea -St Margaret Mary</t>
  </si>
  <si>
    <t>POR093</t>
  </si>
  <si>
    <t>PETERSFIELD</t>
  </si>
  <si>
    <t>St Laurence RC Church</t>
  </si>
  <si>
    <t>POR094</t>
  </si>
  <si>
    <t>PORTCHESTER</t>
  </si>
  <si>
    <t>Our Lady of Walsingham</t>
  </si>
  <si>
    <t>POR095</t>
  </si>
  <si>
    <t>QUARR</t>
  </si>
  <si>
    <t>St Mary's Abbey</t>
  </si>
  <si>
    <t>POR096</t>
  </si>
  <si>
    <t>St James &amp; St William of York</t>
  </si>
  <si>
    <t>POR097</t>
  </si>
  <si>
    <t>Christ the King RC Church</t>
  </si>
  <si>
    <t>POR098</t>
  </si>
  <si>
    <t>The English Martyrs</t>
  </si>
  <si>
    <t>POR099</t>
  </si>
  <si>
    <t>POR102</t>
  </si>
  <si>
    <t>RINGWOOD</t>
  </si>
  <si>
    <t>Sacred Heart &amp; St Therese of Lisieux</t>
  </si>
  <si>
    <t>POR103</t>
  </si>
  <si>
    <t>ROMSEY</t>
  </si>
  <si>
    <t>St  Joseph &amp; St Andrew RC Church</t>
  </si>
  <si>
    <t>POR105</t>
  </si>
  <si>
    <t>RYDE</t>
  </si>
  <si>
    <t>St Mary</t>
  </si>
  <si>
    <t>POR106</t>
  </si>
  <si>
    <t>SANDOWN</t>
  </si>
  <si>
    <t>POR107</t>
  </si>
  <si>
    <t>SHANKLIN</t>
  </si>
  <si>
    <t>Sacred Heart</t>
  </si>
  <si>
    <t>POR109</t>
  </si>
  <si>
    <t>SOUTHAMPTON</t>
  </si>
  <si>
    <t>St Joseph &amp; St Edmund</t>
  </si>
  <si>
    <t>POR111</t>
  </si>
  <si>
    <t>Christ the King &amp; St Colman</t>
  </si>
  <si>
    <t>POR112</t>
  </si>
  <si>
    <t>Holy Family RC Church</t>
  </si>
  <si>
    <t>POR113</t>
  </si>
  <si>
    <t>Immaculate  Conception RC Church</t>
  </si>
  <si>
    <t>POR114</t>
  </si>
  <si>
    <t>St Boniface RC Church</t>
  </si>
  <si>
    <t>POR116</t>
  </si>
  <si>
    <t>St  Patrick RC Church</t>
  </si>
  <si>
    <t>POR117</t>
  </si>
  <si>
    <t>St Vincent de Paul</t>
  </si>
  <si>
    <t>POR119</t>
  </si>
  <si>
    <t>STUBBINGTON</t>
  </si>
  <si>
    <t>Immaculate Conception RC Church</t>
  </si>
  <si>
    <t>POR120</t>
  </si>
  <si>
    <t xml:space="preserve">TADLEY </t>
  </si>
  <si>
    <t>St Michael RC Church</t>
  </si>
  <si>
    <t>POR121</t>
  </si>
  <si>
    <t>THATCHAM</t>
  </si>
  <si>
    <t>POR122</t>
  </si>
  <si>
    <t>TOTLAND BAY</t>
  </si>
  <si>
    <t>St Saviour RC Church</t>
  </si>
  <si>
    <t>POR123</t>
  </si>
  <si>
    <t>TOTTON</t>
  </si>
  <si>
    <t>St Theresa of the Child Jesus</t>
  </si>
  <si>
    <t>POR124</t>
  </si>
  <si>
    <t>TWYFORD</t>
  </si>
  <si>
    <t>POR126</t>
  </si>
  <si>
    <t>VENTNOR</t>
  </si>
  <si>
    <t>Our Lady &amp; St Wilfrid</t>
  </si>
  <si>
    <t>POR127</t>
  </si>
  <si>
    <t>WALLINGFORD</t>
  </si>
  <si>
    <t>POR128</t>
  </si>
  <si>
    <t>WANTAGE</t>
  </si>
  <si>
    <t>St John Vianney</t>
  </si>
  <si>
    <t>POR129</t>
  </si>
  <si>
    <t>WATERLOOVILLE</t>
  </si>
  <si>
    <t>The Sacred Heart &amp; St Peter the Apostle RC Church</t>
  </si>
  <si>
    <t>POR131</t>
  </si>
  <si>
    <t>WINCHESTER - Hampshire Downs</t>
  </si>
  <si>
    <t>St Peter RC Church</t>
  </si>
  <si>
    <t>POR134</t>
  </si>
  <si>
    <t>WINDSOR</t>
  </si>
  <si>
    <t>St Edward &amp; St Mark RC Church</t>
  </si>
  <si>
    <t>POR135</t>
  </si>
  <si>
    <t>WOKINGHAM</t>
  </si>
  <si>
    <t>POR136</t>
  </si>
  <si>
    <t>WOODLEY</t>
  </si>
  <si>
    <t>St John Bosco</t>
  </si>
  <si>
    <t>POR137</t>
  </si>
  <si>
    <t>WOOLHAMPTON</t>
  </si>
  <si>
    <t>POR138</t>
  </si>
  <si>
    <t>BURGHFIELD COMMON</t>
  </si>
  <si>
    <t>St Oswald RC Church</t>
  </si>
  <si>
    <t>POR139</t>
  </si>
  <si>
    <t>Our Lady &amp; St Bernadette</t>
  </si>
  <si>
    <t>POR140</t>
  </si>
  <si>
    <t>YATELEY</t>
  </si>
  <si>
    <t>St Swithun RC Church</t>
  </si>
  <si>
    <t>POR141</t>
  </si>
  <si>
    <t>SANDHURST</t>
  </si>
  <si>
    <t>The Immaculate Conception</t>
  </si>
  <si>
    <t>POR142</t>
  </si>
  <si>
    <t>St Luke</t>
  </si>
  <si>
    <t>POR143</t>
  </si>
  <si>
    <t>St Columba</t>
  </si>
  <si>
    <t>POR144</t>
  </si>
  <si>
    <t>Douai Abbey</t>
  </si>
  <si>
    <t>POR000/777/999</t>
  </si>
  <si>
    <t>Various</t>
  </si>
  <si>
    <t>MISCELLANEOUS</t>
  </si>
  <si>
    <t>Total</t>
  </si>
  <si>
    <t>Diocese</t>
  </si>
  <si>
    <t>Combined Parish</t>
  </si>
  <si>
    <t>Parish Centre Number</t>
  </si>
  <si>
    <t>Serial No</t>
  </si>
  <si>
    <t>Full Name</t>
  </si>
  <si>
    <t>Preferred Town</t>
  </si>
  <si>
    <t>Form Returned Y/N</t>
  </si>
  <si>
    <t>Amount paid into Diocesan Bank Account</t>
  </si>
  <si>
    <t>Amount paid to Eccleston Square</t>
  </si>
  <si>
    <t>Extra Column (not used in Pivot)</t>
  </si>
  <si>
    <t>Remark</t>
  </si>
  <si>
    <t>Diff to agree to banking</t>
  </si>
  <si>
    <t>Revised banking total into Diocesan Bank account (excl Ecc Sq)</t>
  </si>
  <si>
    <t>Based on counterfoil records kept by Trevor Cooksey</t>
  </si>
  <si>
    <t>per statement analysis it should be £</t>
  </si>
  <si>
    <t>ARU</t>
  </si>
  <si>
    <t>No</t>
  </si>
  <si>
    <t>ARU001</t>
  </si>
  <si>
    <t>1674</t>
  </si>
  <si>
    <t>Cathedral Parish of Our Lady &amp; St Philip Howard</t>
  </si>
  <si>
    <t>ARUNDEL</t>
  </si>
  <si>
    <t>Y</t>
  </si>
  <si>
    <t>ARU001S</t>
  </si>
  <si>
    <t>0479420</t>
  </si>
  <si>
    <t>Chapel of Our Lady Help of Christians</t>
  </si>
  <si>
    <t>ARU002</t>
  </si>
  <si>
    <t>1675</t>
  </si>
  <si>
    <t>The Holy Family RC Church</t>
  </si>
  <si>
    <t>ADDLESTONE</t>
  </si>
  <si>
    <t>banking per DD</t>
  </si>
  <si>
    <t>ARU003</t>
  </si>
  <si>
    <t>1676</t>
  </si>
  <si>
    <t>LITTLEHAMPTON</t>
  </si>
  <si>
    <t>ARU004</t>
  </si>
  <si>
    <t>1677</t>
  </si>
  <si>
    <t>The Holy Angels RC Church</t>
  </si>
  <si>
    <t>ARU007</t>
  </si>
  <si>
    <t>1678</t>
  </si>
  <si>
    <t>St Richard RC Church</t>
  </si>
  <si>
    <t>BOGNOR REGIS</t>
  </si>
  <si>
    <t>ARU008</t>
  </si>
  <si>
    <t>1679</t>
  </si>
  <si>
    <t>ASHTEAD</t>
  </si>
  <si>
    <t>Yes</t>
  </si>
  <si>
    <t>ARU009</t>
  </si>
  <si>
    <t>1680</t>
  </si>
  <si>
    <t xml:space="preserve">BAGSHOT                       </t>
  </si>
  <si>
    <t>ARU010</t>
  </si>
  <si>
    <t>1681</t>
  </si>
  <si>
    <t>St Ann's RC Church</t>
  </si>
  <si>
    <t>BANSTEAD</t>
  </si>
  <si>
    <t>per DD - it is zero</t>
  </si>
  <si>
    <t>ARU011</t>
  </si>
  <si>
    <t>1682</t>
  </si>
  <si>
    <t>Our Lady Immaculate &amp; St Michael RC Church</t>
  </si>
  <si>
    <t>BATTLE</t>
  </si>
  <si>
    <t>ARU012</t>
  </si>
  <si>
    <t>1683</t>
  </si>
  <si>
    <t>St Mary Magdalene RC Church</t>
  </si>
  <si>
    <t>BEXHILL-ON-SEA</t>
  </si>
  <si>
    <t>ARU012S</t>
  </si>
  <si>
    <t>0479421</t>
  </si>
  <si>
    <t>St Martha (Parish of St Mary Magdalene)</t>
  </si>
  <si>
    <t>LITTLE COMMON</t>
  </si>
  <si>
    <t>ARU012S2</t>
  </si>
  <si>
    <t>0479422</t>
  </si>
  <si>
    <t>Our Lady of the Rosary (Parish of St Mary Magdalene)</t>
  </si>
  <si>
    <t>SIDLEY</t>
  </si>
  <si>
    <t>ARU013</t>
  </si>
  <si>
    <t>1684</t>
  </si>
  <si>
    <t>St Gabriel with St Crispin &amp; St Crispinian</t>
  </si>
  <si>
    <t xml:space="preserve">BILLINGSHURST                 </t>
  </si>
  <si>
    <t>ARU014</t>
  </si>
  <si>
    <t>1685</t>
  </si>
  <si>
    <t>Our Lady of Sorrows</t>
  </si>
  <si>
    <t>per DD - it is £1061.06</t>
  </si>
  <si>
    <t>ARU014S</t>
  </si>
  <si>
    <t>0479423</t>
  </si>
  <si>
    <t>St Anthony of Viareggio</t>
  </si>
  <si>
    <t>ALDWICK</t>
  </si>
  <si>
    <t>ARU016</t>
  </si>
  <si>
    <t>1687</t>
  </si>
  <si>
    <t>BRIGHTON</t>
  </si>
  <si>
    <t>ARU017</t>
  </si>
  <si>
    <t>1688</t>
  </si>
  <si>
    <t>St Mary Magdalen RC Church</t>
  </si>
  <si>
    <t>y</t>
  </si>
  <si>
    <t>per DD - it is £523.22</t>
  </si>
  <si>
    <t>ARU018</t>
  </si>
  <si>
    <t>1689</t>
  </si>
  <si>
    <t>ARU019</t>
  </si>
  <si>
    <t>1690</t>
  </si>
  <si>
    <t>St Francis of Assisi RC Church (CLOSED)</t>
  </si>
  <si>
    <t>ARU020</t>
  </si>
  <si>
    <t>1691</t>
  </si>
  <si>
    <t>St Mary's Church</t>
  </si>
  <si>
    <t>ARU022</t>
  </si>
  <si>
    <t>1692</t>
  </si>
  <si>
    <t>ARU024</t>
  </si>
  <si>
    <t>1695</t>
  </si>
  <si>
    <t>Church of Christ the Lord</t>
  </si>
  <si>
    <t>CRAWLEY</t>
  </si>
  <si>
    <t>ARU025</t>
  </si>
  <si>
    <t>1696</t>
  </si>
  <si>
    <t>St Wilfrid RC Church</t>
  </si>
  <si>
    <t>BURGESS HILL</t>
  </si>
  <si>
    <t>ARU026</t>
  </si>
  <si>
    <t>147969</t>
  </si>
  <si>
    <t>Christ The King RC Church</t>
  </si>
  <si>
    <t xml:space="preserve">ETCHINGHAM                    </t>
  </si>
  <si>
    <t>2xchq banked in Ecc Sq included ARU063/1736 (£165.20+142.31)</t>
  </si>
  <si>
    <t>ARU027</t>
  </si>
  <si>
    <t>1697</t>
  </si>
  <si>
    <t>St Tarcisius RC Church</t>
  </si>
  <si>
    <t>CAMBERLEY</t>
  </si>
  <si>
    <t>ARU028</t>
  </si>
  <si>
    <t>1698</t>
  </si>
  <si>
    <t>St Peter &amp; St John RC Church</t>
  </si>
  <si>
    <t>ARU029</t>
  </si>
  <si>
    <t>1699</t>
  </si>
  <si>
    <t>Sacred Heart RC Church</t>
  </si>
  <si>
    <t>CATERHAM</t>
  </si>
  <si>
    <t>ARU030</t>
  </si>
  <si>
    <t>1700</t>
  </si>
  <si>
    <t>CHERTSEY</t>
  </si>
  <si>
    <t>ARU031</t>
  </si>
  <si>
    <t>1701</t>
  </si>
  <si>
    <t>CHICHESTER</t>
  </si>
  <si>
    <t>long list of banking</t>
  </si>
  <si>
    <t>ARU031S</t>
  </si>
  <si>
    <t>0479424</t>
  </si>
  <si>
    <t>BOSHAM</t>
  </si>
  <si>
    <t>ARU032</t>
  </si>
  <si>
    <t>0479425</t>
  </si>
  <si>
    <t>The Holy Ghost RC Church</t>
  </si>
  <si>
    <t>GUILDFORD</t>
  </si>
  <si>
    <t>ARU033</t>
  </si>
  <si>
    <t>1703</t>
  </si>
  <si>
    <t>COBHAM</t>
  </si>
  <si>
    <t>ARU034</t>
  </si>
  <si>
    <t>1704</t>
  </si>
  <si>
    <t>Christ the Redeemer of Mankind &amp; St Thomas More</t>
  </si>
  <si>
    <t>CRANLEIGH</t>
  </si>
  <si>
    <t>ARU034S</t>
  </si>
  <si>
    <t>0479426</t>
  </si>
  <si>
    <t>St Thomas More</t>
  </si>
  <si>
    <t>BRAMLEY</t>
  </si>
  <si>
    <t>ARU035</t>
  </si>
  <si>
    <t>1705</t>
  </si>
  <si>
    <t>St Francis &amp; St Anthony RC Church</t>
  </si>
  <si>
    <t>ARU035L2</t>
  </si>
  <si>
    <t>0479428</t>
  </si>
  <si>
    <t>St Theodore of Canterbury</t>
  </si>
  <si>
    <t>GOSSOPS GREEN</t>
  </si>
  <si>
    <t>ARU036</t>
  </si>
  <si>
    <t>1706</t>
  </si>
  <si>
    <t>St Mary Mother of Christ</t>
  </si>
  <si>
    <t>CROWBOROUGH</t>
  </si>
  <si>
    <t>ARU037</t>
  </si>
  <si>
    <t>1707</t>
  </si>
  <si>
    <t>DORKING</t>
  </si>
  <si>
    <t>per DD - it is £882.32</t>
  </si>
  <si>
    <t>ARU038</t>
  </si>
  <si>
    <t>1708</t>
  </si>
  <si>
    <t>Our Lady of Ransom RC Church</t>
  </si>
  <si>
    <t>EASTBOURNE</t>
  </si>
  <si>
    <t>ARU038S</t>
  </si>
  <si>
    <t>0479429</t>
  </si>
  <si>
    <t>St Gregory</t>
  </si>
  <si>
    <t>ARU039</t>
  </si>
  <si>
    <t>1709</t>
  </si>
  <si>
    <t>St Agnes RC Church</t>
  </si>
  <si>
    <t>ARU039X</t>
  </si>
  <si>
    <t>1710</t>
  </si>
  <si>
    <t>ARU040</t>
  </si>
  <si>
    <t>1711</t>
  </si>
  <si>
    <t>Our Lady &amp; St Peter RC Church</t>
  </si>
  <si>
    <t>EAST GRINSTEAD</t>
  </si>
  <si>
    <t>ARU041</t>
  </si>
  <si>
    <t>1712</t>
  </si>
  <si>
    <t>Our Lady of Sorrows RC Church</t>
  </si>
  <si>
    <t>LEATHERHEAD</t>
  </si>
  <si>
    <t>ARU042</t>
  </si>
  <si>
    <t>1714</t>
  </si>
  <si>
    <t>Parish of St Cuthbert (St John Rochester)</t>
  </si>
  <si>
    <t>STAINES-UPON-THAMES</t>
  </si>
  <si>
    <t>per DD - it is £1642.44</t>
  </si>
  <si>
    <t>ARU043</t>
  </si>
  <si>
    <t>0479430</t>
  </si>
  <si>
    <t>Parish of St Cuthbert (The Assumption of Our Lady)</t>
  </si>
  <si>
    <t>ENGLEFIELD GREEN</t>
  </si>
  <si>
    <t>ARU044</t>
  </si>
  <si>
    <t>1717</t>
  </si>
  <si>
    <t>EPSOM</t>
  </si>
  <si>
    <t>ARU045</t>
  </si>
  <si>
    <t>1718</t>
  </si>
  <si>
    <t>The Holy Name RC Church</t>
  </si>
  <si>
    <t>ESHER</t>
  </si>
  <si>
    <t>ARU046</t>
  </si>
  <si>
    <t>1719</t>
  </si>
  <si>
    <t>St Clement RC Parish</t>
  </si>
  <si>
    <t>EWELL</t>
  </si>
  <si>
    <t>ARU047</t>
  </si>
  <si>
    <t>1720</t>
  </si>
  <si>
    <t>St Joan of Arc RC Church</t>
  </si>
  <si>
    <t>FARNHAM</t>
  </si>
  <si>
    <t>per DD - it is £1427.26</t>
  </si>
  <si>
    <t>ARU048</t>
  </si>
  <si>
    <t>1721</t>
  </si>
  <si>
    <t>Annual return has £4 from A Whitworth included in total but it is for WMS, so it is not included in Ecc Sq banking</t>
  </si>
  <si>
    <t>ARU049</t>
  </si>
  <si>
    <t>1722</t>
  </si>
  <si>
    <t>The Holy Spirit Parish</t>
  </si>
  <si>
    <t>ARU051</t>
  </si>
  <si>
    <t>1724</t>
  </si>
  <si>
    <t>Our Lady Queen of Heaven</t>
  </si>
  <si>
    <t xml:space="preserve">CAMBERLEY                     </t>
  </si>
  <si>
    <t>ARU053</t>
  </si>
  <si>
    <t>1726</t>
  </si>
  <si>
    <t>St Edmund, King &amp; Martyr RC Church</t>
  </si>
  <si>
    <t>GODALMING</t>
  </si>
  <si>
    <t>per DD - it is £1806.42</t>
  </si>
  <si>
    <t>ARU053S</t>
  </si>
  <si>
    <t>0479431</t>
  </si>
  <si>
    <t>St Joseph</t>
  </si>
  <si>
    <t>ARU053S1</t>
  </si>
  <si>
    <t>0479432</t>
  </si>
  <si>
    <t>St John the Evangelist Anglican Church</t>
  </si>
  <si>
    <t>ARU054</t>
  </si>
  <si>
    <t>1727</t>
  </si>
  <si>
    <t>WORTHING</t>
  </si>
  <si>
    <t>ARU055</t>
  </si>
  <si>
    <t>1728</t>
  </si>
  <si>
    <t>ARU056</t>
  </si>
  <si>
    <t>1729</t>
  </si>
  <si>
    <t>ARU058</t>
  </si>
  <si>
    <t>1731</t>
  </si>
  <si>
    <t>HAILSHAM</t>
  </si>
  <si>
    <t>ARU059</t>
  </si>
  <si>
    <t>1732</t>
  </si>
  <si>
    <t>St Joachim RC Church</t>
  </si>
  <si>
    <t>per DD - it is £393.18  (Diff £89.35: Grand total stated in form is £393.18)</t>
  </si>
  <si>
    <t>ARU060</t>
  </si>
  <si>
    <t>1733</t>
  </si>
  <si>
    <t>HASLEMERE</t>
  </si>
  <si>
    <t>per DD - it is £553</t>
  </si>
  <si>
    <t>ARU060S</t>
  </si>
  <si>
    <t>0479433</t>
  </si>
  <si>
    <t>St Teresa of Avila</t>
  </si>
  <si>
    <t>CHIDDINGFOLD</t>
  </si>
  <si>
    <t>ARU061</t>
  </si>
  <si>
    <t>1734</t>
  </si>
  <si>
    <t>St Mary Star of the Sea</t>
  </si>
  <si>
    <t>HASTINGS</t>
  </si>
  <si>
    <t>ARU062</t>
  </si>
  <si>
    <t>1735</t>
  </si>
  <si>
    <t>St Paul RC Church</t>
  </si>
  <si>
    <t>HAYWARDS HEATH</t>
  </si>
  <si>
    <t>ARU063</t>
  </si>
  <si>
    <t>1736</t>
  </si>
  <si>
    <t>Holy Cross Chapel</t>
  </si>
  <si>
    <t>HEATHFIELD</t>
  </si>
  <si>
    <t>2xchq banked in Ecc Sq included ARU026/147969 (£940.04+756.10)</t>
  </si>
  <si>
    <t>ARU064</t>
  </si>
  <si>
    <t>1737</t>
  </si>
  <si>
    <t>HENFIELD</t>
  </si>
  <si>
    <t>ARU065</t>
  </si>
  <si>
    <t>1738</t>
  </si>
  <si>
    <t>UCKFIELD</t>
  </si>
  <si>
    <t>ARU066</t>
  </si>
  <si>
    <t>1739</t>
  </si>
  <si>
    <t>All Saints RC Church</t>
  </si>
  <si>
    <t xml:space="preserve">HERSHAM </t>
  </si>
  <si>
    <t>ARU067</t>
  </si>
  <si>
    <t>1740</t>
  </si>
  <si>
    <t>St Anselm RC Church</t>
  </si>
  <si>
    <t>HINDHEAD</t>
  </si>
  <si>
    <t>ARU068</t>
  </si>
  <si>
    <t>1741</t>
  </si>
  <si>
    <t xml:space="preserve">ST. LEONARDS-ON-SEA           </t>
  </si>
  <si>
    <t>ARU069</t>
  </si>
  <si>
    <t>1742</t>
  </si>
  <si>
    <t>HORLEY</t>
  </si>
  <si>
    <t>ARU070</t>
  </si>
  <si>
    <t>1743</t>
  </si>
  <si>
    <t xml:space="preserve">HORSHAM                       </t>
  </si>
  <si>
    <t>ARU071</t>
  </si>
  <si>
    <t>1744</t>
  </si>
  <si>
    <t>HOVE</t>
  </si>
  <si>
    <t>ARU072</t>
  </si>
  <si>
    <t>1745</t>
  </si>
  <si>
    <t>St Peter's RC Church</t>
  </si>
  <si>
    <t>ARU073</t>
  </si>
  <si>
    <t>1746</t>
  </si>
  <si>
    <t xml:space="preserve">BRIGHTON                      </t>
  </si>
  <si>
    <t>ARU074</t>
  </si>
  <si>
    <t>1747</t>
  </si>
  <si>
    <t>St Luke &amp; St Edward the Confessor</t>
  </si>
  <si>
    <t xml:space="preserve">HASSOCKS </t>
  </si>
  <si>
    <t>ARU074S</t>
  </si>
  <si>
    <t>0479434</t>
  </si>
  <si>
    <t>HURSTPIERPOINT</t>
  </si>
  <si>
    <t>ARU075</t>
  </si>
  <si>
    <t>1748</t>
  </si>
  <si>
    <t>St Hugh of Lincoln RC Church</t>
  </si>
  <si>
    <t>WOKING</t>
  </si>
  <si>
    <t>ARU076</t>
  </si>
  <si>
    <t>1749</t>
  </si>
  <si>
    <t>LANCING</t>
  </si>
  <si>
    <t>combined with ARU130-1800</t>
  </si>
  <si>
    <t>ARU077</t>
  </si>
  <si>
    <t>1750</t>
  </si>
  <si>
    <t>Our Lady's &amp; St Theodore's</t>
  </si>
  <si>
    <t>ARU078</t>
  </si>
  <si>
    <t>1751</t>
  </si>
  <si>
    <t>ARU079</t>
  </si>
  <si>
    <t>1752</t>
  </si>
  <si>
    <t>St Pancras RC Church</t>
  </si>
  <si>
    <t>LEWES</t>
  </si>
  <si>
    <t>per DD - it is £1040.02</t>
  </si>
  <si>
    <t>ARU080</t>
  </si>
  <si>
    <t>1753</t>
  </si>
  <si>
    <t>St Bernard RC Church</t>
  </si>
  <si>
    <t>LINGFIELD</t>
  </si>
  <si>
    <t>ARU081</t>
  </si>
  <si>
    <t>1754</t>
  </si>
  <si>
    <t>St Catherine RC Church</t>
  </si>
  <si>
    <t>ARU083</t>
  </si>
  <si>
    <t>1756</t>
  </si>
  <si>
    <t>MAYFIELD</t>
  </si>
  <si>
    <t>ARU084</t>
  </si>
  <si>
    <t>1757</t>
  </si>
  <si>
    <t>St Pius X RC Church</t>
  </si>
  <si>
    <t>ARU085</t>
  </si>
  <si>
    <t>1758</t>
  </si>
  <si>
    <t>Parish of the Nativity of the Lord</t>
  </si>
  <si>
    <t>REDHILL</t>
  </si>
  <si>
    <t>combined with ARU098-1771</t>
  </si>
  <si>
    <t>ARU086</t>
  </si>
  <si>
    <t>1759</t>
  </si>
  <si>
    <t>The Divine Motherhood &amp; St Francis</t>
  </si>
  <si>
    <t>MIDHURST</t>
  </si>
  <si>
    <t>ARU087</t>
  </si>
  <si>
    <t>1760</t>
  </si>
  <si>
    <t>St Barnabas RC Church</t>
  </si>
  <si>
    <t>EAST MOLESEY</t>
  </si>
  <si>
    <t>ARU088</t>
  </si>
  <si>
    <t>1761</t>
  </si>
  <si>
    <t xml:space="preserve">NEWHAVEN </t>
  </si>
  <si>
    <t>ARU089</t>
  </si>
  <si>
    <t>1762</t>
  </si>
  <si>
    <t>St Teresa of Lisieux</t>
  </si>
  <si>
    <t>RYE</t>
  </si>
  <si>
    <t>ARU090</t>
  </si>
  <si>
    <t>1763</t>
  </si>
  <si>
    <t xml:space="preserve">OXTED                         </t>
  </si>
  <si>
    <t>ARU091</t>
  </si>
  <si>
    <t>1764</t>
  </si>
  <si>
    <t>St Hugh's Charterhouse Church</t>
  </si>
  <si>
    <t>HORSHAM</t>
  </si>
  <si>
    <t>ARU092</t>
  </si>
  <si>
    <t>1765</t>
  </si>
  <si>
    <t>Immaculate Conception of Our Lady</t>
  </si>
  <si>
    <t>PEACEHAVEN</t>
  </si>
  <si>
    <t>ARU093</t>
  </si>
  <si>
    <t>1766</t>
  </si>
  <si>
    <t>PETWORTH</t>
  </si>
  <si>
    <t>ARU093S</t>
  </si>
  <si>
    <t>0479435</t>
  </si>
  <si>
    <t>SS Anthony &amp; George</t>
  </si>
  <si>
    <t>DUNCTON</t>
  </si>
  <si>
    <t>ARU094</t>
  </si>
  <si>
    <t>1767</t>
  </si>
  <si>
    <t>POLEGATE</t>
  </si>
  <si>
    <t>ARU096</t>
  </si>
  <si>
    <t>1769</t>
  </si>
  <si>
    <t>ARU097</t>
  </si>
  <si>
    <t>1770</t>
  </si>
  <si>
    <t>St Crispin &amp; St Crispinian</t>
  </si>
  <si>
    <t>PULBOROUGH</t>
  </si>
  <si>
    <t>ARU098</t>
  </si>
  <si>
    <t>1771</t>
  </si>
  <si>
    <t>Parish of the Nativity of the Lord - St Joseph's RC Church</t>
  </si>
  <si>
    <t>combined with ARU085-1758</t>
  </si>
  <si>
    <t>ARU098S</t>
  </si>
  <si>
    <t>0554619</t>
  </si>
  <si>
    <t>Parish of the Nativity of the Lord - St Teresa's</t>
  </si>
  <si>
    <t>ARU099</t>
  </si>
  <si>
    <t>1772</t>
  </si>
  <si>
    <t>Parish of the Nativity of the Lord - Holy Family</t>
  </si>
  <si>
    <t>REIGATE</t>
  </si>
  <si>
    <t>ARU100</t>
  </si>
  <si>
    <t>1773</t>
  </si>
  <si>
    <t>Our Lady of Lourdes, Queen of Peace</t>
  </si>
  <si>
    <t xml:space="preserve">in Ecc  Sq column, it has £236.02 for WMS collection </t>
  </si>
  <si>
    <t>ARU101</t>
  </si>
  <si>
    <t>1774</t>
  </si>
  <si>
    <t>St Joseph's RC Church</t>
  </si>
  <si>
    <t>RUSTINGTON</t>
  </si>
  <si>
    <t>ARU102</t>
  </si>
  <si>
    <t>1775</t>
  </si>
  <si>
    <t>St Anthony of Padua RC Church</t>
  </si>
  <si>
    <t xml:space="preserve">RYE  </t>
  </si>
  <si>
    <t>ARU103</t>
  </si>
  <si>
    <t>1776</t>
  </si>
  <si>
    <t>St Thomas of Canterbury &amp; English Martyrs</t>
  </si>
  <si>
    <t>ST. LEONARDS-ON-SEA</t>
  </si>
  <si>
    <t>ARU104</t>
  </si>
  <si>
    <t>1777</t>
  </si>
  <si>
    <t>SEAFORD</t>
  </si>
  <si>
    <t>ARU105</t>
  </si>
  <si>
    <t>1778</t>
  </si>
  <si>
    <t>Our Lady of Mount Carmel &amp; St Wilfrid RC Church</t>
  </si>
  <si>
    <t>SELSEY</t>
  </si>
  <si>
    <t>ARU105A</t>
  </si>
  <si>
    <t>1779</t>
  </si>
  <si>
    <t>per DD - it is £449.91</t>
  </si>
  <si>
    <t>ARU107</t>
  </si>
  <si>
    <t>1781</t>
  </si>
  <si>
    <t>Our Lady Queen of Peace - St Peter</t>
  </si>
  <si>
    <t>SHOREHAM-BY-SEA</t>
  </si>
  <si>
    <t>ARU109</t>
  </si>
  <si>
    <t>1782</t>
  </si>
  <si>
    <t>St Theresa of Lisieux RC Church</t>
  </si>
  <si>
    <t xml:space="preserve">SOUTHWICK </t>
  </si>
  <si>
    <t>per DD - it is £1223.34   (return by email &amp; excel file)</t>
  </si>
  <si>
    <t>ARU109S</t>
  </si>
  <si>
    <t>0479436</t>
  </si>
  <si>
    <t>Our Lady, Star of the Sea</t>
  </si>
  <si>
    <t>PORTSLADE</t>
  </si>
  <si>
    <t>ARU110</t>
  </si>
  <si>
    <t>1783</t>
  </si>
  <si>
    <t>Our Lady of Fatima</t>
  </si>
  <si>
    <t>ARU111</t>
  </si>
  <si>
    <t>1784</t>
  </si>
  <si>
    <t>Our Lady Queen of Peace - Christ the King</t>
  </si>
  <si>
    <t>STEYNING</t>
  </si>
  <si>
    <t>ARU112</t>
  </si>
  <si>
    <t>1785</t>
  </si>
  <si>
    <t>Our Lady of England</t>
  </si>
  <si>
    <t xml:space="preserve">PULBOROUGH  </t>
  </si>
  <si>
    <t>ARU113</t>
  </si>
  <si>
    <t>1786</t>
  </si>
  <si>
    <t>St Edward the Confessor RC Church</t>
  </si>
  <si>
    <t xml:space="preserve">GUILDFORD  </t>
  </si>
  <si>
    <t>ARU114</t>
  </si>
  <si>
    <t>1787</t>
  </si>
  <si>
    <t>St John the Evangelist RC Church</t>
  </si>
  <si>
    <t>TADWORTH</t>
  </si>
  <si>
    <t>per DD - it is £1974.78</t>
  </si>
  <si>
    <t>ARU115</t>
  </si>
  <si>
    <t>1788</t>
  </si>
  <si>
    <t xml:space="preserve">THAMES DITTON </t>
  </si>
  <si>
    <t>per DD - it is £1627.68</t>
  </si>
  <si>
    <t>ARU117</t>
  </si>
  <si>
    <t>1789</t>
  </si>
  <si>
    <t>Our Lady Immaculate &amp; St Philip Neri</t>
  </si>
  <si>
    <t>ARU118</t>
  </si>
  <si>
    <t>1790</t>
  </si>
  <si>
    <t>The Sacred Heart Catholic Church</t>
  </si>
  <si>
    <t xml:space="preserve">WADHURST  </t>
  </si>
  <si>
    <t>ARU118S</t>
  </si>
  <si>
    <t>0479437</t>
  </si>
  <si>
    <t>St Peter, Prince of Apostles</t>
  </si>
  <si>
    <t>ROTHERFIELD</t>
  </si>
  <si>
    <t>ARU119</t>
  </si>
  <si>
    <t>1791</t>
  </si>
  <si>
    <t>St Erconwald RC Church</t>
  </si>
  <si>
    <t>WALTON-ON-THAMES</t>
  </si>
  <si>
    <t>ARU120</t>
  </si>
  <si>
    <t>1792</t>
  </si>
  <si>
    <t>Parish of Oxted &amp; Warlingham (St Ambrose RC Church)</t>
  </si>
  <si>
    <t>WARLINGHAM</t>
  </si>
  <si>
    <t>ARU121</t>
  </si>
  <si>
    <t>1793</t>
  </si>
  <si>
    <t>Our Lady Help of Christians</t>
  </si>
  <si>
    <t>WEST BYFLEET</t>
  </si>
  <si>
    <t>per DD - it is £1971.16</t>
  </si>
  <si>
    <t>ARU122</t>
  </si>
  <si>
    <t>1794</t>
  </si>
  <si>
    <t>Our Lady of Consolation &amp; St Francis</t>
  </si>
  <si>
    <t>WEST GRINSTEAD</t>
  </si>
  <si>
    <t>ARU123</t>
  </si>
  <si>
    <t>1795</t>
  </si>
  <si>
    <t>Christ the Prince of Peace</t>
  </si>
  <si>
    <t>WEYBRIDGE</t>
  </si>
  <si>
    <t>ARU126</t>
  </si>
  <si>
    <t>1796</t>
  </si>
  <si>
    <t>St Dunstan RC Church</t>
  </si>
  <si>
    <t xml:space="preserve">WOKING                        </t>
  </si>
  <si>
    <t>per DD - it is £7950.26</t>
  </si>
  <si>
    <t>ARU127</t>
  </si>
  <si>
    <t>1797</t>
  </si>
  <si>
    <t>per DD - it is £482.05</t>
  </si>
  <si>
    <t>ARU128</t>
  </si>
  <si>
    <t>1798</t>
  </si>
  <si>
    <t>The Abbey of Our Lady Help of Christians</t>
  </si>
  <si>
    <t>ARU128D</t>
  </si>
  <si>
    <t>147920</t>
  </si>
  <si>
    <t>ARU129</t>
  </si>
  <si>
    <t>1799</t>
  </si>
  <si>
    <t>St Mary of the Angels RC Church</t>
  </si>
  <si>
    <t>ARU130</t>
  </si>
  <si>
    <t>1800</t>
  </si>
  <si>
    <t>St Charles Borromeo</t>
  </si>
  <si>
    <t>combined with ARU076-1749</t>
  </si>
  <si>
    <t>ARU131</t>
  </si>
  <si>
    <t>1801</t>
  </si>
  <si>
    <t>ARU132</t>
  </si>
  <si>
    <t>84516</t>
  </si>
  <si>
    <t>ARU133</t>
  </si>
  <si>
    <t>254259</t>
  </si>
  <si>
    <t>ARU136</t>
  </si>
  <si>
    <t>254884</t>
  </si>
  <si>
    <t>St Bernadette RC Church</t>
  </si>
  <si>
    <t xml:space="preserve">CRAWLEY                       </t>
  </si>
  <si>
    <t>ARU999</t>
  </si>
  <si>
    <t>1804</t>
  </si>
  <si>
    <t>Arundel &amp; Brighton Diocese Various</t>
  </si>
  <si>
    <t>unidentified items in DD's return</t>
  </si>
  <si>
    <t>BIR</t>
  </si>
  <si>
    <t>BIR001</t>
  </si>
  <si>
    <t>1806</t>
  </si>
  <si>
    <t>St Chad's Cathedral</t>
  </si>
  <si>
    <t>BIRMINGHAM</t>
  </si>
  <si>
    <t>BIR002</t>
  </si>
  <si>
    <t>1807</t>
  </si>
  <si>
    <t>Holy Souls (Sacred Heart &amp; Holy Souls)</t>
  </si>
  <si>
    <t>BIRMINGHAM - ACOCKS GREEN</t>
  </si>
  <si>
    <t>BIR003</t>
  </si>
  <si>
    <t>1808</t>
  </si>
  <si>
    <t>St Anne</t>
  </si>
  <si>
    <t>BIRMINGHAM - ALCESTER STREET</t>
  </si>
  <si>
    <t>BIR004</t>
  </si>
  <si>
    <t>1809</t>
  </si>
  <si>
    <t>BIRMINGHAM - ASHTED &amp; VAUXHALL</t>
  </si>
  <si>
    <t>BIR005</t>
  </si>
  <si>
    <t>1810</t>
  </si>
  <si>
    <t>Sacred Heart &amp; St Margaret Mary</t>
  </si>
  <si>
    <t>BIRMINGHAM - ASTON</t>
  </si>
  <si>
    <t>BIR006</t>
  </si>
  <si>
    <t>1811</t>
  </si>
  <si>
    <t>St John the Evangelist &amp; St Martin</t>
  </si>
  <si>
    <t>BIRMINGHAM - BALSALL HEATH</t>
  </si>
  <si>
    <t>BIR007</t>
  </si>
  <si>
    <t>1812</t>
  </si>
  <si>
    <t>BIRMINGHAM - BARTLEY GREEN</t>
  </si>
  <si>
    <t>BIR008</t>
  </si>
  <si>
    <t>1814</t>
  </si>
  <si>
    <t>St Catherine of Siena RC Church</t>
  </si>
  <si>
    <t>BIRMINGHAM - BRISTOL STREET</t>
  </si>
  <si>
    <t>BIR009</t>
  </si>
  <si>
    <t>1815</t>
  </si>
  <si>
    <t>The Mother of God &amp; Guardian Angels RC Church</t>
  </si>
  <si>
    <t>BIR010</t>
  </si>
  <si>
    <t>1817</t>
  </si>
  <si>
    <t>BIRMINGHAM - CASTLE BROMWICH</t>
  </si>
  <si>
    <t>BIR011</t>
  </si>
  <si>
    <t>1818</t>
  </si>
  <si>
    <t>St Gerard RC Church</t>
  </si>
  <si>
    <t>BIRMINGHAM - CASTLE VALE</t>
  </si>
  <si>
    <t>exclude £201.10 banked on 13-12-2018 per return</t>
  </si>
  <si>
    <t>BIR012</t>
  </si>
  <si>
    <t>1819</t>
  </si>
  <si>
    <t>BIRMINGHAM - CHELMSLEY WOOD</t>
  </si>
  <si>
    <t>BIR014</t>
  </si>
  <si>
    <t>1820</t>
  </si>
  <si>
    <t>BIRMINGHAM - DUDLEY ROAD</t>
  </si>
  <si>
    <t>BIR015</t>
  </si>
  <si>
    <t>1821</t>
  </si>
  <si>
    <t>The Oratory of St Philip Neri</t>
  </si>
  <si>
    <t>BIRMINGHAM - THE ORATORY</t>
  </si>
  <si>
    <t>BIR016</t>
  </si>
  <si>
    <t>1823</t>
  </si>
  <si>
    <t>St Thomas &amp; St Edmund of Canterbury RC Church</t>
  </si>
  <si>
    <t>BIRMINGHAM - ERDINGTON</t>
  </si>
  <si>
    <t>£54 transposition error: should be £206 not £260 as stated in return</t>
  </si>
  <si>
    <t>BIR017</t>
  </si>
  <si>
    <t>1824</t>
  </si>
  <si>
    <t>St Mary &amp; St John RC Church</t>
  </si>
  <si>
    <t>BIRMINGHAM - GRAVELLY HILL</t>
  </si>
  <si>
    <t xml:space="preserve">pay in slip 48350 : £250 on 02-04-19 </t>
  </si>
  <si>
    <t>BIR018</t>
  </si>
  <si>
    <t>1825</t>
  </si>
  <si>
    <t>St Ambrose Barlow RC Church</t>
  </si>
  <si>
    <t>BIRMINGHAM - HALL GREEN</t>
  </si>
  <si>
    <t>BIR019</t>
  </si>
  <si>
    <t>1826</t>
  </si>
  <si>
    <t>St Francis of Assisi</t>
  </si>
  <si>
    <t>BIRMINGHAM - HANDSWORTH</t>
  </si>
  <si>
    <t>BIR020</t>
  </si>
  <si>
    <t>1827</t>
  </si>
  <si>
    <t>St Augustine of England RC Church</t>
  </si>
  <si>
    <t xml:space="preserve"> 10p diff in £53.87</t>
  </si>
  <si>
    <t>BIR021</t>
  </si>
  <si>
    <t>1828</t>
  </si>
  <si>
    <t>BIRMINGHAM - HARBORNE</t>
  </si>
  <si>
    <t>BIR022</t>
  </si>
  <si>
    <t>1829</t>
  </si>
  <si>
    <t>BIRMINGHAM - KINGS HEATH</t>
  </si>
  <si>
    <t>BIR023</t>
  </si>
  <si>
    <t>1830</t>
  </si>
  <si>
    <t>St Joseph &amp; St Helen RC Church</t>
  </si>
  <si>
    <t>BIRMINGHAM - KINGS NORTON</t>
  </si>
  <si>
    <t>BIR024</t>
  </si>
  <si>
    <t>1831</t>
  </si>
  <si>
    <t>BIR025</t>
  </si>
  <si>
    <t>1832</t>
  </si>
  <si>
    <t>Christ the King</t>
  </si>
  <si>
    <t>BIRMINGHAM - KINGSTANDING</t>
  </si>
  <si>
    <t>BIR026</t>
  </si>
  <si>
    <t>1833</t>
  </si>
  <si>
    <t>BIRMINGHAM - MARYVALE</t>
  </si>
  <si>
    <t>BIR027</t>
  </si>
  <si>
    <t>1834</t>
  </si>
  <si>
    <t>BIRMINGHAM - MOOR STREET</t>
  </si>
  <si>
    <t>BIR028</t>
  </si>
  <si>
    <t>1835</t>
  </si>
  <si>
    <t>BIRMINGHAM - NECHELLS</t>
  </si>
  <si>
    <t>BIR029</t>
  </si>
  <si>
    <t>1836</t>
  </si>
  <si>
    <t>Our Lady &amp; St Brigid</t>
  </si>
  <si>
    <t>BIRMINGHAM - NORTHFIELD</t>
  </si>
  <si>
    <t>excl £119.84 (2018 banking) + casting error 80p</t>
  </si>
  <si>
    <t>BIR031</t>
  </si>
  <si>
    <t>1837</t>
  </si>
  <si>
    <t>St Teresa of the Child Jesus</t>
  </si>
  <si>
    <t>BIRMINGHAM - PERRY BARR</t>
  </si>
  <si>
    <t>BIR032</t>
  </si>
  <si>
    <t>1839</t>
  </si>
  <si>
    <t>St Margaret Mary</t>
  </si>
  <si>
    <t>BIRMINGHAM - PERRY COMMON</t>
  </si>
  <si>
    <t>BIR033</t>
  </si>
  <si>
    <t>1840</t>
  </si>
  <si>
    <t>St Peter &amp; St Paul</t>
  </si>
  <si>
    <t>BIRMINGHAM - PYPE HAYES</t>
  </si>
  <si>
    <t>BIR034</t>
  </si>
  <si>
    <t>1841</t>
  </si>
  <si>
    <t>BIRMINGHAM - QUINTON</t>
  </si>
  <si>
    <t>add £5 based on banking total. Now agree to banking</t>
  </si>
  <si>
    <t>BIR035</t>
  </si>
  <si>
    <t>1842</t>
  </si>
  <si>
    <t>Our Lady of  Perpetual Succour RC Church</t>
  </si>
  <si>
    <t>BIRMINGHAM - REDNAL</t>
  </si>
  <si>
    <t>should be £553.47 not £554.47</t>
  </si>
  <si>
    <t>BIR036</t>
  </si>
  <si>
    <t>1843</t>
  </si>
  <si>
    <t>Our Lady of the Rosary &amp; St Therese Of Lisieux</t>
  </si>
  <si>
    <t>BIRMINGHAM - SALTLEY</t>
  </si>
  <si>
    <t>BIR037</t>
  </si>
  <si>
    <t>1844</t>
  </si>
  <si>
    <t>St Edward RC Church</t>
  </si>
  <si>
    <t>BIRMINGHAM - SELLY PARK</t>
  </si>
  <si>
    <t>BIR038</t>
  </si>
  <si>
    <t>1845</t>
  </si>
  <si>
    <t>BIRMINGHAM - SHELDON</t>
  </si>
  <si>
    <t>060119: £60.51 should be £160.51 per bank statement</t>
  </si>
  <si>
    <t>BIR039</t>
  </si>
  <si>
    <t>1846</t>
  </si>
  <si>
    <t>BIRMINGHAM - SMALL HEATH</t>
  </si>
  <si>
    <t>BIR040</t>
  </si>
  <si>
    <t>1847</t>
  </si>
  <si>
    <t>BIRMINGHAM - SPARKHILL</t>
  </si>
  <si>
    <t>cheque came with letter</t>
  </si>
  <si>
    <t>BIR041</t>
  </si>
  <si>
    <t>1848</t>
  </si>
  <si>
    <t>BIRMINGHAM - STECHFORD</t>
  </si>
  <si>
    <t>BIR042</t>
  </si>
  <si>
    <t>1849</t>
  </si>
  <si>
    <t>Our Lady Help of Christians RC Church</t>
  </si>
  <si>
    <t>BIRMINGHAM - KITTS GREEN</t>
  </si>
  <si>
    <t>BIR043</t>
  </si>
  <si>
    <t>1850</t>
  </si>
  <si>
    <t>St Jude RC Church</t>
  </si>
  <si>
    <t>BIRMINGHAM - MAYPOLE</t>
  </si>
  <si>
    <t>BIR044</t>
  </si>
  <si>
    <t>1851</t>
  </si>
  <si>
    <t>Our Lady &amp; St Rose of Lima</t>
  </si>
  <si>
    <t>BIRMINGHAM - WEOLEY CASTLE</t>
  </si>
  <si>
    <t>BIR045</t>
  </si>
  <si>
    <t>1852</t>
  </si>
  <si>
    <t>St John Fisher RC Church</t>
  </si>
  <si>
    <t>BIRMINGHAM - WEST HEATH</t>
  </si>
  <si>
    <t>£645.25 should be £648.28 per bank statement</t>
  </si>
  <si>
    <t>BIR046</t>
  </si>
  <si>
    <t>1853</t>
  </si>
  <si>
    <t>BIRMINGHAM - YARDLEY WOOD</t>
  </si>
  <si>
    <t>BIR047</t>
  </si>
  <si>
    <t>1854</t>
  </si>
  <si>
    <t>ALCESTER</t>
  </si>
  <si>
    <t>BIR047S</t>
  </si>
  <si>
    <t>0444406</t>
  </si>
  <si>
    <t>SS Peter, Paul &amp; Elizabeth</t>
  </si>
  <si>
    <t>COUGHTON</t>
  </si>
  <si>
    <t>BIR048</t>
  </si>
  <si>
    <t>1855</t>
  </si>
  <si>
    <t>St Mary of the Angels</t>
  </si>
  <si>
    <t>ALDRIDGE</t>
  </si>
  <si>
    <t>BIR049</t>
  </si>
  <si>
    <t>1856</t>
  </si>
  <si>
    <t>St John the Baptist</t>
  </si>
  <si>
    <t>BIR050</t>
  </si>
  <si>
    <t>1857</t>
  </si>
  <si>
    <t>Our Blessed Lady &amp; St John the Baptist</t>
  </si>
  <si>
    <t>ASHLEY</t>
  </si>
  <si>
    <t>BIR051</t>
  </si>
  <si>
    <t>1859</t>
  </si>
  <si>
    <t>St Benedict RC Church</t>
  </si>
  <si>
    <t>ATHERSTONE</t>
  </si>
  <si>
    <t>BIR052</t>
  </si>
  <si>
    <t>1860</t>
  </si>
  <si>
    <t>BADDESLEY CLINTON</t>
  </si>
  <si>
    <t>BIR053</t>
  </si>
  <si>
    <t>1861</t>
  </si>
  <si>
    <t>BANBURY</t>
  </si>
  <si>
    <t>add banking on 06/01/20</t>
  </si>
  <si>
    <t>BIR054</t>
  </si>
  <si>
    <t>1862</t>
  </si>
  <si>
    <t>St Joseph the Worker</t>
  </si>
  <si>
    <t>BIR054S</t>
  </si>
  <si>
    <t>0444416</t>
  </si>
  <si>
    <t>WROXTON</t>
  </si>
  <si>
    <t>BIR055</t>
  </si>
  <si>
    <t>1863</t>
  </si>
  <si>
    <t>Our Lady of Perpetual Succour</t>
  </si>
  <si>
    <t>BARTON-UNDER-NEEDWOOD</t>
  </si>
  <si>
    <t>BIR056</t>
  </si>
  <si>
    <t>1864</t>
  </si>
  <si>
    <t>Our Lady of Good Counsel &amp; St Gregory the Great</t>
  </si>
  <si>
    <t>BEARWOOD</t>
  </si>
  <si>
    <r>
      <t xml:space="preserve">to exclude 2018 banking £146 </t>
    </r>
    <r>
      <rPr>
        <strike/>
        <sz val="10"/>
        <rFont val="Arial"/>
        <family val="2"/>
      </rPr>
      <t>&amp; £136</t>
    </r>
  </si>
  <si>
    <t>BIR057</t>
  </si>
  <si>
    <t>1865</t>
  </si>
  <si>
    <t>BEDWORTH</t>
  </si>
  <si>
    <t>BIR059</t>
  </si>
  <si>
    <t>1867</t>
  </si>
  <si>
    <t>BICESTER</t>
  </si>
  <si>
    <t>BIR060</t>
  </si>
  <si>
    <t>1868</t>
  </si>
  <si>
    <t>English Martyrs</t>
  </si>
  <si>
    <t>BIDDULPH</t>
  </si>
  <si>
    <t>BIR061</t>
  </si>
  <si>
    <t>1869</t>
  </si>
  <si>
    <t>BIDFORD-ON-AVON</t>
  </si>
  <si>
    <t>BIR062</t>
  </si>
  <si>
    <t>1870</t>
  </si>
  <si>
    <t>Holy Trinity RC Church</t>
  </si>
  <si>
    <t>BILSTON</t>
  </si>
  <si>
    <t>BIR062S</t>
  </si>
  <si>
    <t>0444414</t>
  </si>
  <si>
    <t>St John Fisher (CLOSED)</t>
  </si>
  <si>
    <t>COSELEY</t>
  </si>
  <si>
    <t>BIR063</t>
  </si>
  <si>
    <t>0444462</t>
  </si>
  <si>
    <t>BLACKHEATH</t>
  </si>
  <si>
    <t>BIR065</t>
  </si>
  <si>
    <t>1873</t>
  </si>
  <si>
    <t>St Peter</t>
  </si>
  <si>
    <t>BLOXWICH</t>
  </si>
  <si>
    <t>BIR066</t>
  </si>
  <si>
    <t>1874</t>
  </si>
  <si>
    <t>BREWOOD</t>
  </si>
  <si>
    <t>£510 in return vs £515 in bank statement</t>
  </si>
  <si>
    <t>BIR067</t>
  </si>
  <si>
    <t>1875</t>
  </si>
  <si>
    <t>BRIERLEY HILL</t>
  </si>
  <si>
    <t>BIR068</t>
  </si>
  <si>
    <t>1876</t>
  </si>
  <si>
    <t>St Saviour</t>
  </si>
  <si>
    <t>BROADWAY</t>
  </si>
  <si>
    <t>BIR069</t>
  </si>
  <si>
    <t>1877</t>
  </si>
  <si>
    <t>BROMSGROVE</t>
  </si>
  <si>
    <t>exclude £41 (2018 banking)</t>
  </si>
  <si>
    <t>BIR070</t>
  </si>
  <si>
    <t>1878</t>
  </si>
  <si>
    <t>BROWNHILLS</t>
  </si>
  <si>
    <t>BIR071</t>
  </si>
  <si>
    <t>1879</t>
  </si>
  <si>
    <t>St John Fisher &amp; St Thomas More</t>
  </si>
  <si>
    <t>BURFORD</t>
  </si>
  <si>
    <t>BIR072</t>
  </si>
  <si>
    <t>1880</t>
  </si>
  <si>
    <t>St Mary &amp; St Modwen RC Church</t>
  </si>
  <si>
    <t>BURTON-ON-TRENT</t>
  </si>
  <si>
    <t xml:space="preserve">include BIR233-0444441 St Christopher's </t>
  </si>
  <si>
    <t>BIR073</t>
  </si>
  <si>
    <t>1881</t>
  </si>
  <si>
    <t>St Mary &amp; St Thomas More</t>
  </si>
  <si>
    <t>CANNOCK</t>
  </si>
  <si>
    <t>BIR074</t>
  </si>
  <si>
    <t>1882</t>
  </si>
  <si>
    <t>CARTERTON</t>
  </si>
  <si>
    <t>BIR074S</t>
  </si>
  <si>
    <t>0444411</t>
  </si>
  <si>
    <t>St Mary the Virgin</t>
  </si>
  <si>
    <t>BAMPTON</t>
  </si>
  <si>
    <t>BIR075</t>
  </si>
  <si>
    <t>1883</t>
  </si>
  <si>
    <t>Our Lady &amp; St Anne RC Church</t>
  </si>
  <si>
    <t>CAVERSHAM</t>
  </si>
  <si>
    <t>BIR076</t>
  </si>
  <si>
    <t>1884</t>
  </si>
  <si>
    <t>St Filumena RC Church</t>
  </si>
  <si>
    <t>CAVERSWALL</t>
  </si>
  <si>
    <t>BIR077</t>
  </si>
  <si>
    <t>1885</t>
  </si>
  <si>
    <t>St Teresa of Lisieux RC Church</t>
  </si>
  <si>
    <t>CHIPPING NORTON</t>
  </si>
  <si>
    <t>No breakdown in columns</t>
  </si>
  <si>
    <t>BIR077S</t>
  </si>
  <si>
    <t>0444420</t>
  </si>
  <si>
    <t>St Kenelm</t>
  </si>
  <si>
    <t>ENSTONE</t>
  </si>
  <si>
    <t>BIR078</t>
  </si>
  <si>
    <t>1886</t>
  </si>
  <si>
    <t>BURNTWOOD</t>
  </si>
  <si>
    <t>BIR079</t>
  </si>
  <si>
    <t>1887</t>
  </si>
  <si>
    <t>St Giles RC Church</t>
  </si>
  <si>
    <t>CHEADLE</t>
  </si>
  <si>
    <t>£29 should be £39per bank statement on 13 Dec</t>
  </si>
  <si>
    <t>BIR080</t>
  </si>
  <si>
    <t>1888</t>
  </si>
  <si>
    <t>CHESTERTON</t>
  </si>
  <si>
    <t>£2 diff in return &amp; include £3.05 on 03 Jan 2020 banking</t>
  </si>
  <si>
    <t>BIR081</t>
  </si>
  <si>
    <t>1889</t>
  </si>
  <si>
    <t>exclude £121.60 for World Mission Sunday in Ecc Sq column</t>
  </si>
  <si>
    <t>BIR082</t>
  </si>
  <si>
    <t>1890</t>
  </si>
  <si>
    <t>Our Lady &amp; St Werburgh RC Church</t>
  </si>
  <si>
    <t>CLAYTON</t>
  </si>
  <si>
    <t>BIR083</t>
  </si>
  <si>
    <t>1891</t>
  </si>
  <si>
    <t>St Christopher RC Church</t>
  </si>
  <si>
    <t>CODSALL</t>
  </si>
  <si>
    <t>per statement analysis it should be £862.66</t>
  </si>
  <si>
    <t>BIR084</t>
  </si>
  <si>
    <t>1892</t>
  </si>
  <si>
    <t>Sacred Heart &amp; St Teresa RC Church</t>
  </si>
  <si>
    <t>COLESHILL</t>
  </si>
  <si>
    <t>BIR086</t>
  </si>
  <si>
    <t>1894</t>
  </si>
  <si>
    <t>All Souls (Precious Blood of Our Lord &amp; All Souls)</t>
  </si>
  <si>
    <t>COVENTRY</t>
  </si>
  <si>
    <r>
      <t xml:space="preserve">per statement analysis it should be £2829.42   </t>
    </r>
    <r>
      <rPr>
        <strike/>
        <sz val="10"/>
        <rFont val="Arial"/>
        <family val="2"/>
      </rPr>
      <t>(Diff £10: Grand total states £2208.70)</t>
    </r>
  </si>
  <si>
    <t>BIR087</t>
  </si>
  <si>
    <t>1895</t>
  </si>
  <si>
    <t>Christ the King &amp; Our Lady of Lourdes</t>
  </si>
  <si>
    <t>BIR087S</t>
  </si>
  <si>
    <t>0444432</t>
  </si>
  <si>
    <t>St Augustine</t>
  </si>
  <si>
    <t>BIR088</t>
  </si>
  <si>
    <t>1896</t>
  </si>
  <si>
    <t>BIR089</t>
  </si>
  <si>
    <t>1897</t>
  </si>
  <si>
    <t>Holy Family</t>
  </si>
  <si>
    <t>BIR090</t>
  </si>
  <si>
    <t>1898</t>
  </si>
  <si>
    <t>BIR091</t>
  </si>
  <si>
    <t>1899</t>
  </si>
  <si>
    <t>BIR092</t>
  </si>
  <si>
    <t>1900</t>
  </si>
  <si>
    <t>BIR093</t>
  </si>
  <si>
    <t>1901</t>
  </si>
  <si>
    <t>St Elizabeth RC Church</t>
  </si>
  <si>
    <t>BIR094</t>
  </si>
  <si>
    <t>1903</t>
  </si>
  <si>
    <t>Annual return has £840.43 relating to Oct 2018 but may be banked in Feb 2019 - check bank statement</t>
  </si>
  <si>
    <t>BIR095</t>
  </si>
  <si>
    <t>1904</t>
  </si>
  <si>
    <t>St John Vianney RC Church</t>
  </si>
  <si>
    <t>BIR096</t>
  </si>
  <si>
    <t>1905</t>
  </si>
  <si>
    <t>St Joseph the Worker RC Church</t>
  </si>
  <si>
    <t>BIR097</t>
  </si>
  <si>
    <t>1906</t>
  </si>
  <si>
    <t>St Mary &amp; St Benedict</t>
  </si>
  <si>
    <t>assuming direct banking</t>
  </si>
  <si>
    <t>BIR098</t>
  </si>
  <si>
    <t>1907</t>
  </si>
  <si>
    <t>St Osburg (The Most Holy Sacrement &amp; St Osburg)</t>
  </si>
  <si>
    <t>BIR099</t>
  </si>
  <si>
    <t>1908</t>
  </si>
  <si>
    <t>BIR099A</t>
  </si>
  <si>
    <t>1909</t>
  </si>
  <si>
    <t>St Stanislaus Kostka</t>
  </si>
  <si>
    <t>BIR100</t>
  </si>
  <si>
    <t>1910</t>
  </si>
  <si>
    <t>BIR100U</t>
  </si>
  <si>
    <t>1911</t>
  </si>
  <si>
    <t>University of Warwick</t>
  </si>
  <si>
    <t>BIR101</t>
  </si>
  <si>
    <t>1912</t>
  </si>
  <si>
    <t>Our Lady of Lourdes</t>
  </si>
  <si>
    <t>CRADLEY HEATH</t>
  </si>
  <si>
    <t>BIR102</t>
  </si>
  <si>
    <t>1913</t>
  </si>
  <si>
    <t>DARLASTON</t>
  </si>
  <si>
    <t>BIR103</t>
  </si>
  <si>
    <t>1914</t>
  </si>
  <si>
    <t>St Birinus</t>
  </si>
  <si>
    <t>DORCHESTER ON THAMES</t>
  </si>
  <si>
    <t>BIR103S</t>
  </si>
  <si>
    <t>0444399</t>
  </si>
  <si>
    <t>St Mary &amp; St Berin Anglican Church</t>
  </si>
  <si>
    <t>BERINSFIELD</t>
  </si>
  <si>
    <t>BIR104</t>
  </si>
  <si>
    <t>1915</t>
  </si>
  <si>
    <t>St George &amp; St Teresa of the Child Jesus</t>
  </si>
  <si>
    <t>DORRIDGE</t>
  </si>
  <si>
    <t>BIR104A</t>
  </si>
  <si>
    <t>1916</t>
  </si>
  <si>
    <t>Blessed Robert Grissold, St Philomena</t>
  </si>
  <si>
    <t>BALSALL COMMON</t>
  </si>
  <si>
    <t>BIR105</t>
  </si>
  <si>
    <t>1917</t>
  </si>
  <si>
    <t>Sacred Heart &amp; St Catherine of Alexandria</t>
  </si>
  <si>
    <t>DROITWICH</t>
  </si>
  <si>
    <t>BIR106</t>
  </si>
  <si>
    <t>1918</t>
  </si>
  <si>
    <t>Our Blessed Lady &amp; St Thomas of Canterbury</t>
  </si>
  <si>
    <t>DUDLEY</t>
  </si>
  <si>
    <t>BIR107</t>
  </si>
  <si>
    <t>1919</t>
  </si>
  <si>
    <t>ECCLESHALL</t>
  </si>
  <si>
    <t>BIR108</t>
  </si>
  <si>
    <t>1920</t>
  </si>
  <si>
    <t>St Mary &amp; St Egwin RC Church</t>
  </si>
  <si>
    <t>EVESHAM</t>
  </si>
  <si>
    <t>BIR109</t>
  </si>
  <si>
    <t>1921</t>
  </si>
  <si>
    <t>EYNSHAM</t>
  </si>
  <si>
    <t>BIR110</t>
  </si>
  <si>
    <t>1923</t>
  </si>
  <si>
    <t>Our Lady &amp; St John</t>
  </si>
  <si>
    <t>GORING-ON-THAMES</t>
  </si>
  <si>
    <t>BIR110A</t>
  </si>
  <si>
    <t>147925</t>
  </si>
  <si>
    <t>WOODCOTE</t>
  </si>
  <si>
    <t>BIR111</t>
  </si>
  <si>
    <t>1924</t>
  </si>
  <si>
    <t>The Holy Name of Jesus</t>
  </si>
  <si>
    <t>GREAT BARR</t>
  </si>
  <si>
    <t>BIR112</t>
  </si>
  <si>
    <t>1925</t>
  </si>
  <si>
    <t>St John Baptist</t>
  </si>
  <si>
    <t>GREAT HAYWOOD</t>
  </si>
  <si>
    <t>BIR113</t>
  </si>
  <si>
    <t>1926</t>
  </si>
  <si>
    <t>MALVERN</t>
  </si>
  <si>
    <t>BIR113X</t>
  </si>
  <si>
    <t>1927</t>
  </si>
  <si>
    <t>Our Lady &amp; St Pius X (CLOSED)</t>
  </si>
  <si>
    <t>KIDDERMINSTER</t>
  </si>
  <si>
    <t>BIR114</t>
  </si>
  <si>
    <t>1928</t>
  </si>
  <si>
    <t>Our Lady &amp; St Kenelm</t>
  </si>
  <si>
    <t>HALESOWEN</t>
  </si>
  <si>
    <t>BIR115</t>
  </si>
  <si>
    <t>1929</t>
  </si>
  <si>
    <t>HAMPTON-O-HILL</t>
  </si>
  <si>
    <t>BIR116</t>
  </si>
  <si>
    <t>1930</t>
  </si>
  <si>
    <t>St Mary's Catholic Church</t>
  </si>
  <si>
    <t>HARVINGTON</t>
  </si>
  <si>
    <t>BIR117</t>
  </si>
  <si>
    <t>1931</t>
  </si>
  <si>
    <t>St Michael and St James</t>
  </si>
  <si>
    <t>HAUNTON</t>
  </si>
  <si>
    <t>BIR118</t>
  </si>
  <si>
    <t>1932</t>
  </si>
  <si>
    <t>HEDNESFORD</t>
  </si>
  <si>
    <t>BIR119</t>
  </si>
  <si>
    <t>1933</t>
  </si>
  <si>
    <t>The Sacred Heart</t>
  </si>
  <si>
    <t>HENLEY-ON-THAMES</t>
  </si>
  <si>
    <t>BIR120</t>
  </si>
  <si>
    <t>1934</t>
  </si>
  <si>
    <t>The Holy Trinity</t>
  </si>
  <si>
    <t>HETHE</t>
  </si>
  <si>
    <t>BIR121</t>
  </si>
  <si>
    <t>1935</t>
  </si>
  <si>
    <t>KENILWORTH</t>
  </si>
  <si>
    <t>BIR122</t>
  </si>
  <si>
    <t>1936</t>
  </si>
  <si>
    <t>St Francis of Assisi (Catholic Parish of Kenilworth)</t>
  </si>
  <si>
    <t>BIR123</t>
  </si>
  <si>
    <t>1937</t>
  </si>
  <si>
    <t>St Ambrose RC Church</t>
  </si>
  <si>
    <t>BIR123A</t>
  </si>
  <si>
    <t>1938</t>
  </si>
  <si>
    <t>Our Lady of Ostra Brama</t>
  </si>
  <si>
    <t>BIR124</t>
  </si>
  <si>
    <t>1939</t>
  </si>
  <si>
    <t>Parish of Kidlington &amp; Woodstock (St Thomas More RC Church)</t>
  </si>
  <si>
    <t>KIDLINGTON</t>
  </si>
  <si>
    <t>BIR124S</t>
  </si>
  <si>
    <t>0444434</t>
  </si>
  <si>
    <t>Parish of Kidlington &amp; Woodstock (St Hugh of Lincoln)</t>
  </si>
  <si>
    <t>WOODSTOCK</t>
  </si>
  <si>
    <t>BIR125</t>
  </si>
  <si>
    <t>1940</t>
  </si>
  <si>
    <t>St  John the Evangelist</t>
  </si>
  <si>
    <t>KIDSGROVE</t>
  </si>
  <si>
    <t>BIR126</t>
  </si>
  <si>
    <t>1941</t>
  </si>
  <si>
    <t>KINETON</t>
  </si>
  <si>
    <t>BIR126S</t>
  </si>
  <si>
    <t>0444400</t>
  </si>
  <si>
    <t>AVON DASSETT</t>
  </si>
  <si>
    <t>BIR126S2</t>
  </si>
  <si>
    <t>0444459</t>
  </si>
  <si>
    <t>St Peter's Anglican Church</t>
  </si>
  <si>
    <t>BIR127</t>
  </si>
  <si>
    <t>1943</t>
  </si>
  <si>
    <t>St John RC Church</t>
  </si>
  <si>
    <t>KINGSHURST</t>
  </si>
  <si>
    <t>to add £65.10 banked on 02-01-2020</t>
  </si>
  <si>
    <t>BIR127S</t>
  </si>
  <si>
    <t>0444435</t>
  </si>
  <si>
    <t>St Anthony - Lady Chapel</t>
  </si>
  <si>
    <t>BIR128</t>
  </si>
  <si>
    <t>1944</t>
  </si>
  <si>
    <t>KINGSWINFORD</t>
  </si>
  <si>
    <t>include 2 more pay in slips after return submitted &amp; £38.23 extra banking identified</t>
  </si>
  <si>
    <t>BIR129</t>
  </si>
  <si>
    <t>1945</t>
  </si>
  <si>
    <t>Our Lady of Sorrows (CLOSED)</t>
  </si>
  <si>
    <t>KNUTTON</t>
  </si>
  <si>
    <t>BIR130</t>
  </si>
  <si>
    <t>1946</t>
  </si>
  <si>
    <t>St Peter Apostle</t>
  </si>
  <si>
    <t>LEAMINGTON SPA</t>
  </si>
  <si>
    <t>BIR131</t>
  </si>
  <si>
    <t>1947</t>
  </si>
  <si>
    <t>LEEK</t>
  </si>
  <si>
    <t>£72.50 should be £77.50 per bank statement</t>
  </si>
  <si>
    <t>BIR132</t>
  </si>
  <si>
    <t>1948</t>
  </si>
  <si>
    <t>Holy Cross</t>
  </si>
  <si>
    <t>LICHFIELD</t>
  </si>
  <si>
    <t>BIR132S</t>
  </si>
  <si>
    <t>SS Peter &amp; Paul</t>
  </si>
  <si>
    <t>BIR133</t>
  </si>
  <si>
    <t>1949</t>
  </si>
  <si>
    <t>Our Lady</t>
  </si>
  <si>
    <t>LILLINGTON</t>
  </si>
  <si>
    <t>BIR134</t>
  </si>
  <si>
    <t>1950</t>
  </si>
  <si>
    <t>St Wulstan RC Church</t>
  </si>
  <si>
    <t>BIR135</t>
  </si>
  <si>
    <t>1951</t>
  </si>
  <si>
    <t>St Peter &amp; The English Martyrs</t>
  </si>
  <si>
    <t>LOWER GORNAL</t>
  </si>
  <si>
    <t>BIR137</t>
  </si>
  <si>
    <t>1953</t>
  </si>
  <si>
    <t>St  Joseph</t>
  </si>
  <si>
    <t>MONKS KIRBY</t>
  </si>
  <si>
    <t>per statement analysis it should be £186.95</t>
  </si>
  <si>
    <t>BIR138</t>
  </si>
  <si>
    <t>1954</t>
  </si>
  <si>
    <t>Holy Trinity</t>
  </si>
  <si>
    <t>NEWCASTLE-UNDER-LYME</t>
  </si>
  <si>
    <t>£165.83 per bank statement (not £165)</t>
  </si>
  <si>
    <t>BIR139</t>
  </si>
  <si>
    <t>1957</t>
  </si>
  <si>
    <t>Our Lady of the Angels</t>
  </si>
  <si>
    <t>NUNEATON</t>
  </si>
  <si>
    <t>BIR140</t>
  </si>
  <si>
    <t>1958</t>
  </si>
  <si>
    <t>add counterfoil 523002 £38.36 on 24-06-19 bank statement</t>
  </si>
  <si>
    <t>BIR140S</t>
  </si>
  <si>
    <t>0444421</t>
  </si>
  <si>
    <t>ARLEY</t>
  </si>
  <si>
    <t>BIR141</t>
  </si>
  <si>
    <t>1959</t>
  </si>
  <si>
    <t>St Francis Xavier</t>
  </si>
  <si>
    <t>OLDBURY</t>
  </si>
  <si>
    <t>BIR142</t>
  </si>
  <si>
    <t>1960</t>
  </si>
  <si>
    <t>Olton Frairy (The Holy Ghost &amp; Mary Immaculate)</t>
  </si>
  <si>
    <t>OLTON</t>
  </si>
  <si>
    <t>BIR143</t>
  </si>
  <si>
    <t>1961</t>
  </si>
  <si>
    <t>OXFORD</t>
  </si>
  <si>
    <t>per statement analysis it should be £20.69</t>
  </si>
  <si>
    <t>BIR143S</t>
  </si>
  <si>
    <t>0444415</t>
  </si>
  <si>
    <t>WHEATLEY</t>
  </si>
  <si>
    <t>BIR144</t>
  </si>
  <si>
    <t>1962</t>
  </si>
  <si>
    <t>BIR145</t>
  </si>
  <si>
    <t>1963</t>
  </si>
  <si>
    <t>to add £78 banked on 03-01-2020</t>
  </si>
  <si>
    <t>BIR146</t>
  </si>
  <si>
    <t>1964</t>
  </si>
  <si>
    <t>St Aloysius Gonzaga RC Church</t>
  </si>
  <si>
    <t>BIR147</t>
  </si>
  <si>
    <t>1965</t>
  </si>
  <si>
    <t>St Anthony of Padua</t>
  </si>
  <si>
    <t>BIR148</t>
  </si>
  <si>
    <t>1966</t>
  </si>
  <si>
    <t>Blessed Dominic Barberi</t>
  </si>
  <si>
    <t>BIR149</t>
  </si>
  <si>
    <t>1967</t>
  </si>
  <si>
    <t>St Edmund of Abingdon and St Frideswide</t>
  </si>
  <si>
    <t>BIR150</t>
  </si>
  <si>
    <t>1968</t>
  </si>
  <si>
    <t>St Gregory &amp; St Augustine</t>
  </si>
  <si>
    <t>BIR151</t>
  </si>
  <si>
    <t>1970</t>
  </si>
  <si>
    <t>Holy Redeemer, St Wulstan &amp; St Eadburga</t>
  </si>
  <si>
    <t>PERSHORE</t>
  </si>
  <si>
    <t>BIR152</t>
  </si>
  <si>
    <t>1971</t>
  </si>
  <si>
    <t>Our Lady of Mount Carmel RC Church</t>
  </si>
  <si>
    <t>REDDITCH</t>
  </si>
  <si>
    <t>BIR152S</t>
  </si>
  <si>
    <t>0444401</t>
  </si>
  <si>
    <t>ALVECHURCH</t>
  </si>
  <si>
    <t>BIR152S2</t>
  </si>
  <si>
    <t>0444402</t>
  </si>
  <si>
    <t>FECKENHAM</t>
  </si>
  <si>
    <t>BIR152S3</t>
  </si>
  <si>
    <t>0444403</t>
  </si>
  <si>
    <t>St Richard &amp; St Hubert</t>
  </si>
  <si>
    <t>HADZOR</t>
  </si>
  <si>
    <t>BIR153</t>
  </si>
  <si>
    <t>1972</t>
  </si>
  <si>
    <t>RUGBY</t>
  </si>
  <si>
    <t>BIR154</t>
  </si>
  <si>
    <t>1973</t>
  </si>
  <si>
    <t>Rev Sacred Heart RC Church</t>
  </si>
  <si>
    <t>BIR155</t>
  </si>
  <si>
    <t>1974</t>
  </si>
  <si>
    <t>St Marie RC Church</t>
  </si>
  <si>
    <r>
      <t xml:space="preserve">per statement analysis it should be £3259.55 </t>
    </r>
    <r>
      <rPr>
        <strike/>
        <sz val="10"/>
        <rFont val="Arial"/>
        <family val="2"/>
      </rPr>
      <t xml:space="preserve"> (add 5p banking diff)</t>
    </r>
  </si>
  <si>
    <t>BIR156</t>
  </si>
  <si>
    <t>1975</t>
  </si>
  <si>
    <t>St Joseph &amp; St Etheldreda</t>
  </si>
  <si>
    <t>RUGELEY</t>
  </si>
  <si>
    <t>add 90p banking difference</t>
  </si>
  <si>
    <t>BIR157</t>
  </si>
  <si>
    <t>1976</t>
  </si>
  <si>
    <t>St Chad &amp; All Saints RC Church</t>
  </si>
  <si>
    <t>SEDGLEY</t>
  </si>
  <si>
    <t>BIR158</t>
  </si>
  <si>
    <t>1977</t>
  </si>
  <si>
    <t>SHELFIELD</t>
  </si>
  <si>
    <t>add £236.20 banked 31-12/2019</t>
  </si>
  <si>
    <t>BIR159</t>
  </si>
  <si>
    <t>1978</t>
  </si>
  <si>
    <t>Our Lady &amp; The Apostles</t>
  </si>
  <si>
    <t>SHIPSTON-ON-STOUR</t>
  </si>
  <si>
    <t>BIR159L</t>
  </si>
  <si>
    <t>0444404</t>
  </si>
  <si>
    <t>LOWER BRAILES</t>
  </si>
  <si>
    <t>BIR160</t>
  </si>
  <si>
    <t>1979</t>
  </si>
  <si>
    <t>Our Lady of Wayside</t>
  </si>
  <si>
    <t>SHIRLEY</t>
  </si>
  <si>
    <t>less £100 (Lloyds chq 000181 Mrs R Hughes) - direct banking?</t>
  </si>
  <si>
    <t>BIR161</t>
  </si>
  <si>
    <t>1980</t>
  </si>
  <si>
    <t>SILVERDALE-MADELEY</t>
  </si>
  <si>
    <t>BIR162</t>
  </si>
  <si>
    <t>1981</t>
  </si>
  <si>
    <t>St Philip Neri RC Church</t>
  </si>
  <si>
    <t>SMETHWICK</t>
  </si>
  <si>
    <t>BIR162A</t>
  </si>
  <si>
    <t>0444447</t>
  </si>
  <si>
    <t>Our Lady of the Caribbean</t>
  </si>
  <si>
    <t>BIR163</t>
  </si>
  <si>
    <t>1982</t>
  </si>
  <si>
    <t>St Augustine of England</t>
  </si>
  <si>
    <t>SOLIHULL</t>
  </si>
  <si>
    <t>to add 60p banking didd</t>
  </si>
  <si>
    <t>BIR164</t>
  </si>
  <si>
    <t>1983</t>
  </si>
  <si>
    <t>St Michael</t>
  </si>
  <si>
    <t>SONNING COMMON</t>
  </si>
  <si>
    <t>less 2p diff in banking</t>
  </si>
  <si>
    <t>BIR165</t>
  </si>
  <si>
    <t>1984</t>
  </si>
  <si>
    <t>Our Lady &amp; St Wulstan RC Church</t>
  </si>
  <si>
    <t>SOUTHAM</t>
  </si>
  <si>
    <t>BIR165X</t>
  </si>
  <si>
    <t>1985</t>
  </si>
  <si>
    <t>SPETCHLEY PARK</t>
  </si>
  <si>
    <t>BIR166</t>
  </si>
  <si>
    <t>1986</t>
  </si>
  <si>
    <t>STAFFORD</t>
  </si>
  <si>
    <t>per statement analysis it should be £1322.11</t>
  </si>
  <si>
    <t>BIR167</t>
  </si>
  <si>
    <t>1987</t>
  </si>
  <si>
    <t>St Austin</t>
  </si>
  <si>
    <t>BIR168</t>
  </si>
  <si>
    <t>1988</t>
  </si>
  <si>
    <t>add £80 banked on 18 Dec 2019 -Loc Sec said he would put it on 2020 Annual Return</t>
  </si>
  <si>
    <t>BIR169</t>
  </si>
  <si>
    <t>1989</t>
  </si>
  <si>
    <t>Our Lady of the Angels &amp; St Peter in Chains</t>
  </si>
  <si>
    <t>STOKE-ON-TRENT</t>
  </si>
  <si>
    <t>BIR170</t>
  </si>
  <si>
    <t>1990</t>
  </si>
  <si>
    <t>Our Lady and St Benedict</t>
  </si>
  <si>
    <t>ABBEY HULTON</t>
  </si>
  <si>
    <t>BIR171</t>
  </si>
  <si>
    <t>1991</t>
  </si>
  <si>
    <t>St George &amp; St Martin</t>
  </si>
  <si>
    <t>BIR173</t>
  </si>
  <si>
    <t>1993</t>
  </si>
  <si>
    <t>St Maria Goretti</t>
  </si>
  <si>
    <t>STOKE ON TRENT</t>
  </si>
  <si>
    <t>Diff £0.08  : Grand Total stated £105.31</t>
  </si>
  <si>
    <t>BIR174</t>
  </si>
  <si>
    <t>1994</t>
  </si>
  <si>
    <t>BURSLEM</t>
  </si>
  <si>
    <t>BIR175</t>
  </si>
  <si>
    <t>1995</t>
  </si>
  <si>
    <t>BIR176</t>
  </si>
  <si>
    <t>1996</t>
  </si>
  <si>
    <t>BIR177</t>
  </si>
  <si>
    <t>1997</t>
  </si>
  <si>
    <t>BIR178</t>
  </si>
  <si>
    <t>1998</t>
  </si>
  <si>
    <t>GOLDENHILL</t>
  </si>
  <si>
    <t>£187.45 should be £188.07 per bank statement</t>
  </si>
  <si>
    <t>BIR179</t>
  </si>
  <si>
    <t>1999</t>
  </si>
  <si>
    <t>£55 Banking on 25/09 is not in statement</t>
  </si>
  <si>
    <t>BIR180</t>
  </si>
  <si>
    <t>2000</t>
  </si>
  <si>
    <t>St Gregory RC Church</t>
  </si>
  <si>
    <t>BIR181</t>
  </si>
  <si>
    <t>2001</t>
  </si>
  <si>
    <t>St Augustine of Canterbury</t>
  </si>
  <si>
    <t>MEIR</t>
  </si>
  <si>
    <t>£189.07 should be £199.07 per bank statement</t>
  </si>
  <si>
    <t>BIR181S</t>
  </si>
  <si>
    <t>0444443</t>
  </si>
  <si>
    <t>CRESSWELL</t>
  </si>
  <si>
    <t>BIR182</t>
  </si>
  <si>
    <t>2002</t>
  </si>
  <si>
    <t>£17 should be £77 per bank statement</t>
  </si>
  <si>
    <t>BIR183</t>
  </si>
  <si>
    <t>2003</t>
  </si>
  <si>
    <t>add £185.50 late banking on 02-01-2020</t>
  </si>
  <si>
    <t>BIR184</t>
  </si>
  <si>
    <t>2004</t>
  </si>
  <si>
    <t>transposition error - should be £479.19</t>
  </si>
  <si>
    <t>BIR184S</t>
  </si>
  <si>
    <t>0444433</t>
  </si>
  <si>
    <t>St Bernadette (CLOSED)</t>
  </si>
  <si>
    <t>BIR185</t>
  </si>
  <si>
    <t>2005</t>
  </si>
  <si>
    <t>The Immaculate Conception &amp; St Dominic</t>
  </si>
  <si>
    <t>STONE</t>
  </si>
  <si>
    <r>
      <t xml:space="preserve">per statement analysis it should be £1833.72   </t>
    </r>
    <r>
      <rPr>
        <strike/>
        <sz val="10"/>
        <rFont val="Arial"/>
        <family val="2"/>
      </rPr>
      <t xml:space="preserve"> (add £30 (banked different amount) + £287.84 (banked 02-01-2020) + 90p casting error)</t>
    </r>
  </si>
  <si>
    <t>BIR185S</t>
  </si>
  <si>
    <t>0444407</t>
  </si>
  <si>
    <t>Holy Michael Archangel</t>
  </si>
  <si>
    <t>ASTON-BY-STONE</t>
  </si>
  <si>
    <t>BIR186</t>
  </si>
  <si>
    <t>2006</t>
  </si>
  <si>
    <t>Our Lady &amp; All Saints RC Church</t>
  </si>
  <si>
    <t>STOURBRIDGE</t>
  </si>
  <si>
    <t>BIR187</t>
  </si>
  <si>
    <t>2007</t>
  </si>
  <si>
    <t>St Wulstan &amp; St Thomas of Canterbury</t>
  </si>
  <si>
    <t>STOURPORT-ON-SEVERN</t>
  </si>
  <si>
    <t>add £29.45 (banked 18/12/2019) + £226.58 (24-12-2019) + extra banking identified</t>
  </si>
  <si>
    <t>BIR187A</t>
  </si>
  <si>
    <t>2008</t>
  </si>
  <si>
    <t>The Holy Family</t>
  </si>
  <si>
    <t>BEWDLEY</t>
  </si>
  <si>
    <t>BIR188</t>
  </si>
  <si>
    <t>2009</t>
  </si>
  <si>
    <t>St Gregory the Great</t>
  </si>
  <si>
    <t>STRATFORD-ON-AVON</t>
  </si>
  <si>
    <t>BIR188S</t>
  </si>
  <si>
    <t>0444424</t>
  </si>
  <si>
    <t>Our Lady of Peace and Blessed Robert Dibdale</t>
  </si>
  <si>
    <t>SHOTTERY</t>
  </si>
  <si>
    <t>BIR189</t>
  </si>
  <si>
    <t>2010</t>
  </si>
  <si>
    <t>STREETLY</t>
  </si>
  <si>
    <t>BIR190</t>
  </si>
  <si>
    <t>2011</t>
  </si>
  <si>
    <t>STUDLEY</t>
  </si>
  <si>
    <t>BIR191</t>
  </si>
  <si>
    <t>2012</t>
  </si>
  <si>
    <t>SUTTON COLDFIELD</t>
  </si>
  <si>
    <t>less 5p diff in banking</t>
  </si>
  <si>
    <t>BIR192</t>
  </si>
  <si>
    <t>2013</t>
  </si>
  <si>
    <t>St Nicholas RC Church</t>
  </si>
  <si>
    <r>
      <t xml:space="preserve">chq £62 received 08-01-2020   </t>
    </r>
    <r>
      <rPr>
        <b/>
        <sz val="10"/>
        <rFont val="Arial"/>
        <family val="2"/>
      </rPr>
      <t>Account for in 2020</t>
    </r>
  </si>
  <si>
    <t>BIR193</t>
  </si>
  <si>
    <t>2014</t>
  </si>
  <si>
    <t>BIR194</t>
  </si>
  <si>
    <t>2015</t>
  </si>
  <si>
    <t>Holy Cross &amp; St Francis RC Church</t>
  </si>
  <si>
    <t>BIR195</t>
  </si>
  <si>
    <t>2016</t>
  </si>
  <si>
    <t>SWYNNERTON</t>
  </si>
  <si>
    <t>BIR196</t>
  </si>
  <si>
    <t>2017</t>
  </si>
  <si>
    <t>TAMWORTH</t>
  </si>
  <si>
    <t>BIR196X</t>
  </si>
  <si>
    <t>2018</t>
  </si>
  <si>
    <t>TAMWORTH (GLASCOTE HEATH)</t>
  </si>
  <si>
    <t>BIR197</t>
  </si>
  <si>
    <t>2019</t>
  </si>
  <si>
    <t>TEAN</t>
  </si>
  <si>
    <t>BIR198</t>
  </si>
  <si>
    <t>148025</t>
  </si>
  <si>
    <t>The Sacred Heart &amp; Our Lady</t>
  </si>
  <si>
    <t>TENBURY WELLS</t>
  </si>
  <si>
    <t>BIR199</t>
  </si>
  <si>
    <t>2020</t>
  </si>
  <si>
    <t>THAME</t>
  </si>
  <si>
    <t>BIR200</t>
  </si>
  <si>
    <t>2021</t>
  </si>
  <si>
    <t>Sacred Heart &amp; Holy Souls</t>
  </si>
  <si>
    <t>TIPTON</t>
  </si>
  <si>
    <t>BIR200X</t>
  </si>
  <si>
    <t>2022</t>
  </si>
  <si>
    <t>UPTON-ON-SEVERN</t>
  </si>
  <si>
    <t>Diff £1  : Grand Total stated £775.94</t>
  </si>
  <si>
    <t>BIR200XS</t>
  </si>
  <si>
    <t>0444439</t>
  </si>
  <si>
    <t>Our Blessed Lady &amp; St Alphonsus</t>
  </si>
  <si>
    <t>BLACKMORE PARK</t>
  </si>
  <si>
    <t>BIR201</t>
  </si>
  <si>
    <t>2023</t>
  </si>
  <si>
    <t>UTTOXETER</t>
  </si>
  <si>
    <t>BIR201S</t>
  </si>
  <si>
    <t>0444405</t>
  </si>
  <si>
    <t>Sacred Heart (CLOSED)</t>
  </si>
  <si>
    <t>ABBOTS BROMLEY</t>
  </si>
  <si>
    <t>BIR202</t>
  </si>
  <si>
    <t>2024</t>
  </si>
  <si>
    <t>WALSALL</t>
  </si>
  <si>
    <t>BIR203</t>
  </si>
  <si>
    <t>2025</t>
  </si>
  <si>
    <t>BIR204</t>
  </si>
  <si>
    <t>2026</t>
  </si>
  <si>
    <t>BIR205</t>
  </si>
  <si>
    <t>2027</t>
  </si>
  <si>
    <t>WAPPENBURY</t>
  </si>
  <si>
    <t>BIR205S</t>
  </si>
  <si>
    <t>0444417</t>
  </si>
  <si>
    <t>PRINCETHORPE</t>
  </si>
  <si>
    <t>BIR206</t>
  </si>
  <si>
    <t>2028</t>
  </si>
  <si>
    <t>Our Lady &amp; St Hubert RC Church</t>
  </si>
  <si>
    <t>WARLEY</t>
  </si>
  <si>
    <t>BIR207</t>
  </si>
  <si>
    <t>2029</t>
  </si>
  <si>
    <t>St Mary Immaculate</t>
  </si>
  <si>
    <t>WARWICK</t>
  </si>
  <si>
    <t>£551.65 - should be £551.68: banking difference 3p</t>
  </si>
  <si>
    <t>BIR208</t>
  </si>
  <si>
    <t>2030</t>
  </si>
  <si>
    <t>St Edmund Campion</t>
  </si>
  <si>
    <t>WATLINGTON</t>
  </si>
  <si>
    <t>BIR208S</t>
  </si>
  <si>
    <t>0444418</t>
  </si>
  <si>
    <t>Chapel of The Blessed Trinity</t>
  </si>
  <si>
    <t>STONOR</t>
  </si>
  <si>
    <t>BIR209</t>
  </si>
  <si>
    <t>2031</t>
  </si>
  <si>
    <t>St Mary on the Hill</t>
  </si>
  <si>
    <t>WEDNESBURY</t>
  </si>
  <si>
    <t>add £53.94 banked 03-01-2020 + casting error 36p</t>
  </si>
  <si>
    <t>BIR210</t>
  </si>
  <si>
    <t>2032</t>
  </si>
  <si>
    <t>St Michael &amp; the Holy Angels</t>
  </si>
  <si>
    <t>WEST BROMWICH</t>
  </si>
  <si>
    <t>BIR211</t>
  </si>
  <si>
    <t>2033</t>
  </si>
  <si>
    <t>BIR211S</t>
  </si>
  <si>
    <t>0444450</t>
  </si>
  <si>
    <t>BIR212</t>
  </si>
  <si>
    <t>2034</t>
  </si>
  <si>
    <t>Our Lady of the Sacred Heart</t>
  </si>
  <si>
    <t>BULKINGTON</t>
  </si>
  <si>
    <t>add late banking 99p (23/12/19) &amp; difference</t>
  </si>
  <si>
    <t>BIR213</t>
  </si>
  <si>
    <t>2035</t>
  </si>
  <si>
    <t>WHITNASH</t>
  </si>
  <si>
    <t>BIR214</t>
  </si>
  <si>
    <t>2036</t>
  </si>
  <si>
    <t>WILLENHALL</t>
  </si>
  <si>
    <t>BIR215</t>
  </si>
  <si>
    <t>2038</t>
  </si>
  <si>
    <t>Our Lady &amp; St Hugh</t>
  </si>
  <si>
    <t>WITNEY</t>
  </si>
  <si>
    <t>BIR216</t>
  </si>
  <si>
    <t>2039</t>
  </si>
  <si>
    <t>WOLSTANTON</t>
  </si>
  <si>
    <t>BIR217</t>
  </si>
  <si>
    <t>2040</t>
  </si>
  <si>
    <t>WOLVERHAMPTON</t>
  </si>
  <si>
    <t>BIR218</t>
  </si>
  <si>
    <t>2041</t>
  </si>
  <si>
    <t>Total less £270 which was banked on 20-12-2019</t>
  </si>
  <si>
    <t>BIR219</t>
  </si>
  <si>
    <t>2042</t>
  </si>
  <si>
    <t>BIR220</t>
  </si>
  <si>
    <t>2043</t>
  </si>
  <si>
    <t>BIR221</t>
  </si>
  <si>
    <t>2045</t>
  </si>
  <si>
    <t>St Mary &amp; St John</t>
  </si>
  <si>
    <t>BIR222</t>
  </si>
  <si>
    <t>2046</t>
  </si>
  <si>
    <t>BIR223</t>
  </si>
  <si>
    <t>2047</t>
  </si>
  <si>
    <t>BIR224</t>
  </si>
  <si>
    <t>2048</t>
  </si>
  <si>
    <t>St Peter &amp; St Paul RC Church</t>
  </si>
  <si>
    <t>BIR225</t>
  </si>
  <si>
    <t>2050</t>
  </si>
  <si>
    <t>St Teresa of the Infant Jesus</t>
  </si>
  <si>
    <t>BIR226</t>
  </si>
  <si>
    <t>2051</t>
  </si>
  <si>
    <t>TETTENHALL</t>
  </si>
  <si>
    <t>BIR227</t>
  </si>
  <si>
    <t>2053</t>
  </si>
  <si>
    <t>WOMBOURNE</t>
  </si>
  <si>
    <t>BIR228</t>
  </si>
  <si>
    <t>2054</t>
  </si>
  <si>
    <t>Our Lady &amp; St Benedict</t>
  </si>
  <si>
    <t>WOOTON WAWEN</t>
  </si>
  <si>
    <t>BIR228S</t>
  </si>
  <si>
    <t>0444427</t>
  </si>
  <si>
    <t>St Nicholas Anglican Church</t>
  </si>
  <si>
    <t>HENLEY-IN-ARDEN</t>
  </si>
  <si>
    <t>BIR229</t>
  </si>
  <si>
    <t>2055</t>
  </si>
  <si>
    <t>Our Lady of Queen of Peace</t>
  </si>
  <si>
    <t>WORCESTER</t>
  </si>
  <si>
    <t>BIR230</t>
  </si>
  <si>
    <t>2056</t>
  </si>
  <si>
    <t>BIR231</t>
  </si>
  <si>
    <t>2057</t>
  </si>
  <si>
    <t>BIR232</t>
  </si>
  <si>
    <t>0444625</t>
  </si>
  <si>
    <t>West Indian Chaplaincy</t>
  </si>
  <si>
    <t>BIR233</t>
  </si>
  <si>
    <t>0444441</t>
  </si>
  <si>
    <t>St Christopher</t>
  </si>
  <si>
    <t>TUTBURY</t>
  </si>
  <si>
    <t>N</t>
  </si>
  <si>
    <t>included in BIR072-1880</t>
  </si>
  <si>
    <t>235525</t>
  </si>
  <si>
    <t>duplicate record of BIR233-0444441?</t>
  </si>
  <si>
    <t>BIR234</t>
  </si>
  <si>
    <t>0444442</t>
  </si>
  <si>
    <t>St Francis de Sales</t>
  </si>
  <si>
    <t>WOODLANE</t>
  </si>
  <si>
    <t>BIR999</t>
  </si>
  <si>
    <t>2061</t>
  </si>
  <si>
    <t>Birmingham Miscellaneous Donations</t>
  </si>
  <si>
    <t>unidentified items in bank statements &amp; add £840.43 DIOC banking on 12/02/2019 per Vangie</t>
  </si>
  <si>
    <t>BRE</t>
  </si>
  <si>
    <t>BRE001</t>
  </si>
  <si>
    <t>2063</t>
  </si>
  <si>
    <t>Cathedral Church of St Mary &amp; St Helen</t>
  </si>
  <si>
    <t>BRENTWOOD</t>
  </si>
  <si>
    <t>BRE002</t>
  </si>
  <si>
    <t>2064</t>
  </si>
  <si>
    <t>SOUTH OCKENDON</t>
  </si>
  <si>
    <t>BRE003</t>
  </si>
  <si>
    <t>2065</t>
  </si>
  <si>
    <t>Parish of St Mary &amp; St Ethelburga with St Erconwald (St Mary &amp; St Ethelburga)</t>
  </si>
  <si>
    <t>BARKING</t>
  </si>
  <si>
    <t>BRE004</t>
  </si>
  <si>
    <t>2066</t>
  </si>
  <si>
    <r>
      <t xml:space="preserve">per DD - it is £942.80  </t>
    </r>
    <r>
      <rPr>
        <strike/>
        <sz val="10"/>
        <rFont val="Arial"/>
        <family val="2"/>
      </rPr>
      <t>(less banking on 07-01-2020 and 24-01-2020)</t>
    </r>
  </si>
  <si>
    <t>BRE004S</t>
  </si>
  <si>
    <t>0443584</t>
  </si>
  <si>
    <t>St Thomas More (St Anne)</t>
  </si>
  <si>
    <t>BRE005</t>
  </si>
  <si>
    <t>2068</t>
  </si>
  <si>
    <t>St Augustine of Canterbury RC Church</t>
  </si>
  <si>
    <t xml:space="preserve">ILFORD  </t>
  </si>
  <si>
    <t>per DD - it is £4002</t>
  </si>
  <si>
    <t>BRE006</t>
  </si>
  <si>
    <t>2069</t>
  </si>
  <si>
    <t>Our Lady &amp; All Saints (St Basil the Great)</t>
  </si>
  <si>
    <t>BASILDON</t>
  </si>
  <si>
    <t>BRE007</t>
  </si>
  <si>
    <t>2070</t>
  </si>
  <si>
    <t>Our Lady &amp; All Saints (The Most Holy Trinity)</t>
  </si>
  <si>
    <t>Diff 20p: Grand Total stated £622.97</t>
  </si>
  <si>
    <t>BRE008</t>
  </si>
  <si>
    <t>2071</t>
  </si>
  <si>
    <t>St Vincent de Paul RC Church</t>
  </si>
  <si>
    <t>DAGENHAM</t>
  </si>
  <si>
    <t>BRE009</t>
  </si>
  <si>
    <t>2072</t>
  </si>
  <si>
    <t>BENFLEET</t>
  </si>
  <si>
    <t>BRE009S</t>
  </si>
  <si>
    <t>0443586</t>
  </si>
  <si>
    <t>Holy Family (St Thomas More)</t>
  </si>
  <si>
    <t>BRE010</t>
  </si>
  <si>
    <t>2073</t>
  </si>
  <si>
    <t>The Most Holy Redeemer RC Church</t>
  </si>
  <si>
    <t>BILLERICAY</t>
  </si>
  <si>
    <t>BRE011</t>
  </si>
  <si>
    <t>2074</t>
  </si>
  <si>
    <t>Our Lady Queen of Peace</t>
  </si>
  <si>
    <t>BRAINTREE</t>
  </si>
  <si>
    <t>BRE013</t>
  </si>
  <si>
    <t>2077</t>
  </si>
  <si>
    <t>Parish of Assumption of Our Lady &amp; St Cuthbert (St Cuthbert RC Church)</t>
  </si>
  <si>
    <t>MALDON</t>
  </si>
  <si>
    <t>BRE014</t>
  </si>
  <si>
    <t>2078</t>
  </si>
  <si>
    <t>St Margaret &amp; All Saints RC Church</t>
  </si>
  <si>
    <t>LONDON</t>
  </si>
  <si>
    <t>BRE014S</t>
  </si>
  <si>
    <t>0479438</t>
  </si>
  <si>
    <t>St Margaret's Convent Chapel</t>
  </si>
  <si>
    <t>CANNING TOWN</t>
  </si>
  <si>
    <t>BRE016</t>
  </si>
  <si>
    <t>2079</t>
  </si>
  <si>
    <t>Our Lady of Canvey &amp; The English Martyrs RC Church</t>
  </si>
  <si>
    <t>CANVEY ISLAND</t>
  </si>
  <si>
    <t>BRE017</t>
  </si>
  <si>
    <t>2080</t>
  </si>
  <si>
    <t>St Bede RC Church</t>
  </si>
  <si>
    <t>ROMFORD</t>
  </si>
  <si>
    <t>??</t>
  </si>
  <si>
    <t>BRE019</t>
  </si>
  <si>
    <t>per DD - it is £1088.81</t>
  </si>
  <si>
    <t>Line inserted manually &amp; not in download.</t>
  </si>
  <si>
    <t>BRE020</t>
  </si>
  <si>
    <t>2082</t>
  </si>
  <si>
    <t>The Blessed Sacrament RC Church</t>
  </si>
  <si>
    <t>CHELMSFORD</t>
  </si>
  <si>
    <t>per DD - it is £1011</t>
  </si>
  <si>
    <t>BRE021</t>
  </si>
  <si>
    <t>Parish of Our Lady Immaculate &amp; Holy Name (The Holy Name RC Church)</t>
  </si>
  <si>
    <t xml:space="preserve">CHELMSFORD                    </t>
  </si>
  <si>
    <t>per DD - it is £507.27</t>
  </si>
  <si>
    <t>BRE022</t>
  </si>
  <si>
    <t>2084</t>
  </si>
  <si>
    <t>Our Lady of Grace &amp; St Teresa of Avila RC Church</t>
  </si>
  <si>
    <t>BRE023</t>
  </si>
  <si>
    <t>2086</t>
  </si>
  <si>
    <t>Our Lady of Light &amp; St Osyth RC Church</t>
  </si>
  <si>
    <t>CLACTON-ON-SEA</t>
  </si>
  <si>
    <t>BRE023A</t>
  </si>
  <si>
    <t>0479439</t>
  </si>
  <si>
    <t>All Souls</t>
  </si>
  <si>
    <t>HOLLAND-ON-SEA</t>
  </si>
  <si>
    <t>BRE023S</t>
  </si>
  <si>
    <t>0479440</t>
  </si>
  <si>
    <t>All Saints</t>
  </si>
  <si>
    <t>JAYWICK</t>
  </si>
  <si>
    <t>BRE024</t>
  </si>
  <si>
    <t>2087</t>
  </si>
  <si>
    <t>ILFORD</t>
  </si>
  <si>
    <t>BRE025</t>
  </si>
  <si>
    <t>2088</t>
  </si>
  <si>
    <t>St James the Less &amp; St Helen RC Church</t>
  </si>
  <si>
    <t>COLCHESTER</t>
  </si>
  <si>
    <t>BRE025S</t>
  </si>
  <si>
    <t>0443632</t>
  </si>
  <si>
    <t>St James the Less &amp; St Helen RC Church (St Joseph)</t>
  </si>
  <si>
    <t>BRE025S2</t>
  </si>
  <si>
    <t>0443633</t>
  </si>
  <si>
    <t>St James the Less &amp; St Helen RC Church (St Cedd &amp; St Gregory)</t>
  </si>
  <si>
    <t>BRE025S3</t>
  </si>
  <si>
    <t>0443634</t>
  </si>
  <si>
    <t>St James the Less &amp; St Helen RC Church (St Theodore of Canterbury)</t>
  </si>
  <si>
    <t>BRE026</t>
  </si>
  <si>
    <t>2089</t>
  </si>
  <si>
    <t>per DD - it is £1105.93</t>
  </si>
  <si>
    <t>BRE027</t>
  </si>
  <si>
    <t>2090</t>
  </si>
  <si>
    <t>Parish of Our Lady of Walsingham (St Anne RC Church)</t>
  </si>
  <si>
    <t>BRE027L</t>
  </si>
  <si>
    <t>0444023</t>
  </si>
  <si>
    <t>Parish of Our Lady of Walsingham (St Mary &amp; St Edward with St John)</t>
  </si>
  <si>
    <t>BRE028</t>
  </si>
  <si>
    <t>2091</t>
  </si>
  <si>
    <t>BRE029</t>
  </si>
  <si>
    <t>2092</t>
  </si>
  <si>
    <t>BRE030</t>
  </si>
  <si>
    <t>2093</t>
  </si>
  <si>
    <t>Parish of English Martyrs and Holy Trinity (English Martyrs RC Church)</t>
  </si>
  <si>
    <t xml:space="preserve">CHELMSFORD  </t>
  </si>
  <si>
    <t>BRE030S</t>
  </si>
  <si>
    <t>0444031</t>
  </si>
  <si>
    <t>Parish of English Martyrs and Holy Trinity (Holy Trinity SWF RC Church)</t>
  </si>
  <si>
    <t>BRE031</t>
  </si>
  <si>
    <t>0479441</t>
  </si>
  <si>
    <t>St  Thomas More RC Church</t>
  </si>
  <si>
    <t>DEBDEN</t>
  </si>
  <si>
    <t>BRE032</t>
  </si>
  <si>
    <t>2095</t>
  </si>
  <si>
    <t>Our Lady &amp; St Anne Line RC Church</t>
  </si>
  <si>
    <t xml:space="preserve">DUNMOW </t>
  </si>
  <si>
    <t>per DD - it is £561.58</t>
  </si>
  <si>
    <t>BRE032S</t>
  </si>
  <si>
    <t>0443641</t>
  </si>
  <si>
    <t>Our Lady &amp; St Anne Line RC Church (Our Lady of Lourdes)</t>
  </si>
  <si>
    <t>DUNMOW</t>
  </si>
  <si>
    <t>BRE033</t>
  </si>
  <si>
    <t>2097</t>
  </si>
  <si>
    <t>BRE033A</t>
  </si>
  <si>
    <t>2098</t>
  </si>
  <si>
    <t>Parish of Our Lady of Walsingham (St Mark's Church &amp; Community Centre)</t>
  </si>
  <si>
    <t>BRE034</t>
  </si>
  <si>
    <t>2099</t>
  </si>
  <si>
    <t>LEIGH-ON-SEA</t>
  </si>
  <si>
    <t>BRE035</t>
  </si>
  <si>
    <t>2100</t>
  </si>
  <si>
    <t>St Alban RC Church</t>
  </si>
  <si>
    <t xml:space="preserve">HORNCHURCH  </t>
  </si>
  <si>
    <t>BRE036</t>
  </si>
  <si>
    <t>2101</t>
  </si>
  <si>
    <t xml:space="preserve">EPPING  </t>
  </si>
  <si>
    <t>BRE037</t>
  </si>
  <si>
    <t>2102</t>
  </si>
  <si>
    <t>BRE037S</t>
  </si>
  <si>
    <t>0479442</t>
  </si>
  <si>
    <t>Durning Hall Community Centre</t>
  </si>
  <si>
    <t>FOREST GATE</t>
  </si>
  <si>
    <t>BRE038</t>
  </si>
  <si>
    <t>2103</t>
  </si>
  <si>
    <t>Sacred Heart &amp; St Francis RC Church</t>
  </si>
  <si>
    <t>FRINTON-ON-SEA</t>
  </si>
  <si>
    <t>BRE039</t>
  </si>
  <si>
    <t>2104</t>
  </si>
  <si>
    <t>Christ the Eternal High Priest RC Church</t>
  </si>
  <si>
    <t>BRE040</t>
  </si>
  <si>
    <t>2105</t>
  </si>
  <si>
    <t>St Cedd RC Church</t>
  </si>
  <si>
    <t>BRE041</t>
  </si>
  <si>
    <t>2106</t>
  </si>
  <si>
    <t>GRAYS</t>
  </si>
  <si>
    <t>BRE041S</t>
  </si>
  <si>
    <t>0444036</t>
  </si>
  <si>
    <t>St Thomas of Canterbury (St Peter)</t>
  </si>
  <si>
    <t>BRE041X</t>
  </si>
  <si>
    <t>2107</t>
  </si>
  <si>
    <t>The Holy Spirit RC Church</t>
  </si>
  <si>
    <t>BRE041XS</t>
  </si>
  <si>
    <t>0479443</t>
  </si>
  <si>
    <t>THAXTED</t>
  </si>
  <si>
    <t>BRE041Y</t>
  </si>
  <si>
    <t>2108</t>
  </si>
  <si>
    <t>St John Payne RC Church</t>
  </si>
  <si>
    <t>BRE041YS</t>
  </si>
  <si>
    <t>0443994</t>
  </si>
  <si>
    <t>St John Payne (St Mary the Virgin C of E Church)</t>
  </si>
  <si>
    <t>BRE041YS2</t>
  </si>
  <si>
    <t>0443995</t>
  </si>
  <si>
    <t>St John Payne (St Mary &amp; St Michael C of E Church)</t>
  </si>
  <si>
    <t>BRE042</t>
  </si>
  <si>
    <t>2109</t>
  </si>
  <si>
    <t>The Assumption RC Church</t>
  </si>
  <si>
    <t xml:space="preserve">CHIGWELL </t>
  </si>
  <si>
    <t>BRE043</t>
  </si>
  <si>
    <t>2110</t>
  </si>
  <si>
    <t>St  Francis of Assisi RC Church</t>
  </si>
  <si>
    <t>HALSTEAD</t>
  </si>
  <si>
    <t>BRE043S</t>
  </si>
  <si>
    <t>0443998</t>
  </si>
  <si>
    <t>St  Francis of Assisi (St Peter's C of E Church)</t>
  </si>
  <si>
    <t>BRE044</t>
  </si>
  <si>
    <t>2111</t>
  </si>
  <si>
    <t>Parish of Our Lady of Fatima &amp; St Thomas More (Our Lady of Fatima RC Church)</t>
  </si>
  <si>
    <t>HARLOW</t>
  </si>
  <si>
    <t>BRE044S</t>
  </si>
  <si>
    <t>0479444</t>
  </si>
  <si>
    <t>Parish of Our Lady of Fatima &amp; St Thomas More (St Thomas More RC Church)</t>
  </si>
  <si>
    <t>BRE045</t>
  </si>
  <si>
    <t>2112</t>
  </si>
  <si>
    <t>Church of the Assumption RC Church</t>
  </si>
  <si>
    <t>per DD - it is £334.62</t>
  </si>
  <si>
    <t>BRE046</t>
  </si>
  <si>
    <t>2113</t>
  </si>
  <si>
    <t>Parish of St Luke's &amp; Holy Cross (St Luke's Church)</t>
  </si>
  <si>
    <t>BRE046S</t>
  </si>
  <si>
    <t>0444003</t>
  </si>
  <si>
    <t>Parish of St Luke's &amp; Holy Cross (Holy Cross Church)</t>
  </si>
  <si>
    <t>BRE049</t>
  </si>
  <si>
    <t>2116</t>
  </si>
  <si>
    <t>Most Holy Redeemer RC Church</t>
  </si>
  <si>
    <t xml:space="preserve">ROMFORD                       </t>
  </si>
  <si>
    <t>BRE050</t>
  </si>
  <si>
    <t>2117</t>
  </si>
  <si>
    <t>Most Holy Redeemer (St Dominic RC Church)</t>
  </si>
  <si>
    <t>BRE051</t>
  </si>
  <si>
    <t>2118</t>
  </si>
  <si>
    <t>Our Lady Queen of Heaven RC Church</t>
  </si>
  <si>
    <t>HARWICH</t>
  </si>
  <si>
    <t>Diff £10: Grand Total stated £648</t>
  </si>
  <si>
    <t>BRE052</t>
  </si>
  <si>
    <t>2119</t>
  </si>
  <si>
    <t>St Mary, Mother of God RC Church</t>
  </si>
  <si>
    <t>HORNCHURCH</t>
  </si>
  <si>
    <t>BRE053</t>
  </si>
  <si>
    <t>2120</t>
  </si>
  <si>
    <t>BRE054</t>
  </si>
  <si>
    <t>2121</t>
  </si>
  <si>
    <t>BRE055</t>
  </si>
  <si>
    <t>2122</t>
  </si>
  <si>
    <t>BRE056</t>
  </si>
  <si>
    <t>2123</t>
  </si>
  <si>
    <t>St John The Baptist RC Church</t>
  </si>
  <si>
    <t>BRE057</t>
  </si>
  <si>
    <t>2124</t>
  </si>
  <si>
    <t>Parish of St Mary &amp; St Ethelburga with St Erconwald (St Mary &amp; St Erconwald RC Church)</t>
  </si>
  <si>
    <t>BRE058</t>
  </si>
  <si>
    <t>2125</t>
  </si>
  <si>
    <t>St John the Evangelist &amp; St Erconwald RC Church</t>
  </si>
  <si>
    <t>INGATESTONE</t>
  </si>
  <si>
    <t>BRE059</t>
  </si>
  <si>
    <t>2126</t>
  </si>
  <si>
    <t>Parish of St Mary Immaculate &amp; The Holy Archangels (St Mary Immaculate &amp; The Holy Archangels Church)</t>
  </si>
  <si>
    <t>BRE059S</t>
  </si>
  <si>
    <t>0443627</t>
  </si>
  <si>
    <t>Parish of St Mary Immaculate &amp; The Holy Archangels (St Bernard RC Church)</t>
  </si>
  <si>
    <t>BRE060</t>
  </si>
  <si>
    <t>2127</t>
  </si>
  <si>
    <t>Our Lady &amp; All Saints (St Teresa of Lisieux)</t>
  </si>
  <si>
    <t>per DD - it is £1047.2</t>
  </si>
  <si>
    <t>BRE061</t>
  </si>
  <si>
    <t>2128</t>
  </si>
  <si>
    <t>Our  Lady of Lourdes &amp; St  Joseph RC Church</t>
  </si>
  <si>
    <t>per DD - it is £1606.35</t>
  </si>
  <si>
    <t>BRE062</t>
  </si>
  <si>
    <t>2129</t>
  </si>
  <si>
    <t>BRE063</t>
  </si>
  <si>
    <t>2130</t>
  </si>
  <si>
    <t>BRE064</t>
  </si>
  <si>
    <t>2131</t>
  </si>
  <si>
    <t>Parish of St Edmund of Canterbury &amp; St Thomas More (St  Edmund of Canterbury RC Church)</t>
  </si>
  <si>
    <t>LOUGHTON</t>
  </si>
  <si>
    <t>BRE065</t>
  </si>
  <si>
    <t>2132</t>
  </si>
  <si>
    <t>Parish of Assumption of Our Lady &amp; St Cuthbert (Assumption of Our Lady RC Church)</t>
  </si>
  <si>
    <t>BRE066</t>
  </si>
  <si>
    <t>2133</t>
  </si>
  <si>
    <t>St Stephen RC Church</t>
  </si>
  <si>
    <t>BRE068</t>
  </si>
  <si>
    <t>2134</t>
  </si>
  <si>
    <t>St Teresa RC Church</t>
  </si>
  <si>
    <t>BRE069</t>
  </si>
  <si>
    <t>2135</t>
  </si>
  <si>
    <t>Parish of St Helen &amp; St Margaret of Scotland (St Helen RC Church)</t>
  </si>
  <si>
    <t>ONGAR</t>
  </si>
  <si>
    <t>BRE070</t>
  </si>
  <si>
    <t>2136</t>
  </si>
  <si>
    <t>Parish of Sacred Heart &amp; St John Fisher (St John Fisher RC Church)</t>
  </si>
  <si>
    <t>SOUTHEND-ON-SEA</t>
  </si>
  <si>
    <t>BRE071</t>
  </si>
  <si>
    <t>2137</t>
  </si>
  <si>
    <t>Our Lady of La Salette RC Church</t>
  </si>
  <si>
    <t>RAINHAM</t>
  </si>
  <si>
    <t>per DD - it is £912</t>
  </si>
  <si>
    <t>BRE072</t>
  </si>
  <si>
    <t>2138</t>
  </si>
  <si>
    <t>RAYLEIGH</t>
  </si>
  <si>
    <t>per DD - it is £2336.9</t>
  </si>
  <si>
    <t>BRE073</t>
  </si>
  <si>
    <t>2139</t>
  </si>
  <si>
    <t>St Teresa of the Child Jesus RC Church</t>
  </si>
  <si>
    <t>ROCHFORD</t>
  </si>
  <si>
    <t>BRE073A</t>
  </si>
  <si>
    <t>2140</t>
  </si>
  <si>
    <t>St Teresa of the Child Jesus (St Pius X RC Church)</t>
  </si>
  <si>
    <t>BRE074</t>
  </si>
  <si>
    <t>2141</t>
  </si>
  <si>
    <t>BRE075</t>
  </si>
  <si>
    <t>2142</t>
  </si>
  <si>
    <t>Our Lady of Compassion RC Church</t>
  </si>
  <si>
    <t>SAFFRON WALDEN</t>
  </si>
  <si>
    <t>BRE076</t>
  </si>
  <si>
    <t>2143</t>
  </si>
  <si>
    <t>St George &amp; The English Martyrs RC Church</t>
  </si>
  <si>
    <t>BRE076S</t>
  </si>
  <si>
    <t>0479445</t>
  </si>
  <si>
    <t>St Gregory's Chapel of Ease</t>
  </si>
  <si>
    <t>THORPE BAY</t>
  </si>
  <si>
    <t>BRE078</t>
  </si>
  <si>
    <t>2144</t>
  </si>
  <si>
    <t>Parish of Sacred Heart &amp; St John Fisher (Sacred Heart RC Church)</t>
  </si>
  <si>
    <t>BRE079</t>
  </si>
  <si>
    <t>2145</t>
  </si>
  <si>
    <t>St Anne Line RC Church</t>
  </si>
  <si>
    <t>BRE080</t>
  </si>
  <si>
    <t>2146</t>
  </si>
  <si>
    <t>STANFORD-LE-HOPE</t>
  </si>
  <si>
    <t>BRE081</t>
  </si>
  <si>
    <t>2147</t>
  </si>
  <si>
    <t>STANSTED</t>
  </si>
  <si>
    <t>BRE082</t>
  </si>
  <si>
    <t>2148</t>
  </si>
  <si>
    <t>BRE083</t>
  </si>
  <si>
    <t>2149</t>
  </si>
  <si>
    <t>BRE084</t>
  </si>
  <si>
    <t>2150</t>
  </si>
  <si>
    <t>Our Lady Star of the Sea RC Church</t>
  </si>
  <si>
    <t xml:space="preserve">TILBURY  </t>
  </si>
  <si>
    <t>BRE085</t>
  </si>
  <si>
    <t>2151</t>
  </si>
  <si>
    <t>UPMINSTER</t>
  </si>
  <si>
    <t>BRE085S</t>
  </si>
  <si>
    <t>0479446</t>
  </si>
  <si>
    <t>St Peter's Catholic Centre</t>
  </si>
  <si>
    <t>BRE086</t>
  </si>
  <si>
    <t>2152</t>
  </si>
  <si>
    <t>BRE087</t>
  </si>
  <si>
    <t>2153</t>
  </si>
  <si>
    <t>St Thomas More &amp; St Edward RC Church</t>
  </si>
  <si>
    <t>WALTHAM ABBEY</t>
  </si>
  <si>
    <t>BRE087S</t>
  </si>
  <si>
    <t>0444017</t>
  </si>
  <si>
    <t>St Thomas More &amp; St Edward (St Giles C of E Church Hall)</t>
  </si>
  <si>
    <t>BRE088</t>
  </si>
  <si>
    <t>2154</t>
  </si>
  <si>
    <t>Our Lady &amp; St George RC Church</t>
  </si>
  <si>
    <t>BRE089</t>
  </si>
  <si>
    <t>2155</t>
  </si>
  <si>
    <t>Our Lady &amp; St  Patrick RC Church</t>
  </si>
  <si>
    <t>BRE090</t>
  </si>
  <si>
    <t>2156</t>
  </si>
  <si>
    <t>BRE091</t>
  </si>
  <si>
    <t>2157</t>
  </si>
  <si>
    <t>Our Lady of Lourdes Church</t>
  </si>
  <si>
    <t>BRE092</t>
  </si>
  <si>
    <t>0441998</t>
  </si>
  <si>
    <t>Cathedral Church of St Mary &amp; St Helen (Holy Cross &amp; All Saints RC Church)</t>
  </si>
  <si>
    <t>BRE093</t>
  </si>
  <si>
    <t>2159</t>
  </si>
  <si>
    <t>Our Lady &amp; St  Helen RC Church</t>
  </si>
  <si>
    <t>WESTCLIFF-ON-SEA</t>
  </si>
  <si>
    <t>BRE094</t>
  </si>
  <si>
    <t>2160</t>
  </si>
  <si>
    <t>Our Lady of Good Counsel RC Church</t>
  </si>
  <si>
    <t>WICKFORD</t>
  </si>
  <si>
    <t>BRE095</t>
  </si>
  <si>
    <t>2161</t>
  </si>
  <si>
    <t>The Holy Family &amp; All Saints RC Church</t>
  </si>
  <si>
    <t xml:space="preserve">WITHAM </t>
  </si>
  <si>
    <t>BRE095S</t>
  </si>
  <si>
    <t>0444027</t>
  </si>
  <si>
    <t>The Holy Family &amp; All Saints (St Mary)</t>
  </si>
  <si>
    <t>WITHAM</t>
  </si>
  <si>
    <t>BRE096</t>
  </si>
  <si>
    <t>2162</t>
  </si>
  <si>
    <t>WOODFORD GREEN</t>
  </si>
  <si>
    <t>BRE097</t>
  </si>
  <si>
    <t>2075</t>
  </si>
  <si>
    <t>Parish of St Sabina &amp; St Monica (St Monica RC Church)</t>
  </si>
  <si>
    <t>per DD - it is £65.74</t>
  </si>
  <si>
    <t>BRE099</t>
  </si>
  <si>
    <t>2164</t>
  </si>
  <si>
    <t>St Augustine RC Church</t>
  </si>
  <si>
    <t>BRE099S</t>
  </si>
  <si>
    <t>0444033</t>
  </si>
  <si>
    <t>St Augustine RC Church (The Church of Our Saviour)</t>
  </si>
  <si>
    <t>BRE099S2</t>
  </si>
  <si>
    <t>0479447</t>
  </si>
  <si>
    <t>New Hall School Chapel</t>
  </si>
  <si>
    <t>BOREHAM</t>
  </si>
  <si>
    <t>BRE100</t>
  </si>
  <si>
    <t>226187</t>
  </si>
  <si>
    <t>Parish of St Helen &amp; St Margaret of Scotland (St Margaret of Scotland RC Church)</t>
  </si>
  <si>
    <t xml:space="preserve">ONGAR                         </t>
  </si>
  <si>
    <t>BRE999</t>
  </si>
  <si>
    <t>2168</t>
  </si>
  <si>
    <t>Brentwood Diocese Various</t>
  </si>
  <si>
    <t>CAR</t>
  </si>
  <si>
    <t>CAR001</t>
  </si>
  <si>
    <t>2169</t>
  </si>
  <si>
    <t>Cathedral Church of St David</t>
  </si>
  <si>
    <t>CARDIFF</t>
  </si>
  <si>
    <t>CAR002</t>
  </si>
  <si>
    <t>2170</t>
  </si>
  <si>
    <t>Blessed Sacrament RC Church</t>
  </si>
  <si>
    <t>CAR003</t>
  </si>
  <si>
    <t>0479448</t>
  </si>
  <si>
    <t>CAR004</t>
  </si>
  <si>
    <t>2172</t>
  </si>
  <si>
    <t>St Teilo's with Our Lady of Lourdes Parish (Our Lady of Lourdes)</t>
  </si>
  <si>
    <t>CAR005</t>
  </si>
  <si>
    <t>2173</t>
  </si>
  <si>
    <t>St Brigid with St Paul and Christ the King (Christ the King)</t>
  </si>
  <si>
    <t>per DD - it is £3936.55</t>
  </si>
  <si>
    <t>CAR006</t>
  </si>
  <si>
    <t>2174</t>
  </si>
  <si>
    <t>St Mary of the Angels &amp; Holy Family Parish (St Mary of the Angels)</t>
  </si>
  <si>
    <t>CAR007</t>
  </si>
  <si>
    <t>2175</t>
  </si>
  <si>
    <t>St Mary of the Angels &amp; Holy Family Parish (Holy Family)</t>
  </si>
  <si>
    <t>per DD - it is £1186.89</t>
  </si>
  <si>
    <t>CAR008</t>
  </si>
  <si>
    <t>2176</t>
  </si>
  <si>
    <t>St Alban-on-the-Moors</t>
  </si>
  <si>
    <t>CAR009</t>
  </si>
  <si>
    <t>2177</t>
  </si>
  <si>
    <t>St Brigid with St Paul and Christ the King (St Brigid)</t>
  </si>
  <si>
    <t>CAR009S</t>
  </si>
  <si>
    <t>0443178</t>
  </si>
  <si>
    <t>St Brigid with St Paul and Christ the King (St Paul)</t>
  </si>
  <si>
    <t>CAR010</t>
  </si>
  <si>
    <t>2178</t>
  </si>
  <si>
    <t>St Cadoc RC Church</t>
  </si>
  <si>
    <t>CAR011</t>
  </si>
  <si>
    <t>2179</t>
  </si>
  <si>
    <t>St Clare RC Church</t>
  </si>
  <si>
    <t>CAR012</t>
  </si>
  <si>
    <t>2180</t>
  </si>
  <si>
    <t>St Cuthbert RC Church</t>
  </si>
  <si>
    <t>CAR013</t>
  </si>
  <si>
    <t>2181</t>
  </si>
  <si>
    <t>St Francis of Assisi RC  Church</t>
  </si>
  <si>
    <t>Diff £10: Grand Total stated £608</t>
  </si>
  <si>
    <t>CAR014</t>
  </si>
  <si>
    <t>2182</t>
  </si>
  <si>
    <t>St John Lloyd and Blessed Sacrament RC Church (St John Lloyd)</t>
  </si>
  <si>
    <t>TROWBRIDGE</t>
  </si>
  <si>
    <t>CAR015</t>
  </si>
  <si>
    <t>2183</t>
  </si>
  <si>
    <t>per DD - it is £868.35</t>
  </si>
  <si>
    <t>CAR016</t>
  </si>
  <si>
    <t>2184</t>
  </si>
  <si>
    <t>CAR017</t>
  </si>
  <si>
    <t>2185</t>
  </si>
  <si>
    <t>per DD - it is £1953.67</t>
  </si>
  <si>
    <t>CAR018</t>
  </si>
  <si>
    <t>2186</t>
  </si>
  <si>
    <t>St Teilo with Our Lady of Lourdes Parish (St Teilo)</t>
  </si>
  <si>
    <t>CAR019</t>
  </si>
  <si>
    <t>2187</t>
  </si>
  <si>
    <t>St Philip Evans RC Church</t>
  </si>
  <si>
    <t>CAR021</t>
  </si>
  <si>
    <t>2189</t>
  </si>
  <si>
    <t>St Thomas RC Church</t>
  </si>
  <si>
    <t>MOUNTAIN ASH</t>
  </si>
  <si>
    <t>CAR022</t>
  </si>
  <si>
    <t>2190</t>
  </si>
  <si>
    <t>Parish of Mary Immaculate (St Joseph RC Church)</t>
  </si>
  <si>
    <t>ABERDARE</t>
  </si>
  <si>
    <t>CAR023</t>
  </si>
  <si>
    <t>2191</t>
  </si>
  <si>
    <t>Our Lady &amp; St Michael RC Church</t>
  </si>
  <si>
    <t xml:space="preserve">ABERGAVENNY  </t>
  </si>
  <si>
    <t>per DD - it is £1239.72    {return received?  - Tariq asked 17-12-19 (received 02-01-2020)}</t>
  </si>
  <si>
    <t>CAR023S</t>
  </si>
  <si>
    <t>0443192</t>
  </si>
  <si>
    <t>Our Lady &amp; St Michael Parish (St Mary and St Michael)</t>
  </si>
  <si>
    <t>USK</t>
  </si>
  <si>
    <t>CAR024</t>
  </si>
  <si>
    <t>2192</t>
  </si>
  <si>
    <t>St Robert of Newminster RC Church</t>
  </si>
  <si>
    <t>BRIDGEND</t>
  </si>
  <si>
    <t>CAR026</t>
  </si>
  <si>
    <t>2194</t>
  </si>
  <si>
    <t>St Mary - Abertillery &amp; Brynmawr Parish (Arbertillery)</t>
  </si>
  <si>
    <t>ABERTILLERY</t>
  </si>
  <si>
    <t>CAR027</t>
  </si>
  <si>
    <t>2195</t>
  </si>
  <si>
    <t>BARGOED</t>
  </si>
  <si>
    <t>per DD - it is £353.93</t>
  </si>
  <si>
    <t>CAR028</t>
  </si>
  <si>
    <t>2196</t>
  </si>
  <si>
    <t>St Helen RC Church</t>
  </si>
  <si>
    <t>BARRY</t>
  </si>
  <si>
    <t>CAR031</t>
  </si>
  <si>
    <t>2199</t>
  </si>
  <si>
    <t>Belmont Abbey</t>
  </si>
  <si>
    <t>HEREFORD</t>
  </si>
  <si>
    <t>CAR032</t>
  </si>
  <si>
    <t>2200</t>
  </si>
  <si>
    <t>CAR034</t>
  </si>
  <si>
    <t>2202</t>
  </si>
  <si>
    <t>BROMYARD</t>
  </si>
  <si>
    <t>per DD - it is £357.79</t>
  </si>
  <si>
    <t>CAR035</t>
  </si>
  <si>
    <t>2203</t>
  </si>
  <si>
    <t>St Mary - Abertillery &amp; Brynmawr Parish (Brynmawr)</t>
  </si>
  <si>
    <t>EBBW VALE</t>
  </si>
  <si>
    <t>CAR036</t>
  </si>
  <si>
    <t>2204</t>
  </si>
  <si>
    <t>St Julius, Aaron &amp; David</t>
  </si>
  <si>
    <t>CAR037</t>
  </si>
  <si>
    <t>2205</t>
  </si>
  <si>
    <t>CAERPHILLY</t>
  </si>
  <si>
    <t>CAR038</t>
  </si>
  <si>
    <t>2206</t>
  </si>
  <si>
    <t>Catholic Parish of Chepstow, Caldicot and Magor (St Mary)</t>
  </si>
  <si>
    <t>CHEPSTOW</t>
  </si>
  <si>
    <t>CAR038A</t>
  </si>
  <si>
    <t>2207</t>
  </si>
  <si>
    <t>Catholic Parish of Chepstow, Caldicot and Magor (St Paul)</t>
  </si>
  <si>
    <t>CALDICOT</t>
  </si>
  <si>
    <t>CAR041</t>
  </si>
  <si>
    <t>2209</t>
  </si>
  <si>
    <t>Parish of Our Lady &amp; St David, Cwmbran (Our Lady of the Angels)</t>
  </si>
  <si>
    <t>CWMBRAN</t>
  </si>
  <si>
    <t>CAR043</t>
  </si>
  <si>
    <t>2210</t>
  </si>
  <si>
    <t>Parish of Our Lady &amp; St David, Cwmbran (St David)</t>
  </si>
  <si>
    <t>CAR044</t>
  </si>
  <si>
    <t>2211</t>
  </si>
  <si>
    <t>St Joseph &amp; St Mary's Parish (St Mary's)</t>
  </si>
  <si>
    <t>DINAS POWYS</t>
  </si>
  <si>
    <t>Banked with CAR074-2237</t>
  </si>
  <si>
    <t>CAR045</t>
  </si>
  <si>
    <t>2212</t>
  </si>
  <si>
    <t>Parish of Merthyr Tydfil (St Illtyd)</t>
  </si>
  <si>
    <t>MERTHYR TYDFIL</t>
  </si>
  <si>
    <t>CAR046</t>
  </si>
  <si>
    <t>2213</t>
  </si>
  <si>
    <t xml:space="preserve">EBBW VALE </t>
  </si>
  <si>
    <t>CAR050</t>
  </si>
  <si>
    <t>2215</t>
  </si>
  <si>
    <t>CAR051</t>
  </si>
  <si>
    <t>2216</t>
  </si>
  <si>
    <t>Our Lady, Queen of Martyrs</t>
  </si>
  <si>
    <t>per DD - it is £725.14</t>
  </si>
  <si>
    <t>CAR052</t>
  </si>
  <si>
    <t>2217</t>
  </si>
  <si>
    <t>Parish of Mary Immaculate (St Teresa of Liseux)</t>
  </si>
  <si>
    <t xml:space="preserve">HIRWAUN             </t>
  </si>
  <si>
    <t>CAR053</t>
  </si>
  <si>
    <t>2218</t>
  </si>
  <si>
    <t>The Most Holy Trinity</t>
  </si>
  <si>
    <t>LEDBURY</t>
  </si>
  <si>
    <t>CAR054</t>
  </si>
  <si>
    <t>2219</t>
  </si>
  <si>
    <t>St Ethelbert RC Church</t>
  </si>
  <si>
    <t>LEOMINSTER</t>
  </si>
  <si>
    <t>CAR056</t>
  </si>
  <si>
    <t>2220</t>
  </si>
  <si>
    <t>All Hallows RC Church</t>
  </si>
  <si>
    <t>LLANTRISANT</t>
  </si>
  <si>
    <t>CAR057</t>
  </si>
  <si>
    <t>2221</t>
  </si>
  <si>
    <t>Our Lady &amp; St Illtyd with St Cadoc RC Church (Our Lady &amp; St Illtyd)</t>
  </si>
  <si>
    <t>LLANTWIT MAJOR</t>
  </si>
  <si>
    <t>per DD - it is £2731.76</t>
  </si>
  <si>
    <t>CAR057S</t>
  </si>
  <si>
    <t>0443212</t>
  </si>
  <si>
    <t>Our Lady &amp; St Illtyd with St Cadoc RC Church (St Cadoc)</t>
  </si>
  <si>
    <t>COWBRIDGE</t>
  </si>
  <si>
    <t>CAR059</t>
  </si>
  <si>
    <t>2223</t>
  </si>
  <si>
    <t>Our Lady &amp; St Patrick RC Church</t>
  </si>
  <si>
    <t xml:space="preserve">MAESTEG  </t>
  </si>
  <si>
    <t>per DD - it is £2012.85</t>
  </si>
  <si>
    <t>CAR060</t>
  </si>
  <si>
    <t>2224</t>
  </si>
  <si>
    <t>Parish of Merthyr Tydfil (St Mary)</t>
  </si>
  <si>
    <t>CAR061</t>
  </si>
  <si>
    <t>2225</t>
  </si>
  <si>
    <t>Parish of Merthyr Tydfil (St Aloysius)</t>
  </si>
  <si>
    <t>CAR062</t>
  </si>
  <si>
    <t>2226</t>
  </si>
  <si>
    <t>Parish of Merthyr Tydfil (St Benedict)</t>
  </si>
  <si>
    <t>CAR063</t>
  </si>
  <si>
    <t>2227</t>
  </si>
  <si>
    <t>Catholic Parishes of Monmouth and Ross-on-Wye (St Mary's RC Church)</t>
  </si>
  <si>
    <t>MONMOUTH</t>
  </si>
  <si>
    <t>per DD - it is £855.21</t>
  </si>
  <si>
    <t>CAR064</t>
  </si>
  <si>
    <t>2228</t>
  </si>
  <si>
    <t>Parish of Mary Immaculate (Our Lady of Lourdes)</t>
  </si>
  <si>
    <t>CAR066</t>
  </si>
  <si>
    <t>2229</t>
  </si>
  <si>
    <t>Parish of Newbridge (Our Lady of Peace RC Church)</t>
  </si>
  <si>
    <t>NEWBRIDGE</t>
  </si>
  <si>
    <t>combined with CAR076-2238 (?)</t>
  </si>
  <si>
    <t>CAR067</t>
  </si>
  <si>
    <t>2230</t>
  </si>
  <si>
    <t>All Saints - St David</t>
  </si>
  <si>
    <t>CAR068</t>
  </si>
  <si>
    <t>2231</t>
  </si>
  <si>
    <t>All Saints - St Anne</t>
  </si>
  <si>
    <t>CAR069</t>
  </si>
  <si>
    <t>2232</t>
  </si>
  <si>
    <t>All Saints - St David Lewis</t>
  </si>
  <si>
    <t>CAR070</t>
  </si>
  <si>
    <t>2233</t>
  </si>
  <si>
    <t>All Saints - St Mary</t>
  </si>
  <si>
    <t>per DD - it is £955.56</t>
  </si>
  <si>
    <t>CAR071</t>
  </si>
  <si>
    <t>2234</t>
  </si>
  <si>
    <t>St Gabriel RC Church</t>
  </si>
  <si>
    <t>CAR071S</t>
  </si>
  <si>
    <t>0479449</t>
  </si>
  <si>
    <t>St Julius the Martyr</t>
  </si>
  <si>
    <t>CAR072</t>
  </si>
  <si>
    <t>2235</t>
  </si>
  <si>
    <t>All Saints - St Michael</t>
  </si>
  <si>
    <t>CAR073</t>
  </si>
  <si>
    <t>2236</t>
  </si>
  <si>
    <t>CAR074</t>
  </si>
  <si>
    <t>2237</t>
  </si>
  <si>
    <t>St Joseph &amp; St Marys Parish (St Joseph's)</t>
  </si>
  <si>
    <t>PENARTH</t>
  </si>
  <si>
    <t>CAR076</t>
  </si>
  <si>
    <t>2238</t>
  </si>
  <si>
    <t>Parish of Newbridge (The Sacred Heart RC Church)</t>
  </si>
  <si>
    <t>BLACKWOOD</t>
  </si>
  <si>
    <t>combined with CAR066-2229 (?)</t>
  </si>
  <si>
    <t>CAR077</t>
  </si>
  <si>
    <t>2239</t>
  </si>
  <si>
    <t>PONTYPOOL</t>
  </si>
  <si>
    <t>CAR077S</t>
  </si>
  <si>
    <t>0443227</t>
  </si>
  <si>
    <t>The Sacred Heart and St Felix</t>
  </si>
  <si>
    <t>CAR078</t>
  </si>
  <si>
    <t>2240</t>
  </si>
  <si>
    <t>PORTHCAWL</t>
  </si>
  <si>
    <t>CAR082</t>
  </si>
  <si>
    <t>2241</t>
  </si>
  <si>
    <t>St Joseph of Arimathea</t>
  </si>
  <si>
    <t>PYLE</t>
  </si>
  <si>
    <t>CAR083</t>
  </si>
  <si>
    <t>2242</t>
  </si>
  <si>
    <t>RHYMNEY</t>
  </si>
  <si>
    <t>CAR084</t>
  </si>
  <si>
    <t>2243</t>
  </si>
  <si>
    <t>Parish of Newbridge (St Anthony of Padua &amp; St Clare)</t>
  </si>
  <si>
    <t>CAR085</t>
  </si>
  <si>
    <t>2244</t>
  </si>
  <si>
    <t>All Saints - St Basil &amp; St Gwladys</t>
  </si>
  <si>
    <t>per DD - it is £1094.01</t>
  </si>
  <si>
    <t>CAR086</t>
  </si>
  <si>
    <t>2245</t>
  </si>
  <si>
    <t>Catholic Parishes of Monmouth and Ross-on-Wye (St Frances of Rome RC Church)</t>
  </si>
  <si>
    <t>ROSS-ON-WYE</t>
  </si>
  <si>
    <t>CAR098</t>
  </si>
  <si>
    <t>2247</t>
  </si>
  <si>
    <t>Rhondda Parishes (St Gabriel &amp; St Raphael)</t>
  </si>
  <si>
    <t xml:space="preserve">TONYPANDY                     </t>
  </si>
  <si>
    <t>CAR099</t>
  </si>
  <si>
    <t>2248</t>
  </si>
  <si>
    <t>TREDEGAR</t>
  </si>
  <si>
    <t>CAR100</t>
  </si>
  <si>
    <t>2249</t>
  </si>
  <si>
    <t>St Dyfrig RC Church</t>
  </si>
  <si>
    <t>PONTYPRIDD</t>
  </si>
  <si>
    <t>per DD - it is £1221.33</t>
  </si>
  <si>
    <t>CAR102</t>
  </si>
  <si>
    <t>2252</t>
  </si>
  <si>
    <t>St David Lewis &amp; St  Francis Xavier</t>
  </si>
  <si>
    <t>per DD - it is £218.78</t>
  </si>
  <si>
    <t>CAR103</t>
  </si>
  <si>
    <t>2253</t>
  </si>
  <si>
    <t>St Thomas &amp; St Bede Parish (St Thomas of Hereford)</t>
  </si>
  <si>
    <t xml:space="preserve">WEOBLEY </t>
  </si>
  <si>
    <t>per DD - it is £430.63</t>
  </si>
  <si>
    <t>CAR103S</t>
  </si>
  <si>
    <t>0443232</t>
  </si>
  <si>
    <t>St Thomas &amp; St Bede Parish (St Bede the Venerable)</t>
  </si>
  <si>
    <t>KINGTON</t>
  </si>
  <si>
    <t>CAR104</t>
  </si>
  <si>
    <t>2254</t>
  </si>
  <si>
    <t>Rhondda Parishes (St Mary Magdalene RC Church)</t>
  </si>
  <si>
    <t>PORTH</t>
  </si>
  <si>
    <t>CAR104S</t>
  </si>
  <si>
    <t>0479450</t>
  </si>
  <si>
    <t>The Community Centre</t>
  </si>
  <si>
    <t>TONYREFAIL</t>
  </si>
  <si>
    <t>CAR106</t>
  </si>
  <si>
    <t>256859</t>
  </si>
  <si>
    <t>St Paul's Church in Wales</t>
  </si>
  <si>
    <t xml:space="preserve">CARDIFF                       </t>
  </si>
  <si>
    <t>CAR606</t>
  </si>
  <si>
    <t>0479451</t>
  </si>
  <si>
    <t>University of Cardiff Catholic Chaplaincy</t>
  </si>
  <si>
    <t>CAR607</t>
  </si>
  <si>
    <t>0479452</t>
  </si>
  <si>
    <t>University of Glamorgan Ecumenical Chaplaincy</t>
  </si>
  <si>
    <t>CAR900</t>
  </si>
  <si>
    <t>0479453</t>
  </si>
  <si>
    <t>Lady Mary</t>
  </si>
  <si>
    <t>CAR999</t>
  </si>
  <si>
    <t>2257</t>
  </si>
  <si>
    <t>Cardiff Diocese Various</t>
  </si>
  <si>
    <t>CLF</t>
  </si>
  <si>
    <t>CLF001</t>
  </si>
  <si>
    <t>2259</t>
  </si>
  <si>
    <t>Cathedral of St Peter &amp; St Paul</t>
  </si>
  <si>
    <t>BRISTOL</t>
  </si>
  <si>
    <t>CLF002</t>
  </si>
  <si>
    <t>2260</t>
  </si>
  <si>
    <t>AMESBURY</t>
  </si>
  <si>
    <t>CLF004</t>
  </si>
  <si>
    <t>2262</t>
  </si>
  <si>
    <t>BATH</t>
  </si>
  <si>
    <t>CLF005</t>
  </si>
  <si>
    <t>2263</t>
  </si>
  <si>
    <t>Our Lady  &amp; St Alphege</t>
  </si>
  <si>
    <t>per DD - it is £1232.39</t>
  </si>
  <si>
    <t>CLF005S</t>
  </si>
  <si>
    <t>0444454</t>
  </si>
  <si>
    <t>St Joseph (CLOSED)</t>
  </si>
  <si>
    <t>CLF006</t>
  </si>
  <si>
    <t>2264</t>
  </si>
  <si>
    <t>per DD - it is £550.14</t>
  </si>
  <si>
    <t>CLF007</t>
  </si>
  <si>
    <t>2265</t>
  </si>
  <si>
    <t>CLF007S</t>
  </si>
  <si>
    <t>0444455</t>
  </si>
  <si>
    <t>Bath University Chaplaincy Centre</t>
  </si>
  <si>
    <t>CLF009</t>
  </si>
  <si>
    <t>2267</t>
  </si>
  <si>
    <t>The Good Shepherd</t>
  </si>
  <si>
    <t>BATHEASTON</t>
  </si>
  <si>
    <t>CLF010</t>
  </si>
  <si>
    <t>2268</t>
  </si>
  <si>
    <t>BLAISDON</t>
  </si>
  <si>
    <t>CLF010P</t>
  </si>
  <si>
    <t>148005</t>
  </si>
  <si>
    <t>Our Lady Of Lourdes RC Church</t>
  </si>
  <si>
    <t>NEWENT</t>
  </si>
  <si>
    <t>CLF011</t>
  </si>
  <si>
    <t>2269</t>
  </si>
  <si>
    <t>St Thomas  More RC Church</t>
  </si>
  <si>
    <t>BRADFORD-ON-AVON</t>
  </si>
  <si>
    <t>per DD - it is £1270.92</t>
  </si>
  <si>
    <t>CLF012</t>
  </si>
  <si>
    <t>2270</t>
  </si>
  <si>
    <t>BRIDGWATER</t>
  </si>
  <si>
    <t>CLF013</t>
  </si>
  <si>
    <t>2271</t>
  </si>
  <si>
    <t>CLF014</t>
  </si>
  <si>
    <t>2272</t>
  </si>
  <si>
    <t>per DD - it is £3359.75</t>
  </si>
  <si>
    <t>CLF015</t>
  </si>
  <si>
    <t>2273</t>
  </si>
  <si>
    <t>Our Lady of The Rosary</t>
  </si>
  <si>
    <t>CLF016</t>
  </si>
  <si>
    <t>2274</t>
  </si>
  <si>
    <t>Our Lady of Lourdes &amp; St Bernadette RC Church</t>
  </si>
  <si>
    <t>per DD - it is £665.35</t>
  </si>
  <si>
    <t>CLF017</t>
  </si>
  <si>
    <t>2275</t>
  </si>
  <si>
    <t>CLF018</t>
  </si>
  <si>
    <t>2276</t>
  </si>
  <si>
    <t>St Antony RC Church</t>
  </si>
  <si>
    <t>CLF019</t>
  </si>
  <si>
    <t>2277</t>
  </si>
  <si>
    <t>per DD - it is £1429.57</t>
  </si>
  <si>
    <t>CLF020</t>
  </si>
  <si>
    <t>2278</t>
  </si>
  <si>
    <t>per DD - it is £688.28</t>
  </si>
  <si>
    <t>CLF021</t>
  </si>
  <si>
    <t>2279</t>
  </si>
  <si>
    <t>St Bonaventure RC Church</t>
  </si>
  <si>
    <t>CLF022</t>
  </si>
  <si>
    <t>2280</t>
  </si>
  <si>
    <t>St Gerard Majella RC Church</t>
  </si>
  <si>
    <t>CLF023</t>
  </si>
  <si>
    <t>0444446</t>
  </si>
  <si>
    <t>St John Fisher</t>
  </si>
  <si>
    <t>CLF024</t>
  </si>
  <si>
    <t>2282</t>
  </si>
  <si>
    <t>CLF025</t>
  </si>
  <si>
    <t>2283</t>
  </si>
  <si>
    <t>St Nicholas of Tolentino</t>
  </si>
  <si>
    <t>CLF025S</t>
  </si>
  <si>
    <t>0444456</t>
  </si>
  <si>
    <t>St Maximilian Kolbe with St Edith Stein &amp; The Holcaust Martyrs (CLOSED)</t>
  </si>
  <si>
    <t>CLF026</t>
  </si>
  <si>
    <t>2284</t>
  </si>
  <si>
    <t>per DD - it is £2102.86</t>
  </si>
  <si>
    <t>CLF027</t>
  </si>
  <si>
    <t>2285</t>
  </si>
  <si>
    <t>per DD - it is £338.71</t>
  </si>
  <si>
    <t>CLF028</t>
  </si>
  <si>
    <t>2286</t>
  </si>
  <si>
    <t>CLF029</t>
  </si>
  <si>
    <t>2287</t>
  </si>
  <si>
    <t>St  Vincent de Paul</t>
  </si>
  <si>
    <t>CLF030U</t>
  </si>
  <si>
    <t>2288</t>
  </si>
  <si>
    <t>University Catholic Chaplaincy</t>
  </si>
  <si>
    <t>CLF031</t>
  </si>
  <si>
    <t>2289</t>
  </si>
  <si>
    <t>Our Lady of Ostrobrama</t>
  </si>
  <si>
    <t>CLF032</t>
  </si>
  <si>
    <t>2291</t>
  </si>
  <si>
    <t>BROCKWORTH</t>
  </si>
  <si>
    <t>CLF033</t>
  </si>
  <si>
    <t>2292</t>
  </si>
  <si>
    <t>St Mary on the Quay</t>
  </si>
  <si>
    <t>CLF033S</t>
  </si>
  <si>
    <t>0444458</t>
  </si>
  <si>
    <t>St James Priory</t>
  </si>
  <si>
    <t>CLF034</t>
  </si>
  <si>
    <t>2293</t>
  </si>
  <si>
    <t>Our Lady &amp; The English Martyrs</t>
  </si>
  <si>
    <t>BURNHAM-ON-SEA</t>
  </si>
  <si>
    <t>CLF035</t>
  </si>
  <si>
    <t>2294</t>
  </si>
  <si>
    <t>St  Edmund RC Church</t>
  </si>
  <si>
    <t>CALNE</t>
  </si>
  <si>
    <t>CLF036</t>
  </si>
  <si>
    <t>2295</t>
  </si>
  <si>
    <t>CHARD</t>
  </si>
  <si>
    <t>per DD - it is £2251.35</t>
  </si>
  <si>
    <t>CLF036S</t>
  </si>
  <si>
    <t>0442730</t>
  </si>
  <si>
    <t>Crewkerne Methodist Church</t>
  </si>
  <si>
    <t>CREWKERNE</t>
  </si>
  <si>
    <t>CLF036S2</t>
  </si>
  <si>
    <t>0442731</t>
  </si>
  <si>
    <t>ILMINSTER</t>
  </si>
  <si>
    <t>CLF037</t>
  </si>
  <si>
    <t>2296</t>
  </si>
  <si>
    <t>Our Lady Queen of the Apostles RC Church</t>
  </si>
  <si>
    <t>CHEDDAR</t>
  </si>
  <si>
    <t>CLF038</t>
  </si>
  <si>
    <t>2297</t>
  </si>
  <si>
    <t>CHELTENHAM</t>
  </si>
  <si>
    <t>per DD - it is £1720.23</t>
  </si>
  <si>
    <t>CLF039</t>
  </si>
  <si>
    <t>2298</t>
  </si>
  <si>
    <t>Sacred Hearts of Jesus &amp; Mary</t>
  </si>
  <si>
    <t>CLF040</t>
  </si>
  <si>
    <t>2299</t>
  </si>
  <si>
    <t>Diff £100: Grand Total stated £226.09</t>
  </si>
  <si>
    <t>CLF041</t>
  </si>
  <si>
    <t>2300</t>
  </si>
  <si>
    <t>CHEW MAGNA</t>
  </si>
  <si>
    <t>CLF042</t>
  </si>
  <si>
    <t>2301</t>
  </si>
  <si>
    <t>St Aldhelm RC Church (CLOSED)</t>
  </si>
  <si>
    <t>CHILCOMPTON</t>
  </si>
  <si>
    <t>CLF043</t>
  </si>
  <si>
    <t>2302</t>
  </si>
  <si>
    <t>The Assumption of the Blessed Virgin Mary</t>
  </si>
  <si>
    <t>CHIPPENHAM</t>
  </si>
  <si>
    <t>CLF044</t>
  </si>
  <si>
    <t>2303</t>
  </si>
  <si>
    <t>St Catharine RC Church</t>
  </si>
  <si>
    <t>CHIPPING CAMPDEN</t>
  </si>
  <si>
    <t>CLF045</t>
  </si>
  <si>
    <t>2304</t>
  </si>
  <si>
    <t>St Lawrence</t>
  </si>
  <si>
    <t>CHIPPING SODBURY</t>
  </si>
  <si>
    <t>CLF045L</t>
  </si>
  <si>
    <t>0444460</t>
  </si>
  <si>
    <t>St Paul</t>
  </si>
  <si>
    <t>YATE</t>
  </si>
  <si>
    <t>CLF046</t>
  </si>
  <si>
    <t>2305</t>
  </si>
  <si>
    <t>CHURCHDOWN</t>
  </si>
  <si>
    <t>CLF047</t>
  </si>
  <si>
    <t>2306</t>
  </si>
  <si>
    <t>Our Lady of Victories</t>
  </si>
  <si>
    <t>CINDERFORD</t>
  </si>
  <si>
    <t>CLF048</t>
  </si>
  <si>
    <t>2307</t>
  </si>
  <si>
    <t>CIRENCESTER</t>
  </si>
  <si>
    <t>CLF049</t>
  </si>
  <si>
    <t>2308</t>
  </si>
  <si>
    <t>The Immaculate  Conception</t>
  </si>
  <si>
    <t>CLEVEDON</t>
  </si>
  <si>
    <t>CLF049S</t>
  </si>
  <si>
    <t>0444422</t>
  </si>
  <si>
    <t>St Dunstan and St Antony (Chapel of Ease)</t>
  </si>
  <si>
    <t>YATTON</t>
  </si>
  <si>
    <t>CLF050</t>
  </si>
  <si>
    <t>2309</t>
  </si>
  <si>
    <t>COLEFORD</t>
  </si>
  <si>
    <t>CLF050P</t>
  </si>
  <si>
    <t>0444438</t>
  </si>
  <si>
    <t>Sacred Heart Chapel</t>
  </si>
  <si>
    <t>SEDBURY</t>
  </si>
  <si>
    <t>CLF050S</t>
  </si>
  <si>
    <t>0444445</t>
  </si>
  <si>
    <t>LYDNEY</t>
  </si>
  <si>
    <t>CLF051</t>
  </si>
  <si>
    <t>2310</t>
  </si>
  <si>
    <t>CORSHAM</t>
  </si>
  <si>
    <t>per DD - it is £319.26</t>
  </si>
  <si>
    <t>CLF052</t>
  </si>
  <si>
    <t>2311</t>
  </si>
  <si>
    <t>Our Lady of the Immaculate Conception</t>
  </si>
  <si>
    <t>DEVIZES</t>
  </si>
  <si>
    <t>CLF052S</t>
  </si>
  <si>
    <t>0444410</t>
  </si>
  <si>
    <t>LAVINGTON</t>
  </si>
  <si>
    <t>CLF053</t>
  </si>
  <si>
    <t>2312</t>
  </si>
  <si>
    <t>CLF054</t>
  </si>
  <si>
    <t>2313</t>
  </si>
  <si>
    <t>St Gregory's Abbey</t>
  </si>
  <si>
    <t>DOWNSIDE ABBEY</t>
  </si>
  <si>
    <t>CLF055</t>
  </si>
  <si>
    <t>2314</t>
  </si>
  <si>
    <t>St Stanislaus</t>
  </si>
  <si>
    <t>DULVERTON</t>
  </si>
  <si>
    <t>CLF056</t>
  </si>
  <si>
    <t>2315</t>
  </si>
  <si>
    <t>St Dominic RC Church</t>
  </si>
  <si>
    <t>DURSLEY</t>
  </si>
  <si>
    <t>per DD - it is £689.23</t>
  </si>
  <si>
    <t>CLF057</t>
  </si>
  <si>
    <t>2316</t>
  </si>
  <si>
    <t>FAIRFORD</t>
  </si>
  <si>
    <t>CLF057S</t>
  </si>
  <si>
    <t>0444436</t>
  </si>
  <si>
    <t>CRICKLADE</t>
  </si>
  <si>
    <t>CLF058</t>
  </si>
  <si>
    <t>2317</t>
  </si>
  <si>
    <t>St Catharine of Alexandria</t>
  </si>
  <si>
    <t>FROME</t>
  </si>
  <si>
    <t>CLF058S</t>
  </si>
  <si>
    <t>0444412</t>
  </si>
  <si>
    <t>St Dominic's Chapel</t>
  </si>
  <si>
    <t>MELLS</t>
  </si>
  <si>
    <t>CLF059</t>
  </si>
  <si>
    <t>2318</t>
  </si>
  <si>
    <t>Our Lady St Mary of Glastonbury</t>
  </si>
  <si>
    <t>GLASTONBURY</t>
  </si>
  <si>
    <t>CLF060</t>
  </si>
  <si>
    <t>2319</t>
  </si>
  <si>
    <t>GLOUCESTER</t>
  </si>
  <si>
    <t>CLF060X</t>
  </si>
  <si>
    <t>2320</t>
  </si>
  <si>
    <t>TUFFLEY</t>
  </si>
  <si>
    <t>CLF061</t>
  </si>
  <si>
    <t>2321</t>
  </si>
  <si>
    <t>St Cuthbert CLOSED</t>
  </si>
  <si>
    <t>HOLCOMBE</t>
  </si>
  <si>
    <t>per DD - it is £ zero</t>
  </si>
  <si>
    <t>CLF062</t>
  </si>
  <si>
    <t>2322</t>
  </si>
  <si>
    <t>St Benet RC Church</t>
  </si>
  <si>
    <t>KEMERTON</t>
  </si>
  <si>
    <t>23-01-2020 banked £685.80 (chq 101273)</t>
  </si>
  <si>
    <t>CLF063</t>
  </si>
  <si>
    <t>2323</t>
  </si>
  <si>
    <t>St Dunstan</t>
  </si>
  <si>
    <t>KEYNSHAM</t>
  </si>
  <si>
    <t>CLF064</t>
  </si>
  <si>
    <t>2324</t>
  </si>
  <si>
    <t>SOMERTON</t>
  </si>
  <si>
    <t>CLF064S</t>
  </si>
  <si>
    <t>0444425</t>
  </si>
  <si>
    <t>St Joseph CLOSED</t>
  </si>
  <si>
    <t>LANGPORT</t>
  </si>
  <si>
    <t>CLF066</t>
  </si>
  <si>
    <t>2326</t>
  </si>
  <si>
    <t>St Aldhelm RC Church</t>
  </si>
  <si>
    <t>MALMESBURY</t>
  </si>
  <si>
    <t>per DD - it is £266.01</t>
  </si>
  <si>
    <t>CLF067</t>
  </si>
  <si>
    <t>2327</t>
  </si>
  <si>
    <t>MARLBOROUGH</t>
  </si>
  <si>
    <t>CLF067S</t>
  </si>
  <si>
    <t>0444437</t>
  </si>
  <si>
    <t>PEWSEY</t>
  </si>
  <si>
    <t>CLF069</t>
  </si>
  <si>
    <t>2328</t>
  </si>
  <si>
    <t>St  Augustine RC Church</t>
  </si>
  <si>
    <t>MATSON</t>
  </si>
  <si>
    <t>CLF070</t>
  </si>
  <si>
    <t>2329</t>
  </si>
  <si>
    <t>MELKSHAM</t>
  </si>
  <si>
    <t>CLF071</t>
  </si>
  <si>
    <t>2330</t>
  </si>
  <si>
    <t>Holy Ghost RC Church CLOSED</t>
  </si>
  <si>
    <t>MIDSOMER NORTON</t>
  </si>
  <si>
    <t>CLF072</t>
  </si>
  <si>
    <t>2331</t>
  </si>
  <si>
    <t>MINEHEAD</t>
  </si>
  <si>
    <t>CLF072S</t>
  </si>
  <si>
    <t>0444449</t>
  </si>
  <si>
    <t>Watchet Methodist Church</t>
  </si>
  <si>
    <t>WATCHET</t>
  </si>
  <si>
    <t>CLF073</t>
  </si>
  <si>
    <t>0444453</t>
  </si>
  <si>
    <t>Our Lady RC Church CLOSED</t>
  </si>
  <si>
    <t>NORTON ST PHILIP</t>
  </si>
  <si>
    <t>CLF074</t>
  </si>
  <si>
    <t>2333</t>
  </si>
  <si>
    <t>NYMPSFIELD</t>
  </si>
  <si>
    <t>per DD - it is £183.76</t>
  </si>
  <si>
    <t>CLF075</t>
  </si>
  <si>
    <t>2334</t>
  </si>
  <si>
    <t>CLF076</t>
  </si>
  <si>
    <t>2335</t>
  </si>
  <si>
    <t>PEASEDOWN ST JOHN</t>
  </si>
  <si>
    <t>per DD - it is £909.23</t>
  </si>
  <si>
    <t>CLF077</t>
  </si>
  <si>
    <t>2336</t>
  </si>
  <si>
    <t>PORTISHEAD</t>
  </si>
  <si>
    <t>CLF078</t>
  </si>
  <si>
    <t>2337</t>
  </si>
  <si>
    <t>Our Lady &amp; St Peter</t>
  </si>
  <si>
    <t>PRINKNASH ABBEY</t>
  </si>
  <si>
    <t>CLF079</t>
  </si>
  <si>
    <t>2338</t>
  </si>
  <si>
    <t>St Hugh CLOSED</t>
  </si>
  <si>
    <t>RADSTOCK</t>
  </si>
  <si>
    <t>CLF080</t>
  </si>
  <si>
    <t>2339</t>
  </si>
  <si>
    <t>St Osmund</t>
  </si>
  <si>
    <t>SALISBURY</t>
  </si>
  <si>
    <t>CLF081</t>
  </si>
  <si>
    <t>2340</t>
  </si>
  <si>
    <t>Most Holy Redeemer</t>
  </si>
  <si>
    <t>CLF082</t>
  </si>
  <si>
    <t>2341</t>
  </si>
  <si>
    <t>St Gregory &amp; The English Martyrs</t>
  </si>
  <si>
    <t>CLF083</t>
  </si>
  <si>
    <t>2342</t>
  </si>
  <si>
    <t>St Michael R C Church</t>
  </si>
  <si>
    <t>SHEPTON MALLET</t>
  </si>
  <si>
    <t>CLF084</t>
  </si>
  <si>
    <t>2343</t>
  </si>
  <si>
    <t>STONEHOUSE</t>
  </si>
  <si>
    <t>CLF085</t>
  </si>
  <si>
    <t>2344</t>
  </si>
  <si>
    <t>Our Lady &amp; St Kenelm RC Church</t>
  </si>
  <si>
    <t>STOW-ON-THE-WOLD</t>
  </si>
  <si>
    <t>CLF085S</t>
  </si>
  <si>
    <t>0444444</t>
  </si>
  <si>
    <t>CLF086</t>
  </si>
  <si>
    <t>2345</t>
  </si>
  <si>
    <t>STRATTON ON THE FOSSE</t>
  </si>
  <si>
    <t>CLF087</t>
  </si>
  <si>
    <t>2346</t>
  </si>
  <si>
    <t>STROUD</t>
  </si>
  <si>
    <t>CLF087S</t>
  </si>
  <si>
    <t>0444423</t>
  </si>
  <si>
    <t>St Mary of the Angels CLOSED?</t>
  </si>
  <si>
    <t>BISLEY</t>
  </si>
  <si>
    <t>CLF087S2</t>
  </si>
  <si>
    <t>0444430</t>
  </si>
  <si>
    <t>Our Lady &amp; St Therese</t>
  </si>
  <si>
    <t>PAINSWICK</t>
  </si>
  <si>
    <t>CLF087Z</t>
  </si>
  <si>
    <t>2347</t>
  </si>
  <si>
    <t>NAILSEA</t>
  </si>
  <si>
    <t>CLF088</t>
  </si>
  <si>
    <t>2348</t>
  </si>
  <si>
    <t>Holy Rood Catholic Church</t>
  </si>
  <si>
    <t>SWINDON</t>
  </si>
  <si>
    <t>CLF089</t>
  </si>
  <si>
    <t>2349</t>
  </si>
  <si>
    <t>per DD - it is £1307.07</t>
  </si>
  <si>
    <t>CLF090</t>
  </si>
  <si>
    <t>2350</t>
  </si>
  <si>
    <t>CLF091</t>
  </si>
  <si>
    <t>2351</t>
  </si>
  <si>
    <t>TAUNTON</t>
  </si>
  <si>
    <t>CLF092</t>
  </si>
  <si>
    <t>2352</t>
  </si>
  <si>
    <t>CLF093</t>
  </si>
  <si>
    <t>2353</t>
  </si>
  <si>
    <t>TETBURY</t>
  </si>
  <si>
    <t>CLF094</t>
  </si>
  <si>
    <t>2354</t>
  </si>
  <si>
    <t>TEWKESBURY</t>
  </si>
  <si>
    <t>CLF095</t>
  </si>
  <si>
    <t>2355</t>
  </si>
  <si>
    <t>CLF096</t>
  </si>
  <si>
    <t>2356</t>
  </si>
  <si>
    <t>TISBURY</t>
  </si>
  <si>
    <t>per DD - it is £534.21</t>
  </si>
  <si>
    <t>CLF096S</t>
  </si>
  <si>
    <t>264149</t>
  </si>
  <si>
    <t>WARDOUR</t>
  </si>
  <si>
    <t>CLF097</t>
  </si>
  <si>
    <t>2357</t>
  </si>
  <si>
    <t>per DD - it is £2498.14</t>
  </si>
  <si>
    <t>CLF097S</t>
  </si>
  <si>
    <t>0444429</t>
  </si>
  <si>
    <t>St Bernadette</t>
  </si>
  <si>
    <t>WESTBURY</t>
  </si>
  <si>
    <t>CLF098</t>
  </si>
  <si>
    <t>2358</t>
  </si>
  <si>
    <t>St George</t>
  </si>
  <si>
    <t>WARMINSTER</t>
  </si>
  <si>
    <t>CLF099</t>
  </si>
  <si>
    <t>2359</t>
  </si>
  <si>
    <t>WELLINGTON</t>
  </si>
  <si>
    <t>CLF099S</t>
  </si>
  <si>
    <t>0444431</t>
  </si>
  <si>
    <t>St Richard of Chichester</t>
  </si>
  <si>
    <t>WIVELISCOMBE</t>
  </si>
  <si>
    <t>CLF100</t>
  </si>
  <si>
    <t>2360</t>
  </si>
  <si>
    <t>St Joseph &amp; St Teresa</t>
  </si>
  <si>
    <t>WELLS</t>
  </si>
  <si>
    <t>CLF101</t>
  </si>
  <si>
    <t>2361</t>
  </si>
  <si>
    <t>WESTON-SUPER-MARE</t>
  </si>
  <si>
    <t>per DD - it is £1100.21</t>
  </si>
  <si>
    <t>CLF102</t>
  </si>
  <si>
    <t>2362</t>
  </si>
  <si>
    <t>per DD - it is £1609.83   {No Annual Return received - only gift aid contribution list}</t>
  </si>
  <si>
    <t>CLF103</t>
  </si>
  <si>
    <t>2363</t>
  </si>
  <si>
    <t>CLF104</t>
  </si>
  <si>
    <t>2364</t>
  </si>
  <si>
    <t>St Luke &amp; St Teresa</t>
  </si>
  <si>
    <t>WINCANTON</t>
  </si>
  <si>
    <t>CLF104S</t>
  </si>
  <si>
    <t>0444426</t>
  </si>
  <si>
    <t>MERE</t>
  </si>
  <si>
    <t>CLF105</t>
  </si>
  <si>
    <t>2365</t>
  </si>
  <si>
    <t>WINCHCOMBE</t>
  </si>
  <si>
    <t>CLF105S</t>
  </si>
  <si>
    <t>0444440</t>
  </si>
  <si>
    <t>St Michael &amp; All Angels Church of England</t>
  </si>
  <si>
    <t>BISHOP'S CLEEVE</t>
  </si>
  <si>
    <t>CLF106</t>
  </si>
  <si>
    <t>2366</t>
  </si>
  <si>
    <t>The Annuciation</t>
  </si>
  <si>
    <t>WOODCHESTER PRIORY</t>
  </si>
  <si>
    <t>CLF107</t>
  </si>
  <si>
    <t>2367</t>
  </si>
  <si>
    <t>ROYAL WOOTTON BASSETT</t>
  </si>
  <si>
    <t>CLF108</t>
  </si>
  <si>
    <t>2368</t>
  </si>
  <si>
    <t>WOTTON-UNDER-EDGE</t>
  </si>
  <si>
    <t>CLF109</t>
  </si>
  <si>
    <t>2369</t>
  </si>
  <si>
    <t>WROUGHTON</t>
  </si>
  <si>
    <t>per DD - it is £330.83</t>
  </si>
  <si>
    <t>CLF110</t>
  </si>
  <si>
    <t>2370</t>
  </si>
  <si>
    <t>YEOVIL</t>
  </si>
  <si>
    <t>Diff 10p: Grand Total stated £1750.26</t>
  </si>
  <si>
    <t>CLF110S</t>
  </si>
  <si>
    <t>0444428</t>
  </si>
  <si>
    <t>SOUTH PETHERTON</t>
  </si>
  <si>
    <t>CLF111</t>
  </si>
  <si>
    <t>2371</t>
  </si>
  <si>
    <t>CLF604</t>
  </si>
  <si>
    <t>0444457</t>
  </si>
  <si>
    <t>University of the West of England Chaplaincy</t>
  </si>
  <si>
    <t>CLF999</t>
  </si>
  <si>
    <t>2375</t>
  </si>
  <si>
    <t>Clifton Diocese Various</t>
  </si>
  <si>
    <t>EAS</t>
  </si>
  <si>
    <t>EAS001</t>
  </si>
  <si>
    <t>2377</t>
  </si>
  <si>
    <t>NORWICH</t>
  </si>
  <si>
    <t>EAS001S</t>
  </si>
  <si>
    <t>0479454</t>
  </si>
  <si>
    <t>St Mark's (C of E Church)</t>
  </si>
  <si>
    <t>LAKENHAM</t>
  </si>
  <si>
    <t>EAS002</t>
  </si>
  <si>
    <t>2378</t>
  </si>
  <si>
    <t>Holy Apostles RC Church</t>
  </si>
  <si>
    <t>EAS003</t>
  </si>
  <si>
    <t>2380</t>
  </si>
  <si>
    <t>St George's RC Church</t>
  </si>
  <si>
    <t>EAS003S</t>
  </si>
  <si>
    <t>0479455</t>
  </si>
  <si>
    <t>St Boniface</t>
  </si>
  <si>
    <t>HELLESDON</t>
  </si>
  <si>
    <t>EAS003S2</t>
  </si>
  <si>
    <t>0479456</t>
  </si>
  <si>
    <t>Our Lady, Mother of God</t>
  </si>
  <si>
    <t>THORPE ST ANDREW</t>
  </si>
  <si>
    <t>EAS004</t>
  </si>
  <si>
    <t>2382</t>
  </si>
  <si>
    <t>Our  Lady  &amp; St  Peter RC Church</t>
  </si>
  <si>
    <t>ALDEBURGH</t>
  </si>
  <si>
    <t>EAS004S</t>
  </si>
  <si>
    <t>0479457</t>
  </si>
  <si>
    <t>LEISTON</t>
  </si>
  <si>
    <t>EAS005</t>
  </si>
  <si>
    <t>2383</t>
  </si>
  <si>
    <t>St Benet's Minster</t>
  </si>
  <si>
    <t>BECCLES</t>
  </si>
  <si>
    <t>EAS005S</t>
  </si>
  <si>
    <t>0479458</t>
  </si>
  <si>
    <t>GILLINGHAM</t>
  </si>
  <si>
    <t>EAS006</t>
  </si>
  <si>
    <t>2384</t>
  </si>
  <si>
    <t>St  Peter RC Church</t>
  </si>
  <si>
    <t>WALSINGHAM</t>
  </si>
  <si>
    <t>EAS006X</t>
  </si>
  <si>
    <t>2385</t>
  </si>
  <si>
    <t>St Thomas of Canterbury &amp; St John the Evangelist</t>
  </si>
  <si>
    <t>BRANDON</t>
  </si>
  <si>
    <t>per DD - it is £1093.56</t>
  </si>
  <si>
    <t>EAS006XS</t>
  </si>
  <si>
    <t>0479459</t>
  </si>
  <si>
    <t>MILDENHALL</t>
  </si>
  <si>
    <t>EAS007</t>
  </si>
  <si>
    <t>2386</t>
  </si>
  <si>
    <t>St  Hugh of Lincoln</t>
  </si>
  <si>
    <t>ST. NEOTS</t>
  </si>
  <si>
    <t>EAS008</t>
  </si>
  <si>
    <t>2387</t>
  </si>
  <si>
    <t>St  Edmund, King &amp; Martyr RC Church</t>
  </si>
  <si>
    <t>BUNGAY</t>
  </si>
  <si>
    <t>EAS008S</t>
  </si>
  <si>
    <t>0479460</t>
  </si>
  <si>
    <t>HARLESTON</t>
  </si>
  <si>
    <t>EAS009</t>
  </si>
  <si>
    <t>2388</t>
  </si>
  <si>
    <t>St Henry Walpole</t>
  </si>
  <si>
    <t>EAS010</t>
  </si>
  <si>
    <t>2389</t>
  </si>
  <si>
    <t>St Edmund, King &amp; Martyr</t>
  </si>
  <si>
    <t>BURY ST EDMUNDS</t>
  </si>
  <si>
    <t>EAS010S</t>
  </si>
  <si>
    <t>0479461</t>
  </si>
  <si>
    <t>Our Lady Immaculate &amp; St Joseph</t>
  </si>
  <si>
    <t>LAWSHALL</t>
  </si>
  <si>
    <t>EAS010S2</t>
  </si>
  <si>
    <t>0479462</t>
  </si>
  <si>
    <t>Montana</t>
  </si>
  <si>
    <t>GREAT BARTON</t>
  </si>
  <si>
    <t>EAS011</t>
  </si>
  <si>
    <t>2390</t>
  </si>
  <si>
    <t>CAMBRIDGE</t>
  </si>
  <si>
    <t>EAS011A</t>
  </si>
  <si>
    <t>2391</t>
  </si>
  <si>
    <t>Priory of St Michael</t>
  </si>
  <si>
    <t>EAS011S</t>
  </si>
  <si>
    <t>0479463</t>
  </si>
  <si>
    <t>Church Centre</t>
  </si>
  <si>
    <t>EAS011S2</t>
  </si>
  <si>
    <t>0479464</t>
  </si>
  <si>
    <t>EAS012</t>
  </si>
  <si>
    <t>2393</t>
  </si>
  <si>
    <t>per DD - it is £1807.91</t>
  </si>
  <si>
    <t>EAS012S</t>
  </si>
  <si>
    <t>0479465</t>
  </si>
  <si>
    <t>St Laurence Primary School</t>
  </si>
  <si>
    <t>EAS013</t>
  </si>
  <si>
    <t>2394</t>
  </si>
  <si>
    <t>St Philip Howard RC Church</t>
  </si>
  <si>
    <t>EAS015</t>
  </si>
  <si>
    <t>2396</t>
  </si>
  <si>
    <t>Mother of Good Counsel</t>
  </si>
  <si>
    <t>CLARE</t>
  </si>
  <si>
    <t>EAS015S</t>
  </si>
  <si>
    <t>0479466</t>
  </si>
  <si>
    <t>United Reformed Church</t>
  </si>
  <si>
    <t>CAVENDISH</t>
  </si>
  <si>
    <t>EAS016</t>
  </si>
  <si>
    <t>2397</t>
  </si>
  <si>
    <t>Our Lady &amp; St Walstan RC Church</t>
  </si>
  <si>
    <t>EAS017</t>
  </si>
  <si>
    <t>2398</t>
  </si>
  <si>
    <t>Our Lady Of Refuge</t>
  </si>
  <si>
    <t>CROMER</t>
  </si>
  <si>
    <t>EAS018</t>
  </si>
  <si>
    <t>2399</t>
  </si>
  <si>
    <t>St Henry Morse Church</t>
  </si>
  <si>
    <t>DISS</t>
  </si>
  <si>
    <t>EAS019</t>
  </si>
  <si>
    <t>2400</t>
  </si>
  <si>
    <t>St  Dominic RC Church</t>
  </si>
  <si>
    <t>DOWNHAM MARKET</t>
  </si>
  <si>
    <t>EAS020</t>
  </si>
  <si>
    <t>2401</t>
  </si>
  <si>
    <t>Sacred Heart &amp; St Margaret Mary RC Church</t>
  </si>
  <si>
    <t>DEREHAM</t>
  </si>
  <si>
    <t>EAS020A</t>
  </si>
  <si>
    <t>2402</t>
  </si>
  <si>
    <t>St Cecilia RC Church</t>
  </si>
  <si>
    <t>DERSINGHAM</t>
  </si>
  <si>
    <t>EAS021</t>
  </si>
  <si>
    <t>2403</t>
  </si>
  <si>
    <t>St Etheldreda RC Church</t>
  </si>
  <si>
    <t>ELY</t>
  </si>
  <si>
    <t>EAS022</t>
  </si>
  <si>
    <t>2404</t>
  </si>
  <si>
    <t>St  Anthony of Padua RC Church</t>
  </si>
  <si>
    <t>FAKENHAM</t>
  </si>
  <si>
    <t>EAS023</t>
  </si>
  <si>
    <t>2405</t>
  </si>
  <si>
    <t>St  Felix Church</t>
  </si>
  <si>
    <t>FELIXSTOWE</t>
  </si>
  <si>
    <t>EAS023A</t>
  </si>
  <si>
    <t>2406</t>
  </si>
  <si>
    <t>WOODBRIDGE</t>
  </si>
  <si>
    <t>EAS023S</t>
  </si>
  <si>
    <t>0479467</t>
  </si>
  <si>
    <t>Convent of Jesus and Mary</t>
  </si>
  <si>
    <t>EAS024</t>
  </si>
  <si>
    <t>2407</t>
  </si>
  <si>
    <t>GREAT YARMOUTH</t>
  </si>
  <si>
    <t>EAS025</t>
  </si>
  <si>
    <t>2408</t>
  </si>
  <si>
    <t>IPSWICH</t>
  </si>
  <si>
    <t>EAS026</t>
  </si>
  <si>
    <t>2409</t>
  </si>
  <si>
    <t>St  Felix RC Church</t>
  </si>
  <si>
    <t>HAVERHILL</t>
  </si>
  <si>
    <t>EAS028</t>
  </si>
  <si>
    <t>2411</t>
  </si>
  <si>
    <t>Our Lady of Perpetual Succour &amp; St Edmund</t>
  </si>
  <si>
    <t>HUNSTANTON</t>
  </si>
  <si>
    <t>EAS029</t>
  </si>
  <si>
    <t>2412</t>
  </si>
  <si>
    <t>St  Michael the Archangel</t>
  </si>
  <si>
    <t>HUNTINGDON</t>
  </si>
  <si>
    <t>EAS029S</t>
  </si>
  <si>
    <t>0479468</t>
  </si>
  <si>
    <t>St Peter C of E Church (Parish Church)</t>
  </si>
  <si>
    <t>PAPWORTH EVERARD</t>
  </si>
  <si>
    <t>EAS030</t>
  </si>
  <si>
    <t>2413</t>
  </si>
  <si>
    <t>St  Pancras RC Church</t>
  </si>
  <si>
    <t>EAS031</t>
  </si>
  <si>
    <t>2414</t>
  </si>
  <si>
    <t>St  Mary RC Church</t>
  </si>
  <si>
    <t>EAS031S</t>
  </si>
  <si>
    <t>0479469</t>
  </si>
  <si>
    <t>Holy Family &amp; St Michael</t>
  </si>
  <si>
    <t>KESGRAVE</t>
  </si>
  <si>
    <t>EAS032</t>
  </si>
  <si>
    <t>2416</t>
  </si>
  <si>
    <t>St James RC Church</t>
  </si>
  <si>
    <t>EAS033</t>
  </si>
  <si>
    <t>2417</t>
  </si>
  <si>
    <t>St  Mary Magdalen RC Church</t>
  </si>
  <si>
    <t>EAS034</t>
  </si>
  <si>
    <t>2418</t>
  </si>
  <si>
    <t>St Mark's RC Church</t>
  </si>
  <si>
    <t>EAS034S</t>
  </si>
  <si>
    <t>264158</t>
  </si>
  <si>
    <t>EAS035</t>
  </si>
  <si>
    <t>2419</t>
  </si>
  <si>
    <t>Our Lady of Annunciation RC Church</t>
  </si>
  <si>
    <t>KING'S LYNN</t>
  </si>
  <si>
    <t>per DD - it is £1054.58</t>
  </si>
  <si>
    <t>EAS035S</t>
  </si>
  <si>
    <t>0479470</t>
  </si>
  <si>
    <t>GAYWOOD</t>
  </si>
  <si>
    <t>EAS036</t>
  </si>
  <si>
    <t>2420</t>
  </si>
  <si>
    <t>Our Lady &amp; St Philip Neri</t>
  </si>
  <si>
    <t>NEWMARKET</t>
  </si>
  <si>
    <t>EAS037</t>
  </si>
  <si>
    <t>2421</t>
  </si>
  <si>
    <t>LOWESTOFT</t>
  </si>
  <si>
    <t>per DD - it is £395.8</t>
  </si>
  <si>
    <t>EAS037S</t>
  </si>
  <si>
    <t>0479471</t>
  </si>
  <si>
    <t>St Nicholas</t>
  </si>
  <si>
    <t>Presumed: included in EAS037/2421 (see green form for comment)</t>
  </si>
  <si>
    <t>EAS039</t>
  </si>
  <si>
    <t>2422</t>
  </si>
  <si>
    <t>MARCH</t>
  </si>
  <si>
    <t>EAS039S</t>
  </si>
  <si>
    <t>0479472</t>
  </si>
  <si>
    <t>St Peter &amp; St Paul (Anglican Church)</t>
  </si>
  <si>
    <t>CHATTERIS</t>
  </si>
  <si>
    <t>EAS041</t>
  </si>
  <si>
    <t>2424</t>
  </si>
  <si>
    <t>Our Lady Immaculate &amp; St Etheldreda</t>
  </si>
  <si>
    <t>per DD - it is £749.06.    (only have £479 in grand total box)</t>
  </si>
  <si>
    <t>EAS042</t>
  </si>
  <si>
    <t>2425</t>
  </si>
  <si>
    <t>NORTH WALSHAM</t>
  </si>
  <si>
    <t>EAS042S</t>
  </si>
  <si>
    <t>263184</t>
  </si>
  <si>
    <t>St Helen</t>
  </si>
  <si>
    <t xml:space="preserve">NORWICH                       </t>
  </si>
  <si>
    <t>EAS042S2</t>
  </si>
  <si>
    <t>263185</t>
  </si>
  <si>
    <t>St John of the Cross Catholic Church</t>
  </si>
  <si>
    <t>EAS043</t>
  </si>
  <si>
    <t>2426</t>
  </si>
  <si>
    <t>St Peter &amp; All Souls &amp; Our Lady of Lourdes</t>
  </si>
  <si>
    <t>PETERBOROUGH</t>
  </si>
  <si>
    <t>per DD - it is £1401.48</t>
  </si>
  <si>
    <t>EAS044</t>
  </si>
  <si>
    <t>2427</t>
  </si>
  <si>
    <t>Sacred Heart &amp; St Oswald RC Church</t>
  </si>
  <si>
    <t>EAS044S</t>
  </si>
  <si>
    <t>0479473</t>
  </si>
  <si>
    <t>Sacred Heart (Parish of Sacred Heart &amp; St Oswald)</t>
  </si>
  <si>
    <t>BRETTON</t>
  </si>
  <si>
    <t>EAS045</t>
  </si>
  <si>
    <t>2428</t>
  </si>
  <si>
    <t>EAS048</t>
  </si>
  <si>
    <t>2431</t>
  </si>
  <si>
    <t>St Luke RC Church</t>
  </si>
  <si>
    <t>EAS048S</t>
  </si>
  <si>
    <t>0479474</t>
  </si>
  <si>
    <t>St Benedict's Community</t>
  </si>
  <si>
    <t>SAWTRY</t>
  </si>
  <si>
    <t>EAS049</t>
  </si>
  <si>
    <t>2432</t>
  </si>
  <si>
    <t>Our Lady of the Annunciation</t>
  </si>
  <si>
    <t>EAS049S</t>
  </si>
  <si>
    <t>0479475</t>
  </si>
  <si>
    <t>St John's (Methodist) Church</t>
  </si>
  <si>
    <t>LODDON</t>
  </si>
  <si>
    <t>EAS050</t>
  </si>
  <si>
    <t>2433</t>
  </si>
  <si>
    <t>Our Lady of Mount Carmel</t>
  </si>
  <si>
    <t>EAS050X</t>
  </si>
  <si>
    <t>2434</t>
  </si>
  <si>
    <t>Sacred Heart of Jesus RC Church</t>
  </si>
  <si>
    <t>EAS051</t>
  </si>
  <si>
    <t>2435</t>
  </si>
  <si>
    <t>ST IVES</t>
  </si>
  <si>
    <t>EAS051A</t>
  </si>
  <si>
    <t>147955</t>
  </si>
  <si>
    <t>EAS052</t>
  </si>
  <si>
    <t>2436</t>
  </si>
  <si>
    <t>EAS053</t>
  </si>
  <si>
    <t>2437</t>
  </si>
  <si>
    <t>per DD - it is £1283.50</t>
  </si>
  <si>
    <t>EAS054</t>
  </si>
  <si>
    <t>2438</t>
  </si>
  <si>
    <t>Our Lady &amp; St Joseph</t>
  </si>
  <si>
    <t xml:space="preserve">SHERINGHAM </t>
  </si>
  <si>
    <t>per DD - it is £1261.42</t>
  </si>
  <si>
    <t>EAS055</t>
  </si>
  <si>
    <t>2439</t>
  </si>
  <si>
    <t>SOUTHWOLD</t>
  </si>
  <si>
    <t>EAS055S</t>
  </si>
  <si>
    <t>264150</t>
  </si>
  <si>
    <t>St Edmund King and Martyr</t>
  </si>
  <si>
    <t xml:space="preserve">HALESWORTH                    </t>
  </si>
  <si>
    <t>EAS056</t>
  </si>
  <si>
    <t>2440</t>
  </si>
  <si>
    <t>Our Lady RC Church</t>
  </si>
  <si>
    <t>STOWMARKET</t>
  </si>
  <si>
    <t>EAS056S</t>
  </si>
  <si>
    <t>0479476</t>
  </si>
  <si>
    <t>St Mary (Anglican)</t>
  </si>
  <si>
    <t>WOOLPIT</t>
  </si>
  <si>
    <t>EAS057</t>
  </si>
  <si>
    <t>2441</t>
  </si>
  <si>
    <t>Our Lady &amp; St John the Evangelist &amp; St Joseph</t>
  </si>
  <si>
    <t>SUDBURY</t>
  </si>
  <si>
    <t>EAS058</t>
  </si>
  <si>
    <t>2442</t>
  </si>
  <si>
    <t>Our Lady of Pity RC Church</t>
  </si>
  <si>
    <t>SWAFFHAM</t>
  </si>
  <si>
    <t>EAS058S</t>
  </si>
  <si>
    <t>263186</t>
  </si>
  <si>
    <t>Watton Methodist Church (Catholic Parish of Swaffham &amp; Watto</t>
  </si>
  <si>
    <t xml:space="preserve">HERTFORD                      </t>
  </si>
  <si>
    <t>EAS058S2</t>
  </si>
  <si>
    <t>0479477</t>
  </si>
  <si>
    <t>The Immaculate Conception &amp; St Margaret (Catholic Parish of Swaffham &amp; Watton)</t>
  </si>
  <si>
    <t>OXBURGH</t>
  </si>
  <si>
    <t>EAS059</t>
  </si>
  <si>
    <t>2443</t>
  </si>
  <si>
    <t>THETFORD</t>
  </si>
  <si>
    <t>per DD - it is £163.7</t>
  </si>
  <si>
    <t>EAS060X</t>
  </si>
  <si>
    <t>2444</t>
  </si>
  <si>
    <t>National Shrine of Our Lady</t>
  </si>
  <si>
    <t xml:space="preserve">WALSINGHAM  </t>
  </si>
  <si>
    <t>EAS061</t>
  </si>
  <si>
    <t>2445</t>
  </si>
  <si>
    <t>WELLS-NEXT-THE-SEA</t>
  </si>
  <si>
    <t>EAS061A</t>
  </si>
  <si>
    <t>2446</t>
  </si>
  <si>
    <t>The Church of the Annunciation</t>
  </si>
  <si>
    <t>EAS062</t>
  </si>
  <si>
    <t>2447</t>
  </si>
  <si>
    <t>St Jude the Apostle</t>
  </si>
  <si>
    <t>EAS063</t>
  </si>
  <si>
    <t>2448</t>
  </si>
  <si>
    <t>Our Lady &amp; St Charles Borromeo RC Church</t>
  </si>
  <si>
    <t>WISBECH</t>
  </si>
  <si>
    <t>EAS064</t>
  </si>
  <si>
    <t>2449</t>
  </si>
  <si>
    <t>St  Thomas of Canterbury</t>
  </si>
  <si>
    <t>EAS065</t>
  </si>
  <si>
    <t>2450</t>
  </si>
  <si>
    <t>Our Lady &amp; St Thomas of Canterbury</t>
  </si>
  <si>
    <t>WYMONDHAM</t>
  </si>
  <si>
    <t>per DD - it is £577.42</t>
  </si>
  <si>
    <t>EAS065S</t>
  </si>
  <si>
    <t>263187</t>
  </si>
  <si>
    <t>Our Lady and St Thomas's Parish (Attleborough Methodist Church)</t>
  </si>
  <si>
    <t>EAS066</t>
  </si>
  <si>
    <t>2451</t>
  </si>
  <si>
    <t>per DD - it is £316.78</t>
  </si>
  <si>
    <t>EAS066S</t>
  </si>
  <si>
    <t>0479478</t>
  </si>
  <si>
    <t>St Edmund's C of E Church</t>
  </si>
  <si>
    <t>ACLE</t>
  </si>
  <si>
    <t>EAS066S2</t>
  </si>
  <si>
    <t>0479479</t>
  </si>
  <si>
    <t>St Ignatius Loyola</t>
  </si>
  <si>
    <t>CAISTER-ON-SEA</t>
  </si>
  <si>
    <t>EAS067</t>
  </si>
  <si>
    <t>225969</t>
  </si>
  <si>
    <t xml:space="preserve">CAMBRIDGE                     </t>
  </si>
  <si>
    <t>Note said: 'Refund £227 to SJE Church' - sent to Vangie 18-02-2020</t>
  </si>
  <si>
    <t>EAS999</t>
  </si>
  <si>
    <t>2455</t>
  </si>
  <si>
    <t>East Anglia Diocese Various</t>
  </si>
  <si>
    <t>MEN</t>
  </si>
  <si>
    <t>MEN001</t>
  </si>
  <si>
    <t>215</t>
  </si>
  <si>
    <t>Cathedral Church of St Joseph</t>
  </si>
  <si>
    <t>SWANSEA</t>
  </si>
  <si>
    <t>MEN002</t>
  </si>
  <si>
    <t>216</t>
  </si>
  <si>
    <t>Our  Lady of Lourdes RC Church</t>
  </si>
  <si>
    <t>MEN003</t>
  </si>
  <si>
    <t>217</t>
  </si>
  <si>
    <t xml:space="preserve">SWANSEA                       </t>
  </si>
  <si>
    <t>MEN004</t>
  </si>
  <si>
    <t>218</t>
  </si>
  <si>
    <t>Diff 1p: Grand Total stated £363.09</t>
  </si>
  <si>
    <t>MEN005</t>
  </si>
  <si>
    <t>219</t>
  </si>
  <si>
    <t>per DD - it is £753.41</t>
  </si>
  <si>
    <t>MEN006</t>
  </si>
  <si>
    <t>220</t>
  </si>
  <si>
    <t>St  David's Priory</t>
  </si>
  <si>
    <t>MEN007</t>
  </si>
  <si>
    <t>222</t>
  </si>
  <si>
    <t>St Illtyd RC Church</t>
  </si>
  <si>
    <t>MEN008</t>
  </si>
  <si>
    <t>223</t>
  </si>
  <si>
    <t>St Joachim &amp; St Anne</t>
  </si>
  <si>
    <t>MEN009</t>
  </si>
  <si>
    <t>224</t>
  </si>
  <si>
    <t>MEN010</t>
  </si>
  <si>
    <t>225</t>
  </si>
  <si>
    <t>MEN011</t>
  </si>
  <si>
    <t>226</t>
  </si>
  <si>
    <t>The Church of the Welsh Martyrs</t>
  </si>
  <si>
    <t>ABERYSTWYTH</t>
  </si>
  <si>
    <t>per DD - it is £450.48</t>
  </si>
  <si>
    <t>MEN013</t>
  </si>
  <si>
    <t>228</t>
  </si>
  <si>
    <t>Our Lady of the Rosary RC Church</t>
  </si>
  <si>
    <t>AMMANFORD</t>
  </si>
  <si>
    <t>MEN014</t>
  </si>
  <si>
    <t>229</t>
  </si>
  <si>
    <t xml:space="preserve">BRECON  </t>
  </si>
  <si>
    <t>MEN015</t>
  </si>
  <si>
    <t>230</t>
  </si>
  <si>
    <t>NEATH</t>
  </si>
  <si>
    <t>MEN017</t>
  </si>
  <si>
    <t>231</t>
  </si>
  <si>
    <t>BURRY PORT</t>
  </si>
  <si>
    <t>MEN018</t>
  </si>
  <si>
    <t>232</t>
  </si>
  <si>
    <t>Abbey of Our Lady &amp; St Samson</t>
  </si>
  <si>
    <t xml:space="preserve">TENBY  </t>
  </si>
  <si>
    <t>MEN019</t>
  </si>
  <si>
    <t>233</t>
  </si>
  <si>
    <t>National Shrine of Our Lady of the Taper</t>
  </si>
  <si>
    <t xml:space="preserve">CARDIGAN  </t>
  </si>
  <si>
    <t>MEN020</t>
  </si>
  <si>
    <t>147959</t>
  </si>
  <si>
    <t>Our Lady &amp; St Cadoc RC Church</t>
  </si>
  <si>
    <t>KIDWELLY</t>
  </si>
  <si>
    <t>MEN020A</t>
  </si>
  <si>
    <t>234</t>
  </si>
  <si>
    <t>CARMARTHEN</t>
  </si>
  <si>
    <t>MEN020B</t>
  </si>
  <si>
    <t>0443113</t>
  </si>
  <si>
    <t>Eglwys y Groes (Holy Cross)</t>
  </si>
  <si>
    <t>LLANELLI</t>
  </si>
  <si>
    <t>MEN021</t>
  </si>
  <si>
    <t>235</t>
  </si>
  <si>
    <t>MEN022</t>
  </si>
  <si>
    <t>0479480</t>
  </si>
  <si>
    <t>CRICKHOWELL</t>
  </si>
  <si>
    <t>MEN023</t>
  </si>
  <si>
    <t>237</t>
  </si>
  <si>
    <t>Holy Name RC Church</t>
  </si>
  <si>
    <t xml:space="preserve">FISHGUARD  </t>
  </si>
  <si>
    <t>MEN024</t>
  </si>
  <si>
    <t>238</t>
  </si>
  <si>
    <t>Church of the Blessed Sacrament</t>
  </si>
  <si>
    <t>MEN025</t>
  </si>
  <si>
    <t>239</t>
  </si>
  <si>
    <t>St David &amp; St Patrick</t>
  </si>
  <si>
    <t>HAVERFORDWEST</t>
  </si>
  <si>
    <t>MEN025S</t>
  </si>
  <si>
    <t>0443123</t>
  </si>
  <si>
    <t>The Immaculate Conception RC Church</t>
  </si>
  <si>
    <t>NARBERTH</t>
  </si>
  <si>
    <t>MEN026</t>
  </si>
  <si>
    <t>240</t>
  </si>
  <si>
    <t>per DD - it is £176.02</t>
  </si>
  <si>
    <t>MEN027</t>
  </si>
  <si>
    <t>241</t>
  </si>
  <si>
    <t>LAMPETER</t>
  </si>
  <si>
    <t>MEN027A</t>
  </si>
  <si>
    <t>148014</t>
  </si>
  <si>
    <t>ABERAERON</t>
  </si>
  <si>
    <t>MEN028</t>
  </si>
  <si>
    <t>243</t>
  </si>
  <si>
    <t>St David RC Church</t>
  </si>
  <si>
    <t>LLANDEILO</t>
  </si>
  <si>
    <t>MEN029</t>
  </si>
  <si>
    <t>244</t>
  </si>
  <si>
    <t>LLANDOVERY</t>
  </si>
  <si>
    <t>MEN031</t>
  </si>
  <si>
    <t>245</t>
  </si>
  <si>
    <t>Our Lady of Ransom &amp; the Holy Souls Parish</t>
  </si>
  <si>
    <t>LLANDRINDOD WELLS</t>
  </si>
  <si>
    <t>Presumed: included in MEN031S/0443126 (see green form for comment)</t>
  </si>
  <si>
    <t>MEN031S</t>
  </si>
  <si>
    <t>0443126</t>
  </si>
  <si>
    <t>BUILTH WELLS</t>
  </si>
  <si>
    <t>Presumed: included in MEN031/245 (see green form for comment)</t>
  </si>
  <si>
    <t>MEN032</t>
  </si>
  <si>
    <t>246</t>
  </si>
  <si>
    <t>Our Lady, Queen of Peace</t>
  </si>
  <si>
    <t>MEN033</t>
  </si>
  <si>
    <t>247</t>
  </si>
  <si>
    <t>MILFORD HAVEN</t>
  </si>
  <si>
    <t>MEN034</t>
  </si>
  <si>
    <t>248</t>
  </si>
  <si>
    <t>MEN034S</t>
  </si>
  <si>
    <t>0443130</t>
  </si>
  <si>
    <t>St John Kemble RC Church</t>
  </si>
  <si>
    <t>MEN035</t>
  </si>
  <si>
    <t>249</t>
  </si>
  <si>
    <t>NEWCASTLE EMLYN</t>
  </si>
  <si>
    <t>MEN036</t>
  </si>
  <si>
    <t>251</t>
  </si>
  <si>
    <t>PEMBROKE DOCK</t>
  </si>
  <si>
    <t>MEN036S</t>
  </si>
  <si>
    <t>0443141</t>
  </si>
  <si>
    <t>PEMBROKE</t>
  </si>
  <si>
    <t>MEN037</t>
  </si>
  <si>
    <t>147993</t>
  </si>
  <si>
    <t>St Bride</t>
  </si>
  <si>
    <t>MEN038</t>
  </si>
  <si>
    <t>252</t>
  </si>
  <si>
    <t>Our Lady of Margam RC Church</t>
  </si>
  <si>
    <t>PORT TALBOT</t>
  </si>
  <si>
    <t>MEN038S</t>
  </si>
  <si>
    <t>0479481</t>
  </si>
  <si>
    <t>St Joseph's</t>
  </si>
  <si>
    <t>CYMER</t>
  </si>
  <si>
    <t>MEN039</t>
  </si>
  <si>
    <t>253</t>
  </si>
  <si>
    <t>St  Joseph RC Parish</t>
  </si>
  <si>
    <t xml:space="preserve">PORT TALBOT  </t>
  </si>
  <si>
    <t>MEN039S</t>
  </si>
  <si>
    <t>0443159</t>
  </si>
  <si>
    <t>MEN040</t>
  </si>
  <si>
    <t>254</t>
  </si>
  <si>
    <t>St Therese of Lisieux</t>
  </si>
  <si>
    <t>MEN041</t>
  </si>
  <si>
    <t>255</t>
  </si>
  <si>
    <t>Assumption of Our Lady &amp; St Therese</t>
  </si>
  <si>
    <t>PRESTEIGNE</t>
  </si>
  <si>
    <t>MEN041X</t>
  </si>
  <si>
    <t>256</t>
  </si>
  <si>
    <t>RHAYADER</t>
  </si>
  <si>
    <t>MEN041XS</t>
  </si>
  <si>
    <t>0443162</t>
  </si>
  <si>
    <t>Our Lady of Perpetual Succour and St Nicholas</t>
  </si>
  <si>
    <t>KNIGHTON</t>
  </si>
  <si>
    <t>MEN042</t>
  </si>
  <si>
    <t>257</t>
  </si>
  <si>
    <t>Holyrood &amp; St Teilo</t>
  </si>
  <si>
    <t xml:space="preserve">TENBY </t>
  </si>
  <si>
    <t>MEN042S</t>
  </si>
  <si>
    <t>0443175</t>
  </si>
  <si>
    <t>St Bride RC Church</t>
  </si>
  <si>
    <t>SAUNDERSFOOT</t>
  </si>
  <si>
    <t>MEN043</t>
  </si>
  <si>
    <t>258</t>
  </si>
  <si>
    <t>MEN044</t>
  </si>
  <si>
    <t>259</t>
  </si>
  <si>
    <t>MEN999</t>
  </si>
  <si>
    <t>262</t>
  </si>
  <si>
    <t>Menevia Diocese Various</t>
  </si>
  <si>
    <t>NOR</t>
  </si>
  <si>
    <t>NOR001</t>
  </si>
  <si>
    <t>369</t>
  </si>
  <si>
    <t>Cathedral of Our Lady Immaculate &amp; St Thomas of Canterbury</t>
  </si>
  <si>
    <t>NORTHAMPTON</t>
  </si>
  <si>
    <t>NOR002</t>
  </si>
  <si>
    <t>370</t>
  </si>
  <si>
    <t>St  Aidan</t>
  </si>
  <si>
    <t>NOR003</t>
  </si>
  <si>
    <t>371</t>
  </si>
  <si>
    <t>St Gregory The Great</t>
  </si>
  <si>
    <t>amended amount</t>
  </si>
  <si>
    <t>NOR004</t>
  </si>
  <si>
    <t>373</t>
  </si>
  <si>
    <t>NOR005</t>
  </si>
  <si>
    <t>374</t>
  </si>
  <si>
    <t>St  Patrick</t>
  </si>
  <si>
    <t>NOR005S</t>
  </si>
  <si>
    <t>0444515</t>
  </si>
  <si>
    <t>Nazareth House Chapel</t>
  </si>
  <si>
    <t>NOR006</t>
  </si>
  <si>
    <t>376</t>
  </si>
  <si>
    <t>St Stanislaus &amp; St Lawrence</t>
  </si>
  <si>
    <t>NOR006X</t>
  </si>
  <si>
    <t>377</t>
  </si>
  <si>
    <t>St Francis &amp; St Therese</t>
  </si>
  <si>
    <t>NORTHAMPTON SOUTH</t>
  </si>
  <si>
    <t>NOR007</t>
  </si>
  <si>
    <t>378</t>
  </si>
  <si>
    <t>FLITWICK</t>
  </si>
  <si>
    <t>per DD</t>
  </si>
  <si>
    <t>NOR008</t>
  </si>
  <si>
    <t>379</t>
  </si>
  <si>
    <t>ASTON-LE-WALLS</t>
  </si>
  <si>
    <t>add 60p banking diff</t>
  </si>
  <si>
    <t>NOR008S</t>
  </si>
  <si>
    <t>264140</t>
  </si>
  <si>
    <t>St Peter &amp; St Paul C of E Church</t>
  </si>
  <si>
    <t>KINGS SUTTON</t>
  </si>
  <si>
    <t>NOR009</t>
  </si>
  <si>
    <t>380</t>
  </si>
  <si>
    <t>AYLESBURY</t>
  </si>
  <si>
    <t>NOR009S</t>
  </si>
  <si>
    <t>0444511</t>
  </si>
  <si>
    <t>St Clare's RC Church</t>
  </si>
  <si>
    <t>NOR010</t>
  </si>
  <si>
    <t>381</t>
  </si>
  <si>
    <t>NOR011</t>
  </si>
  <si>
    <t>382</t>
  </si>
  <si>
    <t>The Guardian Angels RC Church</t>
  </si>
  <si>
    <t>NOR013</t>
  </si>
  <si>
    <t>384</t>
  </si>
  <si>
    <t>St Teresa of the Child Jesus &amp; St John Fisher &amp; St Thomas More</t>
  </si>
  <si>
    <t>BEACONSFIELD</t>
  </si>
  <si>
    <t>NOR014</t>
  </si>
  <si>
    <t>385</t>
  </si>
  <si>
    <t>St  Joseph  &amp; The Holy Child RC Church</t>
  </si>
  <si>
    <t>BEDFORD</t>
  </si>
  <si>
    <t>combined with NOR042X-416 ??</t>
  </si>
  <si>
    <t>NOR015</t>
  </si>
  <si>
    <t>386</t>
  </si>
  <si>
    <t>NOR015S</t>
  </si>
  <si>
    <t>0444395</t>
  </si>
  <si>
    <t>Lakeview Village Hall</t>
  </si>
  <si>
    <t>WIXAMS</t>
  </si>
  <si>
    <t>NOR016</t>
  </si>
  <si>
    <t>387</t>
  </si>
  <si>
    <t>Holy Cross Church</t>
  </si>
  <si>
    <t>refer to NOR018-390 for breakdown</t>
  </si>
  <si>
    <t>NOR017</t>
  </si>
  <si>
    <t>389</t>
  </si>
  <si>
    <t>St Frances Cabrini RC Church (Italian)</t>
  </si>
  <si>
    <t>NOR018</t>
  </si>
  <si>
    <t>390</t>
  </si>
  <si>
    <t>St Philip &amp; St James</t>
  </si>
  <si>
    <t>Grand total combined with NOR016-387</t>
  </si>
  <si>
    <t>NOR019</t>
  </si>
  <si>
    <t>391</t>
  </si>
  <si>
    <t>BIGGLESWADE</t>
  </si>
  <si>
    <t>NOR020</t>
  </si>
  <si>
    <t>392</t>
  </si>
  <si>
    <t>BOURNE END</t>
  </si>
  <si>
    <t>NOR021</t>
  </si>
  <si>
    <t>393</t>
  </si>
  <si>
    <t>St Bernardine of Siena RC Church</t>
  </si>
  <si>
    <t>BUCKINGHAM</t>
  </si>
  <si>
    <t>NOR021S</t>
  </si>
  <si>
    <t>0444382</t>
  </si>
  <si>
    <t>St Martin</t>
  </si>
  <si>
    <t>NOR022</t>
  </si>
  <si>
    <t>394</t>
  </si>
  <si>
    <t>Our Lady of Peace RC Church</t>
  </si>
  <si>
    <t>BURNHAM</t>
  </si>
  <si>
    <t>NOR022S</t>
  </si>
  <si>
    <t>263188</t>
  </si>
  <si>
    <t>St Andrew (Shared Church)</t>
  </si>
  <si>
    <t>CIPPENHAM</t>
  </si>
  <si>
    <t>NOR022S2</t>
  </si>
  <si>
    <t>0444388</t>
  </si>
  <si>
    <t>St Gilbert</t>
  </si>
  <si>
    <t xml:space="preserve">WINDSOR                       </t>
  </si>
  <si>
    <t>NOR023</t>
  </si>
  <si>
    <t>395</t>
  </si>
  <si>
    <t>St Columba RC Church</t>
  </si>
  <si>
    <t>CHESHAM</t>
  </si>
  <si>
    <t>add banking identified by DD Asst</t>
  </si>
  <si>
    <t>NOR024</t>
  </si>
  <si>
    <t>396</t>
  </si>
  <si>
    <t>CHESHAM BOIS</t>
  </si>
  <si>
    <t>NOR025</t>
  </si>
  <si>
    <t>397</t>
  </si>
  <si>
    <t>Our Lady of Walsingham RC Church</t>
  </si>
  <si>
    <t>CORBY</t>
  </si>
  <si>
    <t>NOR026</t>
  </si>
  <si>
    <t>398</t>
  </si>
  <si>
    <t>St Brendan RC Church</t>
  </si>
  <si>
    <t>NOR027</t>
  </si>
  <si>
    <t>399</t>
  </si>
  <si>
    <t>NOR028</t>
  </si>
  <si>
    <t>400</t>
  </si>
  <si>
    <t>DATCHET</t>
  </si>
  <si>
    <t>NOR028S</t>
  </si>
  <si>
    <t>0444521</t>
  </si>
  <si>
    <t>ETON</t>
  </si>
  <si>
    <t>NOR029</t>
  </si>
  <si>
    <t>401</t>
  </si>
  <si>
    <t>Our Lady of Charity &amp; St Augustine</t>
  </si>
  <si>
    <t>DAVENTRY</t>
  </si>
  <si>
    <t>NOR029S</t>
  </si>
  <si>
    <t>0444531</t>
  </si>
  <si>
    <t>Our Lady of the Most Holy Rosary</t>
  </si>
  <si>
    <t>YELVERTOFT</t>
  </si>
  <si>
    <t>NOR030</t>
  </si>
  <si>
    <t>402</t>
  </si>
  <si>
    <t>St Mary (Parish of St Mary's)</t>
  </si>
  <si>
    <t>DUNSTABLE</t>
  </si>
  <si>
    <t>NOR030S</t>
  </si>
  <si>
    <t>0444389</t>
  </si>
  <si>
    <t>St Elizabeth's Chapel (Parish of St Mary's)</t>
  </si>
  <si>
    <t>TODDINGTON</t>
  </si>
  <si>
    <t>NOR031</t>
  </si>
  <si>
    <t>404</t>
  </si>
  <si>
    <t>Our Lady of Czestochowa RC Church</t>
  </si>
  <si>
    <t>NOR032</t>
  </si>
  <si>
    <t>405</t>
  </si>
  <si>
    <t>St Anthony's Catholic Church</t>
  </si>
  <si>
    <t>SLOUGH</t>
  </si>
  <si>
    <t>NOR034</t>
  </si>
  <si>
    <t>407</t>
  </si>
  <si>
    <t>GERRARDS CROSS</t>
  </si>
  <si>
    <t>NOR034S</t>
  </si>
  <si>
    <t>0444529</t>
  </si>
  <si>
    <t>The Most Holy Name</t>
  </si>
  <si>
    <t>DENHAM</t>
  </si>
  <si>
    <t>NOR035</t>
  </si>
  <si>
    <t>0439506</t>
  </si>
  <si>
    <t>GREAT BILLING</t>
  </si>
  <si>
    <t>NOR035S</t>
  </si>
  <si>
    <t>0444557</t>
  </si>
  <si>
    <t>St Anselm</t>
  </si>
  <si>
    <t>NOR036</t>
  </si>
  <si>
    <t>409</t>
  </si>
  <si>
    <t>Immaculate Heart of Mary</t>
  </si>
  <si>
    <t>GREAT MISSENDEN</t>
  </si>
  <si>
    <t>NOR037</t>
  </si>
  <si>
    <t>410</t>
  </si>
  <si>
    <t>HADDENHAM</t>
  </si>
  <si>
    <t>NOR038</t>
  </si>
  <si>
    <t>0444558</t>
  </si>
  <si>
    <t>The Holy Family Church</t>
  </si>
  <si>
    <t>HALTON</t>
  </si>
  <si>
    <t>NOR039</t>
  </si>
  <si>
    <t>412</t>
  </si>
  <si>
    <t>St  Augustine, Apostle of England</t>
  </si>
  <si>
    <t>HIGH WYCOMBE</t>
  </si>
  <si>
    <t>NOR040</t>
  </si>
  <si>
    <t>413</t>
  </si>
  <si>
    <t>Blessed John Henry Newman - St  Wulstan</t>
  </si>
  <si>
    <t>NOR041</t>
  </si>
  <si>
    <t>414</t>
  </si>
  <si>
    <t>Blessed John Henry Newman - Our  Lady of Grace</t>
  </si>
  <si>
    <t>NOR041X</t>
  </si>
  <si>
    <t>148048</t>
  </si>
  <si>
    <t>St Vincent de Paul (Parish of St Mary's)</t>
  </si>
  <si>
    <t>HOUGHTON REGIS</t>
  </si>
  <si>
    <t>NOR042</t>
  </si>
  <si>
    <t>415</t>
  </si>
  <si>
    <t>Bridgettine Convent</t>
  </si>
  <si>
    <t>IVER HEATH</t>
  </si>
  <si>
    <t>add banking diff identified by DD Asst</t>
  </si>
  <si>
    <t>NOR042X</t>
  </si>
  <si>
    <t>416</t>
  </si>
  <si>
    <t>Our Lady of Ransom</t>
  </si>
  <si>
    <t>KEMPSTON</t>
  </si>
  <si>
    <t>combined with NOR014-385 ??</t>
  </si>
  <si>
    <t>NOR043</t>
  </si>
  <si>
    <t>417</t>
  </si>
  <si>
    <t>ROTHWELL</t>
  </si>
  <si>
    <t>NOR043S</t>
  </si>
  <si>
    <t>263189</t>
  </si>
  <si>
    <t>NOR043S2</t>
  </si>
  <si>
    <t>DESBOROUGH</t>
  </si>
  <si>
    <t>NOR043S3</t>
  </si>
  <si>
    <t>263192</t>
  </si>
  <si>
    <t>St Nicholas Owen</t>
  </si>
  <si>
    <t>BURTON LATIMER</t>
  </si>
  <si>
    <t>NOR043X</t>
  </si>
  <si>
    <t>418</t>
  </si>
  <si>
    <t>Mary Immaculate RC Church</t>
  </si>
  <si>
    <t>NORTHANTS</t>
  </si>
  <si>
    <t>NOR044</t>
  </si>
  <si>
    <t>419</t>
  </si>
  <si>
    <t>LEIGHTON BUZZARD</t>
  </si>
  <si>
    <t>NOR045</t>
  </si>
  <si>
    <t>420</t>
  </si>
  <si>
    <t>St Aidan</t>
  </si>
  <si>
    <t>LITTLE CHALFONT</t>
  </si>
  <si>
    <t>NOR046</t>
  </si>
  <si>
    <t>421</t>
  </si>
  <si>
    <t>Our Lady of Light</t>
  </si>
  <si>
    <t>LONG CRENDON</t>
  </si>
  <si>
    <t>NOR047</t>
  </si>
  <si>
    <t>422</t>
  </si>
  <si>
    <t>LUTON</t>
  </si>
  <si>
    <t>NOR048</t>
  </si>
  <si>
    <t>423</t>
  </si>
  <si>
    <t>NOR049</t>
  </si>
  <si>
    <t>424</t>
  </si>
  <si>
    <t>less banking diff 4p</t>
  </si>
  <si>
    <t>NOR050</t>
  </si>
  <si>
    <t>425</t>
  </si>
  <si>
    <t>St John the Apostle</t>
  </si>
  <si>
    <t>NOR051</t>
  </si>
  <si>
    <t>426</t>
  </si>
  <si>
    <t>NOR052</t>
  </si>
  <si>
    <t>428</t>
  </si>
  <si>
    <t>St  Margaret of Scotland RC Church</t>
  </si>
  <si>
    <t>NOR052S</t>
  </si>
  <si>
    <t>0444519</t>
  </si>
  <si>
    <t>St Thomas Apostle</t>
  </si>
  <si>
    <t>NOR053</t>
  </si>
  <si>
    <t>429</t>
  </si>
  <si>
    <t>St Martin de Porres</t>
  </si>
  <si>
    <t>NOR054</t>
  </si>
  <si>
    <t>430</t>
  </si>
  <si>
    <t>NOR055</t>
  </si>
  <si>
    <t>431</t>
  </si>
  <si>
    <t>MARLOW</t>
  </si>
  <si>
    <t>NOR056</t>
  </si>
  <si>
    <t>432</t>
  </si>
  <si>
    <t>MILTON KEYNES</t>
  </si>
  <si>
    <t>NOR056S</t>
  </si>
  <si>
    <t>0444394</t>
  </si>
  <si>
    <t>Christ the Cornerstone</t>
  </si>
  <si>
    <t>NOR057</t>
  </si>
  <si>
    <t>433</t>
  </si>
  <si>
    <t>St Augustine's RC Parish</t>
  </si>
  <si>
    <t>NOR059</t>
  </si>
  <si>
    <t>435</t>
  </si>
  <si>
    <t>St Francis de Sales &amp; St Mary Magdalene (St Francis de Sales church)</t>
  </si>
  <si>
    <t>NOR059S</t>
  </si>
  <si>
    <t>0444513</t>
  </si>
  <si>
    <t>St Francis de Sales &amp; St Mary Magdalene (St Mary Magdalene church)</t>
  </si>
  <si>
    <t>NOR060</t>
  </si>
  <si>
    <t>436</t>
  </si>
  <si>
    <t>St Thomas Aquinas and All Saints Parish (St Thomas Aquinas Church)</t>
  </si>
  <si>
    <t>NOR060S</t>
  </si>
  <si>
    <t>0444376</t>
  </si>
  <si>
    <t>St Thomas Aquinas and All Saints Parish (All Saints Church)</t>
  </si>
  <si>
    <t>NOR060X</t>
  </si>
  <si>
    <t>437</t>
  </si>
  <si>
    <t>St  Edward the Confessor</t>
  </si>
  <si>
    <t>NOR061</t>
  </si>
  <si>
    <t>439</t>
  </si>
  <si>
    <t>St Bede</t>
  </si>
  <si>
    <t>NEWPORT PAGNELL</t>
  </si>
  <si>
    <t>NOR061S</t>
  </si>
  <si>
    <t>0444526</t>
  </si>
  <si>
    <t>NOR062</t>
  </si>
  <si>
    <t>440</t>
  </si>
  <si>
    <t>Our Lady Help of Christians &amp; St Lawrence</t>
  </si>
  <si>
    <t>OLNEY</t>
  </si>
  <si>
    <t>NOR063</t>
  </si>
  <si>
    <t>441</t>
  </si>
  <si>
    <t>The Most Holy Name of Jesus</t>
  </si>
  <si>
    <t>OUNDLE</t>
  </si>
  <si>
    <t>NOR064</t>
  </si>
  <si>
    <t>442</t>
  </si>
  <si>
    <t>PRINCES RISBOROUGH</t>
  </si>
  <si>
    <t>NOR065</t>
  </si>
  <si>
    <t>443</t>
  </si>
  <si>
    <t>St Peter Apostle RC Church</t>
  </si>
  <si>
    <t>RUSHDEN</t>
  </si>
  <si>
    <t>NOR066</t>
  </si>
  <si>
    <t>444</t>
  </si>
  <si>
    <t>SHEFFORD</t>
  </si>
  <si>
    <t>NOR067</t>
  </si>
  <si>
    <t>445</t>
  </si>
  <si>
    <t>Our Lady Immaculate &amp; St Ethelbert</t>
  </si>
  <si>
    <t>£184- on Statement, £250 not found on Statement</t>
  </si>
  <si>
    <t>NOR068</t>
  </si>
  <si>
    <t>447</t>
  </si>
  <si>
    <t>NOR069</t>
  </si>
  <si>
    <t>448</t>
  </si>
  <si>
    <t>St Paul the Apostle RC Church</t>
  </si>
  <si>
    <t>THRAPSTON</t>
  </si>
  <si>
    <t>NOR069S</t>
  </si>
  <si>
    <t>RAUNDS</t>
  </si>
  <si>
    <t>NOR070</t>
  </si>
  <si>
    <t>449</t>
  </si>
  <si>
    <t>TOWCESTER</t>
  </si>
  <si>
    <t>NOR071</t>
  </si>
  <si>
    <t>450</t>
  </si>
  <si>
    <t>WELLINGBOROUGH</t>
  </si>
  <si>
    <t>NOR071S</t>
  </si>
  <si>
    <t>0444534</t>
  </si>
  <si>
    <t>NOR071S2</t>
  </si>
  <si>
    <t>0444508</t>
  </si>
  <si>
    <t>St Hubert's Chapel</t>
  </si>
  <si>
    <t>GREAT HARROWDEN</t>
  </si>
  <si>
    <t>NOR072</t>
  </si>
  <si>
    <t>0444533</t>
  </si>
  <si>
    <t>WENDOVER</t>
  </si>
  <si>
    <t>NOR073</t>
  </si>
  <si>
    <t>451</t>
  </si>
  <si>
    <t>St Alban's Chapel (Mass in St Laurence Anglican Church, Winslow)</t>
  </si>
  <si>
    <t>WINSLOW</t>
  </si>
  <si>
    <t>NOR074</t>
  </si>
  <si>
    <t>452</t>
  </si>
  <si>
    <t>WOBURN SANDS</t>
  </si>
  <si>
    <t>NOR074S</t>
  </si>
  <si>
    <t>0444512</t>
  </si>
  <si>
    <t>Chaplaincy</t>
  </si>
  <si>
    <t>NOR075</t>
  </si>
  <si>
    <t>454</t>
  </si>
  <si>
    <t>St John Ogilvie RC Church</t>
  </si>
  <si>
    <t>NOR076</t>
  </si>
  <si>
    <t>455</t>
  </si>
  <si>
    <t>Church of the Holy Redeemer</t>
  </si>
  <si>
    <t>NOR999</t>
  </si>
  <si>
    <t>458</t>
  </si>
  <si>
    <t>Northampton Diocese Various</t>
  </si>
  <si>
    <t>NOT</t>
  </si>
  <si>
    <t>NOT001</t>
  </si>
  <si>
    <t>459</t>
  </si>
  <si>
    <t>St Barnabas Cathedral</t>
  </si>
  <si>
    <t>NOTTINGHAM CATHEDRAL</t>
  </si>
  <si>
    <t>per DD - it is £872.87</t>
  </si>
  <si>
    <t>NOT002</t>
  </si>
  <si>
    <t>460</t>
  </si>
  <si>
    <t>NOTTINGHAM</t>
  </si>
  <si>
    <t>NOT003</t>
  </si>
  <si>
    <t>462</t>
  </si>
  <si>
    <t>NOT004</t>
  </si>
  <si>
    <t>463</t>
  </si>
  <si>
    <t>NOT005</t>
  </si>
  <si>
    <t>464</t>
  </si>
  <si>
    <t>Parish of the Sacred Heart of Jesus</t>
  </si>
  <si>
    <t>column amounts in the right place??</t>
  </si>
  <si>
    <t>NOT006</t>
  </si>
  <si>
    <t>465</t>
  </si>
  <si>
    <t>The Assumption  RC Church</t>
  </si>
  <si>
    <t>NOT007</t>
  </si>
  <si>
    <t>466</t>
  </si>
  <si>
    <t>Our Lady &amp; St Edward</t>
  </si>
  <si>
    <t>NOT008</t>
  </si>
  <si>
    <t>467</t>
  </si>
  <si>
    <t>BULWELL</t>
  </si>
  <si>
    <t>NOT009</t>
  </si>
  <si>
    <t>468</t>
  </si>
  <si>
    <t>Divine Infant of Prague</t>
  </si>
  <si>
    <t>NOT010</t>
  </si>
  <si>
    <t>470</t>
  </si>
  <si>
    <t>St  Mary  RC Church</t>
  </si>
  <si>
    <t>NOT011</t>
  </si>
  <si>
    <t>471</t>
  </si>
  <si>
    <t>St Augustine, Apostle of England</t>
  </si>
  <si>
    <t>per DD - it is £280.77</t>
  </si>
  <si>
    <t>NOT012</t>
  </si>
  <si>
    <t>473</t>
  </si>
  <si>
    <t>St Hugh of Lincoln</t>
  </si>
  <si>
    <t>per DD - it is £396.02</t>
  </si>
  <si>
    <t>NOT013</t>
  </si>
  <si>
    <t>474</t>
  </si>
  <si>
    <t>St  Paul RC Church</t>
  </si>
  <si>
    <t>NOT014</t>
  </si>
  <si>
    <t>475</t>
  </si>
  <si>
    <t>NOT015</t>
  </si>
  <si>
    <t>476</t>
  </si>
  <si>
    <t>NOT016</t>
  </si>
  <si>
    <t>477</t>
  </si>
  <si>
    <t>Our Lady &amp; St Patrick in the Meadows RC Church</t>
  </si>
  <si>
    <t>NOT017</t>
  </si>
  <si>
    <t>479</t>
  </si>
  <si>
    <t>ALFRETON</t>
  </si>
  <si>
    <t>NOT017A</t>
  </si>
  <si>
    <t>480</t>
  </si>
  <si>
    <t>St Patrick &amp; St Bridget (Chapel of Ease)</t>
  </si>
  <si>
    <t>CLAY CROSS</t>
  </si>
  <si>
    <t>NOT018</t>
  </si>
  <si>
    <t>481</t>
  </si>
  <si>
    <t>ASHBOURNE</t>
  </si>
  <si>
    <t>letter from LS £13.04 chq sent by priest, but not in ThankQ</t>
  </si>
  <si>
    <t>NOT019</t>
  </si>
  <si>
    <t>482</t>
  </si>
  <si>
    <t>Catholic Parish Communities of Ashby &amp; Measham (Our Lady of Lourdes)</t>
  </si>
  <si>
    <t>ASHBY-DE-LA-ZOUCH</t>
  </si>
  <si>
    <t>NOT021</t>
  </si>
  <si>
    <t>483</t>
  </si>
  <si>
    <t>St Augustine Webster</t>
  </si>
  <si>
    <t>BARTON-UPON-HUMBER</t>
  </si>
  <si>
    <t>per DD - it is £569.27</t>
  </si>
  <si>
    <t>NOT022</t>
  </si>
  <si>
    <t>484</t>
  </si>
  <si>
    <t>Our Lady of Perpetual Succour (Parish of Belper &amp; Duffield)</t>
  </si>
  <si>
    <t>BELPER</t>
  </si>
  <si>
    <t>NOT022S</t>
  </si>
  <si>
    <t>0444510</t>
  </si>
  <si>
    <t>St Margaret Clitherow (Parish of Belper &amp; Duffield)</t>
  </si>
  <si>
    <t>DUFFIELD</t>
  </si>
  <si>
    <t>NOT023</t>
  </si>
  <si>
    <t>485</t>
  </si>
  <si>
    <t>St Theresa RC Church</t>
  </si>
  <si>
    <t>BIRSTALL</t>
  </si>
  <si>
    <t>NOT023S</t>
  </si>
  <si>
    <t>0444387</t>
  </si>
  <si>
    <t>Sacred Heart, Chapel of Ease</t>
  </si>
  <si>
    <t>ROTHLEY</t>
  </si>
  <si>
    <t>NOT024</t>
  </si>
  <si>
    <t>486</t>
  </si>
  <si>
    <t>St Hugh RC Church</t>
  </si>
  <si>
    <t>BORROWASH</t>
  </si>
  <si>
    <t>NOT025</t>
  </si>
  <si>
    <t>487</t>
  </si>
  <si>
    <t>St Mary, Our Lady of the Rosary</t>
  </si>
  <si>
    <t>BOSTON</t>
  </si>
  <si>
    <t>NOT026</t>
  </si>
  <si>
    <t>488</t>
  </si>
  <si>
    <t>Sacred Heart and St Gilbert RC Church</t>
  </si>
  <si>
    <t>BOURNE</t>
  </si>
  <si>
    <t>per DD - it is £403.47</t>
  </si>
  <si>
    <t>NOT026S</t>
  </si>
  <si>
    <t>0444507</t>
  </si>
  <si>
    <t>Our Lady of Lincoln &amp; St Guthlac</t>
  </si>
  <si>
    <t>DEEPING ST JAMES</t>
  </si>
  <si>
    <t>NOT027</t>
  </si>
  <si>
    <t>489</t>
  </si>
  <si>
    <t>BRIGG</t>
  </si>
  <si>
    <t>NOT028</t>
  </si>
  <si>
    <t>490</t>
  </si>
  <si>
    <t>NOT028S</t>
  </si>
  <si>
    <t>0444514</t>
  </si>
  <si>
    <t>NOT029</t>
  </si>
  <si>
    <t>491</t>
  </si>
  <si>
    <t>BUXTON</t>
  </si>
  <si>
    <t>NOT030</t>
  </si>
  <si>
    <t>493</t>
  </si>
  <si>
    <t>CHAPEL-EN-LE-FRITH</t>
  </si>
  <si>
    <t>NOT030S</t>
  </si>
  <si>
    <t>0444642</t>
  </si>
  <si>
    <t>TIDESWELL</t>
  </si>
  <si>
    <t>NOT034</t>
  </si>
  <si>
    <t>494</t>
  </si>
  <si>
    <t>CLEETHORPES</t>
  </si>
  <si>
    <t>NOT036</t>
  </si>
  <si>
    <t>495</t>
  </si>
  <si>
    <t>St Wilfrid of York</t>
  </si>
  <si>
    <t>COALVILLE</t>
  </si>
  <si>
    <t>NOT037</t>
  </si>
  <si>
    <t>496</t>
  </si>
  <si>
    <t>KEYWORTH</t>
  </si>
  <si>
    <t>per DD - it is £494.60</t>
  </si>
  <si>
    <t>NOT037A</t>
  </si>
  <si>
    <t>497</t>
  </si>
  <si>
    <t>Our Lady of Grace</t>
  </si>
  <si>
    <t>COTGRAVE</t>
  </si>
  <si>
    <t>NOT039</t>
  </si>
  <si>
    <t>498</t>
  </si>
  <si>
    <t>St Norbert's Priory</t>
  </si>
  <si>
    <t>CROWLE</t>
  </si>
  <si>
    <t>NOT040</t>
  </si>
  <si>
    <t>499</t>
  </si>
  <si>
    <t>DERBY</t>
  </si>
  <si>
    <t>per DD - it is £1562</t>
  </si>
  <si>
    <t>NOT041</t>
  </si>
  <si>
    <t>500</t>
  </si>
  <si>
    <t>NOT042</t>
  </si>
  <si>
    <t>2727</t>
  </si>
  <si>
    <t>St George &amp; All Soldier Saints</t>
  </si>
  <si>
    <t>also received chq £250 from Rev H Burbidge (17-12-2019)</t>
  </si>
  <si>
    <t>NOT042S</t>
  </si>
  <si>
    <t>0444644</t>
  </si>
  <si>
    <t>Holy Spirit</t>
  </si>
  <si>
    <t>NOT043</t>
  </si>
  <si>
    <t>501</t>
  </si>
  <si>
    <t>NOT043S</t>
  </si>
  <si>
    <t>0444643</t>
  </si>
  <si>
    <t>St Ralph Sherwin Church</t>
  </si>
  <si>
    <t>NOT044</t>
  </si>
  <si>
    <t>502</t>
  </si>
  <si>
    <t>St Alban  RC Church</t>
  </si>
  <si>
    <t>NOT044S</t>
  </si>
  <si>
    <t>0444548</t>
  </si>
  <si>
    <t>The Church on Oakwood (Chapel of Ease)</t>
  </si>
  <si>
    <t>OAKWOOD</t>
  </si>
  <si>
    <t>NOT045</t>
  </si>
  <si>
    <t>503</t>
  </si>
  <si>
    <t>NOT046</t>
  </si>
  <si>
    <t>504</t>
  </si>
  <si>
    <t>NOT049</t>
  </si>
  <si>
    <t>507</t>
  </si>
  <si>
    <t>EARL SHILTON</t>
  </si>
  <si>
    <t>NOT050</t>
  </si>
  <si>
    <t>508</t>
  </si>
  <si>
    <t>EAST LEAKE</t>
  </si>
  <si>
    <t>NOT051</t>
  </si>
  <si>
    <t>509</t>
  </si>
  <si>
    <t>Our Lady of Good Counsel</t>
  </si>
  <si>
    <t>EASTWOOD</t>
  </si>
  <si>
    <t>NOT053</t>
  </si>
  <si>
    <t>510</t>
  </si>
  <si>
    <t>GAINSBOROUGH</t>
  </si>
  <si>
    <t>NOT054</t>
  </si>
  <si>
    <t>511</t>
  </si>
  <si>
    <t>BROADBOTTOM</t>
  </si>
  <si>
    <t>NOT054S</t>
  </si>
  <si>
    <t>0444638</t>
  </si>
  <si>
    <t>St. Margaret's Primary School</t>
  </si>
  <si>
    <t>GAMESLEY</t>
  </si>
  <si>
    <t>NOT055</t>
  </si>
  <si>
    <t>512</t>
  </si>
  <si>
    <t>St  Mary Crowned RC Church</t>
  </si>
  <si>
    <t>GLOSSOP</t>
  </si>
  <si>
    <t>NOT056</t>
  </si>
  <si>
    <t>513</t>
  </si>
  <si>
    <t>NOT057</t>
  </si>
  <si>
    <t>514</t>
  </si>
  <si>
    <t>St Mary the Immaculate</t>
  </si>
  <si>
    <t>GRANTHAM</t>
  </si>
  <si>
    <t>NOT058</t>
  </si>
  <si>
    <t>515</t>
  </si>
  <si>
    <t>St  Mary on the Sea</t>
  </si>
  <si>
    <t>GRIMSBY</t>
  </si>
  <si>
    <t>NOT058S</t>
  </si>
  <si>
    <t>0444522</t>
  </si>
  <si>
    <t>NOT059</t>
  </si>
  <si>
    <t>516</t>
  </si>
  <si>
    <t>St  Pius X &amp; St Peter</t>
  </si>
  <si>
    <t>GRIMBSY</t>
  </si>
  <si>
    <t>NOT061</t>
  </si>
  <si>
    <t>517</t>
  </si>
  <si>
    <t>HADFIELD</t>
  </si>
  <si>
    <t>NOT063</t>
  </si>
  <si>
    <t>518</t>
  </si>
  <si>
    <t>HASSOP</t>
  </si>
  <si>
    <t>NOT063S</t>
  </si>
  <si>
    <t>0444547</t>
  </si>
  <si>
    <t>BAKEWELL</t>
  </si>
  <si>
    <t>NOT065</t>
  </si>
  <si>
    <t>519</t>
  </si>
  <si>
    <t>HINCKLEY</t>
  </si>
  <si>
    <t>NOT066</t>
  </si>
  <si>
    <t>520</t>
  </si>
  <si>
    <t>HOLBEACH</t>
  </si>
  <si>
    <t>NOT067</t>
  </si>
  <si>
    <t>521</t>
  </si>
  <si>
    <t>HUCKNALL</t>
  </si>
  <si>
    <t>NOT068</t>
  </si>
  <si>
    <t>522</t>
  </si>
  <si>
    <t>Our Lady &amp; St Thomas of Hereford</t>
  </si>
  <si>
    <t>ILKESTON</t>
  </si>
  <si>
    <t>NOT069</t>
  </si>
  <si>
    <t>523</t>
  </si>
  <si>
    <t>IMMINGHAM</t>
  </si>
  <si>
    <t>NOT070</t>
  </si>
  <si>
    <t>524</t>
  </si>
  <si>
    <t>KIRKBY-IN-ASHFIELD</t>
  </si>
  <si>
    <t>NOT071</t>
  </si>
  <si>
    <t>525</t>
  </si>
  <si>
    <t>Holy Cross Priory</t>
  </si>
  <si>
    <t>LEICESTER</t>
  </si>
  <si>
    <t>NOT071S</t>
  </si>
  <si>
    <t>0444546</t>
  </si>
  <si>
    <t>St Mary in the Elms</t>
  </si>
  <si>
    <t>NOT072</t>
  </si>
  <si>
    <t>528</t>
  </si>
  <si>
    <t>The Most Blessed Sacrament  RC Church</t>
  </si>
  <si>
    <t>NOT073</t>
  </si>
  <si>
    <t>530</t>
  </si>
  <si>
    <t>NOT073S</t>
  </si>
  <si>
    <t>0444523</t>
  </si>
  <si>
    <t>NOT074</t>
  </si>
  <si>
    <t>531</t>
  </si>
  <si>
    <t>Mother of God RC Church</t>
  </si>
  <si>
    <t>per DD - it is £340.99</t>
  </si>
  <si>
    <t>NOT075</t>
  </si>
  <si>
    <t>532</t>
  </si>
  <si>
    <t>NOT076</t>
  </si>
  <si>
    <t>533</t>
  </si>
  <si>
    <t>NOT077</t>
  </si>
  <si>
    <t>534</t>
  </si>
  <si>
    <t>NOT078</t>
  </si>
  <si>
    <t>536</t>
  </si>
  <si>
    <t>per DD - it is £940.23</t>
  </si>
  <si>
    <t>NOT078S</t>
  </si>
  <si>
    <t>0444524</t>
  </si>
  <si>
    <t>The Rosary Church</t>
  </si>
  <si>
    <t>NOT079</t>
  </si>
  <si>
    <t>537</t>
  </si>
  <si>
    <t>St  Patrick  RC Church</t>
  </si>
  <si>
    <t>NOT080</t>
  </si>
  <si>
    <t>538</t>
  </si>
  <si>
    <t>NOT081</t>
  </si>
  <si>
    <t>539</t>
  </si>
  <si>
    <t>St Thomas More  RC Church</t>
  </si>
  <si>
    <t>NOT082</t>
  </si>
  <si>
    <t>540</t>
  </si>
  <si>
    <t>St Hugh of Lincoln  RC Church</t>
  </si>
  <si>
    <t>LINCOLN</t>
  </si>
  <si>
    <t>? combined with NOT083/542</t>
  </si>
  <si>
    <t>NOT082S</t>
  </si>
  <si>
    <t>0444390</t>
  </si>
  <si>
    <t>St Francis Chapel of Ease</t>
  </si>
  <si>
    <t>BARDNEY</t>
  </si>
  <si>
    <t>NOT083</t>
  </si>
  <si>
    <t>542</t>
  </si>
  <si>
    <t>Our Lady of Lincoln  RC Church</t>
  </si>
  <si>
    <t>NOT084</t>
  </si>
  <si>
    <t>543</t>
  </si>
  <si>
    <t>NOT085</t>
  </si>
  <si>
    <t>544</t>
  </si>
  <si>
    <t>LONG EATON</t>
  </si>
  <si>
    <t>NOT086</t>
  </si>
  <si>
    <t>545</t>
  </si>
  <si>
    <t>LOUGHBOROUGH</t>
  </si>
  <si>
    <t>NOT087</t>
  </si>
  <si>
    <t>547</t>
  </si>
  <si>
    <t>NOT088</t>
  </si>
  <si>
    <t>548</t>
  </si>
  <si>
    <t>LOUTH</t>
  </si>
  <si>
    <t>NOT089</t>
  </si>
  <si>
    <t>549</t>
  </si>
  <si>
    <t>Our Lady of Victories &amp; St Alphonsus</t>
  </si>
  <si>
    <t>LUTTERWORTH</t>
  </si>
  <si>
    <t>NOT090</t>
  </si>
  <si>
    <t>550</t>
  </si>
  <si>
    <t>MABLETHORPE</t>
  </si>
  <si>
    <t>NOT091</t>
  </si>
  <si>
    <t>551</t>
  </si>
  <si>
    <t>St Philip Neri</t>
  </si>
  <si>
    <t>MANSFIELD</t>
  </si>
  <si>
    <t>NOT092</t>
  </si>
  <si>
    <t>552</t>
  </si>
  <si>
    <t>St  Patrick (Parish of St Patrick &amp; St George)</t>
  </si>
  <si>
    <t>NOT092S</t>
  </si>
  <si>
    <t>263194</t>
  </si>
  <si>
    <t>St George (Parish of St Patrick &amp; St George)</t>
  </si>
  <si>
    <t>NOT094</t>
  </si>
  <si>
    <t>554</t>
  </si>
  <si>
    <t>MARKET HARBOROUGH</t>
  </si>
  <si>
    <t>per DD - it is £1054</t>
  </si>
  <si>
    <t>NOT094S</t>
  </si>
  <si>
    <t>0444520</t>
  </si>
  <si>
    <t>NOT095</t>
  </si>
  <si>
    <t>555</t>
  </si>
  <si>
    <t>Holy Rood RC Church</t>
  </si>
  <si>
    <t>MARKET RASEN</t>
  </si>
  <si>
    <t>NOT095S</t>
  </si>
  <si>
    <t>0444566</t>
  </si>
  <si>
    <t>CAISTOR</t>
  </si>
  <si>
    <t>NOT095S2</t>
  </si>
  <si>
    <t>0444527</t>
  </si>
  <si>
    <t>St Francis De Sales</t>
  </si>
  <si>
    <t>NOT095S3</t>
  </si>
  <si>
    <t>0444528</t>
  </si>
  <si>
    <t>Our Lady and St Joseph</t>
  </si>
  <si>
    <t>NOT096</t>
  </si>
  <si>
    <t>556</t>
  </si>
  <si>
    <t>MARPLE BRIDGE</t>
  </si>
  <si>
    <t>NOT097</t>
  </si>
  <si>
    <t>557</t>
  </si>
  <si>
    <t>MATLOCK</t>
  </si>
  <si>
    <t>NOT097P</t>
  </si>
  <si>
    <t>147903</t>
  </si>
  <si>
    <t>Our Lady &amp; St Teresa of Lisieux RC Church</t>
  </si>
  <si>
    <t>WIRKSWORTH</t>
  </si>
  <si>
    <t>NOT098</t>
  </si>
  <si>
    <t>559</t>
  </si>
  <si>
    <t>Catholic Parish Communities of Ashby &amp; Measham (St Charles Borromeo)</t>
  </si>
  <si>
    <t>MEASHAM</t>
  </si>
  <si>
    <t>NOT099</t>
  </si>
  <si>
    <t>560</t>
  </si>
  <si>
    <t>Our Lady of Mercy &amp; St Philip Neri RC Church</t>
  </si>
  <si>
    <t>MELBOURNE</t>
  </si>
  <si>
    <t>NOT099S</t>
  </si>
  <si>
    <t>0444532</t>
  </si>
  <si>
    <t>Church of the Risen Lord</t>
  </si>
  <si>
    <t>CASTLE DONINGTON</t>
  </si>
  <si>
    <t>NOT100</t>
  </si>
  <si>
    <t>561</t>
  </si>
  <si>
    <t>MELTON MOWBRAY</t>
  </si>
  <si>
    <t>NOT100S</t>
  </si>
  <si>
    <t>0444635</t>
  </si>
  <si>
    <t>NOT101</t>
  </si>
  <si>
    <t>564</t>
  </si>
  <si>
    <t>Our Lady of Czestochowa</t>
  </si>
  <si>
    <t>NOT102</t>
  </si>
  <si>
    <t>565</t>
  </si>
  <si>
    <t>NOT103</t>
  </si>
  <si>
    <t>566</t>
  </si>
  <si>
    <t>Our Lady &amp; St Bernard</t>
  </si>
  <si>
    <t>NOT104</t>
  </si>
  <si>
    <t>567</t>
  </si>
  <si>
    <t>NARBOROUGH</t>
  </si>
  <si>
    <t>Diff 16p  : Grand Total stated £191.71  due ro machine counting</t>
  </si>
  <si>
    <t>NOT105</t>
  </si>
  <si>
    <t>568</t>
  </si>
  <si>
    <t>NEWARK</t>
  </si>
  <si>
    <t>NOT106</t>
  </si>
  <si>
    <t>569</t>
  </si>
  <si>
    <t>NEW MILLS</t>
  </si>
  <si>
    <t>NOT107</t>
  </si>
  <si>
    <t>570</t>
  </si>
  <si>
    <t>St Joseph (Parish of St Patrick &amp; St George)</t>
  </si>
  <si>
    <t>NEW OLLERTON</t>
  </si>
  <si>
    <t>NOT108</t>
  </si>
  <si>
    <t>571</t>
  </si>
  <si>
    <t>Immaculate Conception</t>
  </si>
  <si>
    <r>
      <t xml:space="preserve">per DD - it is £259.96   </t>
    </r>
    <r>
      <rPr>
        <strike/>
        <sz val="10"/>
        <rFont val="Arial"/>
        <family val="2"/>
      </rPr>
      <t xml:space="preserve"> (Diff £9  : Grand Total stated £269)</t>
    </r>
  </si>
  <si>
    <t>NOT109</t>
  </si>
  <si>
    <t>572</t>
  </si>
  <si>
    <t>OAKHAM</t>
  </si>
  <si>
    <t>per DD - it is £424.10   (£317.62 was total in Ecc Sq column &amp; was added to total again)</t>
  </si>
  <si>
    <t>NOT109S</t>
  </si>
  <si>
    <t>0444516</t>
  </si>
  <si>
    <t>NOT111</t>
  </si>
  <si>
    <t>573</t>
  </si>
  <si>
    <t>St Anne's RC Church</t>
  </si>
  <si>
    <t>RADCLIFFE-ON-TRENT</t>
  </si>
  <si>
    <t>NOT111S</t>
  </si>
  <si>
    <t>0444383</t>
  </si>
  <si>
    <t>Old Church House</t>
  </si>
  <si>
    <t>BINGHAM</t>
  </si>
  <si>
    <t>NOT114</t>
  </si>
  <si>
    <t>574</t>
  </si>
  <si>
    <t>RIPLEY</t>
  </si>
  <si>
    <t>NOT115</t>
  </si>
  <si>
    <t>575</t>
  </si>
  <si>
    <t>St Bernadette  RC Church</t>
  </si>
  <si>
    <t>SCUNTHORPE</t>
  </si>
  <si>
    <t>NOT116</t>
  </si>
  <si>
    <t>576</t>
  </si>
  <si>
    <t>Holy Souls RC Church</t>
  </si>
  <si>
    <t>NOT116S</t>
  </si>
  <si>
    <t>0444517</t>
  </si>
  <si>
    <t>All Saints Parish Church</t>
  </si>
  <si>
    <t>NOT117</t>
  </si>
  <si>
    <t>577</t>
  </si>
  <si>
    <t>St Winefride RC Church</t>
  </si>
  <si>
    <t>SHEPSHED</t>
  </si>
  <si>
    <t>NOT118</t>
  </si>
  <si>
    <t>578</t>
  </si>
  <si>
    <t>SHIREBROOK</t>
  </si>
  <si>
    <t>NOT118S</t>
  </si>
  <si>
    <t>0444549</t>
  </si>
  <si>
    <t>BOLSOVER</t>
  </si>
  <si>
    <t>NOT119</t>
  </si>
  <si>
    <t>579</t>
  </si>
  <si>
    <t>St Gregory Catholic Church</t>
  </si>
  <si>
    <t>SILEBY</t>
  </si>
  <si>
    <t>NOT120</t>
  </si>
  <si>
    <t>580</t>
  </si>
  <si>
    <t>SKEGNESS</t>
  </si>
  <si>
    <t>NOT121</t>
  </si>
  <si>
    <t>581</t>
  </si>
  <si>
    <t>SLEAFORD</t>
  </si>
  <si>
    <t>NOT121X</t>
  </si>
  <si>
    <t>147971</t>
  </si>
  <si>
    <t>Parish of the Sacred Heart of Jesus (St Bernadette's)</t>
  </si>
  <si>
    <t>NOT122</t>
  </si>
  <si>
    <t>582</t>
  </si>
  <si>
    <t>Our Lady of Victories RC Church</t>
  </si>
  <si>
    <t>SOUTHWELL</t>
  </si>
  <si>
    <t>NOT122B</t>
  </si>
  <si>
    <t>583</t>
  </si>
  <si>
    <t>St Anthony  RC Church</t>
  </si>
  <si>
    <t>CALVERTON</t>
  </si>
  <si>
    <t>NOT123</t>
  </si>
  <si>
    <t>584</t>
  </si>
  <si>
    <t>LEICESTER SOUTH WIGSTON</t>
  </si>
  <si>
    <t>NOT124</t>
  </si>
  <si>
    <t>585</t>
  </si>
  <si>
    <t>The Immaculate Conception &amp; St Norbert</t>
  </si>
  <si>
    <t>SPALDING</t>
  </si>
  <si>
    <t>NOT125</t>
  </si>
  <si>
    <t>586</t>
  </si>
  <si>
    <t>St Mary &amp; St Augustine</t>
  </si>
  <si>
    <t>STAMFORD</t>
  </si>
  <si>
    <t>NOT126</t>
  </si>
  <si>
    <t>587</t>
  </si>
  <si>
    <t>STAPLEFORD</t>
  </si>
  <si>
    <t>per DD - it is £309.08</t>
  </si>
  <si>
    <t>NOT128</t>
  </si>
  <si>
    <t>588</t>
  </si>
  <si>
    <t>SUTTON-IN-ASHFIELD</t>
  </si>
  <si>
    <t>NOT129</t>
  </si>
  <si>
    <t>589</t>
  </si>
  <si>
    <t>St Peter  &amp; St Paul</t>
  </si>
  <si>
    <t>SWADLINCOTE</t>
  </si>
  <si>
    <t>NOT130</t>
  </si>
  <si>
    <t>590</t>
  </si>
  <si>
    <t>The Divine Infant of Prague</t>
  </si>
  <si>
    <t>SYSTON</t>
  </si>
  <si>
    <t>per DD - it is £339</t>
  </si>
  <si>
    <t>NOT132</t>
  </si>
  <si>
    <t>591</t>
  </si>
  <si>
    <t xml:space="preserve">MARKET WARSOP </t>
  </si>
  <si>
    <t>NOT133</t>
  </si>
  <si>
    <t>592</t>
  </si>
  <si>
    <t>WHITWICK</t>
  </si>
  <si>
    <t>NOT134</t>
  </si>
  <si>
    <t>593</t>
  </si>
  <si>
    <t>WOODHALL SPA</t>
  </si>
  <si>
    <t>NOT134S</t>
  </si>
  <si>
    <t>264159</t>
  </si>
  <si>
    <t>St Mary's C of E Parish Church</t>
  </si>
  <si>
    <t>HORNCASTLE</t>
  </si>
  <si>
    <t>NOT134V</t>
  </si>
  <si>
    <t>147921</t>
  </si>
  <si>
    <t>Our Lady &amp; the English Martyrs</t>
  </si>
  <si>
    <t>SPILSBY</t>
  </si>
  <si>
    <t>NOT136</t>
  </si>
  <si>
    <t>249426</t>
  </si>
  <si>
    <t>Our Lady &amp; St Gregory RC Church</t>
  </si>
  <si>
    <t xml:space="preserve">NUNEATON                      </t>
  </si>
  <si>
    <t>NOT137</t>
  </si>
  <si>
    <t>0553116</t>
  </si>
  <si>
    <t>St Barbara</t>
  </si>
  <si>
    <t>NOT999</t>
  </si>
  <si>
    <t>596</t>
  </si>
  <si>
    <t>Nottingham Diocese Various</t>
  </si>
  <si>
    <t>PLY</t>
  </si>
  <si>
    <t>PLY001</t>
  </si>
  <si>
    <t>597</t>
  </si>
  <si>
    <t>Cathedral Church of St Mary &amp; St Boniface</t>
  </si>
  <si>
    <t>PLYMOUTH</t>
  </si>
  <si>
    <t>per DD - it is £1079.67</t>
  </si>
  <si>
    <t>PLY002</t>
  </si>
  <si>
    <t>0479482</t>
  </si>
  <si>
    <t>PLY002U</t>
  </si>
  <si>
    <t>599</t>
  </si>
  <si>
    <t>Christ the King RC Chaplaincy</t>
  </si>
  <si>
    <t>PLY004</t>
  </si>
  <si>
    <t>601</t>
  </si>
  <si>
    <t>Holy Trinity Parish (Our Most Holy Redeemer)</t>
  </si>
  <si>
    <t>PLY005</t>
  </si>
  <si>
    <t>602</t>
  </si>
  <si>
    <t>Holy Trinity Parish (The Holy Family)</t>
  </si>
  <si>
    <t>PLY006</t>
  </si>
  <si>
    <t>603</t>
  </si>
  <si>
    <t>Retrun has included STO from Mr Murphy £55 on 2/1/19 in Ecc Sq column</t>
  </si>
  <si>
    <t>PLY007</t>
  </si>
  <si>
    <t>604</t>
  </si>
  <si>
    <t>St Joseph  RC Church</t>
  </si>
  <si>
    <t>PLY008</t>
  </si>
  <si>
    <t>605</t>
  </si>
  <si>
    <t>Holy Trinity Parish - St Paul's</t>
  </si>
  <si>
    <t>PLY009</t>
  </si>
  <si>
    <t>606</t>
  </si>
  <si>
    <t>PLY010</t>
  </si>
  <si>
    <t>607</t>
  </si>
  <si>
    <t>Our Lady of Mount Carmel &amp; St Teresa</t>
  </si>
  <si>
    <t xml:space="preserve">PLYMOUTH                      </t>
  </si>
  <si>
    <t>PLY011</t>
  </si>
  <si>
    <t>0441997</t>
  </si>
  <si>
    <t>PLY013</t>
  </si>
  <si>
    <t>609</t>
  </si>
  <si>
    <t>PLY014</t>
  </si>
  <si>
    <t>610</t>
  </si>
  <si>
    <t>St Margaret Mary RC Church</t>
  </si>
  <si>
    <t>PLY015</t>
  </si>
  <si>
    <t>611</t>
  </si>
  <si>
    <t>AXMINSTER</t>
  </si>
  <si>
    <t>PLY016</t>
  </si>
  <si>
    <t>612</t>
  </si>
  <si>
    <t>Catholic Parish of the Immaculate Conception (St Mary Immaculate Mother of God)</t>
  </si>
  <si>
    <t>BARNSTAPLE</t>
  </si>
  <si>
    <t>per DD - it is £2317.59</t>
  </si>
  <si>
    <t>PLY016S</t>
  </si>
  <si>
    <t>Catholic Parish of the Immaculate Conception (St Joseph)</t>
  </si>
  <si>
    <t>SOUTH MOLTON</t>
  </si>
  <si>
    <t>PLY017</t>
  </si>
  <si>
    <t>613</t>
  </si>
  <si>
    <t>BEAMINSTER</t>
  </si>
  <si>
    <t>'??' on form</t>
  </si>
  <si>
    <t>PLY018</t>
  </si>
  <si>
    <t>614</t>
  </si>
  <si>
    <t>BIDEFORD</t>
  </si>
  <si>
    <t>PLY018A</t>
  </si>
  <si>
    <t>147962</t>
  </si>
  <si>
    <t>TORRINGTON</t>
  </si>
  <si>
    <t>PLY019</t>
  </si>
  <si>
    <t>615</t>
  </si>
  <si>
    <t>Our Lady of Lourdes &amp; St Cecilia</t>
  </si>
  <si>
    <t>BLANDFORD FORUM</t>
  </si>
  <si>
    <t>PLY020</t>
  </si>
  <si>
    <t>616</t>
  </si>
  <si>
    <t>BODMIN</t>
  </si>
  <si>
    <t>PLY020C</t>
  </si>
  <si>
    <t>617</t>
  </si>
  <si>
    <t>St Michael  RC Church</t>
  </si>
  <si>
    <t>WADEBRIDGE</t>
  </si>
  <si>
    <t>PLY020D</t>
  </si>
  <si>
    <t>618</t>
  </si>
  <si>
    <t>St Saviour &amp; St Petroc</t>
  </si>
  <si>
    <t>PADSTOW</t>
  </si>
  <si>
    <t>per DD - it is £162.55</t>
  </si>
  <si>
    <t>PLY021</t>
  </si>
  <si>
    <t>619</t>
  </si>
  <si>
    <t>Parish of the Holy Family (Christ the King RC Church)</t>
  </si>
  <si>
    <t>PLY022</t>
  </si>
  <si>
    <t>620</t>
  </si>
  <si>
    <t>Parish of the Holy Family (Our Lady of Victories)</t>
  </si>
  <si>
    <t>PLY023</t>
  </si>
  <si>
    <t>622</t>
  </si>
  <si>
    <t>Parish of the Holy Spirit &amp; St Cyprian (Holy Spirit)</t>
  </si>
  <si>
    <t>NEWTON ABBOT</t>
  </si>
  <si>
    <t>PLY024</t>
  </si>
  <si>
    <t>623</t>
  </si>
  <si>
    <t>Parish of Holy Cross (St Brannoc RC Church)</t>
  </si>
  <si>
    <t xml:space="preserve">ILFRACOMBE                    </t>
  </si>
  <si>
    <t>included in PLY045/643</t>
  </si>
  <si>
    <t>PLY025</t>
  </si>
  <si>
    <t>624</t>
  </si>
  <si>
    <t>St Mary &amp; St Catherine, St. John &amp; St. Ignatius</t>
  </si>
  <si>
    <t>BRIDPORT</t>
  </si>
  <si>
    <t>Came with PLY017/613 which is marked '??'</t>
  </si>
  <si>
    <t>PLY025S</t>
  </si>
  <si>
    <t>0479483</t>
  </si>
  <si>
    <t>Our Lady Queen of Martyrs &amp; St Ignatius</t>
  </si>
  <si>
    <t>CHIDEOCK</t>
  </si>
  <si>
    <t>PLY026</t>
  </si>
  <si>
    <t>625</t>
  </si>
  <si>
    <t>BRIXHAM</t>
  </si>
  <si>
    <t>PLY027</t>
  </si>
  <si>
    <t>626</t>
  </si>
  <si>
    <t>St Mary's Abbey Parish</t>
  </si>
  <si>
    <t>BUCKFASTLEIGH</t>
  </si>
  <si>
    <t>per DD - it is £170.32</t>
  </si>
  <si>
    <t>PLY028</t>
  </si>
  <si>
    <t>627</t>
  </si>
  <si>
    <t>LAUNCESTON</t>
  </si>
  <si>
    <t>PLY029</t>
  </si>
  <si>
    <t>628</t>
  </si>
  <si>
    <t>Parish of Holy Family (St Peter, Prince of Apostles)</t>
  </si>
  <si>
    <t>BUDLEIGH SALTERTON</t>
  </si>
  <si>
    <t>PLY030</t>
  </si>
  <si>
    <t>629</t>
  </si>
  <si>
    <t>Our Lady of All Nations - St John the Baptist</t>
  </si>
  <si>
    <t>CAMBORNE</t>
  </si>
  <si>
    <t>per DD - it is £654.31</t>
  </si>
  <si>
    <t>PLY031</t>
  </si>
  <si>
    <t>630</t>
  </si>
  <si>
    <t>Parish of the Holy Spirit &amp; St Cyprian (St Cyprian)</t>
  </si>
  <si>
    <t>PLY032</t>
  </si>
  <si>
    <t>147997</t>
  </si>
  <si>
    <t>St. Boniface RC Church</t>
  </si>
  <si>
    <t xml:space="preserve">CREDITON                      </t>
  </si>
  <si>
    <t>PLY033</t>
  </si>
  <si>
    <t>631</t>
  </si>
  <si>
    <t>Parish of St Boniface &amp; St James (St Boniface RC Church)</t>
  </si>
  <si>
    <t>TIVERTON</t>
  </si>
  <si>
    <t>PLY034</t>
  </si>
  <si>
    <t>632</t>
  </si>
  <si>
    <t>DARTMOUTH</t>
  </si>
  <si>
    <t>PLY035</t>
  </si>
  <si>
    <t>St Agatha</t>
  </si>
  <si>
    <t>DAWLISH</t>
  </si>
  <si>
    <t>Line inserted manually &amp; not in download. (per DD return)</t>
  </si>
  <si>
    <t>PLY036</t>
  </si>
  <si>
    <t>634</t>
  </si>
  <si>
    <t>DORCHESTER</t>
  </si>
  <si>
    <t>PLY037</t>
  </si>
  <si>
    <t>635</t>
  </si>
  <si>
    <t>EXETER</t>
  </si>
  <si>
    <t>per DD - it is £352.33</t>
  </si>
  <si>
    <t>PLY038</t>
  </si>
  <si>
    <t>636</t>
  </si>
  <si>
    <t>PLY040</t>
  </si>
  <si>
    <t>638</t>
  </si>
  <si>
    <t>Parish of Holy Family (The Holy Ghost RC Church)</t>
  </si>
  <si>
    <t>EXMOUTH</t>
  </si>
  <si>
    <t>PLY041</t>
  </si>
  <si>
    <t>639</t>
  </si>
  <si>
    <t>Parish of St Mary (St Mary Immaculate RC Church)</t>
  </si>
  <si>
    <t>FALMOUTH</t>
  </si>
  <si>
    <t>per DD - it is £1518.60</t>
  </si>
  <si>
    <t>PLY041S</t>
  </si>
  <si>
    <t>254880</t>
  </si>
  <si>
    <t>Parish of St Mary (St Edward RC Church)</t>
  </si>
  <si>
    <t>PLY042</t>
  </si>
  <si>
    <t>640</t>
  </si>
  <si>
    <t>Parish of Holy Family (St Joseph RC Church)</t>
  </si>
  <si>
    <t>PENZANCE</t>
  </si>
  <si>
    <t>PLY042V</t>
  </si>
  <si>
    <t>0479484</t>
  </si>
  <si>
    <t>HAYLE</t>
  </si>
  <si>
    <t>PLY043</t>
  </si>
  <si>
    <t>641</t>
  </si>
  <si>
    <t>Parish of St Mary (St Mary RC Church)</t>
  </si>
  <si>
    <t>PLY043S</t>
  </si>
  <si>
    <t>254902</t>
  </si>
  <si>
    <t>Parish of St Mary (St Michael the Archangel Church)</t>
  </si>
  <si>
    <t>PLY044</t>
  </si>
  <si>
    <t>642</t>
  </si>
  <si>
    <t xml:space="preserve">HONITON                       </t>
  </si>
  <si>
    <t>PLY045</t>
  </si>
  <si>
    <t>643</t>
  </si>
  <si>
    <t>Holy Cross Parish (Our Lady Star of the Sea)</t>
  </si>
  <si>
    <t>ILFRACOMBE</t>
  </si>
  <si>
    <t>per DD - it is £653.57</t>
  </si>
  <si>
    <t>PLY046</t>
  </si>
  <si>
    <t>644</t>
  </si>
  <si>
    <t>Parish of Ivybridge (St Austin's Priory)</t>
  </si>
  <si>
    <t>IVYBRIDGE</t>
  </si>
  <si>
    <t>PLY046S</t>
  </si>
  <si>
    <t>0443581</t>
  </si>
  <si>
    <t>Parish of Ivybridge (St Monica)</t>
  </si>
  <si>
    <t>PLY047</t>
  </si>
  <si>
    <t>645</t>
  </si>
  <si>
    <t>Parish of the Sacred Heart &amp; Our Lady Star of the Sea (Sacred Heart)</t>
  </si>
  <si>
    <t>KINGSBRIDGE</t>
  </si>
  <si>
    <t>per DD - it is £249.67</t>
  </si>
  <si>
    <t>PLY047S</t>
  </si>
  <si>
    <t>0443582</t>
  </si>
  <si>
    <t>Parish of the Sacred Heart &amp; Our Lady Star of the Sea (Our Lady Star of the Sea)</t>
  </si>
  <si>
    <t>PLY049</t>
  </si>
  <si>
    <t>647</t>
  </si>
  <si>
    <t>St Cuthbert Mayne RC Church</t>
  </si>
  <si>
    <t>PLY050</t>
  </si>
  <si>
    <t>648</t>
  </si>
  <si>
    <t>Our Lady of the Angels (Our Lady &amp; St Neot)</t>
  </si>
  <si>
    <t>LISKEARD</t>
  </si>
  <si>
    <t>2 diff series of pay in books</t>
  </si>
  <si>
    <t>PLY051</t>
  </si>
  <si>
    <t>649</t>
  </si>
  <si>
    <t>Our Lady Queen of Martyrs &amp; St Joseph (St Joseph)</t>
  </si>
  <si>
    <t>SWANAGE</t>
  </si>
  <si>
    <t>PLY051S</t>
  </si>
  <si>
    <t>0443648</t>
  </si>
  <si>
    <t>Parish of Our Lady Queen of Martyrs &amp; St Joseph (St Mary)</t>
  </si>
  <si>
    <t>PLY052</t>
  </si>
  <si>
    <t>650</t>
  </si>
  <si>
    <t>St Michael &amp; St George</t>
  </si>
  <si>
    <t>LYME REGIS</t>
  </si>
  <si>
    <t>PLY052S2</t>
  </si>
  <si>
    <t>0443645</t>
  </si>
  <si>
    <t>Polish Church &amp; Home</t>
  </si>
  <si>
    <t>PLY054</t>
  </si>
  <si>
    <t>652</t>
  </si>
  <si>
    <t>Our Lady &amp; St Benedict (Our Lady RC Church)</t>
  </si>
  <si>
    <t>STURMINSTER NEWTON</t>
  </si>
  <si>
    <t>PLY054S</t>
  </si>
  <si>
    <t>0443643</t>
  </si>
  <si>
    <t>Our Lady &amp; St Benedict (St Benedict)</t>
  </si>
  <si>
    <t>PLY055</t>
  </si>
  <si>
    <t>653</t>
  </si>
  <si>
    <t>The Most Holy Trinity RC Church</t>
  </si>
  <si>
    <t>NEWQUAY</t>
  </si>
  <si>
    <t>PLY055S</t>
  </si>
  <si>
    <t>0479485</t>
  </si>
  <si>
    <t>Lanherne Convent</t>
  </si>
  <si>
    <t>PLY056</t>
  </si>
  <si>
    <t>654</t>
  </si>
  <si>
    <t>PLY056S</t>
  </si>
  <si>
    <t>0443644</t>
  </si>
  <si>
    <t>St Joseph (St Gregory)</t>
  </si>
  <si>
    <t>PLY056S2</t>
  </si>
  <si>
    <t>0479486</t>
  </si>
  <si>
    <t>Polish Church and Home</t>
  </si>
  <si>
    <t>PLY057</t>
  </si>
  <si>
    <t>655</t>
  </si>
  <si>
    <t>OKEHAMPTON</t>
  </si>
  <si>
    <t>PLY057S</t>
  </si>
  <si>
    <t>0443646</t>
  </si>
  <si>
    <t>St Boniface (The Holy Family)</t>
  </si>
  <si>
    <t>PLY058</t>
  </si>
  <si>
    <t>656</t>
  </si>
  <si>
    <t>St Anthony RC Church</t>
  </si>
  <si>
    <t>OTTERY ST. MARY</t>
  </si>
  <si>
    <t>PLY059</t>
  </si>
  <si>
    <t>657</t>
  </si>
  <si>
    <t>Sacred Heart &amp; St Therese of the Child Jesus RC Church</t>
  </si>
  <si>
    <t>PAIGNTON</t>
  </si>
  <si>
    <t>PLY060</t>
  </si>
  <si>
    <t>658</t>
  </si>
  <si>
    <t>Parish of Holy Family (The Immaculate Conception of Our Lady)</t>
  </si>
  <si>
    <r>
      <t xml:space="preserve">per DD - it is £316  </t>
    </r>
    <r>
      <rPr>
        <strike/>
        <sz val="10"/>
        <rFont val="Arial"/>
        <family val="2"/>
      </rPr>
      <t>(£196.50 in Ecc Sq column but likely bank directly)</t>
    </r>
  </si>
  <si>
    <t>PLY060S</t>
  </si>
  <si>
    <t>0443647</t>
  </si>
  <si>
    <t>Parish of Holy Family (St Mary, Star of the Sea)</t>
  </si>
  <si>
    <t>PLY061</t>
  </si>
  <si>
    <t>659</t>
  </si>
  <si>
    <t>PLY062</t>
  </si>
  <si>
    <t>660</t>
  </si>
  <si>
    <t>POOLE</t>
  </si>
  <si>
    <t>PLY063</t>
  </si>
  <si>
    <t>661</t>
  </si>
  <si>
    <t>St Joseph &amp; St Walburga RC Church</t>
  </si>
  <si>
    <t>PLY064</t>
  </si>
  <si>
    <t>662</t>
  </si>
  <si>
    <t>PLY065</t>
  </si>
  <si>
    <t>663</t>
  </si>
  <si>
    <t>PLY067</t>
  </si>
  <si>
    <t>665</t>
  </si>
  <si>
    <t>Our Lady of All Nations - The Assumption</t>
  </si>
  <si>
    <t>PLY067A</t>
  </si>
  <si>
    <t>147915</t>
  </si>
  <si>
    <t>PLY068</t>
  </si>
  <si>
    <t>666</t>
  </si>
  <si>
    <t>ST AUSTELL</t>
  </si>
  <si>
    <t>PLY069</t>
  </si>
  <si>
    <t>667</t>
  </si>
  <si>
    <t>Parish of Holy Family (Sacred Heart &amp; St Ia)</t>
  </si>
  <si>
    <t>PLY070</t>
  </si>
  <si>
    <t>668</t>
  </si>
  <si>
    <t>Our Lady, Star of the Sea &amp; St Anthony</t>
  </si>
  <si>
    <t>TRURO</t>
  </si>
  <si>
    <t>PLY071</t>
  </si>
  <si>
    <t>669</t>
  </si>
  <si>
    <t>Parish of Our Lady of the Angels (Our Lady of the Angels RC Church)</t>
  </si>
  <si>
    <t xml:space="preserve">SALTASH                       </t>
  </si>
  <si>
    <t>PLY072</t>
  </si>
  <si>
    <t>670</t>
  </si>
  <si>
    <t>Our Lady of the Angels (Our Lady Of Light Sclerder Abbey - Chemin Neuf Community)</t>
  </si>
  <si>
    <t>PLY073</t>
  </si>
  <si>
    <t>671</t>
  </si>
  <si>
    <t>SEATON</t>
  </si>
  <si>
    <t>PLY074</t>
  </si>
  <si>
    <t>672</t>
  </si>
  <si>
    <t>The Holy Name &amp; St Edward the Martyr</t>
  </si>
  <si>
    <t>SHAFTESBURY</t>
  </si>
  <si>
    <t>PLY075</t>
  </si>
  <si>
    <t>673</t>
  </si>
  <si>
    <t>Parish of All Saints (St Ignatius of Loyola)</t>
  </si>
  <si>
    <t>TEIGNMOUTH</t>
  </si>
  <si>
    <t>PLY076</t>
  </si>
  <si>
    <t>674</t>
  </si>
  <si>
    <t>Sacred Heart &amp; St Aldhelm</t>
  </si>
  <si>
    <t>SHERBORNE</t>
  </si>
  <si>
    <t>per DD - it is £965.12</t>
  </si>
  <si>
    <t>PLY077</t>
  </si>
  <si>
    <t>675</t>
  </si>
  <si>
    <t>Most Precious Blood RC Church</t>
  </si>
  <si>
    <t>SIDMOUTH</t>
  </si>
  <si>
    <t>per DD - it is £1157.66</t>
  </si>
  <si>
    <t>PLY079</t>
  </si>
  <si>
    <t>676</t>
  </si>
  <si>
    <t>The Holy Spirit &amp; St Edward RC Church</t>
  </si>
  <si>
    <t>PLY080</t>
  </si>
  <si>
    <t>677</t>
  </si>
  <si>
    <t>TAVISTOCK</t>
  </si>
  <si>
    <t>PLY080V</t>
  </si>
  <si>
    <t>148042</t>
  </si>
  <si>
    <t>PLY081</t>
  </si>
  <si>
    <t>633</t>
  </si>
  <si>
    <t>Parish of All Saints (Our Lady &amp; St Patrick)</t>
  </si>
  <si>
    <t>678</t>
  </si>
  <si>
    <t>PLY083</t>
  </si>
  <si>
    <t>679</t>
  </si>
  <si>
    <t>St Paul the Apostle</t>
  </si>
  <si>
    <t>TINTAGEL</t>
  </si>
  <si>
    <t>PLY084</t>
  </si>
  <si>
    <t>680</t>
  </si>
  <si>
    <t>Parish of St Boniface &amp; St James (St James RC Church)</t>
  </si>
  <si>
    <t>PLY085</t>
  </si>
  <si>
    <t>681</t>
  </si>
  <si>
    <t>PLY086</t>
  </si>
  <si>
    <t>682</t>
  </si>
  <si>
    <t>Our Lady of the Angels (St Joan of Arc)</t>
  </si>
  <si>
    <t>SALTASH</t>
  </si>
  <si>
    <t>PLY087</t>
  </si>
  <si>
    <t>683</t>
  </si>
  <si>
    <t>The Assumption of our Lady</t>
  </si>
  <si>
    <t>TORQUAY</t>
  </si>
  <si>
    <t>PLY088</t>
  </si>
  <si>
    <t>684</t>
  </si>
  <si>
    <t>Our Lady, Help of Christians &amp; St Denis</t>
  </si>
  <si>
    <t>PLY089</t>
  </si>
  <si>
    <t>685</t>
  </si>
  <si>
    <t>Holy Angels RC Church</t>
  </si>
  <si>
    <t>PLY090</t>
  </si>
  <si>
    <t>686</t>
  </si>
  <si>
    <t>St Mary &amp; St George</t>
  </si>
  <si>
    <t>TOTNES</t>
  </si>
  <si>
    <t>PLY091</t>
  </si>
  <si>
    <t>687</t>
  </si>
  <si>
    <t>Our Lady of the Portal &amp; St Piran</t>
  </si>
  <si>
    <t>Diff 10p: Grand Total stated £261.84</t>
  </si>
  <si>
    <t>PLY092</t>
  </si>
  <si>
    <t>688</t>
  </si>
  <si>
    <t>Parish of Our Lady Queen of Martyrs &amp; St Joseph (St Edward the Martyrs)</t>
  </si>
  <si>
    <t>PLY093</t>
  </si>
  <si>
    <t>689</t>
  </si>
  <si>
    <t>FERNDOWN</t>
  </si>
  <si>
    <t>PLY094</t>
  </si>
  <si>
    <t>0479487</t>
  </si>
  <si>
    <t>WEYMOUTH</t>
  </si>
  <si>
    <t>PLY095</t>
  </si>
  <si>
    <t>691</t>
  </si>
  <si>
    <t>Parish of Our Lady Star of the Sea (St Joseph)</t>
  </si>
  <si>
    <t>PLY096</t>
  </si>
  <si>
    <t>692</t>
  </si>
  <si>
    <t>WIMBORNE</t>
  </si>
  <si>
    <t>PLY097</t>
  </si>
  <si>
    <t>693</t>
  </si>
  <si>
    <t>YELVERTON</t>
  </si>
  <si>
    <t>PLY999</t>
  </si>
  <si>
    <t>697</t>
  </si>
  <si>
    <t>Plymouth Diocese Various</t>
  </si>
  <si>
    <t>POR</t>
  </si>
  <si>
    <t>699</t>
  </si>
  <si>
    <t>per DD - it is £219.59</t>
  </si>
  <si>
    <t>Line inserted manually &amp; not in download. Separate posters required</t>
  </si>
  <si>
    <t>703</t>
  </si>
  <si>
    <t>St Colman &amp; St Paul RC Church (St Colman's)</t>
  </si>
  <si>
    <t>per DD - it is £311.98</t>
  </si>
  <si>
    <t>POR004S</t>
  </si>
  <si>
    <t>0443499</t>
  </si>
  <si>
    <t>St Colman &amp; St Paul RC Church (St Paul's)</t>
  </si>
  <si>
    <t>Corpus Christi &amp; St Joseph Parish (St Joseph RC Church)</t>
  </si>
  <si>
    <t>706</t>
  </si>
  <si>
    <t>Our Lady of Lourdes &amp; St Swithun Parish (St Swithun's Church)</t>
  </si>
  <si>
    <t>SOUTHSEA</t>
  </si>
  <si>
    <t>POR007S</t>
  </si>
  <si>
    <t>0479488</t>
  </si>
  <si>
    <t>Our Lady of Lourdes &amp; St Swithun Parish (Our Lady of Lourdes Church)</t>
  </si>
  <si>
    <t>707</t>
  </si>
  <si>
    <t>Our Lady &amp; St Edmund</t>
  </si>
  <si>
    <t>708</t>
  </si>
  <si>
    <t>St Anne &amp; St Mary Magdalene R C Presbytery</t>
  </si>
  <si>
    <t>709</t>
  </si>
  <si>
    <t>Aldershot Parish (St Joseph RC Church)</t>
  </si>
  <si>
    <t>POR010S</t>
  </si>
  <si>
    <t>0479489</t>
  </si>
  <si>
    <t>Aldershot Parish (St Mary RC Church)</t>
  </si>
  <si>
    <t>710</t>
  </si>
  <si>
    <t>St Peter &amp; The Winchester Martyrs Parish (St Gregory the Great)</t>
  </si>
  <si>
    <t>WINCHESTER</t>
  </si>
  <si>
    <t>711</t>
  </si>
  <si>
    <t>per DD - it is £3049.89</t>
  </si>
  <si>
    <t>POR014S</t>
  </si>
  <si>
    <t>0479490</t>
  </si>
  <si>
    <t>St Lucy Convent Chapel</t>
  </si>
  <si>
    <t>712</t>
  </si>
  <si>
    <t>Andover Parish (St John the Baptist RC Church)</t>
  </si>
  <si>
    <t>POR016S</t>
  </si>
  <si>
    <t>263195</t>
  </si>
  <si>
    <t>Andover Parish (St John Fisher)</t>
  </si>
  <si>
    <t>713</t>
  </si>
  <si>
    <t>714</t>
  </si>
  <si>
    <t>Basingstoke Holy Ghost Parish (Holy Ghost RC Church)</t>
  </si>
  <si>
    <t>POR018L</t>
  </si>
  <si>
    <t>0479491</t>
  </si>
  <si>
    <t>Basingstoke Holy Ghost Parish (St Bede)</t>
  </si>
  <si>
    <t>715</t>
  </si>
  <si>
    <t>716</t>
  </si>
  <si>
    <t>The Parish of St Swithun Wells (Our Lady Queen of Apostles)</t>
  </si>
  <si>
    <t>717</t>
  </si>
  <si>
    <t>Holy Family Catholic Parish (The Sacred Heart RC Church)</t>
  </si>
  <si>
    <t>718</t>
  </si>
  <si>
    <t>Bournemouth Oratory (Sacred Heart Parish)</t>
  </si>
  <si>
    <t>719</t>
  </si>
  <si>
    <t>721</t>
  </si>
  <si>
    <t>Our Lady Immaculate</t>
  </si>
  <si>
    <t>722</t>
  </si>
  <si>
    <t>Our Lady Queen of Peace &amp; Blessed Margaret Pole</t>
  </si>
  <si>
    <t>723</t>
  </si>
  <si>
    <t>POR028S</t>
  </si>
  <si>
    <t>724</t>
  </si>
  <si>
    <t>The Annunciation &amp; St Edmund Campion Parish (St Edmund Campion)</t>
  </si>
  <si>
    <t>725</t>
  </si>
  <si>
    <t>St Joseph and St Margaret Clitherow Parish</t>
  </si>
  <si>
    <t>726</t>
  </si>
  <si>
    <t>728</t>
  </si>
  <si>
    <t>729</t>
  </si>
  <si>
    <t>Blessed Hugh Farringdon</t>
  </si>
  <si>
    <t>FARINGDON</t>
  </si>
  <si>
    <t>per DD - it is £255.82</t>
  </si>
  <si>
    <t>730</t>
  </si>
  <si>
    <t>The Parish of St Swithun Wells (St Edward the Confessor)</t>
  </si>
  <si>
    <t>731</t>
  </si>
  <si>
    <t>732</t>
  </si>
  <si>
    <t>per DD - it is £236.37</t>
  </si>
  <si>
    <t>POR037</t>
  </si>
  <si>
    <t>733</t>
  </si>
  <si>
    <t>Parish of The Holy Trinity &amp; Our Lady (The Holy Trinity RC Church)</t>
  </si>
  <si>
    <t>FLEET</t>
  </si>
  <si>
    <t>734</t>
  </si>
  <si>
    <t>Parish of Crowthorne &amp; Sandhurst (Holy Ghost RC Church)</t>
  </si>
  <si>
    <t>735</t>
  </si>
  <si>
    <t>736</t>
  </si>
  <si>
    <t>per DD - it is £2095.02</t>
  </si>
  <si>
    <t>737</t>
  </si>
  <si>
    <t>POR041S</t>
  </si>
  <si>
    <t>0479494</t>
  </si>
  <si>
    <t>Convent of the Cross (Sisters of Christ)</t>
  </si>
  <si>
    <t>ISLE OF WIGHT</t>
  </si>
  <si>
    <t>738</t>
  </si>
  <si>
    <t>East Hendred Parish (St Mary RC Church)</t>
  </si>
  <si>
    <t>POR042S</t>
  </si>
  <si>
    <t>0479495</t>
  </si>
  <si>
    <t>East Hendred Parish (St Patrick)</t>
  </si>
  <si>
    <t>739</t>
  </si>
  <si>
    <t>The Parish of St Swithun Wells (Holy Cross RC Church)</t>
  </si>
  <si>
    <t>per DD - it is £362.30</t>
  </si>
  <si>
    <t>POR043S</t>
  </si>
  <si>
    <t>0479496</t>
  </si>
  <si>
    <t>The Parish of St Swithun Wells (St Swithun Wells)</t>
  </si>
  <si>
    <t>740</t>
  </si>
  <si>
    <t>Fareham &amp; Portchester - Sacred Heart Parish (Sacred Heart)</t>
  </si>
  <si>
    <t>per DD - it is £2672.34  (combined with POR044L/0443606)</t>
  </si>
  <si>
    <t>POR044L</t>
  </si>
  <si>
    <t>0443606</t>
  </si>
  <si>
    <t>The Catholic Church in Fareham and Portchester (St Philip Howard)</t>
  </si>
  <si>
    <t>combined with POR044-740</t>
  </si>
  <si>
    <t>POR044X</t>
  </si>
  <si>
    <t>741</t>
  </si>
  <si>
    <t>Fareham &amp; Portchester - Sacred Heart Parish (St Thomas More RC Church)</t>
  </si>
  <si>
    <t>742</t>
  </si>
  <si>
    <t>743</t>
  </si>
  <si>
    <t>POR048</t>
  </si>
  <si>
    <t>745</t>
  </si>
  <si>
    <t>St Michael's Abbey RC Church</t>
  </si>
  <si>
    <t>POR049</t>
  </si>
  <si>
    <t>746</t>
  </si>
  <si>
    <t>Parish of The Holy Trinity &amp; Our Lady (Our Lady RC Church)</t>
  </si>
  <si>
    <t>747</t>
  </si>
  <si>
    <t>748</t>
  </si>
  <si>
    <t>Gosport Parish (St Mary RC Church)</t>
  </si>
  <si>
    <t>749</t>
  </si>
  <si>
    <t>Holy Family Catholic Parish (St Joseph RC Church)</t>
  </si>
  <si>
    <t>751</t>
  </si>
  <si>
    <t>Our Lady &amp; the Saints of Guernsey Parish (Notre Dame du Rosaire)</t>
  </si>
  <si>
    <t>750</t>
  </si>
  <si>
    <t>Our Lady &amp; the Saints of Guernsey Parish (Our Lady Star of the Sea)</t>
  </si>
  <si>
    <t>per DD - it is £4458.28</t>
  </si>
  <si>
    <t>752</t>
  </si>
  <si>
    <t>753</t>
  </si>
  <si>
    <t>Parish of Havant &amp; Emsworth (St Joseph RC Church)</t>
  </si>
  <si>
    <t>HAVANT</t>
  </si>
  <si>
    <t>POR056S</t>
  </si>
  <si>
    <t>0479497</t>
  </si>
  <si>
    <t>Parish of Havant &amp; Emsworth (Ss Thomas of Canterbury and Thomas More)</t>
  </si>
  <si>
    <t>754</t>
  </si>
  <si>
    <t>755</t>
  </si>
  <si>
    <t>Hedge End Parish (Our Lady of the Assumption)</t>
  </si>
  <si>
    <t>POR059S</t>
  </si>
  <si>
    <t>0479498</t>
  </si>
  <si>
    <t>Hedge End Parish (St Brigid)</t>
  </si>
  <si>
    <t>756</t>
  </si>
  <si>
    <t>757</t>
  </si>
  <si>
    <t>Waterside Parish (St Michael RC Church)</t>
  </si>
  <si>
    <t>HYTHE</t>
  </si>
  <si>
    <t>POR061L</t>
  </si>
  <si>
    <t>0479499</t>
  </si>
  <si>
    <t>Waterside Parish (St Bernard)</t>
  </si>
  <si>
    <t>758</t>
  </si>
  <si>
    <t>147985</t>
  </si>
  <si>
    <t>Yateley &amp;  Hartley Wintney Parish (St Thomas More RC Church)</t>
  </si>
  <si>
    <t>759</t>
  </si>
  <si>
    <t>761</t>
  </si>
  <si>
    <t>Jersey Parish - St Helier Area (St Mary &amp; St Peter RC Church)</t>
  </si>
  <si>
    <t>combined with POR066</t>
  </si>
  <si>
    <t>762</t>
  </si>
  <si>
    <t>Jersey Parish - St Helier Area (St Thomas RC Church)</t>
  </si>
  <si>
    <t>combined with POR065</t>
  </si>
  <si>
    <t>POR066A</t>
  </si>
  <si>
    <t>763</t>
  </si>
  <si>
    <t>Portuguese Chaplaincy (CLOSED)</t>
  </si>
  <si>
    <t>764</t>
  </si>
  <si>
    <t>Jersey Parish - West Area (Sacred Heart RC Church)</t>
  </si>
  <si>
    <t>POR067S</t>
  </si>
  <si>
    <t>0479500</t>
  </si>
  <si>
    <t>Jersey Parish - West Area (St Bernadette)</t>
  </si>
  <si>
    <t>765</t>
  </si>
  <si>
    <t>Jersey Parish - East Area (Our Lady &amp; The Martyrs  of Japan)</t>
  </si>
  <si>
    <t>766</t>
  </si>
  <si>
    <t>Jersey Parish - West Area (St Matthieu RC Church)</t>
  </si>
  <si>
    <t>per DD - it is £421.50</t>
  </si>
  <si>
    <t>767</t>
  </si>
  <si>
    <t>Jersey Parish - East Area (St Patrick RC Church)</t>
  </si>
  <si>
    <t>768</t>
  </si>
  <si>
    <t>Lambourn &amp; Hungerford Parish (Sacred Heart RC Church)</t>
  </si>
  <si>
    <t>POR072S</t>
  </si>
  <si>
    <t>0479501</t>
  </si>
  <si>
    <t>Lambourn &amp; Hungerford Parish (Our Lady of Lourdes)</t>
  </si>
  <si>
    <t>HUNGERFORD</t>
  </si>
  <si>
    <t>770</t>
  </si>
  <si>
    <t>Parish of Our Lady &amp; St John (St John the Evangelist)</t>
  </si>
  <si>
    <t>LEE-ON-THE-SOLENT</t>
  </si>
  <si>
    <t>771</t>
  </si>
  <si>
    <t>per DD - it is £387.62</t>
  </si>
  <si>
    <t>772</t>
  </si>
  <si>
    <t>Holy Family Catholic Parish (The Immaculate Conception)</t>
  </si>
  <si>
    <t>773</t>
  </si>
  <si>
    <t>Our Lady of Mercy &amp; St Joseph RC Church</t>
  </si>
  <si>
    <t>774</t>
  </si>
  <si>
    <t>Parishes of Totton &amp; Lyndhurst (Our Lady &amp; St Edward the Confessor)</t>
  </si>
  <si>
    <t>see return: £20 chq (01-04-19) incl in Dio Bank Acc column &amp; not in grand total</t>
  </si>
  <si>
    <t>775</t>
  </si>
  <si>
    <t>St Joseph Parish (St Joseph RC Church)</t>
  </si>
  <si>
    <t>776</t>
  </si>
  <si>
    <t>per DD - it is £1132.13</t>
  </si>
  <si>
    <t>777</t>
  </si>
  <si>
    <t>chq received 08-01-2020</t>
  </si>
  <si>
    <t>778</t>
  </si>
  <si>
    <t>The Annunciation RC Church</t>
  </si>
  <si>
    <t>779</t>
  </si>
  <si>
    <t>per DD - it is £2128.79</t>
  </si>
  <si>
    <t>780</t>
  </si>
  <si>
    <t xml:space="preserve">NEWBURY                       </t>
  </si>
  <si>
    <t>781</t>
  </si>
  <si>
    <t>782</t>
  </si>
  <si>
    <t>per DD - it is £592.73</t>
  </si>
  <si>
    <t>784</t>
  </si>
  <si>
    <t>Hinksey Parish (Our Lady of the Rosary RC Church)</t>
  </si>
  <si>
    <t>POR089S</t>
  </si>
  <si>
    <t>0479503</t>
  </si>
  <si>
    <t>Hinksey Parish (Holy Rood Church)</t>
  </si>
  <si>
    <t>786</t>
  </si>
  <si>
    <t xml:space="preserve">SOUTHAMPTON                   </t>
  </si>
  <si>
    <t>per DD - it is £1525.26</t>
  </si>
  <si>
    <t>787</t>
  </si>
  <si>
    <t>St Laurence Parish (St Laurence RC Church)</t>
  </si>
  <si>
    <t xml:space="preserve">PETERSFIELD  </t>
  </si>
  <si>
    <t>POR093S</t>
  </si>
  <si>
    <t>256860</t>
  </si>
  <si>
    <t>St Laurence Parish  (St Agnes RC Church)</t>
  </si>
  <si>
    <t xml:space="preserve">LISS                          </t>
  </si>
  <si>
    <t>788</t>
  </si>
  <si>
    <t>Our Lady Star of the Sea - Our Lady of Walsingham</t>
  </si>
  <si>
    <t>789</t>
  </si>
  <si>
    <t>Quarr Abbey</t>
  </si>
  <si>
    <t>790</t>
  </si>
  <si>
    <t>Parish of St James &amp; St William of York (St James)</t>
  </si>
  <si>
    <t>791</t>
  </si>
  <si>
    <t>792</t>
  </si>
  <si>
    <t>793</t>
  </si>
  <si>
    <t>797</t>
  </si>
  <si>
    <t>per DD - it is £1112.19</t>
  </si>
  <si>
    <t>798</t>
  </si>
  <si>
    <t>The Parish of St Swithun Wells (St Joseph's)</t>
  </si>
  <si>
    <t>POR103S</t>
  </si>
  <si>
    <t>0479506</t>
  </si>
  <si>
    <t>The Parish of St Swithun Wells (St Andrew's)</t>
  </si>
  <si>
    <t>800</t>
  </si>
  <si>
    <t>Ryde Parish (St Mary RC Church)</t>
  </si>
  <si>
    <t>POR105S</t>
  </si>
  <si>
    <t>0479507</t>
  </si>
  <si>
    <t>Ryde Parish (St Michael)</t>
  </si>
  <si>
    <t>801</t>
  </si>
  <si>
    <t>South Wight Parish (St Patrick RC Church)</t>
  </si>
  <si>
    <t>per DD - it is £209.27</t>
  </si>
  <si>
    <t>802</t>
  </si>
  <si>
    <t>South Wight Parish (Sacred Heart RC Church)</t>
  </si>
  <si>
    <t>POR108</t>
  </si>
  <si>
    <t>0479508</t>
  </si>
  <si>
    <t>SHRIVENHAM</t>
  </si>
  <si>
    <t>805</t>
  </si>
  <si>
    <t>St Joseph and St Edmund Parish (St Joseph)</t>
  </si>
  <si>
    <t>POR109L</t>
  </si>
  <si>
    <t>0479509</t>
  </si>
  <si>
    <t>St Joseph and St Edmund Parish (St Edmund)</t>
  </si>
  <si>
    <t>807</t>
  </si>
  <si>
    <t>808</t>
  </si>
  <si>
    <t>809</t>
  </si>
  <si>
    <t>810</t>
  </si>
  <si>
    <t>812</t>
  </si>
  <si>
    <t>813</t>
  </si>
  <si>
    <t>per DD - it is £492.91</t>
  </si>
  <si>
    <t>816</t>
  </si>
  <si>
    <t>Parish of Our Lady &amp; St John (Immaculate Conception RC Church)</t>
  </si>
  <si>
    <t>817</t>
  </si>
  <si>
    <t>Tadley Parish (St Michael RC Church)</t>
  </si>
  <si>
    <t>TADLEY</t>
  </si>
  <si>
    <t>note: ignore WMS chq £325.62 sent to Ecc Sq</t>
  </si>
  <si>
    <t>POR120S</t>
  </si>
  <si>
    <t>0479510</t>
  </si>
  <si>
    <t>St Peter and St Paul</t>
  </si>
  <si>
    <t>KINGSCLERE</t>
  </si>
  <si>
    <t>POR120S2</t>
  </si>
  <si>
    <t>0479511</t>
  </si>
  <si>
    <t>Tadley Parish  (St Oswald)</t>
  </si>
  <si>
    <t>818</t>
  </si>
  <si>
    <t xml:space="preserve">NEWBURY  </t>
  </si>
  <si>
    <t>819</t>
  </si>
  <si>
    <t>820</t>
  </si>
  <si>
    <t>Parishes of Totton &amp; Lyndhurst (St Theresa of the Child Jesus)</t>
  </si>
  <si>
    <t>821</t>
  </si>
  <si>
    <t>Twyford Parish (St Thomas More RC Church)</t>
  </si>
  <si>
    <t>POR124S</t>
  </si>
  <si>
    <t>0479512</t>
  </si>
  <si>
    <t>Twyford Parish (Our Lady of Peace)</t>
  </si>
  <si>
    <t>WARGRAVE</t>
  </si>
  <si>
    <t>822</t>
  </si>
  <si>
    <t>South Wight Parish  (Our Lady &amp; St Wilfrid RC Church)</t>
  </si>
  <si>
    <t>823</t>
  </si>
  <si>
    <t>824</t>
  </si>
  <si>
    <t>825</t>
  </si>
  <si>
    <t>826</t>
  </si>
  <si>
    <t>St Peter &amp; The Winchester Martyrs Parish (St Peter RC Church)</t>
  </si>
  <si>
    <t>POR131S2</t>
  </si>
  <si>
    <t>0479514</t>
  </si>
  <si>
    <t>St Peter &amp; The Winchester Martyrs Parish (St Stephen RC Church)</t>
  </si>
  <si>
    <t>POR132</t>
  </si>
  <si>
    <t>827</t>
  </si>
  <si>
    <t>St Thomas More RC Church - Hampshire Downs</t>
  </si>
  <si>
    <t>829</t>
  </si>
  <si>
    <t>Windsor Parish (St Edward RC Church)</t>
  </si>
  <si>
    <t>POR134S</t>
  </si>
  <si>
    <t>0479515</t>
  </si>
  <si>
    <t>Windsor Parish (St Mark RC Church)</t>
  </si>
  <si>
    <t>830</t>
  </si>
  <si>
    <t xml:space="preserve">WOKINGHAM                     </t>
  </si>
  <si>
    <t>831</t>
  </si>
  <si>
    <t>St John Bosco RC Church</t>
  </si>
  <si>
    <t>per DD - it is £2371.70</t>
  </si>
  <si>
    <t>832</t>
  </si>
  <si>
    <t>Woolhampton Parish (St Mary RC Church)</t>
  </si>
  <si>
    <t>833</t>
  </si>
  <si>
    <t>Tadley Parish (St Oswald RC Church)</t>
  </si>
  <si>
    <t>834</t>
  </si>
  <si>
    <t>Woolhampton Parish (Our Lady &amp; St Bernadette)</t>
  </si>
  <si>
    <t xml:space="preserve">READING                       </t>
  </si>
  <si>
    <t>835</t>
  </si>
  <si>
    <t>Yateley &amp;  Hartley Wintney Parish (St Swithun RC Church)</t>
  </si>
  <si>
    <t>836</t>
  </si>
  <si>
    <t>Parish of Crowthorne &amp; Sandhurst (The Immaculate Conception RC Church)</t>
  </si>
  <si>
    <t>837</t>
  </si>
  <si>
    <t>Woolhampton Parish (St Luke RC Church)</t>
  </si>
  <si>
    <t>per DD - it is £159.43</t>
  </si>
  <si>
    <t>227372</t>
  </si>
  <si>
    <t>Gosport Parish (St Columba RC Church)</t>
  </si>
  <si>
    <t>227468</t>
  </si>
  <si>
    <t>POR145</t>
  </si>
  <si>
    <t>232182</t>
  </si>
  <si>
    <t>St Joseph Parish (St Elizabeth RC Church)</t>
  </si>
  <si>
    <t xml:space="preserve">MAIDENHEAD                    </t>
  </si>
  <si>
    <t>POR146</t>
  </si>
  <si>
    <t>255756</t>
  </si>
  <si>
    <t>Parish of St James &amp; St William of York (St William of York)</t>
  </si>
  <si>
    <t>POR999</t>
  </si>
  <si>
    <t>840</t>
  </si>
  <si>
    <t>Portsmouth Diocese Various</t>
  </si>
  <si>
    <t>SHR</t>
  </si>
  <si>
    <t>SHR001</t>
  </si>
  <si>
    <t>1053</t>
  </si>
  <si>
    <t>Cathedral Church of Our Lady Help of Christians &amp; St Peter of Alcantara</t>
  </si>
  <si>
    <t>SHREWSBURY</t>
  </si>
  <si>
    <t>per DD - it is £764.33</t>
  </si>
  <si>
    <t>SHR002</t>
  </si>
  <si>
    <t>1054</t>
  </si>
  <si>
    <t>Our Lady of Pity</t>
  </si>
  <si>
    <t>SHR003</t>
  </si>
  <si>
    <t>1055</t>
  </si>
  <si>
    <t>St Winefride</t>
  </si>
  <si>
    <t>SHR004</t>
  </si>
  <si>
    <t>1056</t>
  </si>
  <si>
    <t>St Pius X</t>
  </si>
  <si>
    <t>ALDERLEY EDGE</t>
  </si>
  <si>
    <t>per DD - it is £282.77</t>
  </si>
  <si>
    <t>SHR005</t>
  </si>
  <si>
    <t>1057</t>
  </si>
  <si>
    <t>St Gabriel</t>
  </si>
  <si>
    <t>ALSAGER</t>
  </si>
  <si>
    <t>per DD - it is £4134.71</t>
  </si>
  <si>
    <t>SHR006</t>
  </si>
  <si>
    <t>1059</t>
  </si>
  <si>
    <t>St Hugh &amp; St John</t>
  </si>
  <si>
    <t>ALTRINCHAM</t>
  </si>
  <si>
    <t>per DD - it is £2403.39</t>
  </si>
  <si>
    <t>SHR008</t>
  </si>
  <si>
    <t>1061</t>
  </si>
  <si>
    <t>SHR009</t>
  </si>
  <si>
    <t>1062</t>
  </si>
  <si>
    <t>Parish of St John Vianney (Our Lady of Fatima)</t>
  </si>
  <si>
    <t>BARNTON</t>
  </si>
  <si>
    <t>per DD - it is £339.16</t>
  </si>
  <si>
    <t>SHR009X</t>
  </si>
  <si>
    <t>1063</t>
  </si>
  <si>
    <t>St Luke the Physician</t>
  </si>
  <si>
    <t>BEBINGTON</t>
  </si>
  <si>
    <t>SHR011</t>
  </si>
  <si>
    <t>1065</t>
  </si>
  <si>
    <t>Holy Name of Jesus</t>
  </si>
  <si>
    <t>BIRKENHEAD</t>
  </si>
  <si>
    <t>SHR012</t>
  </si>
  <si>
    <t>1066</t>
  </si>
  <si>
    <t>Our Lady, Holy Cross &amp; St Paul (Our Lady of the Immaculate Conception)</t>
  </si>
  <si>
    <t>SHR013</t>
  </si>
  <si>
    <t>1067</t>
  </si>
  <si>
    <r>
      <t xml:space="preserve">per DD - it is £1105.22  </t>
    </r>
    <r>
      <rPr>
        <strike/>
        <sz val="10"/>
        <rFont val="Arial"/>
        <family val="2"/>
      </rPr>
      <t>(Diff of £30 in Grand Total which stated £1080.22 in annual retrun)</t>
    </r>
  </si>
  <si>
    <t>SHR014</t>
  </si>
  <si>
    <t>1068</t>
  </si>
  <si>
    <t>per DD - it is £702.38</t>
  </si>
  <si>
    <t>SHR016</t>
  </si>
  <si>
    <t>1070</t>
  </si>
  <si>
    <t>St Michael &amp; All Angels</t>
  </si>
  <si>
    <t>SHR017</t>
  </si>
  <si>
    <t>1071</t>
  </si>
  <si>
    <t>Our Lady, Holy Cross &amp; St Paul (Holy Cross &amp; St Paul)</t>
  </si>
  <si>
    <t>Diff 10p: Grand Total stated £283.38</t>
  </si>
  <si>
    <t>SHR018</t>
  </si>
  <si>
    <t>1072</t>
  </si>
  <si>
    <t>SHR019</t>
  </si>
  <si>
    <t>1073</t>
  </si>
  <si>
    <t>St Werburgh &amp; St Laurence</t>
  </si>
  <si>
    <t>SHR020</t>
  </si>
  <si>
    <t>1074</t>
  </si>
  <si>
    <t>BOLLINGTON</t>
  </si>
  <si>
    <t>SHR021</t>
  </si>
  <si>
    <t>1075</t>
  </si>
  <si>
    <t>BRAMHALL</t>
  </si>
  <si>
    <t>SHR022</t>
  </si>
  <si>
    <t>1076</t>
  </si>
  <si>
    <t>BRIDGNORTH</t>
  </si>
  <si>
    <t>per DD - it is £1036.6</t>
  </si>
  <si>
    <t>SHR023</t>
  </si>
  <si>
    <t>1077</t>
  </si>
  <si>
    <t>BROMBOROUGH</t>
  </si>
  <si>
    <t>SHR024</t>
  </si>
  <si>
    <t>1078</t>
  </si>
  <si>
    <t>Christ Church</t>
  </si>
  <si>
    <t>HEALD GREEN</t>
  </si>
  <si>
    <t>per DD - it is £1441.12</t>
  </si>
  <si>
    <t>SHR025</t>
  </si>
  <si>
    <t>1079</t>
  </si>
  <si>
    <t>St Ann</t>
  </si>
  <si>
    <t>SHR026</t>
  </si>
  <si>
    <t>1080</t>
  </si>
  <si>
    <t>St Chad</t>
  </si>
  <si>
    <t>per DD - it is £756.56</t>
  </si>
  <si>
    <t>SHR027</t>
  </si>
  <si>
    <t>1081</t>
  </si>
  <si>
    <t>St Clare</t>
  </si>
  <si>
    <t>CHESTER</t>
  </si>
  <si>
    <t>per DD - it is £1104.05</t>
  </si>
  <si>
    <t>SHR028</t>
  </si>
  <si>
    <t>1082</t>
  </si>
  <si>
    <t>SHR029</t>
  </si>
  <si>
    <t>1083</t>
  </si>
  <si>
    <t>St Francis</t>
  </si>
  <si>
    <t>SHR030</t>
  </si>
  <si>
    <t>1084</t>
  </si>
  <si>
    <t>St Theresa</t>
  </si>
  <si>
    <t>SHR031</t>
  </si>
  <si>
    <t>1085</t>
  </si>
  <si>
    <t>St Werburgh</t>
  </si>
  <si>
    <t>SHR031S</t>
  </si>
  <si>
    <t>0444413</t>
  </si>
  <si>
    <t>Rowton Methodist Church</t>
  </si>
  <si>
    <t>WAVERTON</t>
  </si>
  <si>
    <t>SHR032</t>
  </si>
  <si>
    <t>1086</t>
  </si>
  <si>
    <t>St Milburga</t>
  </si>
  <si>
    <t>CHURCH STRETTON</t>
  </si>
  <si>
    <t>SHR032S</t>
  </si>
  <si>
    <t>0444397</t>
  </si>
  <si>
    <t>St Walburga</t>
  </si>
  <si>
    <t>PLOWDEN</t>
  </si>
  <si>
    <t>SHR033</t>
  </si>
  <si>
    <t>1087</t>
  </si>
  <si>
    <t>CONGLETON</t>
  </si>
  <si>
    <t>SHR034</t>
  </si>
  <si>
    <t>1088</t>
  </si>
  <si>
    <t>St Mary of the Immaculate Conception</t>
  </si>
  <si>
    <t>CREWE</t>
  </si>
  <si>
    <t>SHR035</t>
  </si>
  <si>
    <t>1089</t>
  </si>
  <si>
    <t>DUKINFIELD</t>
  </si>
  <si>
    <t>SHR036</t>
  </si>
  <si>
    <t>1090</t>
  </si>
  <si>
    <t>ELLESMERE</t>
  </si>
  <si>
    <t>SHR036X</t>
  </si>
  <si>
    <t>147912</t>
  </si>
  <si>
    <t>Our Lady or Perpetual Succour</t>
  </si>
  <si>
    <t>WEM</t>
  </si>
  <si>
    <t>SHR037</t>
  </si>
  <si>
    <t>1091</t>
  </si>
  <si>
    <t>ELLESMERE PORT</t>
  </si>
  <si>
    <t>SHR038</t>
  </si>
  <si>
    <t>1092</t>
  </si>
  <si>
    <t>St Bernard of Clairvaux</t>
  </si>
  <si>
    <t>SHR039</t>
  </si>
  <si>
    <t>1093</t>
  </si>
  <si>
    <t>FRODSHAM</t>
  </si>
  <si>
    <t>SHR040</t>
  </si>
  <si>
    <t>1094</t>
  </si>
  <si>
    <t>GREASBY</t>
  </si>
  <si>
    <t>per DD - it is £1747.48</t>
  </si>
  <si>
    <t>SHR041</t>
  </si>
  <si>
    <t>1095</t>
  </si>
  <si>
    <t>per DD - it is £1827.53  (combined with SHR048-1102)</t>
  </si>
  <si>
    <t>SHR042</t>
  </si>
  <si>
    <t>1096</t>
  </si>
  <si>
    <t>Holy Angels</t>
  </si>
  <si>
    <t>HALE BARNS</t>
  </si>
  <si>
    <t>per DD - it is £426.49</t>
  </si>
  <si>
    <t>SHR043</t>
  </si>
  <si>
    <t>1097</t>
  </si>
  <si>
    <t>St Benedict</t>
  </si>
  <si>
    <t>HANDFORTH</t>
  </si>
  <si>
    <t>SHR044</t>
  </si>
  <si>
    <t>1098</t>
  </si>
  <si>
    <t>St James the Great</t>
  </si>
  <si>
    <t>HATTERSLEY</t>
  </si>
  <si>
    <t>SHR046</t>
  </si>
  <si>
    <t>1100</t>
  </si>
  <si>
    <t>HAZEL GROVE</t>
  </si>
  <si>
    <t>per DD - it is £7370</t>
  </si>
  <si>
    <t>SHR047</t>
  </si>
  <si>
    <t>1101</t>
  </si>
  <si>
    <t>HESWALL</t>
  </si>
  <si>
    <t>per DD - it is £786</t>
  </si>
  <si>
    <t>SHR048</t>
  </si>
  <si>
    <t>1102</t>
  </si>
  <si>
    <t>HOOTON</t>
  </si>
  <si>
    <t>banking per DD   (combined with SHR041-1095)</t>
  </si>
  <si>
    <t>SHR049</t>
  </si>
  <si>
    <t>1103</t>
  </si>
  <si>
    <t>St Catherine &amp; St Martina</t>
  </si>
  <si>
    <t>HOYLAKE</t>
  </si>
  <si>
    <t>SHR050</t>
  </si>
  <si>
    <t>1104</t>
  </si>
  <si>
    <t>HYDE</t>
  </si>
  <si>
    <t>SHR051</t>
  </si>
  <si>
    <t>1105</t>
  </si>
  <si>
    <t>KNUTSFORD</t>
  </si>
  <si>
    <r>
      <t xml:space="preserve">per DD - it is £ zero.  </t>
    </r>
    <r>
      <rPr>
        <strike/>
        <sz val="10"/>
        <rFont val="Arial"/>
        <family val="2"/>
      </rPr>
      <t>(£309.94 stated in Grand Total but not in any column, therefore assumed it was banked directly in Dio Bank Account)</t>
    </r>
  </si>
  <si>
    <t>SHR052</t>
  </si>
  <si>
    <t>1106</t>
  </si>
  <si>
    <t>Blessed John Henry Newman</t>
  </si>
  <si>
    <t>LATCHFORD</t>
  </si>
  <si>
    <t>SHR054</t>
  </si>
  <si>
    <t>1108</t>
  </si>
  <si>
    <t>LUDLOW</t>
  </si>
  <si>
    <t>SHR054A</t>
  </si>
  <si>
    <t>147944</t>
  </si>
  <si>
    <t>St Elizabeth</t>
  </si>
  <si>
    <t>CLEOBURY MORTIMER</t>
  </si>
  <si>
    <t>SHR055</t>
  </si>
  <si>
    <t>1109</t>
  </si>
  <si>
    <t>LYMM</t>
  </si>
  <si>
    <t>SHR056</t>
  </si>
  <si>
    <t>1110</t>
  </si>
  <si>
    <t>St Alban</t>
  </si>
  <si>
    <t>MACCLESFIELD</t>
  </si>
  <si>
    <t>per DD - it is £1365.18</t>
  </si>
  <si>
    <t>SHR057</t>
  </si>
  <si>
    <t>1111</t>
  </si>
  <si>
    <t>SHR058</t>
  </si>
  <si>
    <t>0444461</t>
  </si>
  <si>
    <t>MALPAS</t>
  </si>
  <si>
    <t>SHR059</t>
  </si>
  <si>
    <t>1113</t>
  </si>
  <si>
    <t>St Thomas Aquinas &amp; Stephen Harding</t>
  </si>
  <si>
    <t>MARKET DRAYTON</t>
  </si>
  <si>
    <t>SHR060</t>
  </si>
  <si>
    <t>1114</t>
  </si>
  <si>
    <t>The Holy Spirit</t>
  </si>
  <si>
    <t>MARPLE</t>
  </si>
  <si>
    <t>SHR061</t>
  </si>
  <si>
    <t>1115</t>
  </si>
  <si>
    <t>MIDDLEWICH</t>
  </si>
  <si>
    <t>SHR061S</t>
  </si>
  <si>
    <t>0444398</t>
  </si>
  <si>
    <t>St Margaret Ward</t>
  </si>
  <si>
    <t>HOLMES CHAPEL</t>
  </si>
  <si>
    <t>SHR062</t>
  </si>
  <si>
    <t>0444448</t>
  </si>
  <si>
    <t>St Mary Magdalene CLOSED</t>
  </si>
  <si>
    <t>MUCH WENLOCK</t>
  </si>
  <si>
    <t>SHR063</t>
  </si>
  <si>
    <t>1117</t>
  </si>
  <si>
    <t>NANTWICH</t>
  </si>
  <si>
    <t>SHR064</t>
  </si>
  <si>
    <t>1118</t>
  </si>
  <si>
    <t>NESTON</t>
  </si>
  <si>
    <t>SHR065</t>
  </si>
  <si>
    <t>1119</t>
  </si>
  <si>
    <t>NEW FERRY</t>
  </si>
  <si>
    <t>SHR066</t>
  </si>
  <si>
    <t>1120</t>
  </si>
  <si>
    <t>SHR067</t>
  </si>
  <si>
    <t>1121</t>
  </si>
  <si>
    <t>Parish of St John Vianney (St Wilfrid)</t>
  </si>
  <si>
    <t>NORTHWICH</t>
  </si>
  <si>
    <t>SHR068</t>
  </si>
  <si>
    <t>1122</t>
  </si>
  <si>
    <t>SHR069</t>
  </si>
  <si>
    <t>1123</t>
  </si>
  <si>
    <t>Our Lady Help of Christians &amp; St Oswald</t>
  </si>
  <si>
    <t>OWESTRY</t>
  </si>
  <si>
    <t>per DD - it is £739.23</t>
  </si>
  <si>
    <t>SHR070</t>
  </si>
  <si>
    <t>1124</t>
  </si>
  <si>
    <t>PARTINGTON</t>
  </si>
  <si>
    <t>SHR071</t>
  </si>
  <si>
    <t>1125</t>
  </si>
  <si>
    <t>PENSBY</t>
  </si>
  <si>
    <t>SHR072</t>
  </si>
  <si>
    <t>1126</t>
  </si>
  <si>
    <t>POYNTON</t>
  </si>
  <si>
    <t>SHR073</t>
  </si>
  <si>
    <t>1127</t>
  </si>
  <si>
    <t>Our Lady &amp; St Christopher</t>
  </si>
  <si>
    <t>ROMILEY</t>
  </si>
  <si>
    <t>per DD - it is £2183.02</t>
  </si>
  <si>
    <t>SHR074</t>
  </si>
  <si>
    <t>1128</t>
  </si>
  <si>
    <t>The Parish of St Maximilian Kolbe (Holy Spirit)</t>
  </si>
  <si>
    <t>RUNCORN</t>
  </si>
  <si>
    <t>SHR075</t>
  </si>
  <si>
    <t>1129</t>
  </si>
  <si>
    <t>Parish of The Divine Saviour (Our Lady Mother of the Saviour)</t>
  </si>
  <si>
    <t>SHR076</t>
  </si>
  <si>
    <t>1130</t>
  </si>
  <si>
    <t>Parish of The Divine Saviour (St Augustine)</t>
  </si>
  <si>
    <t>SHR077</t>
  </si>
  <si>
    <t>1131</t>
  </si>
  <si>
    <t>The Parish of St Maximilian Kolbe (St Edward)</t>
  </si>
  <si>
    <t>Ecc Sq column has: £821.65(=85.3+30+25+30+364.03+287.32) add cash £589.12 = £1410.77</t>
  </si>
  <si>
    <t>SHR078</t>
  </si>
  <si>
    <t>1132</t>
  </si>
  <si>
    <t>Parish of The Divine Saviour (St Martin de Porres)</t>
  </si>
  <si>
    <t>SHR079</t>
  </si>
  <si>
    <t>1133</t>
  </si>
  <si>
    <t>SALE</t>
  </si>
  <si>
    <t>SHR079A</t>
  </si>
  <si>
    <t>1134</t>
  </si>
  <si>
    <t>SHR080</t>
  </si>
  <si>
    <t>1135</t>
  </si>
  <si>
    <t>SHR081</t>
  </si>
  <si>
    <t>1136</t>
  </si>
  <si>
    <t>SALE MOOR</t>
  </si>
  <si>
    <t>per DD - it is £1343.73</t>
  </si>
  <si>
    <t>SHR082</t>
  </si>
  <si>
    <t>1137</t>
  </si>
  <si>
    <t>SANDBACH</t>
  </si>
  <si>
    <t>SHR083</t>
  </si>
  <si>
    <t>1138</t>
  </si>
  <si>
    <t>SHIFNAL</t>
  </si>
  <si>
    <t>per DD - it is £1666.93</t>
  </si>
  <si>
    <t>SHR083S</t>
  </si>
  <si>
    <t>0444409</t>
  </si>
  <si>
    <t>ALBRIGHTON</t>
  </si>
  <si>
    <t>SHR085</t>
  </si>
  <si>
    <t>1139</t>
  </si>
  <si>
    <t>St Peter &amp; St Raphael (St Peter)</t>
  </si>
  <si>
    <t>STALYBRIDGE</t>
  </si>
  <si>
    <t>SHR086</t>
  </si>
  <si>
    <t>1140</t>
  </si>
  <si>
    <t>St Raphael (CLOSED)</t>
  </si>
  <si>
    <t>STAYLYBRIDGE</t>
  </si>
  <si>
    <t>SHR088</t>
  </si>
  <si>
    <t>1142</t>
  </si>
  <si>
    <t>Our Lady &amp; The Apostle</t>
  </si>
  <si>
    <t>STOCKPORT</t>
  </si>
  <si>
    <t>SHR089</t>
  </si>
  <si>
    <t>1143</t>
  </si>
  <si>
    <t>St Ambrose</t>
  </si>
  <si>
    <t>per DD - it is £688.77</t>
  </si>
  <si>
    <t>SHR090</t>
  </si>
  <si>
    <t>1144</t>
  </si>
  <si>
    <t>SHR091</t>
  </si>
  <si>
    <t>1145</t>
  </si>
  <si>
    <t>SHR092</t>
  </si>
  <si>
    <t>1146</t>
  </si>
  <si>
    <t>St Philip the Apostle</t>
  </si>
  <si>
    <t>SHR093</t>
  </si>
  <si>
    <t>1147</t>
  </si>
  <si>
    <t>St Monica</t>
  </si>
  <si>
    <t>APPLETON</t>
  </si>
  <si>
    <t>SHR094</t>
  </si>
  <si>
    <t>1148</t>
  </si>
  <si>
    <t>St Thomas Becket</t>
  </si>
  <si>
    <t>TARPORLEY</t>
  </si>
  <si>
    <t>SHR094S</t>
  </si>
  <si>
    <t>0444419</t>
  </si>
  <si>
    <t>St Cuthbert</t>
  </si>
  <si>
    <t>MOULDSWORTH</t>
  </si>
  <si>
    <t>SHR095</t>
  </si>
  <si>
    <t>1149</t>
  </si>
  <si>
    <t>TELFORD</t>
  </si>
  <si>
    <t>SHR097</t>
  </si>
  <si>
    <t>1151</t>
  </si>
  <si>
    <t>Our Lady of the Rosary and St Luke</t>
  </si>
  <si>
    <t>SHR097S</t>
  </si>
  <si>
    <t>0444374</t>
  </si>
  <si>
    <t>Chapel of Christ the King</t>
  </si>
  <si>
    <t>SHR098</t>
  </si>
  <si>
    <t>1152</t>
  </si>
  <si>
    <t>The Good Shepherd (St Mary)</t>
  </si>
  <si>
    <t>SHR098L</t>
  </si>
  <si>
    <t>0444451</t>
  </si>
  <si>
    <t>The Good Shepherd (St Paul)</t>
  </si>
  <si>
    <t>SHR100</t>
  </si>
  <si>
    <t>1154</t>
  </si>
  <si>
    <t>UPTON</t>
  </si>
  <si>
    <t>SHR101</t>
  </si>
  <si>
    <t>1155</t>
  </si>
  <si>
    <t>WALLASEY</t>
  </si>
  <si>
    <t>SHR102</t>
  </si>
  <si>
    <t>1156</t>
  </si>
  <si>
    <t>St Joseph &amp; St Alban (Our Lady Star of the Sea and St Joseph)</t>
  </si>
  <si>
    <t>per DD - it is £zero</t>
  </si>
  <si>
    <t>SHR103</t>
  </si>
  <si>
    <t>1157</t>
  </si>
  <si>
    <t>SHR104</t>
  </si>
  <si>
    <t>1158</t>
  </si>
  <si>
    <t>St Joseph &amp; St Alban (St Alban)</t>
  </si>
  <si>
    <t>SHR105</t>
  </si>
  <si>
    <t>1159</t>
  </si>
  <si>
    <t>Ss' Peter, Paul &amp; Philomena</t>
  </si>
  <si>
    <t>combined with SHR106-1160</t>
  </si>
  <si>
    <t>SHR106</t>
  </si>
  <si>
    <t>1160</t>
  </si>
  <si>
    <t>Holy Apostles &amp; Martyrs</t>
  </si>
  <si>
    <t>combined with SHR105-1159</t>
  </si>
  <si>
    <t>SHR107</t>
  </si>
  <si>
    <t>1161</t>
  </si>
  <si>
    <t>Parish of St John Vianney (St Bede)</t>
  </si>
  <si>
    <t>WEAVERHAM</t>
  </si>
  <si>
    <t>SHR108</t>
  </si>
  <si>
    <t>1162</t>
  </si>
  <si>
    <t>St Agnes</t>
  </si>
  <si>
    <t>WEST KIRBY</t>
  </si>
  <si>
    <t>per DD - it is £1313.85</t>
  </si>
  <si>
    <t>SHR109</t>
  </si>
  <si>
    <t>1163</t>
  </si>
  <si>
    <t>WHALEY BRIDGE</t>
  </si>
  <si>
    <t>SHR109S</t>
  </si>
  <si>
    <t>0444408</t>
  </si>
  <si>
    <t>Disley Methodist Church</t>
  </si>
  <si>
    <t>DISLEY</t>
  </si>
  <si>
    <t>SHR110</t>
  </si>
  <si>
    <t>1164</t>
  </si>
  <si>
    <t>St George Protector of England</t>
  </si>
  <si>
    <t>WHITCHURCH</t>
  </si>
  <si>
    <t>SHR111</t>
  </si>
  <si>
    <t>1165</t>
  </si>
  <si>
    <t>Sacred Heart &amp; St Teresa</t>
  </si>
  <si>
    <t>WILMSLOW</t>
  </si>
  <si>
    <t>SHR112</t>
  </si>
  <si>
    <t>1166</t>
  </si>
  <si>
    <t>WINSFORD</t>
  </si>
  <si>
    <t>per DD - it is £1115.07</t>
  </si>
  <si>
    <t>SHR114</t>
  </si>
  <si>
    <t>1167</t>
  </si>
  <si>
    <t>Sacred Heart &amp; St Peter</t>
  </si>
  <si>
    <t>WYTHENSHAWE</t>
  </si>
  <si>
    <t>SHR115</t>
  </si>
  <si>
    <t>1168</t>
  </si>
  <si>
    <t>St Hilda &amp; St Aidan (St Aidan)</t>
  </si>
  <si>
    <t>SHR116</t>
  </si>
  <si>
    <t>1169</t>
  </si>
  <si>
    <t>Our Lady Queen of Peace (St Anthony)</t>
  </si>
  <si>
    <t>SHR117</t>
  </si>
  <si>
    <t>1170</t>
  </si>
  <si>
    <t>Our Lady Queen of Peace (St Elizabeth)</t>
  </si>
  <si>
    <t>SHR118</t>
  </si>
  <si>
    <t>1171</t>
  </si>
  <si>
    <t>St Hilda (St Hilda &amp; St Aidan Parish)</t>
  </si>
  <si>
    <t>SHR119</t>
  </si>
  <si>
    <t>1172</t>
  </si>
  <si>
    <t>Our Lady Queen of Peace (St Luke)</t>
  </si>
  <si>
    <t>per DD - it is £67.51</t>
  </si>
  <si>
    <t>SHR999</t>
  </si>
  <si>
    <t>1176</t>
  </si>
  <si>
    <t>Shrewsbury Diocese Various</t>
  </si>
  <si>
    <t>banking per DD + SHR102 £504.87 per annual return</t>
  </si>
  <si>
    <t>SOU</t>
  </si>
  <si>
    <t>SOU001</t>
  </si>
  <si>
    <t>1178</t>
  </si>
  <si>
    <t>Metropolitan Cathedral Church of St George</t>
  </si>
  <si>
    <t>SOUTHWARK</t>
  </si>
  <si>
    <t>SOU002</t>
  </si>
  <si>
    <t>1179</t>
  </si>
  <si>
    <t>ABBEY WOOD</t>
  </si>
  <si>
    <t>SOU002S</t>
  </si>
  <si>
    <t>0444556</t>
  </si>
  <si>
    <t>ERITH</t>
  </si>
  <si>
    <t>SOU002X</t>
  </si>
  <si>
    <t>1180</t>
  </si>
  <si>
    <t>SOU003</t>
  </si>
  <si>
    <t>1181</t>
  </si>
  <si>
    <t>ADDISCOMBE</t>
  </si>
  <si>
    <t>per DD - it is £1886.48</t>
  </si>
  <si>
    <t>SOU004</t>
  </si>
  <si>
    <t>1182</t>
  </si>
  <si>
    <t>ANERLEY</t>
  </si>
  <si>
    <t>SOU005</t>
  </si>
  <si>
    <t>1183</t>
  </si>
  <si>
    <t>St Teresa of Avila Parish</t>
  </si>
  <si>
    <t>ASHFORD</t>
  </si>
  <si>
    <t>SOU005S</t>
  </si>
  <si>
    <t>0444393</t>
  </si>
  <si>
    <t>St Ambrose (Chapel of Ease)</t>
  </si>
  <si>
    <t>WYE</t>
  </si>
  <si>
    <t>SOU005X</t>
  </si>
  <si>
    <t>1184</t>
  </si>
  <si>
    <t>St Simon Stock</t>
  </si>
  <si>
    <t>ASHFORD (SOUTH)</t>
  </si>
  <si>
    <t>per DD - it is £520.62</t>
  </si>
  <si>
    <t>SOU006</t>
  </si>
  <si>
    <t>1185</t>
  </si>
  <si>
    <t>St Finbarr (Parish of the Good Shepherd)</t>
  </si>
  <si>
    <t>AYLESHAM</t>
  </si>
  <si>
    <t>per DD - it is £384.10</t>
  </si>
  <si>
    <t>SOU006S</t>
  </si>
  <si>
    <t>0444564</t>
  </si>
  <si>
    <t>Church of England - St Mary's Mass Centre (Parish of the Good Shepherd)</t>
  </si>
  <si>
    <t>WINGHAM</t>
  </si>
  <si>
    <t>SOU006S2</t>
  </si>
  <si>
    <t>0444552</t>
  </si>
  <si>
    <t>Our Lady of the Holy Apostles (Parish of the Good Shepherd)</t>
  </si>
  <si>
    <t>EYTHORNE</t>
  </si>
  <si>
    <t>SOU007</t>
  </si>
  <si>
    <t>1186</t>
  </si>
  <si>
    <t>Church of the Holy Ghost</t>
  </si>
  <si>
    <t>BALHAM</t>
  </si>
  <si>
    <t>SOU008</t>
  </si>
  <si>
    <t>1187</t>
  </si>
  <si>
    <t>BARNES</t>
  </si>
  <si>
    <t>SOU009</t>
  </si>
  <si>
    <t>1188</t>
  </si>
  <si>
    <t>Our Lady of Mount Carmel &amp; St Joseph</t>
  </si>
  <si>
    <t>BATTERSEA PARK</t>
  </si>
  <si>
    <t>SOU010</t>
  </si>
  <si>
    <t>1189</t>
  </si>
  <si>
    <t>BATTERSEA (WEST)</t>
  </si>
  <si>
    <t>per DD - it is £1051  (Diff £20: Grand Total stated £1070)</t>
  </si>
  <si>
    <t>SOU011</t>
  </si>
  <si>
    <t>1190</t>
  </si>
  <si>
    <t>BEARSTED</t>
  </si>
  <si>
    <t>SOU011S</t>
  </si>
  <si>
    <t>0444555</t>
  </si>
  <si>
    <t>Good Shepherd</t>
  </si>
  <si>
    <t>HARRIETSHAM</t>
  </si>
  <si>
    <t>SOU012</t>
  </si>
  <si>
    <t>1191</t>
  </si>
  <si>
    <t>St Edmund of Canterbury</t>
  </si>
  <si>
    <t>BECKENHAM</t>
  </si>
  <si>
    <t>SOU013</t>
  </si>
  <si>
    <t>1192</t>
  </si>
  <si>
    <t>The Annunciation &amp; St Augustine RC Church</t>
  </si>
  <si>
    <t>BECKENHAM HILL</t>
  </si>
  <si>
    <t>SOU014</t>
  </si>
  <si>
    <t>1193</t>
  </si>
  <si>
    <t>BERMONDSEY</t>
  </si>
  <si>
    <t>SOU015</t>
  </si>
  <si>
    <t>1195</t>
  </si>
  <si>
    <t>St Gertrude</t>
  </si>
  <si>
    <t>SOUTH BERMONDSEY</t>
  </si>
  <si>
    <t>amount appears inDio Acc column but are chqs received in Ecc Sq</t>
  </si>
  <si>
    <t>SOU016</t>
  </si>
  <si>
    <t>1196</t>
  </si>
  <si>
    <t>Our Lady of La Salette &amp; St Joseph RC Church</t>
  </si>
  <si>
    <t>same amount appears in both columns in return</t>
  </si>
  <si>
    <t>SOU017</t>
  </si>
  <si>
    <t>1198</t>
  </si>
  <si>
    <t>BEXLEY</t>
  </si>
  <si>
    <t>SOU018</t>
  </si>
  <si>
    <t>1199</t>
  </si>
  <si>
    <t>BEXLEYHEATH</t>
  </si>
  <si>
    <t>SOU019</t>
  </si>
  <si>
    <t>1200</t>
  </si>
  <si>
    <t>BOSTALL PARK</t>
  </si>
  <si>
    <t>SOU020</t>
  </si>
  <si>
    <t>1201</t>
  </si>
  <si>
    <t>St Theresa of the Infant Jesus</t>
  </si>
  <si>
    <t>BIGGIN HILL</t>
  </si>
  <si>
    <t>SOU021</t>
  </si>
  <si>
    <t>1202</t>
  </si>
  <si>
    <t>Parish of Holy Family (Our Lady &amp; St Benedict)</t>
  </si>
  <si>
    <t>BIRCHINGTON</t>
  </si>
  <si>
    <t>SOU021S</t>
  </si>
  <si>
    <t>0444636</t>
  </si>
  <si>
    <t>Christ Church (U. R. C.)</t>
  </si>
  <si>
    <t>WESTGATE ON SEA</t>
  </si>
  <si>
    <t>SOU022</t>
  </si>
  <si>
    <t>1203</t>
  </si>
  <si>
    <t>BLACKFEN</t>
  </si>
  <si>
    <t>SOU023</t>
  </si>
  <si>
    <t>1204</t>
  </si>
  <si>
    <t>BLACKHEATH VILLAGE</t>
  </si>
  <si>
    <t>SOU024</t>
  </si>
  <si>
    <t>1205</t>
  </si>
  <si>
    <t>Church of the Most Precious Blood</t>
  </si>
  <si>
    <t>BOROUGH</t>
  </si>
  <si>
    <t>SOU025</t>
  </si>
  <si>
    <t>1206</t>
  </si>
  <si>
    <t>BRIXTON HILL</t>
  </si>
  <si>
    <t>per DD - it is £1136.60</t>
  </si>
  <si>
    <t>SOU026</t>
  </si>
  <si>
    <t>1207</t>
  </si>
  <si>
    <t>BROADSTAIRS</t>
  </si>
  <si>
    <t>SOU027</t>
  </si>
  <si>
    <t>1208</t>
  </si>
  <si>
    <t>St Mary Magdalen</t>
  </si>
  <si>
    <t>BROCKLEY</t>
  </si>
  <si>
    <t>SOU028</t>
  </si>
  <si>
    <t>1209</t>
  </si>
  <si>
    <t>BROMLEY</t>
  </si>
  <si>
    <t>SOU029</t>
  </si>
  <si>
    <t>1210</t>
  </si>
  <si>
    <t>St Swithin</t>
  </si>
  <si>
    <t>BROMLEY COMMON</t>
  </si>
  <si>
    <t>per DD - it is £555.23</t>
  </si>
  <si>
    <t>SOU030</t>
  </si>
  <si>
    <t>1211</t>
  </si>
  <si>
    <t>Our Lady of Dover</t>
  </si>
  <si>
    <t>BUCKLAND</t>
  </si>
  <si>
    <t>per DD - it is £469.90</t>
  </si>
  <si>
    <t>SOU030S</t>
  </si>
  <si>
    <t>0444640</t>
  </si>
  <si>
    <t>St Francis Chapel</t>
  </si>
  <si>
    <t>ST MARGARET'S-AT-CLIFFE</t>
  </si>
  <si>
    <t>SOU031</t>
  </si>
  <si>
    <t>1212</t>
  </si>
  <si>
    <t>CAMBERWELL</t>
  </si>
  <si>
    <t>SOU032</t>
  </si>
  <si>
    <t>1213</t>
  </si>
  <si>
    <t>CANTERBURY</t>
  </si>
  <si>
    <t>per DD - it is £2127.20</t>
  </si>
  <si>
    <t>SOU033</t>
  </si>
  <si>
    <t>1215</t>
  </si>
  <si>
    <t>CARSHALTON</t>
  </si>
  <si>
    <t>per DD - it is £1962.91</t>
  </si>
  <si>
    <t>SOU034</t>
  </si>
  <si>
    <t>1216</t>
  </si>
  <si>
    <t>St Margaret's</t>
  </si>
  <si>
    <t>CARSHALTON BEECHES</t>
  </si>
  <si>
    <t>SOU035</t>
  </si>
  <si>
    <t>1217</t>
  </si>
  <si>
    <t>CATFORD</t>
  </si>
  <si>
    <t>SOU036</t>
  </si>
  <si>
    <t>1218</t>
  </si>
  <si>
    <t>CHARLTON</t>
  </si>
  <si>
    <t>SOU037</t>
  </si>
  <si>
    <t>1219</t>
  </si>
  <si>
    <t>St Michael the Archangel</t>
  </si>
  <si>
    <t>CHATHAM</t>
  </si>
  <si>
    <t>SOU037S</t>
  </si>
  <si>
    <t>0444551</t>
  </si>
  <si>
    <t>St. Paulinus</t>
  </si>
  <si>
    <t>OLD BROMPTON</t>
  </si>
  <si>
    <t>SOU037S2</t>
  </si>
  <si>
    <t>0444550</t>
  </si>
  <si>
    <t>SOU038</t>
  </si>
  <si>
    <t>1220</t>
  </si>
  <si>
    <t>St Christopher's RC Church</t>
  </si>
  <si>
    <t>CHEAM</t>
  </si>
  <si>
    <t>per DD - it is £196.36</t>
  </si>
  <si>
    <t>SOU039</t>
  </si>
  <si>
    <t>1221</t>
  </si>
  <si>
    <t>St Catherine of Siena</t>
  </si>
  <si>
    <t>CHESSINGTON &amp; HOOK</t>
  </si>
  <si>
    <t>SOU040</t>
  </si>
  <si>
    <t>1222</t>
  </si>
  <si>
    <t>CHISLEHURST</t>
  </si>
  <si>
    <t>per DD - it is £666.05</t>
  </si>
  <si>
    <t>SOU041</t>
  </si>
  <si>
    <t>1223</t>
  </si>
  <si>
    <t>CHISLEHURST WEST</t>
  </si>
  <si>
    <t>per DD - it is £479.13</t>
  </si>
  <si>
    <t>SOU042</t>
  </si>
  <si>
    <t>1224</t>
  </si>
  <si>
    <t>St Mary's - Our Immaculate Lady of Victories</t>
  </si>
  <si>
    <t>CLAPHAM</t>
  </si>
  <si>
    <t>SOU043</t>
  </si>
  <si>
    <t>1225</t>
  </si>
  <si>
    <t>St Vincent de Paul Catholic Church</t>
  </si>
  <si>
    <t>BATTERSEA ALTENBURG GARDENS</t>
  </si>
  <si>
    <t>SOU043S</t>
  </si>
  <si>
    <t>0444377</t>
  </si>
  <si>
    <t>Croatian National Chaplaincy</t>
  </si>
  <si>
    <t>SOU044</t>
  </si>
  <si>
    <t>1226</t>
  </si>
  <si>
    <t>CLAPHAM PARK</t>
  </si>
  <si>
    <t>SOU045</t>
  </si>
  <si>
    <t>1227</t>
  </si>
  <si>
    <t>Parish of SS Austin &amp; Gregory (St Anne RC Church)</t>
  </si>
  <si>
    <t>CLIFTONVILLE</t>
  </si>
  <si>
    <t>SOU046</t>
  </si>
  <si>
    <t>1228</t>
  </si>
  <si>
    <t>COLLIERS WOOD</t>
  </si>
  <si>
    <t>SOU047</t>
  </si>
  <si>
    <t>1229</t>
  </si>
  <si>
    <t>St Aidan RC Church</t>
  </si>
  <si>
    <t>COULSDON</t>
  </si>
  <si>
    <t>SOU048</t>
  </si>
  <si>
    <t>1230</t>
  </si>
  <si>
    <t>St Theodore RC Church</t>
  </si>
  <si>
    <t>CRANBROOK</t>
  </si>
  <si>
    <t>SOU048S</t>
  </si>
  <si>
    <t>0444562</t>
  </si>
  <si>
    <t>Catholic Chapel</t>
  </si>
  <si>
    <t>BENENDEN</t>
  </si>
  <si>
    <t>SOU049</t>
  </si>
  <si>
    <t>1231</t>
  </si>
  <si>
    <t>St Mary of the Crays RC Church</t>
  </si>
  <si>
    <t>CRAYFORD</t>
  </si>
  <si>
    <t>SOU050</t>
  </si>
  <si>
    <t>1232</t>
  </si>
  <si>
    <t>St Mary's (Our Lady of Reparation)</t>
  </si>
  <si>
    <t>CROYDON WEST</t>
  </si>
  <si>
    <t>SOU051</t>
  </si>
  <si>
    <t>1233</t>
  </si>
  <si>
    <t>SOUTH CROYDON</t>
  </si>
  <si>
    <t>2nd banking using machine for coins</t>
  </si>
  <si>
    <t>SOU052</t>
  </si>
  <si>
    <t>1234</t>
  </si>
  <si>
    <t>DARTFORD</t>
  </si>
  <si>
    <t>per DD - it is £4657.25</t>
  </si>
  <si>
    <t>SOU052S</t>
  </si>
  <si>
    <t>0444386</t>
  </si>
  <si>
    <t>SOUTH DARENTH</t>
  </si>
  <si>
    <t>SOU052X</t>
  </si>
  <si>
    <t>1235</t>
  </si>
  <si>
    <t>St  Vincent RC Church</t>
  </si>
  <si>
    <t>per DD - it is £988.31</t>
  </si>
  <si>
    <t>SOU053</t>
  </si>
  <si>
    <t>1236</t>
  </si>
  <si>
    <t>DEAL</t>
  </si>
  <si>
    <t>SOU054</t>
  </si>
  <si>
    <t>1237</t>
  </si>
  <si>
    <t>DEPTFORD</t>
  </si>
  <si>
    <t>per DD - it is £807.40   (exclude £120 individual donation in Ecc Sq column [without paperwork (per LS)])</t>
  </si>
  <si>
    <t>SOU055</t>
  </si>
  <si>
    <t>1238</t>
  </si>
  <si>
    <t>St Paul (Parish of the Good Shepherd)</t>
  </si>
  <si>
    <t>DOVER</t>
  </si>
  <si>
    <t>per DD - it is £1023.57</t>
  </si>
  <si>
    <t>SOU056</t>
  </si>
  <si>
    <t>1239</t>
  </si>
  <si>
    <t>The Good Shepherd RC Church</t>
  </si>
  <si>
    <t>DOWNHAM</t>
  </si>
  <si>
    <t>per DD - it is £1408.79</t>
  </si>
  <si>
    <t>SOU057</t>
  </si>
  <si>
    <t>1240</t>
  </si>
  <si>
    <t>DULWICH</t>
  </si>
  <si>
    <t>per DD - it is £308.30</t>
  </si>
  <si>
    <t>SOU058</t>
  </si>
  <si>
    <t>1241</t>
  </si>
  <si>
    <t>DULWICH WOOD PARK</t>
  </si>
  <si>
    <t>SOU059</t>
  </si>
  <si>
    <t>1242</t>
  </si>
  <si>
    <t>EARLSFIELD</t>
  </si>
  <si>
    <t>SOU060</t>
  </si>
  <si>
    <t>1243</t>
  </si>
  <si>
    <t>EAST SHEEN</t>
  </si>
  <si>
    <t>SOU061</t>
  </si>
  <si>
    <t>1244</t>
  </si>
  <si>
    <t>St Lawrence RC Church</t>
  </si>
  <si>
    <t>EDENBRIDGE</t>
  </si>
  <si>
    <t>SOU062</t>
  </si>
  <si>
    <t>1245</t>
  </si>
  <si>
    <t>Christchurch RC Church</t>
  </si>
  <si>
    <t>ELTHAM</t>
  </si>
  <si>
    <t>SOU063</t>
  </si>
  <si>
    <t>1246</t>
  </si>
  <si>
    <t>ELTHAM WELL HALL</t>
  </si>
  <si>
    <t>SOU064</t>
  </si>
  <si>
    <t>1247</t>
  </si>
  <si>
    <t>SOU065</t>
  </si>
  <si>
    <t>1248</t>
  </si>
  <si>
    <t>per DD - it is £830.67</t>
  </si>
  <si>
    <t>SOU066</t>
  </si>
  <si>
    <t>1249</t>
  </si>
  <si>
    <t>FAVERSHAM</t>
  </si>
  <si>
    <t>SOU066S</t>
  </si>
  <si>
    <t>0444561</t>
  </si>
  <si>
    <t>Methodist Church</t>
  </si>
  <si>
    <t>TEYNHAM</t>
  </si>
  <si>
    <t>SOU067</t>
  </si>
  <si>
    <t>1250</t>
  </si>
  <si>
    <t>Parish of Our Lady &amp; St Joseph (Our Lady Help of Christians &amp; St Aloysius)</t>
  </si>
  <si>
    <t>FOLKESTONE</t>
  </si>
  <si>
    <t>SOU068</t>
  </si>
  <si>
    <t>1251</t>
  </si>
  <si>
    <t>Parish of Our Lady &amp; St Joseph (St Joseph RC Church)</t>
  </si>
  <si>
    <t>FOLKESTONE WEST</t>
  </si>
  <si>
    <t>SOU069</t>
  </si>
  <si>
    <t>1252</t>
  </si>
  <si>
    <t>St William of York</t>
  </si>
  <si>
    <t>FOREST HILL</t>
  </si>
  <si>
    <t>SOU070</t>
  </si>
  <si>
    <t>1253</t>
  </si>
  <si>
    <t>Our Lady of Gillingham</t>
  </si>
  <si>
    <t>SOU071</t>
  </si>
  <si>
    <t>1254</t>
  </si>
  <si>
    <t>GOUDHURST</t>
  </si>
  <si>
    <t>SOU071S</t>
  </si>
  <si>
    <t>0444563</t>
  </si>
  <si>
    <t>St Barnabas</t>
  </si>
  <si>
    <t>HAWKHURST</t>
  </si>
  <si>
    <t>SOU072</t>
  </si>
  <si>
    <t>1255</t>
  </si>
  <si>
    <t>GRAVESEND</t>
  </si>
  <si>
    <t>SOU072A</t>
  </si>
  <si>
    <t>1256</t>
  </si>
  <si>
    <t>MEOPHAM</t>
  </si>
  <si>
    <t>SOU072S</t>
  </si>
  <si>
    <t>0444554</t>
  </si>
  <si>
    <t>DENTON</t>
  </si>
  <si>
    <t>SOU073</t>
  </si>
  <si>
    <t>1257</t>
  </si>
  <si>
    <t>GREENWICH</t>
  </si>
  <si>
    <t>SOU074</t>
  </si>
  <si>
    <t>1259</t>
  </si>
  <si>
    <t>SOU075</t>
  </si>
  <si>
    <t>1260</t>
  </si>
  <si>
    <t>Oratory of St Francis de Sales</t>
  </si>
  <si>
    <t>HARTLEY</t>
  </si>
  <si>
    <t>SOU076</t>
  </si>
  <si>
    <t>1261</t>
  </si>
  <si>
    <t>HAYES</t>
  </si>
  <si>
    <t>SOU078</t>
  </si>
  <si>
    <t>1263</t>
  </si>
  <si>
    <t>HERNE BAY</t>
  </si>
  <si>
    <t>per DD - it is £2143.07</t>
  </si>
  <si>
    <t>SOU079</t>
  </si>
  <si>
    <t>1264</t>
  </si>
  <si>
    <t>HERNE HILL</t>
  </si>
  <si>
    <t>SOU080</t>
  </si>
  <si>
    <t>1265</t>
  </si>
  <si>
    <t>HERSDEN</t>
  </si>
  <si>
    <t>SOU081</t>
  </si>
  <si>
    <t>1266</t>
  </si>
  <si>
    <t>The Virgin Mother of Good Counsel RC Church</t>
  </si>
  <si>
    <t>SOU081S</t>
  </si>
  <si>
    <t>0444630</t>
  </si>
  <si>
    <t>DYMCHURCH</t>
  </si>
  <si>
    <t>SOU081X</t>
  </si>
  <si>
    <t>1267</t>
  </si>
  <si>
    <t>PORTUGUESE,ITALIAN &amp; FILIPINO MISSION</t>
  </si>
  <si>
    <t>SOU082</t>
  </si>
  <si>
    <t>1268</t>
  </si>
  <si>
    <t>Our Lady of Loreto &amp; St Winefride</t>
  </si>
  <si>
    <t>KEW GARDENS</t>
  </si>
  <si>
    <t>SOU083</t>
  </si>
  <si>
    <t>1269</t>
  </si>
  <si>
    <t>KIDBROOKE</t>
  </si>
  <si>
    <t>SOU084</t>
  </si>
  <si>
    <t>1270</t>
  </si>
  <si>
    <t>KINGSTON HILL</t>
  </si>
  <si>
    <t>SOU085</t>
  </si>
  <si>
    <t>1271</t>
  </si>
  <si>
    <t>St Agatha RC Church</t>
  </si>
  <si>
    <t>KINGSTON</t>
  </si>
  <si>
    <t>SOU086</t>
  </si>
  <si>
    <t>1272</t>
  </si>
  <si>
    <t>St Francis de Sales &amp; St Gertrude RC Church</t>
  </si>
  <si>
    <t>STOCKWELL</t>
  </si>
  <si>
    <t>SOU087</t>
  </si>
  <si>
    <t>1273</t>
  </si>
  <si>
    <t>LEE</t>
  </si>
  <si>
    <t>SOU088</t>
  </si>
  <si>
    <t>1274</t>
  </si>
  <si>
    <t>St Saviour &amp; St John Baptist &amp; Evangelist</t>
  </si>
  <si>
    <t>LEWISHAM</t>
  </si>
  <si>
    <t>SOU089</t>
  </si>
  <si>
    <t>1275</t>
  </si>
  <si>
    <t>St Francis RC Parish</t>
  </si>
  <si>
    <t>MAIDSTONE</t>
  </si>
  <si>
    <t>SOU089S</t>
  </si>
  <si>
    <t>0444392</t>
  </si>
  <si>
    <t>St Luke's Chapel</t>
  </si>
  <si>
    <t>PRESTON HALL</t>
  </si>
  <si>
    <t>SOU089S2</t>
  </si>
  <si>
    <t>0444553</t>
  </si>
  <si>
    <t>The Chapel of Our Lady</t>
  </si>
  <si>
    <t>ALLERTON-BYWATER</t>
  </si>
  <si>
    <t>SOU089X</t>
  </si>
  <si>
    <t>1276</t>
  </si>
  <si>
    <t>Shrine of Our Lady &amp; St Simon Stock</t>
  </si>
  <si>
    <t>AYLESFORD</t>
  </si>
  <si>
    <t>SOU090</t>
  </si>
  <si>
    <t>1277</t>
  </si>
  <si>
    <t>St Austin &amp; St Gregory RC Church</t>
  </si>
  <si>
    <t>MARGATE</t>
  </si>
  <si>
    <t>SOU091</t>
  </si>
  <si>
    <t>1278</t>
  </si>
  <si>
    <t>MERTON</t>
  </si>
  <si>
    <t>SOU093</t>
  </si>
  <si>
    <t>1280</t>
  </si>
  <si>
    <t>MITCHAM</t>
  </si>
  <si>
    <t>SOU095</t>
  </si>
  <si>
    <t>1281</t>
  </si>
  <si>
    <t>MONGEHAM &amp; SANDWICH</t>
  </si>
  <si>
    <t>SOU095S</t>
  </si>
  <si>
    <t>0444641</t>
  </si>
  <si>
    <t>St Andrew</t>
  </si>
  <si>
    <t>SOU096</t>
  </si>
  <si>
    <t>1282</t>
  </si>
  <si>
    <t>MORDEN</t>
  </si>
  <si>
    <t>per DD - it is £299.17</t>
  </si>
  <si>
    <t>SOU097</t>
  </si>
  <si>
    <t>1283</t>
  </si>
  <si>
    <t>MORTLAKE</t>
  </si>
  <si>
    <t>per DD - it is £495.16</t>
  </si>
  <si>
    <t>SOU098</t>
  </si>
  <si>
    <t>1284</t>
  </si>
  <si>
    <t>MOTTINGHAM</t>
  </si>
  <si>
    <t>SOU098S</t>
  </si>
  <si>
    <t>0444525</t>
  </si>
  <si>
    <t>All Saints Church (Church of England)</t>
  </si>
  <si>
    <t>SOU099</t>
  </si>
  <si>
    <t>1285</t>
  </si>
  <si>
    <t>Good Shepherd RC Church</t>
  </si>
  <si>
    <t>NEW ADDINGTON</t>
  </si>
  <si>
    <t>SOU100</t>
  </si>
  <si>
    <t>1286</t>
  </si>
  <si>
    <t>KENNINGTON PARK</t>
  </si>
  <si>
    <t>SOU101</t>
  </si>
  <si>
    <t>1287</t>
  </si>
  <si>
    <t>NEW MALDEN</t>
  </si>
  <si>
    <t>SOU102</t>
  </si>
  <si>
    <t>1288</t>
  </si>
  <si>
    <t>NORBITON</t>
  </si>
  <si>
    <r>
      <rPr>
        <sz val="10"/>
        <rFont val="Arial"/>
        <family val="2"/>
      </rPr>
      <t xml:space="preserve">per DD - it is £1068.50   </t>
    </r>
    <r>
      <rPr>
        <strike/>
        <sz val="10"/>
        <color rgb="FFFF0000"/>
        <rFont val="Arial"/>
        <family val="2"/>
      </rPr>
      <t xml:space="preserve"> (£25 chq from Elizabeth Buckland not included in Grand Total but is in Dio Bank Acc column)</t>
    </r>
  </si>
  <si>
    <t>SOU103</t>
  </si>
  <si>
    <t>1289</t>
  </si>
  <si>
    <t>St Bartholomew RC Church</t>
  </si>
  <si>
    <t>NORBURY</t>
  </si>
  <si>
    <t>SOU104</t>
  </si>
  <si>
    <t>1290</t>
  </si>
  <si>
    <t>NORTH CHEAM</t>
  </si>
  <si>
    <t>per DD - it is £452.20</t>
  </si>
  <si>
    <t>SOU105</t>
  </si>
  <si>
    <t>1291</t>
  </si>
  <si>
    <t>NORTHFLEET</t>
  </si>
  <si>
    <t>SOU106</t>
  </si>
  <si>
    <t>1292</t>
  </si>
  <si>
    <t>St Chad RC Church</t>
  </si>
  <si>
    <t>NORWOOD SOUTH</t>
  </si>
  <si>
    <t>SOU107</t>
  </si>
  <si>
    <t>1293</t>
  </si>
  <si>
    <t>The Faithful Virgin RC Parish</t>
  </si>
  <si>
    <t>NORWOOD UPPER</t>
  </si>
  <si>
    <t>SOU108</t>
  </si>
  <si>
    <t>1294</t>
  </si>
  <si>
    <t>St Matthew RC Church</t>
  </si>
  <si>
    <t>NORWOOD WEST</t>
  </si>
  <si>
    <t>SOU109</t>
  </si>
  <si>
    <t>1295</t>
  </si>
  <si>
    <t>St Thomas the Apostle</t>
  </si>
  <si>
    <t>NUNHEAD</t>
  </si>
  <si>
    <t>SOU110</t>
  </si>
  <si>
    <t>1296</t>
  </si>
  <si>
    <t>St Mary Help of Christians RC Church</t>
  </si>
  <si>
    <t>OLD COULSDON</t>
  </si>
  <si>
    <t>SOU111</t>
  </si>
  <si>
    <t>1297</t>
  </si>
  <si>
    <t>Holy Innocents RC Church</t>
  </si>
  <si>
    <t>ORPINGTON</t>
  </si>
  <si>
    <t>SOU112</t>
  </si>
  <si>
    <t>1298</t>
  </si>
  <si>
    <t>MAIDSTONE SOUTH</t>
  </si>
  <si>
    <t>per DD - it is £347.21</t>
  </si>
  <si>
    <t>SOU112S</t>
  </si>
  <si>
    <t>0444631</t>
  </si>
  <si>
    <t>HEADCORN</t>
  </si>
  <si>
    <t>SOU113</t>
  </si>
  <si>
    <t>1299</t>
  </si>
  <si>
    <t>PECKHAM</t>
  </si>
  <si>
    <t>SOU114</t>
  </si>
  <si>
    <t>1300</t>
  </si>
  <si>
    <t>St James the Great RC Church</t>
  </si>
  <si>
    <t>PECKHAM RYE</t>
  </si>
  <si>
    <t>SOU115</t>
  </si>
  <si>
    <t>1301</t>
  </si>
  <si>
    <t>St Justus</t>
  </si>
  <si>
    <t>PADDOCK WOOD</t>
  </si>
  <si>
    <t>SOU116</t>
  </si>
  <si>
    <t>1302</t>
  </si>
  <si>
    <t>St James the Apostle RC Church</t>
  </si>
  <si>
    <t>PETTS WOOD</t>
  </si>
  <si>
    <t>SOU117</t>
  </si>
  <si>
    <t>1303</t>
  </si>
  <si>
    <t>Parish of Holy Cross and St Patrick RC Church (St Patrick's)</t>
  </si>
  <si>
    <t>PLUMSTEAD</t>
  </si>
  <si>
    <t>per DD - it is £1026.72</t>
  </si>
  <si>
    <t>SOU118</t>
  </si>
  <si>
    <t>1304</t>
  </si>
  <si>
    <t>Parish of Holy Cross and St Patrick RC Church (Holy Cross RC Church)</t>
  </si>
  <si>
    <t>PLUMSTEAD COMMON</t>
  </si>
  <si>
    <t>per DD - it is £1484.34</t>
  </si>
  <si>
    <t>SOU118X</t>
  </si>
  <si>
    <t>1305</t>
  </si>
  <si>
    <t>POLLARDS HILL</t>
  </si>
  <si>
    <t>SOU119</t>
  </si>
  <si>
    <t>1306</t>
  </si>
  <si>
    <t>PURLEY</t>
  </si>
  <si>
    <t>per DD - it is £6335.41  (return by email &amp; excel file - list of donors)</t>
  </si>
  <si>
    <t>SOU119S</t>
  </si>
  <si>
    <t>0444565</t>
  </si>
  <si>
    <t>The John Fisher School Chapel</t>
  </si>
  <si>
    <t>SOU120</t>
  </si>
  <si>
    <t>1307</t>
  </si>
  <si>
    <t>Our Lady of Pity &amp; St Simon Stock RC Church</t>
  </si>
  <si>
    <t>PUTNEY</t>
  </si>
  <si>
    <t>SOU120S</t>
  </si>
  <si>
    <t>0444391</t>
  </si>
  <si>
    <t>All Saints (Anglican Church)</t>
  </si>
  <si>
    <t>PUTNEY COMMON</t>
  </si>
  <si>
    <t>SOU121</t>
  </si>
  <si>
    <t>1308</t>
  </si>
  <si>
    <t>St Thomas of Canterbury RC Church</t>
  </si>
  <si>
    <t>SOU121X</t>
  </si>
  <si>
    <t>1309</t>
  </si>
  <si>
    <t>PARKWOOD &amp; WIGMORE</t>
  </si>
  <si>
    <t>SOU122</t>
  </si>
  <si>
    <t>1310</t>
  </si>
  <si>
    <t>St Ethelbert &amp; St Gertrude RC Church</t>
  </si>
  <si>
    <t>RAMSGATE &amp; MINSTER</t>
  </si>
  <si>
    <t>per DD - it is £1412.19</t>
  </si>
  <si>
    <t>SOU123</t>
  </si>
  <si>
    <t>1313</t>
  </si>
  <si>
    <t>St Elizabeth of Portugal RC Church</t>
  </si>
  <si>
    <t>RICHMOND</t>
  </si>
  <si>
    <t>per DD - it is £1736</t>
  </si>
  <si>
    <t>SOU123A</t>
  </si>
  <si>
    <t>1314</t>
  </si>
  <si>
    <t>St Thomas Aquinas</t>
  </si>
  <si>
    <t>HAM</t>
  </si>
  <si>
    <t>SOU124</t>
  </si>
  <si>
    <t>1315</t>
  </si>
  <si>
    <t>ROCHESTER</t>
  </si>
  <si>
    <t>per DD - it is £1442.19</t>
  </si>
  <si>
    <t>SOU125</t>
  </si>
  <si>
    <t>1316</t>
  </si>
  <si>
    <t>ROEHAMPTON</t>
  </si>
  <si>
    <t>SOU126</t>
  </si>
  <si>
    <t>1318</t>
  </si>
  <si>
    <t>St Peter &amp; the Guardian Angels RC Church</t>
  </si>
  <si>
    <t>ROTHERHITHE</t>
  </si>
  <si>
    <t>SOU127</t>
  </si>
  <si>
    <t>1319</t>
  </si>
  <si>
    <t>Our Lady of the Crays</t>
  </si>
  <si>
    <t>ST MARY CRAY</t>
  </si>
  <si>
    <t>SOU129</t>
  </si>
  <si>
    <t>1321</t>
  </si>
  <si>
    <t>SANDERSTEAD</t>
  </si>
  <si>
    <t>per DD - it is £752.60</t>
  </si>
  <si>
    <t>SOU130</t>
  </si>
  <si>
    <t>1322</t>
  </si>
  <si>
    <t>SELSDON</t>
  </si>
  <si>
    <t>per DD - it is £1763.76</t>
  </si>
  <si>
    <t>SOU131</t>
  </si>
  <si>
    <t>1323</t>
  </si>
  <si>
    <t>SEVENOAKS</t>
  </si>
  <si>
    <t>SOU131A</t>
  </si>
  <si>
    <t>0444629</t>
  </si>
  <si>
    <t>OTFORD</t>
  </si>
  <si>
    <t>SOU131S</t>
  </si>
  <si>
    <t>0444633</t>
  </si>
  <si>
    <t>BOROUGH GREEN</t>
  </si>
  <si>
    <t>SOU131S2</t>
  </si>
  <si>
    <t>0444637</t>
  </si>
  <si>
    <t>St. Bernadette</t>
  </si>
  <si>
    <t>WEST KINGSDOWN</t>
  </si>
  <si>
    <t>SOU132</t>
  </si>
  <si>
    <t>1324</t>
  </si>
  <si>
    <t>St Henry &amp; St Elizabeth</t>
  </si>
  <si>
    <t>SHEPPEY</t>
  </si>
  <si>
    <t>per DD - it is £684.61</t>
  </si>
  <si>
    <t>SOU132S</t>
  </si>
  <si>
    <t>0444639</t>
  </si>
  <si>
    <t>MINSTER</t>
  </si>
  <si>
    <t>SOU133</t>
  </si>
  <si>
    <t>1325</t>
  </si>
  <si>
    <t>SHOOTERS HILL</t>
  </si>
  <si>
    <t>SOU136</t>
  </si>
  <si>
    <t>1326</t>
  </si>
  <si>
    <t>St Lawrence of Canterbury</t>
  </si>
  <si>
    <t>SIDCUP</t>
  </si>
  <si>
    <t>SOU137</t>
  </si>
  <si>
    <t>1327</t>
  </si>
  <si>
    <t>SITTINGBOURNE</t>
  </si>
  <si>
    <t>SOU138</t>
  </si>
  <si>
    <t>1328</t>
  </si>
  <si>
    <t>St Dunstan's RC Church</t>
  </si>
  <si>
    <t>SOUTHBOROUGH</t>
  </si>
  <si>
    <t>per DD - it is £616.34</t>
  </si>
  <si>
    <t>SOU139</t>
  </si>
  <si>
    <t>1329</t>
  </si>
  <si>
    <t>BRIXTON</t>
  </si>
  <si>
    <t>SOU140</t>
  </si>
  <si>
    <t>1330</t>
  </si>
  <si>
    <t>STREATHAM</t>
  </si>
  <si>
    <t>SOU141</t>
  </si>
  <si>
    <t>1331</t>
  </si>
  <si>
    <t>St Simon &amp; St Jude</t>
  </si>
  <si>
    <t>STREATHAM HILL</t>
  </si>
  <si>
    <t>SOU142</t>
  </si>
  <si>
    <t>1332</t>
  </si>
  <si>
    <t>STROOD</t>
  </si>
  <si>
    <t>SOU142S</t>
  </si>
  <si>
    <t>0443062</t>
  </si>
  <si>
    <t>SOU143</t>
  </si>
  <si>
    <t>1333</t>
  </si>
  <si>
    <t>St Raphael RC Church</t>
  </si>
  <si>
    <t>KINGSTON-UPON-THAMES</t>
  </si>
  <si>
    <t>SOU143X</t>
  </si>
  <si>
    <t>1335</t>
  </si>
  <si>
    <t>Our Lady of  Immaculate Conception</t>
  </si>
  <si>
    <t>SURREY DOCKS</t>
  </si>
  <si>
    <t>SOU144</t>
  </si>
  <si>
    <t>1336</t>
  </si>
  <si>
    <t>SUTTON</t>
  </si>
  <si>
    <t>per DD - it is £802.05  (2x Letter only: banked into sort code 16-00-16, account: 11666930)</t>
  </si>
  <si>
    <t>SOU144X</t>
  </si>
  <si>
    <t>1337</t>
  </si>
  <si>
    <t>SUTTON GREEN</t>
  </si>
  <si>
    <t>SOU145</t>
  </si>
  <si>
    <t>1338</t>
  </si>
  <si>
    <t>Church of the Apostles</t>
  </si>
  <si>
    <t>SWANLEY</t>
  </si>
  <si>
    <t>SOU146</t>
  </si>
  <si>
    <t>1339</t>
  </si>
  <si>
    <t>SYDENHAM</t>
  </si>
  <si>
    <t>SOU146A</t>
  </si>
  <si>
    <t>0444622</t>
  </si>
  <si>
    <t>TEMPLE FARM</t>
  </si>
  <si>
    <t>SOU146X</t>
  </si>
  <si>
    <t>1340</t>
  </si>
  <si>
    <t>Church of the Resurrection of Our Lord</t>
  </si>
  <si>
    <t>SYDENHAM KIRKDALE</t>
  </si>
  <si>
    <t>SOU147</t>
  </si>
  <si>
    <t>1341</t>
  </si>
  <si>
    <t>TENTERDEN</t>
  </si>
  <si>
    <t>SOU147X</t>
  </si>
  <si>
    <t>1342</t>
  </si>
  <si>
    <t>THAMESMEAD CENTRAL</t>
  </si>
  <si>
    <t>SOU148</t>
  </si>
  <si>
    <t>1344</t>
  </si>
  <si>
    <t>St Andrew RC Church</t>
  </si>
  <si>
    <t>THORNTON HEATH</t>
  </si>
  <si>
    <t>SOU149</t>
  </si>
  <si>
    <t>1345</t>
  </si>
  <si>
    <t>TOLWORTH</t>
  </si>
  <si>
    <t>SOU150</t>
  </si>
  <si>
    <t>1346</t>
  </si>
  <si>
    <t>TONBRIDGE</t>
  </si>
  <si>
    <t>SOU150S</t>
  </si>
  <si>
    <t>0444634</t>
  </si>
  <si>
    <t>St Peter's Chapel</t>
  </si>
  <si>
    <t>HADLOW</t>
  </si>
  <si>
    <t>SOU151</t>
  </si>
  <si>
    <t>1347</t>
  </si>
  <si>
    <t>TOOTING</t>
  </si>
  <si>
    <t>SOU152</t>
  </si>
  <si>
    <t>1348</t>
  </si>
  <si>
    <t>Our Lady of Assumption</t>
  </si>
  <si>
    <t>SOU153</t>
  </si>
  <si>
    <t>1349</t>
  </si>
  <si>
    <t>TOOTING BEC</t>
  </si>
  <si>
    <t>SOU154</t>
  </si>
  <si>
    <t>1350</t>
  </si>
  <si>
    <t>TUNBRIDGE WELLS</t>
  </si>
  <si>
    <t>SOU155</t>
  </si>
  <si>
    <t>1351</t>
  </si>
  <si>
    <t>VAUXHALL</t>
  </si>
  <si>
    <t>Diff £5 - Annual form stated £330+482 in Dio Acc column</t>
  </si>
  <si>
    <t>SOU156</t>
  </si>
  <si>
    <t>1352</t>
  </si>
  <si>
    <t>WADDON</t>
  </si>
  <si>
    <t>SOU157</t>
  </si>
  <si>
    <t>1353</t>
  </si>
  <si>
    <t>St Simon Stock RC Church</t>
  </si>
  <si>
    <t>WALDERSLADE</t>
  </si>
  <si>
    <t>SOU158</t>
  </si>
  <si>
    <t>1354</t>
  </si>
  <si>
    <t>St Elphege RC Church</t>
  </si>
  <si>
    <t>WALLINGTON</t>
  </si>
  <si>
    <t>SOU159</t>
  </si>
  <si>
    <t>1355</t>
  </si>
  <si>
    <t>WALWORTH</t>
  </si>
  <si>
    <t>SOU160</t>
  </si>
  <si>
    <t>1356</t>
  </si>
  <si>
    <t>St Thomas a Becket</t>
  </si>
  <si>
    <t>WANDSWORTH</t>
  </si>
  <si>
    <t>SOU161</t>
  </si>
  <si>
    <t>1357</t>
  </si>
  <si>
    <t>WANDSWORTH EAST HILL</t>
  </si>
  <si>
    <t>SOU162</t>
  </si>
  <si>
    <t>1358</t>
  </si>
  <si>
    <t>St Patrick's Friary</t>
  </si>
  <si>
    <t>WATERLOO</t>
  </si>
  <si>
    <t>SOU163</t>
  </si>
  <si>
    <t>1359</t>
  </si>
  <si>
    <t>WELLING</t>
  </si>
  <si>
    <t>SOU164</t>
  </si>
  <si>
    <t>1360</t>
  </si>
  <si>
    <t>WESTERHAM</t>
  </si>
  <si>
    <t>SOU165</t>
  </si>
  <si>
    <t>1361</t>
  </si>
  <si>
    <t>St Peter (Holy Family Parish)</t>
  </si>
  <si>
    <t>SOU166</t>
  </si>
  <si>
    <t>1362</t>
  </si>
  <si>
    <t>St Thomas More Church</t>
  </si>
  <si>
    <t>WEST MALLING</t>
  </si>
  <si>
    <t>SOU167</t>
  </si>
  <si>
    <t>1363</t>
  </si>
  <si>
    <t>St Mark RC Church</t>
  </si>
  <si>
    <t>WEST WICKHAM</t>
  </si>
  <si>
    <t>per DD - it is £999.58</t>
  </si>
  <si>
    <t>SOU168</t>
  </si>
  <si>
    <t>1364</t>
  </si>
  <si>
    <t>WHITSTABLE</t>
  </si>
  <si>
    <t>SOU168S</t>
  </si>
  <si>
    <t>0444385</t>
  </si>
  <si>
    <t>CHESTFIELD</t>
  </si>
  <si>
    <t>SOU169</t>
  </si>
  <si>
    <t>1365</t>
  </si>
  <si>
    <t>WIMBLEDON</t>
  </si>
  <si>
    <t>SOU169S</t>
  </si>
  <si>
    <t>0444396</t>
  </si>
  <si>
    <t>Sacred Heart School Mass Centre</t>
  </si>
  <si>
    <t>SOU170</t>
  </si>
  <si>
    <t>1366</t>
  </si>
  <si>
    <t>Our Lady &amp;  St Peter</t>
  </si>
  <si>
    <t>WIMBLEDON COMMON</t>
  </si>
  <si>
    <r>
      <t xml:space="preserve">per DD - it is £133.05 </t>
    </r>
    <r>
      <rPr>
        <strike/>
        <sz val="10"/>
        <rFont val="Arial"/>
        <family val="2"/>
      </rPr>
      <t xml:space="preserve"> (Diff 2p: Grand Total stated £372.02)</t>
    </r>
  </si>
  <si>
    <t>SOU171</t>
  </si>
  <si>
    <t>1367</t>
  </si>
  <si>
    <t>St Winefride's RC Church</t>
  </si>
  <si>
    <t>WIMBLEDON SOUTH</t>
  </si>
  <si>
    <t>per DD - it is £1591.13</t>
  </si>
  <si>
    <t>SOU172</t>
  </si>
  <si>
    <t>1368</t>
  </si>
  <si>
    <t>WIMBLEDON PARK</t>
  </si>
  <si>
    <t>SOU173</t>
  </si>
  <si>
    <t>1369</t>
  </si>
  <si>
    <t>St Peter the Apostle</t>
  </si>
  <si>
    <t>WOOLWICH</t>
  </si>
  <si>
    <t>SOU174</t>
  </si>
  <si>
    <t>0444375</t>
  </si>
  <si>
    <t>St Catherine  Laboure</t>
  </si>
  <si>
    <t>SOU175</t>
  </si>
  <si>
    <t>1370</t>
  </si>
  <si>
    <t>St Matthias</t>
  </si>
  <si>
    <t>WORCESTER PARK</t>
  </si>
  <si>
    <t>SOU176</t>
  </si>
  <si>
    <t>1343</t>
  </si>
  <si>
    <t>SOU177</t>
  </si>
  <si>
    <t>201867</t>
  </si>
  <si>
    <t>St Anselm's</t>
  </si>
  <si>
    <t>PEMBURY</t>
  </si>
  <si>
    <t>SOU999</t>
  </si>
  <si>
    <t>1373</t>
  </si>
  <si>
    <t>Southwark Diocese Various</t>
  </si>
  <si>
    <t>WES</t>
  </si>
  <si>
    <t>WES001</t>
  </si>
  <si>
    <t>1376</t>
  </si>
  <si>
    <t>Metropolitan Cathedral of the Most Precious Blood</t>
  </si>
  <si>
    <t>WES001S</t>
  </si>
  <si>
    <t>0442926</t>
  </si>
  <si>
    <t>Sacred Heart Church, Chapel of Ease</t>
  </si>
  <si>
    <t>WES002</t>
  </si>
  <si>
    <t>1377</t>
  </si>
  <si>
    <t>St Saviour the Crescent RC Church</t>
  </si>
  <si>
    <t>ABBOTS LANGLEY</t>
  </si>
  <si>
    <t>WES003</t>
  </si>
  <si>
    <t>1378</t>
  </si>
  <si>
    <t>WES004</t>
  </si>
  <si>
    <t>1379</t>
  </si>
  <si>
    <t>St Aidan of Lindisfarne</t>
  </si>
  <si>
    <t>WES005</t>
  </si>
  <si>
    <t>1380</t>
  </si>
  <si>
    <t>WES006</t>
  </si>
  <si>
    <t>1381</t>
  </si>
  <si>
    <t>St Michael RC Parish</t>
  </si>
  <si>
    <t>WES007</t>
  </si>
  <si>
    <t>1382</t>
  </si>
  <si>
    <t>Holy Trinity &amp; St Augustine of Canterbury</t>
  </si>
  <si>
    <t xml:space="preserve">BALDOCK  </t>
  </si>
  <si>
    <t>WES008</t>
  </si>
  <si>
    <t>1383</t>
  </si>
  <si>
    <t>Mary Immaculate &amp; St Gregory the Great</t>
  </si>
  <si>
    <t>BARNET</t>
  </si>
  <si>
    <t>WES009</t>
  </si>
  <si>
    <t>1384</t>
  </si>
  <si>
    <t>WES010</t>
  </si>
  <si>
    <t>1385</t>
  </si>
  <si>
    <t xml:space="preserve">BERKHAMSTED  </t>
  </si>
  <si>
    <t>WES011</t>
  </si>
  <si>
    <t>1386</t>
  </si>
  <si>
    <t>WES012</t>
  </si>
  <si>
    <t>1387</t>
  </si>
  <si>
    <t>St Joseph &amp; The English Martyrs</t>
  </si>
  <si>
    <t xml:space="preserve">BISHOP'S STORTFORD </t>
  </si>
  <si>
    <t>per DD - it is £2227.88</t>
  </si>
  <si>
    <t>WES013</t>
  </si>
  <si>
    <t>1388</t>
  </si>
  <si>
    <t>Parish of Borehamwood (St Teresa of the Child Jesus)</t>
  </si>
  <si>
    <t>BOREHAMWOOD</t>
  </si>
  <si>
    <t>per DD - it is £1628</t>
  </si>
  <si>
    <t>WES014</t>
  </si>
  <si>
    <t>1389</t>
  </si>
  <si>
    <t>Parish of Borehamwood (St John &amp; St Thomas More)</t>
  </si>
  <si>
    <t>WES015</t>
  </si>
  <si>
    <t>1390</t>
  </si>
  <si>
    <t>Our Lady, Mother of the Saviour</t>
  </si>
  <si>
    <t>KINGS LANGLEY</t>
  </si>
  <si>
    <t>WES016</t>
  </si>
  <si>
    <t>1391</t>
  </si>
  <si>
    <t>Our Lady &amp; St Catherine of Siena</t>
  </si>
  <si>
    <t>WES017</t>
  </si>
  <si>
    <t>1392</t>
  </si>
  <si>
    <t>Holy Name &amp; Our Lady of the Sacred Heart</t>
  </si>
  <si>
    <t>WES018</t>
  </si>
  <si>
    <t>1393</t>
  </si>
  <si>
    <t>St John The Evangelist</t>
  </si>
  <si>
    <t>BRENTFORD</t>
  </si>
  <si>
    <t>WES019</t>
  </si>
  <si>
    <t>1394</t>
  </si>
  <si>
    <t>WES020</t>
  </si>
  <si>
    <t>1395</t>
  </si>
  <si>
    <t>WES021</t>
  </si>
  <si>
    <t>1396</t>
  </si>
  <si>
    <t xml:space="preserve">BUNTINGFORD </t>
  </si>
  <si>
    <t>WES022</t>
  </si>
  <si>
    <t>1397</t>
  </si>
  <si>
    <t>EDGWARE</t>
  </si>
  <si>
    <t>WES023</t>
  </si>
  <si>
    <t>1398</t>
  </si>
  <si>
    <t>The Sacred Heart &amp; St John the Evangelist</t>
  </si>
  <si>
    <t>WATFORD</t>
  </si>
  <si>
    <t>WES024</t>
  </si>
  <si>
    <t>1399</t>
  </si>
  <si>
    <t>Our Lady of Hal</t>
  </si>
  <si>
    <t>WES025</t>
  </si>
  <si>
    <t>1400</t>
  </si>
  <si>
    <t>WES026</t>
  </si>
  <si>
    <t>1401</t>
  </si>
  <si>
    <t>WES027</t>
  </si>
  <si>
    <t>1402</t>
  </si>
  <si>
    <t>Our Most Holy Redeemer &amp; St Thomas More</t>
  </si>
  <si>
    <t>per DD - it is £963.36</t>
  </si>
  <si>
    <t>WES028A</t>
  </si>
  <si>
    <t>1404</t>
  </si>
  <si>
    <t>WALTHAM CROSS</t>
  </si>
  <si>
    <t>WES029</t>
  </si>
  <si>
    <t>1405</t>
  </si>
  <si>
    <t>Our Lady of Grace &amp; St Edward</t>
  </si>
  <si>
    <t>WES030</t>
  </si>
  <si>
    <t>1406</t>
  </si>
  <si>
    <t>RICKMANSWORTH</t>
  </si>
  <si>
    <t>per DD - it is £542.69</t>
  </si>
  <si>
    <t>WES031</t>
  </si>
  <si>
    <t>1407</t>
  </si>
  <si>
    <t>St Scholastica RC Church</t>
  </si>
  <si>
    <t>WES032</t>
  </si>
  <si>
    <t>1408</t>
  </si>
  <si>
    <t>WES033</t>
  </si>
  <si>
    <t>1409</t>
  </si>
  <si>
    <t>WES034</t>
  </si>
  <si>
    <t>1410</t>
  </si>
  <si>
    <t>Church of Christ the King</t>
  </si>
  <si>
    <t>WES035</t>
  </si>
  <si>
    <t>1411</t>
  </si>
  <si>
    <t>St Mary &amp; St Michael</t>
  </si>
  <si>
    <t>WES036</t>
  </si>
  <si>
    <t>1412</t>
  </si>
  <si>
    <t>The Blessed Sacrament</t>
  </si>
  <si>
    <t>WES037</t>
  </si>
  <si>
    <t>1413</t>
  </si>
  <si>
    <t>Our Lady &amp; St Christopher RC Church</t>
  </si>
  <si>
    <t>HOUNSLOW</t>
  </si>
  <si>
    <t>WES038</t>
  </si>
  <si>
    <t>1414</t>
  </si>
  <si>
    <t>WES039</t>
  </si>
  <si>
    <t>1415</t>
  </si>
  <si>
    <t>WES040</t>
  </si>
  <si>
    <t>1416</t>
  </si>
  <si>
    <t>POTTERS BAR</t>
  </si>
  <si>
    <t>WES041</t>
  </si>
  <si>
    <t>1417</t>
  </si>
  <si>
    <t>St Mary &amp; St Andrew</t>
  </si>
  <si>
    <t>WES042</t>
  </si>
  <si>
    <t>1418</t>
  </si>
  <si>
    <t>Abbey Church of St Benedict</t>
  </si>
  <si>
    <t>per DD - it is £1794.36  (hand written long list of banking)</t>
  </si>
  <si>
    <t>WES044</t>
  </si>
  <si>
    <t>1420</t>
  </si>
  <si>
    <t xml:space="preserve">PINNER  </t>
  </si>
  <si>
    <t>WES045</t>
  </si>
  <si>
    <t>1421</t>
  </si>
  <si>
    <t>WES046</t>
  </si>
  <si>
    <t>1423</t>
  </si>
  <si>
    <t>The Most Precious Blood &amp; St Edmund</t>
  </si>
  <si>
    <t>WES047</t>
  </si>
  <si>
    <t>1424</t>
  </si>
  <si>
    <t>St Etheldreda's RC Church</t>
  </si>
  <si>
    <t>WES048</t>
  </si>
  <si>
    <t>1425</t>
  </si>
  <si>
    <t>Our Lady of Mount Carmel &amp; St George RC Church</t>
  </si>
  <si>
    <t xml:space="preserve">ENFIELD  </t>
  </si>
  <si>
    <t>WES048S</t>
  </si>
  <si>
    <t>0479516</t>
  </si>
  <si>
    <t>Our Lady of Walsingham and the English Martyrs</t>
  </si>
  <si>
    <t>ENFIELD</t>
  </si>
  <si>
    <t>WES051</t>
  </si>
  <si>
    <t>1427</t>
  </si>
  <si>
    <t>WES052</t>
  </si>
  <si>
    <t>1428</t>
  </si>
  <si>
    <t xml:space="preserve">FELTHAM </t>
  </si>
  <si>
    <t>WES053</t>
  </si>
  <si>
    <t>1429</t>
  </si>
  <si>
    <t>WES054</t>
  </si>
  <si>
    <t>1430</t>
  </si>
  <si>
    <t>WES055</t>
  </si>
  <si>
    <t>1431</t>
  </si>
  <si>
    <t>WES056</t>
  </si>
  <si>
    <t>1432</t>
  </si>
  <si>
    <t>Notre Dame de France RC Church</t>
  </si>
  <si>
    <t>WES056S</t>
  </si>
  <si>
    <t>0443208</t>
  </si>
  <si>
    <t>Notre Dame de France Parish (Christ Church)</t>
  </si>
  <si>
    <t>WES057</t>
  </si>
  <si>
    <t>1433</t>
  </si>
  <si>
    <t>WES058</t>
  </si>
  <si>
    <t>1434</t>
  </si>
  <si>
    <t>Our Lady of Dolours RC Church</t>
  </si>
  <si>
    <t>WES059</t>
  </si>
  <si>
    <t>1435</t>
  </si>
  <si>
    <t>Our Lady &amp; St Michael</t>
  </si>
  <si>
    <t>per DD - it is £1682.06</t>
  </si>
  <si>
    <t>WES060</t>
  </si>
  <si>
    <t>1436</t>
  </si>
  <si>
    <t>WES061</t>
  </si>
  <si>
    <t>1437</t>
  </si>
  <si>
    <t>WES062</t>
  </si>
  <si>
    <t>1438</t>
  </si>
  <si>
    <t>WES063</t>
  </si>
  <si>
    <t>1439</t>
  </si>
  <si>
    <t>Our Lady of the Visitation</t>
  </si>
  <si>
    <t>GREENFORD</t>
  </si>
  <si>
    <t>WES064</t>
  </si>
  <si>
    <t>1440</t>
  </si>
  <si>
    <t>WES065</t>
  </si>
  <si>
    <t>1441</t>
  </si>
  <si>
    <t>WES066</t>
  </si>
  <si>
    <t>1443</t>
  </si>
  <si>
    <t>WES067</t>
  </si>
  <si>
    <t>1444</t>
  </si>
  <si>
    <t>WES068</t>
  </si>
  <si>
    <t>1445</t>
  </si>
  <si>
    <t>WES069</t>
  </si>
  <si>
    <t>1446</t>
  </si>
  <si>
    <t>St Francis de Sales Parish</t>
  </si>
  <si>
    <t>HAMPTON</t>
  </si>
  <si>
    <t>WES070</t>
  </si>
  <si>
    <t>1447</t>
  </si>
  <si>
    <t>WES071</t>
  </si>
  <si>
    <t>1448</t>
  </si>
  <si>
    <t>WES072</t>
  </si>
  <si>
    <t>1449</t>
  </si>
  <si>
    <t>UXBRIDGE</t>
  </si>
  <si>
    <t>WES073</t>
  </si>
  <si>
    <t>1450</t>
  </si>
  <si>
    <t>HARPENDEN</t>
  </si>
  <si>
    <t>WES075</t>
  </si>
  <si>
    <t>1452</t>
  </si>
  <si>
    <t>Our Lady &amp; St Thomas of Canterbury RC Church</t>
  </si>
  <si>
    <t>HARROW</t>
  </si>
  <si>
    <t>WES076</t>
  </si>
  <si>
    <t>1453</t>
  </si>
  <si>
    <t>WES077</t>
  </si>
  <si>
    <t>1454</t>
  </si>
  <si>
    <t>St Gabriel &amp; St Bernard RC Church</t>
  </si>
  <si>
    <t>WES077S</t>
  </si>
  <si>
    <t>0479517</t>
  </si>
  <si>
    <t>St Bernard</t>
  </si>
  <si>
    <t>NORTHOLT</t>
  </si>
  <si>
    <t>WES078</t>
  </si>
  <si>
    <t>1455</t>
  </si>
  <si>
    <t>Our Lady of Lourdes &amp; St Vincent de Paul</t>
  </si>
  <si>
    <t>WES079</t>
  </si>
  <si>
    <t>1456</t>
  </si>
  <si>
    <t>Marychurch with St Thomas More</t>
  </si>
  <si>
    <t>HATFIELD</t>
  </si>
  <si>
    <t>WES079S</t>
  </si>
  <si>
    <t>0479518</t>
  </si>
  <si>
    <t>WELHAM GREEN</t>
  </si>
  <si>
    <t>WES080</t>
  </si>
  <si>
    <t>1457</t>
  </si>
  <si>
    <t>St Peter's Catholic Church</t>
  </si>
  <si>
    <t xml:space="preserve">HATFIELD  </t>
  </si>
  <si>
    <t>WES081</t>
  </si>
  <si>
    <t>1458</t>
  </si>
  <si>
    <t>Our Lady of the Rosary &amp; St Dominic</t>
  </si>
  <si>
    <t>WES082</t>
  </si>
  <si>
    <t>1459</t>
  </si>
  <si>
    <t>The Immaculate Heart of Mary</t>
  </si>
  <si>
    <t xml:space="preserve">HAYES  </t>
  </si>
  <si>
    <t>WES083</t>
  </si>
  <si>
    <t>1460</t>
  </si>
  <si>
    <t xml:space="preserve">HARROW  </t>
  </si>
  <si>
    <t>WES084</t>
  </si>
  <si>
    <t>1461</t>
  </si>
  <si>
    <t>Hemel Hempstead West Parishes (St Mary &amp; St Joseph)</t>
  </si>
  <si>
    <t xml:space="preserve">HEMEL HEMPSTEAD               </t>
  </si>
  <si>
    <t>WES085</t>
  </si>
  <si>
    <t>1462</t>
  </si>
  <si>
    <t>Hemel Hempstead West Parishes (St Mark RC Church)</t>
  </si>
  <si>
    <t>HEMEL HEMPSTEAD</t>
  </si>
  <si>
    <t>WES086</t>
  </si>
  <si>
    <t>1463</t>
  </si>
  <si>
    <t>Hemel Hempstead East Parishes (Our Lady Queen of All Creation RC Church)</t>
  </si>
  <si>
    <t>per DD - it is £571.61</t>
  </si>
  <si>
    <t>WES087</t>
  </si>
  <si>
    <t>1464</t>
  </si>
  <si>
    <t>Hemel Hempstead East Parishes (Church of the Resurrection)</t>
  </si>
  <si>
    <t>WES088</t>
  </si>
  <si>
    <t>1465</t>
  </si>
  <si>
    <t>Our Lady of Dolours</t>
  </si>
  <si>
    <t>WES089</t>
  </si>
  <si>
    <t>1466</t>
  </si>
  <si>
    <t>WES090</t>
  </si>
  <si>
    <t>1467</t>
  </si>
  <si>
    <t>The Immaculate Conception &amp; St Joseph</t>
  </si>
  <si>
    <t>HERTFORD</t>
  </si>
  <si>
    <t>WES091</t>
  </si>
  <si>
    <t>1468</t>
  </si>
  <si>
    <t>HESTON</t>
  </si>
  <si>
    <t>WES092</t>
  </si>
  <si>
    <t>1469</t>
  </si>
  <si>
    <t>St Joan of Arc</t>
  </si>
  <si>
    <t>per DD - it is £669.55</t>
  </si>
  <si>
    <t>WES093</t>
  </si>
  <si>
    <t>1470</t>
  </si>
  <si>
    <t>St Joseph's Church</t>
  </si>
  <si>
    <t>WES094</t>
  </si>
  <si>
    <t>1471</t>
  </si>
  <si>
    <t>WES095</t>
  </si>
  <si>
    <t>1472</t>
  </si>
  <si>
    <t>Our Lady Immaculate &amp; St Andrew RC Church</t>
  </si>
  <si>
    <t xml:space="preserve">HITCHIN  </t>
  </si>
  <si>
    <t>WES096</t>
  </si>
  <si>
    <t>1473</t>
  </si>
  <si>
    <t>HODDESDON</t>
  </si>
  <si>
    <t>WES097</t>
  </si>
  <si>
    <t>1474</t>
  </si>
  <si>
    <t>WES098</t>
  </si>
  <si>
    <t>1475</t>
  </si>
  <si>
    <t>Immaculate Heart of Mary &amp; St Dominic</t>
  </si>
  <si>
    <t>WES099</t>
  </si>
  <si>
    <t>1476</t>
  </si>
  <si>
    <t>St Michael &amp; St Martin</t>
  </si>
  <si>
    <t>WES100</t>
  </si>
  <si>
    <t>1477</t>
  </si>
  <si>
    <t>St Monica's Priory</t>
  </si>
  <si>
    <t>WES101</t>
  </si>
  <si>
    <t>1478</t>
  </si>
  <si>
    <t>Our Lady of Sorrows &amp; St Bridget of Sweden</t>
  </si>
  <si>
    <t>ISLEWORTH</t>
  </si>
  <si>
    <t>per DD - it is £1612.94</t>
  </si>
  <si>
    <t>WES102</t>
  </si>
  <si>
    <t>1479</t>
  </si>
  <si>
    <t>WES103</t>
  </si>
  <si>
    <t>1480</t>
  </si>
  <si>
    <t>WES104</t>
  </si>
  <si>
    <t>1481</t>
  </si>
  <si>
    <t>Our Lady of the Holy Souls</t>
  </si>
  <si>
    <t>WES105</t>
  </si>
  <si>
    <t>1482</t>
  </si>
  <si>
    <t>Church of the Transfiguration</t>
  </si>
  <si>
    <t>WES106</t>
  </si>
  <si>
    <t>1483</t>
  </si>
  <si>
    <t>WES108</t>
  </si>
  <si>
    <t>1484</t>
  </si>
  <si>
    <t>Our Lady of Mount Carmel &amp; St Simon Stock</t>
  </si>
  <si>
    <t>WES109</t>
  </si>
  <si>
    <t>1485</t>
  </si>
  <si>
    <t>WES110</t>
  </si>
  <si>
    <t>1486</t>
  </si>
  <si>
    <t>WES111</t>
  </si>
  <si>
    <t>1487</t>
  </si>
  <si>
    <t>Sacred Heart of Jesus</t>
  </si>
  <si>
    <t>WES111X</t>
  </si>
  <si>
    <t>1488</t>
  </si>
  <si>
    <t>WES112</t>
  </si>
  <si>
    <t>1489</t>
  </si>
  <si>
    <t>St Sebastian &amp; St Pancras RC Church</t>
  </si>
  <si>
    <t>WES113</t>
  </si>
  <si>
    <t>1490</t>
  </si>
  <si>
    <t>WES114</t>
  </si>
  <si>
    <t>1491</t>
  </si>
  <si>
    <t>KNEBWORTH</t>
  </si>
  <si>
    <t>WES116</t>
  </si>
  <si>
    <t>1493</t>
  </si>
  <si>
    <t>LETCHWORTH GARDEN CITY</t>
  </si>
  <si>
    <t>WES117</t>
  </si>
  <si>
    <t>1494</t>
  </si>
  <si>
    <t>Our Lady Immaculate &amp; St Frederick</t>
  </si>
  <si>
    <t>WES118</t>
  </si>
  <si>
    <t>1495</t>
  </si>
  <si>
    <t>St Anselm &amp; St Cecilia RC Church</t>
  </si>
  <si>
    <t>WES119</t>
  </si>
  <si>
    <t>0479519</t>
  </si>
  <si>
    <t>St Casimir</t>
  </si>
  <si>
    <t>WES121</t>
  </si>
  <si>
    <t>1499</t>
  </si>
  <si>
    <t>Our Lady, St Mary of Walsingham</t>
  </si>
  <si>
    <t>RADLETT</t>
  </si>
  <si>
    <t>WES123</t>
  </si>
  <si>
    <t>1502</t>
  </si>
  <si>
    <t>WES124</t>
  </si>
  <si>
    <t>1503</t>
  </si>
  <si>
    <t>WES126</t>
  </si>
  <si>
    <t>1504</t>
  </si>
  <si>
    <t>Church of Our Lady of the Rosary</t>
  </si>
  <si>
    <t>WES127</t>
  </si>
  <si>
    <t>1505</t>
  </si>
  <si>
    <t>WES128</t>
  </si>
  <si>
    <t>1506</t>
  </si>
  <si>
    <t>WES129</t>
  </si>
  <si>
    <t>1507</t>
  </si>
  <si>
    <t>Sacred Heart &amp; Mary Immaculate RC Church</t>
  </si>
  <si>
    <t>WES132</t>
  </si>
  <si>
    <t>1509</t>
  </si>
  <si>
    <t>St Edmunds RC Church</t>
  </si>
  <si>
    <t>WES133</t>
  </si>
  <si>
    <t>1510</t>
  </si>
  <si>
    <t>St Mary Moorfields</t>
  </si>
  <si>
    <t>WES133A</t>
  </si>
  <si>
    <t>1511</t>
  </si>
  <si>
    <t>Holy Cross &amp; Most Holy Redeemer RC Church</t>
  </si>
  <si>
    <t>MUCH HADHAM</t>
  </si>
  <si>
    <t>WES133AS</t>
  </si>
  <si>
    <t>0479520</t>
  </si>
  <si>
    <t>SAWBRIDGEWORTH</t>
  </si>
  <si>
    <t>WES134</t>
  </si>
  <si>
    <t>1512</t>
  </si>
  <si>
    <t>WES135</t>
  </si>
  <si>
    <t>1513</t>
  </si>
  <si>
    <t>Our Lady of Muswell Hill RC Church</t>
  </si>
  <si>
    <t>WES136</t>
  </si>
  <si>
    <t>1514</t>
  </si>
  <si>
    <t>Mary Immaculate &amp; St Peter RC Church</t>
  </si>
  <si>
    <t>per DD - it is £910</t>
  </si>
  <si>
    <t>WES137</t>
  </si>
  <si>
    <t>1515</t>
  </si>
  <si>
    <t>WES138</t>
  </si>
  <si>
    <t>1516</t>
  </si>
  <si>
    <t>WES139</t>
  </si>
  <si>
    <t>1517</t>
  </si>
  <si>
    <t>St Matthew's RC Church</t>
  </si>
  <si>
    <t>NORTHWOOD</t>
  </si>
  <si>
    <t>per DD - it is £352</t>
  </si>
  <si>
    <t>WES140</t>
  </si>
  <si>
    <t>1518</t>
  </si>
  <si>
    <t>WES141</t>
  </si>
  <si>
    <t>1519</t>
  </si>
  <si>
    <t>St Charles Borromeo RC Church</t>
  </si>
  <si>
    <t>WES142</t>
  </si>
  <si>
    <t>1520</t>
  </si>
  <si>
    <t>St Edmund &amp; English Martyrs</t>
  </si>
  <si>
    <t>BUNTINGFORD</t>
  </si>
  <si>
    <t>WES142S</t>
  </si>
  <si>
    <t>0479521</t>
  </si>
  <si>
    <t>PUCKERIDGE</t>
  </si>
  <si>
    <t>WES143</t>
  </si>
  <si>
    <t>1521</t>
  </si>
  <si>
    <t>WES144</t>
  </si>
  <si>
    <t>1522</t>
  </si>
  <si>
    <t>OSTERLEY</t>
  </si>
  <si>
    <t>WES146</t>
  </si>
  <si>
    <t>1524</t>
  </si>
  <si>
    <t>WES147</t>
  </si>
  <si>
    <t>1525</t>
  </si>
  <si>
    <t>St Monica RC Church</t>
  </si>
  <si>
    <t>per DD - it is £ zero.  (£832.98 appear in both columns - need to check if amount/cheque has come in)</t>
  </si>
  <si>
    <t>WES148</t>
  </si>
  <si>
    <t>1526</t>
  </si>
  <si>
    <t>WES149</t>
  </si>
  <si>
    <t>1527</t>
  </si>
  <si>
    <t>per DD - it is £473.25</t>
  </si>
  <si>
    <t>WES150</t>
  </si>
  <si>
    <t>1528</t>
  </si>
  <si>
    <t>WES151</t>
  </si>
  <si>
    <t>1529</t>
  </si>
  <si>
    <t>PINNER</t>
  </si>
  <si>
    <t>WES152</t>
  </si>
  <si>
    <t>1530</t>
  </si>
  <si>
    <t>Our Lady of Czestochowa &amp; St Casimir</t>
  </si>
  <si>
    <t>WES153</t>
  </si>
  <si>
    <t>1531</t>
  </si>
  <si>
    <t>Mary, Mother of God RC Church</t>
  </si>
  <si>
    <t>WES154</t>
  </si>
  <si>
    <t>1532</t>
  </si>
  <si>
    <t>St Mary &amp; St Joseph</t>
  </si>
  <si>
    <t>WES155</t>
  </si>
  <si>
    <t>1533</t>
  </si>
  <si>
    <t>Our Lady &amp; St Vincent</t>
  </si>
  <si>
    <t>WES157</t>
  </si>
  <si>
    <t>1535</t>
  </si>
  <si>
    <t>WEMBLEY</t>
  </si>
  <si>
    <t>WES158</t>
  </si>
  <si>
    <t>1536</t>
  </si>
  <si>
    <t>Our Lady, Queen of Heaven</t>
  </si>
  <si>
    <t>WES159</t>
  </si>
  <si>
    <t>1537</t>
  </si>
  <si>
    <t xml:space="preserve">RADLETT  </t>
  </si>
  <si>
    <t>WES160</t>
  </si>
  <si>
    <t>1538</t>
  </si>
  <si>
    <t xml:space="preserve">ST ALBANS  </t>
  </si>
  <si>
    <t>WES161</t>
  </si>
  <si>
    <t>1539</t>
  </si>
  <si>
    <t>WES162</t>
  </si>
  <si>
    <t>1540</t>
  </si>
  <si>
    <t>St Thomas &amp; The English Martyrs</t>
  </si>
  <si>
    <t>ROYSTON</t>
  </si>
  <si>
    <t>per DD - it is £1096.05 (£100 recorded in Ecc Sq coilumn. Checked ThankQ and can't find this amount. Chq number is the next counterfoil number.)</t>
  </si>
  <si>
    <t>WES163</t>
  </si>
  <si>
    <t>1541</t>
  </si>
  <si>
    <t>Most Sacred Heart RC Church</t>
  </si>
  <si>
    <t>RUISLIP</t>
  </si>
  <si>
    <t>WES164</t>
  </si>
  <si>
    <t>1542</t>
  </si>
  <si>
    <t xml:space="preserve">RUISLIP                       </t>
  </si>
  <si>
    <t>Chq 108515 £637.68 received 22 Jan 2020 (=29.89+24.19+483.6+100)</t>
  </si>
  <si>
    <t>WES165</t>
  </si>
  <si>
    <t>1543</t>
  </si>
  <si>
    <t>SS Alban &amp; Stephen</t>
  </si>
  <si>
    <t>ST ALBANS</t>
  </si>
  <si>
    <t>WES165S</t>
  </si>
  <si>
    <t>0479522</t>
  </si>
  <si>
    <t>St John Fisher School</t>
  </si>
  <si>
    <t>WES166</t>
  </si>
  <si>
    <t>1544</t>
  </si>
  <si>
    <t xml:space="preserve">ST ALBANS </t>
  </si>
  <si>
    <t>WES167</t>
  </si>
  <si>
    <t>1545</t>
  </si>
  <si>
    <t>WES168</t>
  </si>
  <si>
    <t>1546</t>
  </si>
  <si>
    <t>WES169</t>
  </si>
  <si>
    <t>1547</t>
  </si>
  <si>
    <t>St Margaret of Scotland</t>
  </si>
  <si>
    <t>TWICKENHAM</t>
  </si>
  <si>
    <t>WES170</t>
  </si>
  <si>
    <t>1548</t>
  </si>
  <si>
    <t>SHENLEY</t>
  </si>
  <si>
    <t>WES171</t>
  </si>
  <si>
    <t>1549</t>
  </si>
  <si>
    <t>The Holy Ghost &amp; St Stephen</t>
  </si>
  <si>
    <t>WES172</t>
  </si>
  <si>
    <t>1550</t>
  </si>
  <si>
    <t>Polish Church</t>
  </si>
  <si>
    <t>WES173</t>
  </si>
  <si>
    <t>1551</t>
  </si>
  <si>
    <t>SHEPPERTON</t>
  </si>
  <si>
    <t>per DD - it is £779.14</t>
  </si>
  <si>
    <t>WES174</t>
  </si>
  <si>
    <t>1552</t>
  </si>
  <si>
    <t>WES175</t>
  </si>
  <si>
    <t>1554</t>
  </si>
  <si>
    <t>St Aloysius RC Church</t>
  </si>
  <si>
    <t>WES176</t>
  </si>
  <si>
    <t>1555</t>
  </si>
  <si>
    <t>SOUTHALL</t>
  </si>
  <si>
    <t>WES177</t>
  </si>
  <si>
    <t>1556</t>
  </si>
  <si>
    <t>WES178</t>
  </si>
  <si>
    <t>1557</t>
  </si>
  <si>
    <t>STAINES</t>
  </si>
  <si>
    <t>WES179</t>
  </si>
  <si>
    <t>1558</t>
  </si>
  <si>
    <t>St Ignatius RC Church</t>
  </si>
  <si>
    <t>WES180</t>
  </si>
  <si>
    <t>1559</t>
  </si>
  <si>
    <t>St William of York RC Church</t>
  </si>
  <si>
    <t>STANMORE</t>
  </si>
  <si>
    <t>per DD - it is £1765.89</t>
  </si>
  <si>
    <t>WES181</t>
  </si>
  <si>
    <t>1560</t>
  </si>
  <si>
    <t xml:space="preserve">STAINES </t>
  </si>
  <si>
    <t>WES182</t>
  </si>
  <si>
    <t>1561</t>
  </si>
  <si>
    <t>Our Lady of Perpetual Help</t>
  </si>
  <si>
    <t>WES183</t>
  </si>
  <si>
    <t>1562</t>
  </si>
  <si>
    <t>Stevenage Parishes (Transfiguration of Our Lord)</t>
  </si>
  <si>
    <t>STEVENAGE</t>
  </si>
  <si>
    <t>WES185</t>
  </si>
  <si>
    <t>1563</t>
  </si>
  <si>
    <t>Stevenage Parishes (St Joseph)</t>
  </si>
  <si>
    <t>per DD - it is £297.24.  (there is a counterfoil attached for £75.80 (this amount is in Ecc Sq column))</t>
  </si>
  <si>
    <t>WES186</t>
  </si>
  <si>
    <t>1564</t>
  </si>
  <si>
    <t>Stevenage Parishes (St Hilda RC Church)</t>
  </si>
  <si>
    <t xml:space="preserve">STEVENAGE  </t>
  </si>
  <si>
    <t>WES187</t>
  </si>
  <si>
    <t>1565</t>
  </si>
  <si>
    <t>WES188</t>
  </si>
  <si>
    <t>1566</t>
  </si>
  <si>
    <t>The Five Precious Wounds RC Church</t>
  </si>
  <si>
    <t>WES189</t>
  </si>
  <si>
    <t>1567</t>
  </si>
  <si>
    <t>St Peter-in-Chains</t>
  </si>
  <si>
    <t>WES190</t>
  </si>
  <si>
    <t>1568</t>
  </si>
  <si>
    <t>WES191</t>
  </si>
  <si>
    <t>1569</t>
  </si>
  <si>
    <t>St Ignatius of Loyola</t>
  </si>
  <si>
    <t>SUNBURY-ON-THAMES</t>
  </si>
  <si>
    <t>WES192</t>
  </si>
  <si>
    <t>1570</t>
  </si>
  <si>
    <t>WES193</t>
  </si>
  <si>
    <t>1571</t>
  </si>
  <si>
    <t>TEDDINGTON</t>
  </si>
  <si>
    <t>WES194</t>
  </si>
  <si>
    <t>1572</t>
  </si>
  <si>
    <t>St Mellitus Church</t>
  </si>
  <si>
    <t>WES195</t>
  </si>
  <si>
    <t>1573</t>
  </si>
  <si>
    <t>WES196</t>
  </si>
  <si>
    <t>1574</t>
  </si>
  <si>
    <t>WES197</t>
  </si>
  <si>
    <t>1575</t>
  </si>
  <si>
    <t>TRING</t>
  </si>
  <si>
    <t>WES198</t>
  </si>
  <si>
    <t>1576</t>
  </si>
  <si>
    <t>WES200</t>
  </si>
  <si>
    <t>1578</t>
  </si>
  <si>
    <t>WES204</t>
  </si>
  <si>
    <t>1587</t>
  </si>
  <si>
    <t>St Gabriel of Our Lady of Sorrows RC Church</t>
  </si>
  <si>
    <t>WES205</t>
  </si>
  <si>
    <t>1589</t>
  </si>
  <si>
    <t>Our Lady of Lourdes &amp; St Michael</t>
  </si>
  <si>
    <t xml:space="preserve">UXBRIDGE  </t>
  </si>
  <si>
    <t>WES206</t>
  </si>
  <si>
    <t>1591</t>
  </si>
  <si>
    <t>Our Lady of the Immaculate Conception &amp; St Joseph</t>
  </si>
  <si>
    <t>per DD - it is £971.73</t>
  </si>
  <si>
    <t>WES207</t>
  </si>
  <si>
    <t>1592</t>
  </si>
  <si>
    <t>WES208</t>
  </si>
  <si>
    <t>1593</t>
  </si>
  <si>
    <t>Sacred Heart of Jesus &amp; St Joseph RC Church</t>
  </si>
  <si>
    <t>WARE</t>
  </si>
  <si>
    <t>per DD - it is £1072.57</t>
  </si>
  <si>
    <t>WES209</t>
  </si>
  <si>
    <t>1594</t>
  </si>
  <si>
    <t>Our Lady of the Assumption &amp; St Gregory</t>
  </si>
  <si>
    <t>WES210</t>
  </si>
  <si>
    <t>1595</t>
  </si>
  <si>
    <t>per DD - it is £393.70</t>
  </si>
  <si>
    <t>WES211</t>
  </si>
  <si>
    <t>1596</t>
  </si>
  <si>
    <t>WES212</t>
  </si>
  <si>
    <t>1597</t>
  </si>
  <si>
    <t>WES213</t>
  </si>
  <si>
    <t>1598</t>
  </si>
  <si>
    <t>Welwyn Garden City Parishes (St Bonaventure RC Church)</t>
  </si>
  <si>
    <t>WELWYN GARDEN CITY</t>
  </si>
  <si>
    <t>WES214</t>
  </si>
  <si>
    <t>1599</t>
  </si>
  <si>
    <t>Welwyn Garden City Parishes (Our Lady, Queen of Apostles)</t>
  </si>
  <si>
    <t>WES215</t>
  </si>
  <si>
    <t>1600</t>
  </si>
  <si>
    <t>Welwyn Garden City Parishes (Holy Family RC Church)</t>
  </si>
  <si>
    <t>WES216</t>
  </si>
  <si>
    <t>1601</t>
  </si>
  <si>
    <t xml:space="preserve">WEMBLEY  </t>
  </si>
  <si>
    <t>WES217</t>
  </si>
  <si>
    <t>1602</t>
  </si>
  <si>
    <t>WES218</t>
  </si>
  <si>
    <t>1603</t>
  </si>
  <si>
    <t>St Catherine of Alexandria RC Church</t>
  </si>
  <si>
    <t>WEST DRAYTON</t>
  </si>
  <si>
    <t>WES219</t>
  </si>
  <si>
    <t>1604</t>
  </si>
  <si>
    <t>WES220</t>
  </si>
  <si>
    <t>1605</t>
  </si>
  <si>
    <t xml:space="preserve">WHEATHAMPSTEAD </t>
  </si>
  <si>
    <t>WES221</t>
  </si>
  <si>
    <t>1606</t>
  </si>
  <si>
    <t>WES222</t>
  </si>
  <si>
    <t>1607</t>
  </si>
  <si>
    <t>WES223</t>
  </si>
  <si>
    <t>1608</t>
  </si>
  <si>
    <t>WES224</t>
  </si>
  <si>
    <t>1609</t>
  </si>
  <si>
    <t>Our Lady of Willesden</t>
  </si>
  <si>
    <t>WES225</t>
  </si>
  <si>
    <t>1610</t>
  </si>
  <si>
    <t>St Magdalen RC Church</t>
  </si>
  <si>
    <t>WES226</t>
  </si>
  <si>
    <t>1611</t>
  </si>
  <si>
    <t>WES227</t>
  </si>
  <si>
    <t>1613</t>
  </si>
  <si>
    <t>St Raphael's RC Church</t>
  </si>
  <si>
    <t>YEADING</t>
  </si>
  <si>
    <t>WES229</t>
  </si>
  <si>
    <t>202027</t>
  </si>
  <si>
    <t>St Barnabas - Melkite Church</t>
  </si>
  <si>
    <t>WES999</t>
  </si>
  <si>
    <t>1616</t>
  </si>
  <si>
    <t>Westminster Diocese Various</t>
  </si>
  <si>
    <t>WRX</t>
  </si>
  <si>
    <t>WRX001</t>
  </si>
  <si>
    <t>1618</t>
  </si>
  <si>
    <t>Cathedral Church of Our Lady of Sorrows</t>
  </si>
  <si>
    <t xml:space="preserve">WREXHAM  </t>
  </si>
  <si>
    <t>£332.61 should be £333.61</t>
  </si>
  <si>
    <t>WRX001S</t>
  </si>
  <si>
    <t>0442914</t>
  </si>
  <si>
    <t>WREXHAM</t>
  </si>
  <si>
    <t>WRX002</t>
  </si>
  <si>
    <t>1619</t>
  </si>
  <si>
    <t>St Anne RC Church - Wrexham Maelor</t>
  </si>
  <si>
    <t xml:space="preserve">WREXHAM </t>
  </si>
  <si>
    <t>WRX003</t>
  </si>
  <si>
    <t>1620</t>
  </si>
  <si>
    <t>St Therese of Lisieux RC Church</t>
  </si>
  <si>
    <t>ABERGELE</t>
  </si>
  <si>
    <t>WRX003S</t>
  </si>
  <si>
    <t>0442921</t>
  </si>
  <si>
    <t>WRX005</t>
  </si>
  <si>
    <t>1621</t>
  </si>
  <si>
    <t>Our Lady Star of the Sea &amp; St Winefride - Mission on Anglesey</t>
  </si>
  <si>
    <t>AMLWCH</t>
  </si>
  <si>
    <t>WRX005S</t>
  </si>
  <si>
    <t>0479523</t>
  </si>
  <si>
    <t>CEMAES BAY</t>
  </si>
  <si>
    <t>WRX007</t>
  </si>
  <si>
    <t>1622</t>
  </si>
  <si>
    <t>Our Lady of Fatima RC Church</t>
  </si>
  <si>
    <t>BALA</t>
  </si>
  <si>
    <t>WRX008</t>
  </si>
  <si>
    <t>1623</t>
  </si>
  <si>
    <t>Our Lady &amp; St James - Bangor and Caernarfon</t>
  </si>
  <si>
    <t>BANGOR</t>
  </si>
  <si>
    <t>banking identified based on counterfoil number series</t>
  </si>
  <si>
    <t>WRX008S</t>
  </si>
  <si>
    <t>0479524</t>
  </si>
  <si>
    <t>St Pius X and St Richard Gwyn</t>
  </si>
  <si>
    <t>BETHESDA</t>
  </si>
  <si>
    <t>WRX010</t>
  </si>
  <si>
    <t>1625</t>
  </si>
  <si>
    <t>St Tudwal RC Church</t>
  </si>
  <si>
    <t xml:space="preserve">BARMOUTH  </t>
  </si>
  <si>
    <t>WRX010S</t>
  </si>
  <si>
    <t>0442946</t>
  </si>
  <si>
    <t>St David in Seion</t>
  </si>
  <si>
    <t>HARLECH</t>
  </si>
  <si>
    <t>WRX011</t>
  </si>
  <si>
    <t>1626</t>
  </si>
  <si>
    <t>Our Lady Queen of Martyrs - Mission on Anglesey</t>
  </si>
  <si>
    <t>BEAUMARIS</t>
  </si>
  <si>
    <t>WRX011A</t>
  </si>
  <si>
    <t>147919</t>
  </si>
  <si>
    <t>Our Lady of Lourdes RC Church - Mission on Anglesey</t>
  </si>
  <si>
    <t>TYN-Y-GONGL</t>
  </si>
  <si>
    <t>WRX011S</t>
  </si>
  <si>
    <t>0442943</t>
  </si>
  <si>
    <t>St Anne's - Mission on Anglesey</t>
  </si>
  <si>
    <t>MENAI BRIDGE</t>
  </si>
  <si>
    <t>WRX011S2</t>
  </si>
  <si>
    <t>0442944</t>
  </si>
  <si>
    <t>St Joseph's - Mission on Anglesey</t>
  </si>
  <si>
    <t>LLANGEFNI</t>
  </si>
  <si>
    <t>WRX012</t>
  </si>
  <si>
    <t>1627</t>
  </si>
  <si>
    <t>BLAENAU FFESTINIOG</t>
  </si>
  <si>
    <t>WRX012S</t>
  </si>
  <si>
    <t>0442948</t>
  </si>
  <si>
    <t>WRX014</t>
  </si>
  <si>
    <t>1628</t>
  </si>
  <si>
    <t>BUCKLEY</t>
  </si>
  <si>
    <t>less £40.69 not found in bank stattement</t>
  </si>
  <si>
    <t>WRX016</t>
  </si>
  <si>
    <t>1629</t>
  </si>
  <si>
    <t>St David &amp; St Helen - Bangor and Caernarfon</t>
  </si>
  <si>
    <t xml:space="preserve">CAERNARFON </t>
  </si>
  <si>
    <t>WRX016S</t>
  </si>
  <si>
    <t>0479525</t>
  </si>
  <si>
    <t>St John Jones RC Church</t>
  </si>
  <si>
    <t>LLANBERIS</t>
  </si>
  <si>
    <t>WRX020</t>
  </si>
  <si>
    <t>1630</t>
  </si>
  <si>
    <t>Sacred Heart of Jesus - St Richard Gwyn, Chirk, Llangollen &amp; Ruabon</t>
  </si>
  <si>
    <t>WRX021</t>
  </si>
  <si>
    <t>1631</t>
  </si>
  <si>
    <t>St Joseph RC Church - Colwyn Bay &amp; Old Colwyn</t>
  </si>
  <si>
    <t>COLWYN BAY</t>
  </si>
  <si>
    <t>WRX022</t>
  </si>
  <si>
    <t>1632</t>
  </si>
  <si>
    <t xml:space="preserve">DEESIDE </t>
  </si>
  <si>
    <t>banking diff of 20p</t>
  </si>
  <si>
    <t>WRX023</t>
  </si>
  <si>
    <t>1633</t>
  </si>
  <si>
    <t>St Michael &amp; All Angels - Llandudno Junction, Llanfairfechan &amp; Llanrwst</t>
  </si>
  <si>
    <t>CONWY</t>
  </si>
  <si>
    <t>WRX026</t>
  </si>
  <si>
    <t>1635</t>
  </si>
  <si>
    <t>St Joseph - Vale of Clwyd Catholic Parish</t>
  </si>
  <si>
    <t>DENBIGH</t>
  </si>
  <si>
    <t>£154.67 should be £152.32 per bank statemnet</t>
  </si>
  <si>
    <t>WRX027</t>
  </si>
  <si>
    <t>1636</t>
  </si>
  <si>
    <t>Our Lady of Seven Sorrows - Bala and Dolgellau</t>
  </si>
  <si>
    <t xml:space="preserve">DOLGELLAU  </t>
  </si>
  <si>
    <t>WRX029</t>
  </si>
  <si>
    <t>1637</t>
  </si>
  <si>
    <t>Church of the Immaculate Conception</t>
  </si>
  <si>
    <t>FLINT</t>
  </si>
  <si>
    <t>WRX031</t>
  </si>
  <si>
    <t>1638</t>
  </si>
  <si>
    <t>DEESIDE</t>
  </si>
  <si>
    <t>WRX033</t>
  </si>
  <si>
    <t>1639</t>
  </si>
  <si>
    <t>St Mary Help of Christians RC Church - Mission on Anglesey</t>
  </si>
  <si>
    <t xml:space="preserve">HOLYHEAD  </t>
  </si>
  <si>
    <t>WRX033S</t>
  </si>
  <si>
    <t>0442941</t>
  </si>
  <si>
    <t>St Therese - Mission on Anglesey</t>
  </si>
  <si>
    <t>RHOSNEIGR</t>
  </si>
  <si>
    <t>WRX034</t>
  </si>
  <si>
    <t>1640</t>
  </si>
  <si>
    <t>HOLYWELL</t>
  </si>
  <si>
    <t>WRX038</t>
  </si>
  <si>
    <t>1641</t>
  </si>
  <si>
    <t>LLANDUDNO</t>
  </si>
  <si>
    <t>WRX039</t>
  </si>
  <si>
    <t>1642</t>
  </si>
  <si>
    <t>Most Holy Family RC Church - Llandudno Junction, Llanfairfechan &amp; Llanrwst</t>
  </si>
  <si>
    <t>LLANDUDNO JUNCTION</t>
  </si>
  <si>
    <t>WRX039S</t>
  </si>
  <si>
    <t>0443037</t>
  </si>
  <si>
    <t>St Mary of the Angels - Llandudno Junction, Llanfairfechan &amp; Llanrwst</t>
  </si>
  <si>
    <t>LLANFAIRFECHAN</t>
  </si>
  <si>
    <t>WRX041</t>
  </si>
  <si>
    <t>1644</t>
  </si>
  <si>
    <t>Eglwys Y Groes (Holy Cross) - St Richard Gwyn, Chirk, Llangollen &amp; Ruabon</t>
  </si>
  <si>
    <t>LLANGOLLEN</t>
  </si>
  <si>
    <t>WRX043</t>
  </si>
  <si>
    <t>1645</t>
  </si>
  <si>
    <t>Eglwys Y Bugail Da RC Church - Llandudno Junction, Llanfairfechan &amp; Llanrwst</t>
  </si>
  <si>
    <t>LLANRWST</t>
  </si>
  <si>
    <t>WRX044</t>
  </si>
  <si>
    <t>1646</t>
  </si>
  <si>
    <t>WRX044S</t>
  </si>
  <si>
    <t>0443042</t>
  </si>
  <si>
    <t>Christ the King - Llay &amp; Rossett</t>
  </si>
  <si>
    <t>WRX045</t>
  </si>
  <si>
    <t>1647</t>
  </si>
  <si>
    <t>St Mair (Our Lady Help of Christians)</t>
  </si>
  <si>
    <t>MACHYNLLETH</t>
  </si>
  <si>
    <t>WRX048</t>
  </si>
  <si>
    <t>1649</t>
  </si>
  <si>
    <t xml:space="preserve">MOLD  </t>
  </si>
  <si>
    <t>WRX050</t>
  </si>
  <si>
    <t>1650</t>
  </si>
  <si>
    <t>God the Holy Spirit - Welshpool, Newtown &amp; Llanidloes</t>
  </si>
  <si>
    <t xml:space="preserve">NEWTOWN </t>
  </si>
  <si>
    <t>WRX050L</t>
  </si>
  <si>
    <t>0443041</t>
  </si>
  <si>
    <t>Our Lady and St Richard Gwyn - Welshpool, Newtown &amp; Llanidloes</t>
  </si>
  <si>
    <t>LLANIDLOES</t>
  </si>
  <si>
    <t>WRX051</t>
  </si>
  <si>
    <t>1651</t>
  </si>
  <si>
    <t>The Sacred Heart RC Church - Colwyn Bay &amp; Old Colwyn</t>
  </si>
  <si>
    <t>WRX052</t>
  </si>
  <si>
    <t>1652</t>
  </si>
  <si>
    <t>Our Lady &amp; The Welsh Martyrs RC Church - Wrexham Maelor</t>
  </si>
  <si>
    <t>WRX053</t>
  </si>
  <si>
    <t>1653</t>
  </si>
  <si>
    <t xml:space="preserve">HOLYWELL  </t>
  </si>
  <si>
    <t>WRX056</t>
  </si>
  <si>
    <t>1656</t>
  </si>
  <si>
    <t>Most Holy Redeemer RC Church - Pwllehli &amp; Porthmadog</t>
  </si>
  <si>
    <t>PORTHMADOG</t>
  </si>
  <si>
    <t>WRX056S</t>
  </si>
  <si>
    <t>0479526</t>
  </si>
  <si>
    <t>St  Mary (Anglican Church in Wales)</t>
  </si>
  <si>
    <t>BEDDGELERT</t>
  </si>
  <si>
    <t>WRX056S2</t>
  </si>
  <si>
    <t>0479527</t>
  </si>
  <si>
    <t>CRICCIETH</t>
  </si>
  <si>
    <t>WRX057</t>
  </si>
  <si>
    <t>1657</t>
  </si>
  <si>
    <t>St Peter &amp; St Frances</t>
  </si>
  <si>
    <t xml:space="preserve">PRESTATYN </t>
  </si>
  <si>
    <t>WRX058</t>
  </si>
  <si>
    <t>1658</t>
  </si>
  <si>
    <t>St Joseph RC Church - Pwllehli &amp; Porthmadog</t>
  </si>
  <si>
    <t>PWLLHELI</t>
  </si>
  <si>
    <t>WRX058S</t>
  </si>
  <si>
    <t>0479528</t>
  </si>
  <si>
    <t>St Garmon R C Church</t>
  </si>
  <si>
    <t>ABERSOCH</t>
  </si>
  <si>
    <t>WRX058S2</t>
  </si>
  <si>
    <t>0479529</t>
  </si>
  <si>
    <t>The Resurrection of Our Saviour</t>
  </si>
  <si>
    <t>MORFA NEFYN</t>
  </si>
  <si>
    <t>WRX059</t>
  </si>
  <si>
    <t>1659</t>
  </si>
  <si>
    <t>The Blessed Trinity RC Church</t>
  </si>
  <si>
    <t>WRX060</t>
  </si>
  <si>
    <t>1660</t>
  </si>
  <si>
    <t xml:space="preserve">RHYL  </t>
  </si>
  <si>
    <t>WRX061</t>
  </si>
  <si>
    <t>1661</t>
  </si>
  <si>
    <t>St Mary The Virgin RC Church - St Richard Gwyn, Chirk, Llangollen &amp; Ruabon</t>
  </si>
  <si>
    <t>£47.05 should be £212.05 per bank statement</t>
  </si>
  <si>
    <t>WRX062</t>
  </si>
  <si>
    <t>1662</t>
  </si>
  <si>
    <t>Our Lady Help of Christians - Vale of Clwyd Catholic Parish</t>
  </si>
  <si>
    <t xml:space="preserve">RUTHIN  </t>
  </si>
  <si>
    <t xml:space="preserve"> </t>
  </si>
  <si>
    <t>WRX063</t>
  </si>
  <si>
    <t>1663</t>
  </si>
  <si>
    <t>ST ASAPH</t>
  </si>
  <si>
    <t>WRX063S</t>
  </si>
  <si>
    <t>0443051</t>
  </si>
  <si>
    <t>RHYL</t>
  </si>
  <si>
    <t>WRX063S2</t>
  </si>
  <si>
    <t>1665</t>
  </si>
  <si>
    <t>St Beuno's Jesuit Community</t>
  </si>
  <si>
    <t>WRX065</t>
  </si>
  <si>
    <t>1664</t>
  </si>
  <si>
    <t>SALTNEY</t>
  </si>
  <si>
    <t>WRX068</t>
  </si>
  <si>
    <t>1666</t>
  </si>
  <si>
    <t xml:space="preserve">TYWYN  </t>
  </si>
  <si>
    <t>WRX068S</t>
  </si>
  <si>
    <t>0479530</t>
  </si>
  <si>
    <t>ABERDYFI</t>
  </si>
  <si>
    <t>WRX069</t>
  </si>
  <si>
    <t>1667</t>
  </si>
  <si>
    <t>St Winefride RC Church - Welshpool, Newtown &amp; Llanidloes</t>
  </si>
  <si>
    <t>WELSHPOOL</t>
  </si>
  <si>
    <t>WRX069S</t>
  </si>
  <si>
    <t>0479531</t>
  </si>
  <si>
    <t>St Garmon (Church in Wales)</t>
  </si>
  <si>
    <t>LLANFECHAIN</t>
  </si>
  <si>
    <t>WRX999</t>
  </si>
  <si>
    <t>1670</t>
  </si>
  <si>
    <t>Wrexham Diocese Various</t>
  </si>
  <si>
    <t>unidentified items in bank statements</t>
  </si>
  <si>
    <t>254888</t>
  </si>
  <si>
    <t>0330746</t>
  </si>
  <si>
    <t>The Ordinariate of Our Lady of Walsingham - Coventry</t>
  </si>
  <si>
    <t>0554983</t>
  </si>
  <si>
    <t>St John The Baptist</t>
  </si>
  <si>
    <t>0413058</t>
  </si>
  <si>
    <t>Brentwood Catholic Youth Service</t>
  </si>
  <si>
    <t>0443590</t>
  </si>
  <si>
    <t>St Margaret &amp; All Saints (Convent Chapel)</t>
  </si>
  <si>
    <t>0554213</t>
  </si>
  <si>
    <t>St John Fisher Church</t>
  </si>
  <si>
    <t>248690</t>
  </si>
  <si>
    <t>The Briars Catholic Youth Retreat Centre</t>
  </si>
  <si>
    <t>254877</t>
  </si>
  <si>
    <t>St. Ralph Sherwin Centre</t>
  </si>
  <si>
    <t xml:space="preserve">DERBY                         </t>
  </si>
  <si>
    <t>Totals</t>
  </si>
  <si>
    <t>Missio's APF-Mill Hill Red Box Parish Results 2018 - Arundel and Brighton Diocese</t>
  </si>
  <si>
    <t>Corr Dir Don</t>
  </si>
  <si>
    <t>Diocesan Figures</t>
  </si>
  <si>
    <t>Total 2016</t>
  </si>
  <si>
    <t>ARUNDEL CATHEDRAL</t>
  </si>
  <si>
    <t>Our Lady &amp; St Philip Howard</t>
  </si>
  <si>
    <t>EAST PRESTON &amp;  ANGMERING</t>
  </si>
  <si>
    <t>ASH</t>
  </si>
  <si>
    <t>The Holy Angels</t>
  </si>
  <si>
    <t>SLINDON</t>
  </si>
  <si>
    <t>St Richard</t>
  </si>
  <si>
    <t>BAGSHOT</t>
  </si>
  <si>
    <t>Our Lady Immaculate &amp; St Michael</t>
  </si>
  <si>
    <t>St Mary Magdalene</t>
  </si>
  <si>
    <t>BILLINGSHURST with PULBOROUGH</t>
  </si>
  <si>
    <t>BOGNOR REGIS with ROSE GREEN</t>
  </si>
  <si>
    <t>BROADFIELD</t>
  </si>
  <si>
    <t>Christ the Lord</t>
  </si>
  <si>
    <t>St Wilfrid</t>
  </si>
  <si>
    <t>BURWASH</t>
  </si>
  <si>
    <t>St Tarcisius</t>
  </si>
  <si>
    <t>CAMBERLEY (NORTH)</t>
  </si>
  <si>
    <t>St Peter &amp; St John</t>
  </si>
  <si>
    <t>CHILWORTH</t>
  </si>
  <si>
    <t>The Holy Ghost</t>
  </si>
  <si>
    <t>CRANLEIGH &amp; BRAMLEY</t>
  </si>
  <si>
    <t>St Francis &amp; St Anthony Church</t>
  </si>
  <si>
    <t>ARU038/39</t>
  </si>
  <si>
    <t>Our Lady of Ransom &amp; St. Agnes</t>
  </si>
  <si>
    <t>EFFINGHAM</t>
  </si>
  <si>
    <t>EGHAM PARISH</t>
  </si>
  <si>
    <t>Assumption of Our Lady &amp; St John of Rochester</t>
  </si>
  <si>
    <t>The Holy Name</t>
  </si>
  <si>
    <t>St Clement</t>
  </si>
  <si>
    <t>HEATH END</t>
  </si>
  <si>
    <t>FETCHAM</t>
  </si>
  <si>
    <t>FRIMLEY</t>
  </si>
  <si>
    <t>GORING-BY-SEA</t>
  </si>
  <si>
    <t>HAMPDEN PARK</t>
  </si>
  <si>
    <t>St Joachim</t>
  </si>
  <si>
    <t>HEATHFIELD with BURWASH</t>
  </si>
  <si>
    <t>Corpus Christi</t>
  </si>
  <si>
    <t>HERSHAM</t>
  </si>
  <si>
    <t>HINDHEAD &amp; BEACON HILL</t>
  </si>
  <si>
    <t>HOLLINGTON</t>
  </si>
  <si>
    <t>Holy Redeemer</t>
  </si>
  <si>
    <t>KEYMER &amp; HURSTPIERPOINT</t>
  </si>
  <si>
    <t>KNAPHILL</t>
  </si>
  <si>
    <t>ARU076/130</t>
  </si>
  <si>
    <t>LANCING/EAST WORTHING</t>
  </si>
  <si>
    <t>The Holy Family &amp; St. Charles Borromeo</t>
  </si>
  <si>
    <t>LANGLEY GREEN &amp; GOSSOP'S GREEN</t>
  </si>
  <si>
    <t>St Pancras</t>
  </si>
  <si>
    <t>St Catherine</t>
  </si>
  <si>
    <t>MERROW</t>
  </si>
  <si>
    <t>ARU085/98</t>
  </si>
  <si>
    <t>MERSTHAM &amp; REDHILL</t>
  </si>
  <si>
    <t>Parish of the Nativity of the Lord - St Teresa &amp; St. Joseph</t>
  </si>
  <si>
    <t>MOLESEY</t>
  </si>
  <si>
    <t>NEWHAVEN</t>
  </si>
  <si>
    <t>NORTHIAM</t>
  </si>
  <si>
    <t>OXTED</t>
  </si>
  <si>
    <t>PETWORTH &amp; DUNCTON</t>
  </si>
  <si>
    <t>The Sacred Heart, St. Anthony &amp; St. George</t>
  </si>
  <si>
    <t>POUND HILL</t>
  </si>
  <si>
    <t>ROTTINGDEAN</t>
  </si>
  <si>
    <t>ST LEONARDS-ON-SEA</t>
  </si>
  <si>
    <t>Our Lady of Mount Carmel &amp; St Wilfrid</t>
  </si>
  <si>
    <t>THE WITTERINGS</t>
  </si>
  <si>
    <t>ADUR VALLEY - SHOREHAM</t>
  </si>
  <si>
    <t>ARU109/073</t>
  </si>
  <si>
    <t>SOUTHWICK, PORTSLADE &amp; HOVE</t>
  </si>
  <si>
    <t>St Theresa of Lisieux &amp; St Georges</t>
  </si>
  <si>
    <t>STAPLEFIELD</t>
  </si>
  <si>
    <t>ADUR VALLEY - STEYNING</t>
  </si>
  <si>
    <t>STORRINGTON</t>
  </si>
  <si>
    <t>SUTTON PARK</t>
  </si>
  <si>
    <t>THAMES DITTON</t>
  </si>
  <si>
    <t>ARU117/65</t>
  </si>
  <si>
    <t>UCKFIELD &amp; HERON'S GHYLL</t>
  </si>
  <si>
    <t>WADHURST</t>
  </si>
  <si>
    <t>St Erconwald</t>
  </si>
  <si>
    <t>WOODINGDEAN</t>
  </si>
  <si>
    <t>WORTH ABBEY</t>
  </si>
  <si>
    <t>ARU777</t>
  </si>
  <si>
    <t>ARUNDEL &amp; BRIGHTON DIOCESE</t>
  </si>
  <si>
    <t>VARIOUS</t>
  </si>
  <si>
    <t>#</t>
  </si>
  <si>
    <t>Missio's APF-Mill Hill Red Box Parish Results 2018 - Archdiocese of Birmingham</t>
  </si>
  <si>
    <t>Corr Diocesan Bank A/C</t>
  </si>
  <si>
    <t>BIRMINGHAM CATHEDRAL</t>
  </si>
  <si>
    <t>BIRMINGHAM -ALCESTER STREET</t>
  </si>
  <si>
    <t>St. Anne</t>
  </si>
  <si>
    <t>St. John the Evangelist &amp; St. Martin</t>
  </si>
  <si>
    <t>The Mother of God &amp; Guardian Angels</t>
  </si>
  <si>
    <t>St Gerard</t>
  </si>
  <si>
    <t>BIRMINGHAM-CHELMSLEY WOOD</t>
  </si>
  <si>
    <t>BIRMINGHAM- DUDLEY ROAD</t>
  </si>
  <si>
    <t>St Thomas &amp; St Edmund of Canterbury</t>
  </si>
  <si>
    <t>St Ambrose Barlow</t>
  </si>
  <si>
    <t>BIRMINGHAM- HANDSWORTH</t>
  </si>
  <si>
    <t>BIRMINGHAM- HARBORNE</t>
  </si>
  <si>
    <t>St Joseph &amp; St Helen</t>
  </si>
  <si>
    <t>Christ The King</t>
  </si>
  <si>
    <t>St. Joseph</t>
  </si>
  <si>
    <t>St Teresa</t>
  </si>
  <si>
    <t>Our Lady of  Perpetual Succour</t>
  </si>
  <si>
    <t>St Edward</t>
  </si>
  <si>
    <t>St Jude</t>
  </si>
  <si>
    <t>Our Lady &amp; St Rose</t>
  </si>
  <si>
    <t>BIRMINGHAM- ALCESTER</t>
  </si>
  <si>
    <t>Our Lady and St. Joseph</t>
  </si>
  <si>
    <t>Our Lady &amp; St Gregory the Great</t>
  </si>
  <si>
    <t>BIDFORD on AVON</t>
  </si>
  <si>
    <t>St. Joseph the Worker</t>
  </si>
  <si>
    <t>BIR063/141</t>
  </si>
  <si>
    <t>BLACKHEATH &amp; OLDBURY</t>
  </si>
  <si>
    <t>English Martyrs &amp; St. Francis Xavier</t>
  </si>
  <si>
    <t>St Mary &amp; St Modwen</t>
  </si>
  <si>
    <t>Our Lady &amp; St Anne</t>
  </si>
  <si>
    <t>St Filumena</t>
  </si>
  <si>
    <t>CHARLBURY</t>
  </si>
  <si>
    <t>St. Theresa of Lisieux</t>
  </si>
  <si>
    <t>BIR079/179</t>
  </si>
  <si>
    <t>CHEADLE &amp; TEAN</t>
  </si>
  <si>
    <t>St Giles &amp; St. Thomas</t>
  </si>
  <si>
    <t>BIR082/050</t>
  </si>
  <si>
    <t>CLAYTON &amp; ASHLEY</t>
  </si>
  <si>
    <t>Our Lady &amp; St Werburgh &amp; Our BlessedLady &amp; St. John</t>
  </si>
  <si>
    <t>Our Lady Assumption</t>
  </si>
  <si>
    <t>The Most Holy Sacrament &amp; St Osburgh RC Church</t>
  </si>
  <si>
    <t>St Mary &amp; St Egwin</t>
  </si>
  <si>
    <t>GREAT MALVERN</t>
  </si>
  <si>
    <t>Our Lady and St. Pius X</t>
  </si>
  <si>
    <t>Our  Lady &amp; St  Kenelm</t>
  </si>
  <si>
    <t>St  Charles Borromeo</t>
  </si>
  <si>
    <t>St. Michael &amp; St. James</t>
  </si>
  <si>
    <t>HETHE WITH ADDERBURY</t>
  </si>
  <si>
    <t>KIDLINGTON &amp; WOODSTOCK</t>
  </si>
  <si>
    <t>St  Thomas More &amp; St Hugh of Lincoln</t>
  </si>
  <si>
    <t>St  Francis of Assisi</t>
  </si>
  <si>
    <t>St John &amp; St  Anthony</t>
  </si>
  <si>
    <t>Our  Lady of Lourdes</t>
  </si>
  <si>
    <t>St  Mary</t>
  </si>
  <si>
    <t>Holy Cross &amp; St. Peter &amp; St. Paul</t>
  </si>
  <si>
    <t>LITTLE MALVERN</t>
  </si>
  <si>
    <t>St Wulstan</t>
  </si>
  <si>
    <t>St  Peter &amp; The English Martyrs</t>
  </si>
  <si>
    <t>NEWCASTLE UNDER LYME</t>
  </si>
  <si>
    <t>NUNEATON &amp; New Arley</t>
  </si>
  <si>
    <t>St  Anne &amp; St Joseph's</t>
  </si>
  <si>
    <t>The Holy Ghost &amp; Mary Immaculate</t>
  </si>
  <si>
    <t>St  Aloysius</t>
  </si>
  <si>
    <t>Oxford</t>
  </si>
  <si>
    <t>St Edmund &amp; St. Friedswide</t>
  </si>
  <si>
    <t>St Marie</t>
  </si>
  <si>
    <t>BRAILES &amp; ILMINGTON with Shipston-on-Stour</t>
  </si>
  <si>
    <t>Our Lady of the Wayside</t>
  </si>
  <si>
    <t>St. Philip Neri</t>
  </si>
  <si>
    <t>St  Augustine of England</t>
  </si>
  <si>
    <t>Our  Lady &amp; St  Wulstan</t>
  </si>
  <si>
    <t>St  Anne</t>
  </si>
  <si>
    <t>St  Austin</t>
  </si>
  <si>
    <t>Our Lady &amp; St  Peter</t>
  </si>
  <si>
    <t>St Joseph (Burslem)</t>
  </si>
  <si>
    <t>St Joseph (Goldenhill)</t>
  </si>
  <si>
    <t>STOKE ON TRENT with Cresswell</t>
  </si>
  <si>
    <t>St Augustine of Canterbury &amp; St Mary</t>
  </si>
  <si>
    <t>Our Lady &amp; All Saints</t>
  </si>
  <si>
    <t>STOURPORT</t>
  </si>
  <si>
    <t>St  Gregory</t>
  </si>
  <si>
    <t>St  Nicholas</t>
  </si>
  <si>
    <t>Holy Cross &amp; St Francis</t>
  </si>
  <si>
    <t>TAMWORTH (Glascote Heath)</t>
  </si>
  <si>
    <t>Our Lady &amp; St Hubert</t>
  </si>
  <si>
    <t>St  Mary Immaculate</t>
  </si>
  <si>
    <t>St. Edmund Campion</t>
  </si>
  <si>
    <t>St  Michael &amp; the Holy Angels</t>
  </si>
  <si>
    <t>Holy Cross &amp; St Joseph</t>
  </si>
  <si>
    <t>St Mary's</t>
  </si>
  <si>
    <t>Our Lady &amp; St  Hugh of Lincoln</t>
  </si>
  <si>
    <t>St  Michael</t>
  </si>
  <si>
    <t>St. Patrick's</t>
  </si>
  <si>
    <t>St  Teresa of the Infant Jesus</t>
  </si>
  <si>
    <t>St  George</t>
  </si>
  <si>
    <t>BARTON-UNDER-NEEDWOOD-TUTBURY</t>
  </si>
  <si>
    <t>BARTON-UNDER-NEEDWOOD-WOODLANE</t>
  </si>
  <si>
    <t>BIR777/999</t>
  </si>
  <si>
    <t>BIR000, BIR777, BIR999,Blanks with no parish</t>
  </si>
  <si>
    <t>Missio's APF-Mill Hill Red Box Parish Results 2018 - Cardiff Archdiocese</t>
  </si>
  <si>
    <t>TOTAL 2016</t>
  </si>
  <si>
    <t>Blessed Sacrament</t>
  </si>
  <si>
    <t>St Brigid &amp; St Paul</t>
  </si>
  <si>
    <t>St Cadoc</t>
  </si>
  <si>
    <t>St Francis of Assisi &amp; St Clare</t>
  </si>
  <si>
    <t>St John Lloyd</t>
  </si>
  <si>
    <t>St Teilo</t>
  </si>
  <si>
    <t>St Philip Evans</t>
  </si>
  <si>
    <t>ABERCYNON</t>
  </si>
  <si>
    <t>ABERGAVENNY</t>
  </si>
  <si>
    <t>ABERKENFIG</t>
  </si>
  <si>
    <t>St Robert of Newminster</t>
  </si>
  <si>
    <t>CAR026/35</t>
  </si>
  <si>
    <t>ABERTILLERY &amp; BRYNMAWR</t>
  </si>
  <si>
    <t>St Mary  and St. Mary</t>
  </si>
  <si>
    <t>BELMONT</t>
  </si>
  <si>
    <t>CAERLEON &amp; NEWPORT</t>
  </si>
  <si>
    <t>All Saints: St Julius, Aaron &amp; David &amp; St. Julius the Martyr</t>
  </si>
  <si>
    <t>PONTNEWYDD</t>
  </si>
  <si>
    <t>DINAS POWYS (See below)</t>
  </si>
  <si>
    <t>St Joseph &amp; St Mary</t>
  </si>
  <si>
    <t>DOWLAIS</t>
  </si>
  <si>
    <t>St Illtyd</t>
  </si>
  <si>
    <t>Our Lady Queen of Martyrs</t>
  </si>
  <si>
    <t>St Ethelbert</t>
  </si>
  <si>
    <t>All Hallows</t>
  </si>
  <si>
    <t>Our Lady &amp; St Illtyd with St Cadoc</t>
  </si>
  <si>
    <t>MAESTEG</t>
  </si>
  <si>
    <t>Our Lady &amp; St Partick</t>
  </si>
  <si>
    <t>St Aloysius</t>
  </si>
  <si>
    <t>MERTHYR VALE</t>
  </si>
  <si>
    <t>CAR064/022</t>
  </si>
  <si>
    <t>CYNON VALLEY &amp; ABEDARE</t>
  </si>
  <si>
    <t>Mary Immaculate &amp; St. Joseph</t>
  </si>
  <si>
    <t>CAR066/76</t>
  </si>
  <si>
    <t>NEWBRIDGE with PONTLLANFRAITH</t>
  </si>
  <si>
    <t xml:space="preserve">Our Lady of Peace and the Sacred Heart </t>
  </si>
  <si>
    <t>All Saints: St David Lewis</t>
  </si>
  <si>
    <t>All Saints: St Gabriel</t>
  </si>
  <si>
    <t>CAR074/44</t>
  </si>
  <si>
    <t>PENARTH/DINAS POWYS</t>
  </si>
  <si>
    <t>St John</t>
  </si>
  <si>
    <t>RISCA</t>
  </si>
  <si>
    <t>St Anthony &amp; St Clare</t>
  </si>
  <si>
    <t>ROGERSTONE</t>
  </si>
  <si>
    <t>St Frances of Rome</t>
  </si>
  <si>
    <t>TONYPANDY</t>
  </si>
  <si>
    <t>St Gabriel &amp; St Raphael</t>
  </si>
  <si>
    <t>TREFOREST</t>
  </si>
  <si>
    <t>St Dyfrigs</t>
  </si>
  <si>
    <t>WEOBLEY &amp; KINGTON</t>
  </si>
  <si>
    <t>St Thomas &amp; St Bede</t>
  </si>
  <si>
    <t>YNYSHIR</t>
  </si>
  <si>
    <t>CAR000/999</t>
  </si>
  <si>
    <t>CARDIFF DIOCESE</t>
  </si>
  <si>
    <t>Missio's APF-Mill Hill Red Box Annual Parish Results 2018 - Clifton Diocese</t>
  </si>
  <si>
    <t>Direct Donations</t>
  </si>
  <si>
    <t>Diocese A/C</t>
  </si>
  <si>
    <t>CLIFTON CATHEDRAL</t>
  </si>
  <si>
    <t>Our  Lady  &amp; St  Alphege</t>
  </si>
  <si>
    <t>Our Lady Of Lourdes</t>
  </si>
  <si>
    <t>BRIDGEWATER</t>
  </si>
  <si>
    <t>St Jospeh</t>
  </si>
  <si>
    <t>Our Lady of Lourdes &amp; St Bernadette</t>
  </si>
  <si>
    <t>St  Anthony</t>
  </si>
  <si>
    <t>St  Bernadette</t>
  </si>
  <si>
    <t>St  Bonaventure</t>
  </si>
  <si>
    <t>St Gerard Majella</t>
  </si>
  <si>
    <t>St  Pius X</t>
  </si>
  <si>
    <t>St  Edmund</t>
  </si>
  <si>
    <t>Our Lady Queen of the Apostles</t>
  </si>
  <si>
    <t>CHIPPING SODBURY &amp; YATE</t>
  </si>
  <si>
    <t>St Lawrence &amp; St Paul</t>
  </si>
  <si>
    <t xml:space="preserve"> Our Lady of Perpetual Succour</t>
  </si>
  <si>
    <t>CINDERFORD &amp; LYDNEY</t>
  </si>
  <si>
    <t>Our Lady of Victories &amp; St Joseph</t>
  </si>
  <si>
    <t>St  Peter</t>
  </si>
  <si>
    <t>COLEFORD-SEDBURY</t>
  </si>
  <si>
    <t>CLF053/023</t>
  </si>
  <si>
    <t>St Augustine &amp; St. John Fisher</t>
  </si>
  <si>
    <t>St  Dominic</t>
  </si>
  <si>
    <t>St  Benet</t>
  </si>
  <si>
    <t>St  Dunstan</t>
  </si>
  <si>
    <t>St Aldhelm</t>
  </si>
  <si>
    <t>St  Augustine</t>
  </si>
  <si>
    <t>St  Anthony of Padua</t>
  </si>
  <si>
    <t>CLF080/81</t>
  </si>
  <si>
    <t>St Osmund &amp; Most Holy Redeemer</t>
  </si>
  <si>
    <t>St  Gregory &amp; The English Martyrs</t>
  </si>
  <si>
    <t>Holy Rood</t>
  </si>
  <si>
    <t>THORNBURY</t>
  </si>
  <si>
    <t>The Sacred Heart  &amp; All Saints RC Church</t>
  </si>
  <si>
    <t>WOOTTON BASSETT</t>
  </si>
  <si>
    <t>CLF042, 061, 071, 073, 079, 086</t>
  </si>
  <si>
    <t>CHILCOMPTON, HOLCOMBE, MIDSOMER NORTON, NORTON ST. PHILIP, RADSTOCK, STRATTON ON THE FOSSE</t>
  </si>
  <si>
    <t>St. Aldhelm, St. Cuthbert, Holy Ghost, Our Lady, St. Hugh, St. Benedict</t>
  </si>
  <si>
    <t>CLF000/777/999</t>
  </si>
  <si>
    <t>CLIFTON DIOCESE</t>
  </si>
  <si>
    <t>TOTAL</t>
  </si>
  <si>
    <t>Missio's APF-Mill Hill Red Box Parish Results 2018 - Brentwood Diocese</t>
  </si>
  <si>
    <t>Location</t>
  </si>
  <si>
    <t>Diocesan Account</t>
  </si>
  <si>
    <t>BRENTWOOD CATHEDRAL</t>
  </si>
  <si>
    <t>St Mary &amp; St Helen</t>
  </si>
  <si>
    <t>Brentwood</t>
  </si>
  <si>
    <t>AVELEY/SOUTH OCKENDON</t>
  </si>
  <si>
    <t>St Mary &amp; St Ethelburga</t>
  </si>
  <si>
    <t>BARKINGSIDE</t>
  </si>
  <si>
    <t>St Basil the Great</t>
  </si>
  <si>
    <t>BECONTREE</t>
  </si>
  <si>
    <t>St Vincent</t>
  </si>
  <si>
    <t>The Most Holy Redeemer</t>
  </si>
  <si>
    <t>BRE012</t>
  </si>
  <si>
    <t>BRIGHTLINGSEA with WIVENHOE</t>
  </si>
  <si>
    <t>St Sabina &amp; St Monica</t>
  </si>
  <si>
    <t>BURNHAM-ON-CROUCH</t>
  </si>
  <si>
    <t>St Margaret &amp; All Saints</t>
  </si>
  <si>
    <t>Our Lady of Canvey &amp; The English Martyrs</t>
  </si>
  <si>
    <t>CHADWELL HEATH</t>
  </si>
  <si>
    <t>CHINGFORD</t>
  </si>
  <si>
    <t>Our Lady of Grace &amp; St Teresa of Avila</t>
  </si>
  <si>
    <t>Our Lady of Light  &amp; St Osyth</t>
  </si>
  <si>
    <t>HOLLAND-ON-SEA  (See above)</t>
  </si>
  <si>
    <t>CLAYHALL</t>
  </si>
  <si>
    <t>St  John Vianney</t>
  </si>
  <si>
    <t>St James &amp; St Helen</t>
  </si>
  <si>
    <t>COLLIER ROW</t>
  </si>
  <si>
    <t>CUSTOM HOUSE</t>
  </si>
  <si>
    <t>DANBURY/SOUTH WOODHAM FERRARS</t>
  </si>
  <si>
    <t>Holy Trinity &amp; The English Martyrs</t>
  </si>
  <si>
    <t>BRE31</t>
  </si>
  <si>
    <t>Our Lady &amp; St Anne Line</t>
  </si>
  <si>
    <t>EAST HAM</t>
  </si>
  <si>
    <t>St Peter's</t>
  </si>
  <si>
    <t>ELM PARK</t>
  </si>
  <si>
    <t>St  Alban</t>
  </si>
  <si>
    <t>EPPING</t>
  </si>
  <si>
    <t>Sacred Heart &amp; St Francis</t>
  </si>
  <si>
    <t>GIDEA PARK</t>
  </si>
  <si>
    <t>Christ the Eternal High Priest</t>
  </si>
  <si>
    <t xml:space="preserve"> St Thomas of Canterbury</t>
  </si>
  <si>
    <t>GREAT BARDFIELD with THAXTED</t>
  </si>
  <si>
    <t>The Holy Spirit  with The English Martyrs</t>
  </si>
  <si>
    <t>GREENSTEAD with ARDLEIGH &amp; MISTLEY</t>
  </si>
  <si>
    <t>St John Payne</t>
  </si>
  <si>
    <t>HAINAULT</t>
  </si>
  <si>
    <t>The Assumption</t>
  </si>
  <si>
    <t>Our Lady of Fatima &amp; St Thomas More</t>
  </si>
  <si>
    <t>Church of the Assumption</t>
  </si>
  <si>
    <t>St Luke &amp; Holy Cross</t>
  </si>
  <si>
    <t>HAROLD HILL</t>
  </si>
  <si>
    <t>St Dominic</t>
  </si>
  <si>
    <t>HARWICH &amp; DOVERCOURT</t>
  </si>
  <si>
    <t>St Mary, Mother of God</t>
  </si>
  <si>
    <t>HUTTON &amp; SHENFIELD</t>
  </si>
  <si>
    <t>St  Joseph the Worker</t>
  </si>
  <si>
    <t>St Mary &amp; St Erconwald</t>
  </si>
  <si>
    <t>INGATSTONE</t>
  </si>
  <si>
    <t>St John the Evangelist &amp; St Erconwald</t>
  </si>
  <si>
    <t>KELVEDON</t>
  </si>
  <si>
    <t>St Mary Immaculate &amp; The Holy Archangels</t>
  </si>
  <si>
    <t>BASILDON, LAINDON</t>
  </si>
  <si>
    <t>St  Teresa Lisieux</t>
  </si>
  <si>
    <t>LEIGH ON SEA</t>
  </si>
  <si>
    <t>Our  Lady &amp; St  Joseph</t>
  </si>
  <si>
    <t>LEXDEN</t>
  </si>
  <si>
    <t>LEYTON</t>
  </si>
  <si>
    <t>St  Edmund of Canterbury</t>
  </si>
  <si>
    <t>Assumption of Our Lady</t>
  </si>
  <si>
    <t>MANOR PARK</t>
  </si>
  <si>
    <t>St Stephen</t>
  </si>
  <si>
    <t>NEWBURY PARK</t>
  </si>
  <si>
    <t>SOUTHEND-ON-SEA with PRITTLEWELL</t>
  </si>
  <si>
    <t>Our Lady of La Salette</t>
  </si>
  <si>
    <t>Our  Lady of Ransom</t>
  </si>
  <si>
    <t>Our Lady of Compassion</t>
  </si>
  <si>
    <t>SHOEBURYNESS</t>
  </si>
  <si>
    <t>St George &amp; The English Martyrs</t>
  </si>
  <si>
    <t>SOUTHEND</t>
  </si>
  <si>
    <t>SOUTH WOODFORD</t>
  </si>
  <si>
    <t>St  Anne Line</t>
  </si>
  <si>
    <t>STANFORD LE HOPE</t>
  </si>
  <si>
    <t>STOCK</t>
  </si>
  <si>
    <t>STRATFORD</t>
  </si>
  <si>
    <t>TILBURY</t>
  </si>
  <si>
    <t xml:space="preserve"> Our Lady Star of the Sea</t>
  </si>
  <si>
    <t>UPTON PARK</t>
  </si>
  <si>
    <t>WALTHAM  ABBEY</t>
  </si>
  <si>
    <t>St Thomas More &amp; St Edward</t>
  </si>
  <si>
    <t>WALTHAMSTOW</t>
  </si>
  <si>
    <t>Our Lady &amp; St George</t>
  </si>
  <si>
    <t>Our Lady &amp; St  Patrick</t>
  </si>
  <si>
    <t>WANSTEAD</t>
  </si>
  <si>
    <t>Holy Cross &amp; All Saints</t>
  </si>
  <si>
    <t>Our Lady &amp; St  Helen</t>
  </si>
  <si>
    <t>The Holy Family &amp; All Saints</t>
  </si>
  <si>
    <t>SPRINGFIELD</t>
  </si>
  <si>
    <t>Missio's APF-Mill Hill Red Box Annual Parish Results 2018 - Diocese of East Anglia</t>
  </si>
  <si>
    <t>NORWICH CATHEDRAL</t>
  </si>
  <si>
    <t>WEST EARLHAM</t>
  </si>
  <si>
    <t>Holy Apostles</t>
  </si>
  <si>
    <t>ALDERBURGH</t>
  </si>
  <si>
    <t>Our  Lady  &amp; St  Peter</t>
  </si>
  <si>
    <t>BRANDON &amp; MILDENHALL</t>
  </si>
  <si>
    <t>BUCKDEN</t>
  </si>
  <si>
    <t>St  Edmund, King &amp; Martyr</t>
  </si>
  <si>
    <t>St  Laurence</t>
  </si>
  <si>
    <t>St Philip Howard</t>
  </si>
  <si>
    <t>COSTESSEY</t>
  </si>
  <si>
    <t>Our Lady  &amp; St  Walstan</t>
  </si>
  <si>
    <t>DISS NORFOLK</t>
  </si>
  <si>
    <t>St Etheldreda</t>
  </si>
  <si>
    <t>St  Felix</t>
  </si>
  <si>
    <t>GORLESTON</t>
  </si>
  <si>
    <t>HUNSTANTON &amp; DERSINGHAM</t>
  </si>
  <si>
    <t>Our Lady of Perpetual Succour &amp; St Edmund with St. Cecilia</t>
  </si>
  <si>
    <t>St  Pancras</t>
  </si>
  <si>
    <t>St  James</t>
  </si>
  <si>
    <t>St  Mary Magdalen</t>
  </si>
  <si>
    <t>St Mark</t>
  </si>
  <si>
    <t>KINGS LYNN</t>
  </si>
  <si>
    <t>Our Lady of Annunciation</t>
  </si>
  <si>
    <t>KIRTLING</t>
  </si>
  <si>
    <t>Our Lady &amp; St. Philip Neri</t>
  </si>
  <si>
    <t>PETERBOROUGH &amp; DOGSTHORPE</t>
  </si>
  <si>
    <t>Sacred Heart &amp; St Oswald</t>
  </si>
  <si>
    <t>PORINGLAND</t>
  </si>
  <si>
    <t>QUIDENHAM</t>
  </si>
  <si>
    <t>RAMSEY</t>
  </si>
  <si>
    <t>ST NEOTS</t>
  </si>
  <si>
    <t>SAWSTON</t>
  </si>
  <si>
    <t>EAS054/017</t>
  </si>
  <si>
    <t>CROMER &amp; SHERINGHAM</t>
  </si>
  <si>
    <t>Our Lady &amp; St Joseph's</t>
  </si>
  <si>
    <t>EAS025 &amp; 057</t>
  </si>
  <si>
    <t>Our  Lady  &amp; St  John the Evangelist</t>
  </si>
  <si>
    <t>Our  Lady  &amp; St  Charles Borromeo</t>
  </si>
  <si>
    <t>EAS064/23A</t>
  </si>
  <si>
    <t>WOODBRIDGE &amp; FRAMLINGHAM</t>
  </si>
  <si>
    <t>Our  Lady  &amp; St Thomas of Canterbury</t>
  </si>
  <si>
    <t>CAMBOURNE</t>
  </si>
  <si>
    <t>EAS888/999</t>
  </si>
  <si>
    <t>EAST ANGLIA DIOCESE</t>
  </si>
  <si>
    <t>Missio's APF-Mill Hill Red Box Parish Results 2018 - Diocese of Menevia</t>
  </si>
  <si>
    <t>SWANSEA CATHEDRAL</t>
  </si>
  <si>
    <t xml:space="preserve">Holy Cross </t>
  </si>
  <si>
    <t>St  Illtyd</t>
  </si>
  <si>
    <t>Our Lady &amp; St Winefride</t>
  </si>
  <si>
    <t>MEN013/028</t>
  </si>
  <si>
    <t>AMMANFORD/LLANDEILO</t>
  </si>
  <si>
    <t>Our Lady of the Rosary &amp; St. David</t>
  </si>
  <si>
    <t>MEN014/22</t>
  </si>
  <si>
    <t>BRECON &amp; CRICKHOWELL</t>
  </si>
  <si>
    <t>St Michael &amp; St. Joseph</t>
  </si>
  <si>
    <t>BRITON FERRY</t>
  </si>
  <si>
    <t>CARDIGAN</t>
  </si>
  <si>
    <t>Our Lady of the Taper</t>
  </si>
  <si>
    <t>St Mary &amp; Holy Cross</t>
  </si>
  <si>
    <t>CLYDACH &amp; PONTARDAWE</t>
  </si>
  <si>
    <t>St. Benedict</t>
  </si>
  <si>
    <t>FISHGUARD</t>
  </si>
  <si>
    <t>Holy Name</t>
  </si>
  <si>
    <t>GORSEINON</t>
  </si>
  <si>
    <t>HAY-ON-WYE</t>
  </si>
  <si>
    <t>MEN027/29</t>
  </si>
  <si>
    <t>LAMPETER/LLANDOVERY</t>
  </si>
  <si>
    <t>St. David</t>
  </si>
  <si>
    <t>Our Lady &amp; The Holy Souls &amp; Christ the King</t>
  </si>
  <si>
    <t>PONTARDULAIS</t>
  </si>
  <si>
    <t>Our Lady of Margam</t>
  </si>
  <si>
    <t>PRESTEIGNE &amp; KNIGHTON</t>
  </si>
  <si>
    <t>TENBY</t>
  </si>
  <si>
    <t>YSTRADGYNLAIS</t>
  </si>
  <si>
    <t>Unallocated</t>
  </si>
  <si>
    <t>TOTALS</t>
  </si>
  <si>
    <t>Missio's APF-Mill Hill Red Box Parish Results 2018 - Northampton Diocese</t>
  </si>
  <si>
    <t>NORTHAMPTON CATHEDRAL</t>
  </si>
  <si>
    <t>Cathedral of Our Lady &amp; St Thomas</t>
  </si>
  <si>
    <t>NOR008/08S</t>
  </si>
  <si>
    <r>
      <t>ASTON LE WALLS</t>
    </r>
    <r>
      <rPr>
        <sz val="12"/>
        <color indexed="10"/>
        <rFont val="Arial"/>
        <family val="2"/>
      </rPr>
      <t xml:space="preserve"> </t>
    </r>
    <r>
      <rPr>
        <sz val="12"/>
        <rFont val="Arial"/>
        <family val="2"/>
      </rPr>
      <t>&amp; KINGS SUTTON</t>
    </r>
  </si>
  <si>
    <t>St  Joseph &amp; St Clare</t>
  </si>
  <si>
    <t>The Guardian Angels</t>
  </si>
  <si>
    <t>NOR013/20</t>
  </si>
  <si>
    <t>BEACONSFIELD/BOURNE END</t>
  </si>
  <si>
    <t>St Therese &amp; St. Dunstan's</t>
  </si>
  <si>
    <t>NOR016/018</t>
  </si>
  <si>
    <t>Holy Cross, St. Philip &amp; St. James</t>
  </si>
  <si>
    <t>St Bernardine of Siena</t>
  </si>
  <si>
    <t>St Brendan</t>
  </si>
  <si>
    <t>DATCHET &amp; ETON</t>
  </si>
  <si>
    <t>St Augustine &amp; Our Lady of Sorrows</t>
  </si>
  <si>
    <t>NOR029/008?</t>
  </si>
  <si>
    <t>NOR030/041X</t>
  </si>
  <si>
    <t>DUNSTABLE &amp; HOUGHTON REGIS</t>
  </si>
  <si>
    <t>St Mary &amp; St. Vincent de Paul</t>
  </si>
  <si>
    <t>St Anthony</t>
  </si>
  <si>
    <t>NOR034/42</t>
  </si>
  <si>
    <t>GERRARDS CROSS/IVER HEATH</t>
  </si>
  <si>
    <t>St Joseph &amp; Bridgettine Convent</t>
  </si>
  <si>
    <t>NOR037/46</t>
  </si>
  <si>
    <t>HADDENHAM &amp; LONG CRENDON</t>
  </si>
  <si>
    <t>The Good Shepherd &amp; Our Lady of Light</t>
  </si>
  <si>
    <t>Blessed John Henry Newman- St Wulstan</t>
  </si>
  <si>
    <t>See NOR030</t>
  </si>
  <si>
    <t>IVER HEATH (See Gerrards Cross)</t>
  </si>
  <si>
    <t>Bridgettine Convent (See Gerrards Cross)</t>
  </si>
  <si>
    <t>NOR042X/014</t>
  </si>
  <si>
    <t>KEMPSTON &amp; BEDFORD</t>
  </si>
  <si>
    <t>Our Lady of Ransom and St. Joseph &amp; the Holy Child</t>
  </si>
  <si>
    <t>KETTERING</t>
  </si>
  <si>
    <t>NOR050/54</t>
  </si>
  <si>
    <t>St John the Apostle &amp; The Holy Family</t>
  </si>
  <si>
    <t>St  Margaret of Scotland</t>
  </si>
  <si>
    <t>St  Martin de Porres</t>
  </si>
  <si>
    <t>St Francis de Sales &amp; St Mary Magdalene</t>
  </si>
  <si>
    <t>St Thomas Aquinas &amp; All Saints</t>
  </si>
  <si>
    <t>St Bede &amp; Christ the King</t>
  </si>
  <si>
    <t>Our Lady &amp; St Lawrence</t>
  </si>
  <si>
    <t>St Anne's</t>
  </si>
  <si>
    <t>St Alban's Chapel</t>
  </si>
  <si>
    <t>St John Ogilvie</t>
  </si>
  <si>
    <t>Missio's APF-Mill Hill Red Box Annual Parish Results 2018 - Nottingham Diocese</t>
  </si>
  <si>
    <t>Corr Direct Donations</t>
  </si>
  <si>
    <t>Diocesan Bank Account 2018</t>
  </si>
  <si>
    <t>DD Total 2017</t>
  </si>
  <si>
    <t>NOT003/37A</t>
  </si>
  <si>
    <t>WEST BRIDGFORD/COTGRAVE</t>
  </si>
  <si>
    <t>The Holy Spirit/Our Lady of Grace</t>
  </si>
  <si>
    <t>The  Good Shepherd</t>
  </si>
  <si>
    <t>The Sacred Heart of Jesus</t>
  </si>
  <si>
    <t>NOT013/010</t>
  </si>
  <si>
    <t>St Paul &amp; St. Mary</t>
  </si>
  <si>
    <t>Our Lady &amp; St Patrick in the Meadows</t>
  </si>
  <si>
    <t>St Patrick &amp; St Bridget</t>
  </si>
  <si>
    <t>NOT019/098</t>
  </si>
  <si>
    <t>ASHBY-DE-LA-ZOUCH &amp; MEASHAM</t>
  </si>
  <si>
    <t>Our Lady of Lourdes &amp; St. Charles Borromeo</t>
  </si>
  <si>
    <t>BARTON-ON-HUMBER</t>
  </si>
  <si>
    <t>Our Lady of Pepetual Succour</t>
  </si>
  <si>
    <t>St Hugh</t>
  </si>
  <si>
    <t>The Sacred Heart &amp; St Gilbert</t>
  </si>
  <si>
    <t>Holy Rosary</t>
  </si>
  <si>
    <t>NOT37A</t>
  </si>
  <si>
    <t>St Norbert</t>
  </si>
  <si>
    <t>St Mary Crowned</t>
  </si>
  <si>
    <t>St  Mary on the Sea &amp; St John Fisher</t>
  </si>
  <si>
    <t>NOT061/54</t>
  </si>
  <si>
    <t>HADFIELD, GAMESLEY &amp; BROADBOTTOM</t>
  </si>
  <si>
    <t>St Charles Borromeo, St Margaret &amp; The Immaculate Conception</t>
  </si>
  <si>
    <t>Mother of God</t>
  </si>
  <si>
    <t>St  Hugh</t>
  </si>
  <si>
    <t>Our Lady of Lincoln</t>
  </si>
  <si>
    <t>St  Philip Neri</t>
  </si>
  <si>
    <t>NOT092/092S/107</t>
  </si>
  <si>
    <t>MANSFIELD, RAINSWORTH &amp; NEW OLLERTON</t>
  </si>
  <si>
    <r>
      <t xml:space="preserve">St  Patrick, </t>
    </r>
    <r>
      <rPr>
        <sz val="12"/>
        <rFont val="Arial"/>
        <family val="2"/>
      </rPr>
      <t>St George's &amp; St. Joseph</t>
    </r>
  </si>
  <si>
    <t>MAPLE BRIDGE</t>
  </si>
  <si>
    <t>MEASHAM (Combined with NOT019)</t>
  </si>
  <si>
    <t>MELBOURNE &amp; CASTLE DONINGTON</t>
  </si>
  <si>
    <t>Our Lady of Mercy &amp; St Philip Neri</t>
  </si>
  <si>
    <t>St John the Baptist &amp; St Peter</t>
  </si>
  <si>
    <t>NEW OLLERTON (See above - added to NOT092)</t>
  </si>
  <si>
    <t>Holy Souls</t>
  </si>
  <si>
    <t>NOT123/077</t>
  </si>
  <si>
    <t xml:space="preserve">LEICESTER &amp; SOUTH WIGSTON  </t>
  </si>
  <si>
    <t>St Mary &amp; St. John Bosco</t>
  </si>
  <si>
    <t>MARKET BOSWORTH</t>
  </si>
  <si>
    <t>Our Lady &amp; St Gregory</t>
  </si>
  <si>
    <t>NOT000/888/999</t>
  </si>
  <si>
    <t>Missio's APF-Mill Hill Red Box Annual Parish Results 2018 - Plymouth Diocese</t>
  </si>
  <si>
    <t>TOWN</t>
  </si>
  <si>
    <t xml:space="preserve">Corr Direct Donations </t>
  </si>
  <si>
    <t>PLY001/007</t>
  </si>
  <si>
    <t>PLYMOUTH CATHEDRAL</t>
  </si>
  <si>
    <t>Cathedral Church of St Mary &amp; St Boniface with St. Joseph</t>
  </si>
  <si>
    <t>Our Most Holy Redeemer</t>
  </si>
  <si>
    <t>Holy Trinity Parish - The Holy Family</t>
  </si>
  <si>
    <t>Holy Trinity Parish - St Paul RC Church</t>
  </si>
  <si>
    <t>PLY016/016S</t>
  </si>
  <si>
    <t>BARNSTAPLE &amp; SOUTH MOLTON</t>
  </si>
  <si>
    <t>Immaculate Conception - St. Mary &amp; St. Joseph</t>
  </si>
  <si>
    <t>BEAMINSTER &amp; CHIDEOCK</t>
  </si>
  <si>
    <t>St John &amp; St. Ignatius</t>
  </si>
  <si>
    <t>BOVEY TRACY with CHAGFORD</t>
  </si>
  <si>
    <t>PLY024/45/53</t>
  </si>
  <si>
    <t>BRAUNTON, BRANNOC &amp; LYNTON with ILFRACOMBE</t>
  </si>
  <si>
    <t>Holy Cross Parish</t>
  </si>
  <si>
    <t>St Mary &amp; St Catherine</t>
  </si>
  <si>
    <t>BUDE</t>
  </si>
  <si>
    <t>BUDLEIGH SATERTON</t>
  </si>
  <si>
    <t>CHUDLEIGH</t>
  </si>
  <si>
    <t>St Cyprian</t>
  </si>
  <si>
    <t>CREDITON</t>
  </si>
  <si>
    <t>CULLOMPTON (See PLY084)</t>
  </si>
  <si>
    <t>St Boniface - now joined with St James Tiverton</t>
  </si>
  <si>
    <t>HELSTON/MULLION/CULDROSE</t>
  </si>
  <si>
    <t>HONITON</t>
  </si>
  <si>
    <t>ILFRACOMBE See PLY024 above)</t>
  </si>
  <si>
    <t xml:space="preserve">Our Lady of Ilfracombe, Star of the Sea </t>
  </si>
  <si>
    <t>IVYBRIDGE &amp; MODBURY</t>
  </si>
  <si>
    <t>St Austin's Priory</t>
  </si>
  <si>
    <t>KINGSBRIDGE &amp; SALCOMBE</t>
  </si>
  <si>
    <t>Sacred Heart &amp; Our Lady Star of the Sea</t>
  </si>
  <si>
    <t>LAUNCESTON &amp; HOLSWORTHY</t>
  </si>
  <si>
    <t>St Cuthbert Mayne</t>
  </si>
  <si>
    <t>Our Lady and St. Neots</t>
  </si>
  <si>
    <t>WOOL with LULWORTH</t>
  </si>
  <si>
    <t>Our Lady Queen Martyrs &amp; St Joseph</t>
  </si>
  <si>
    <t>PLY053</t>
  </si>
  <si>
    <t>LYNTON (See PLY024 above)</t>
  </si>
  <si>
    <t>Holy Cross - The Most Holy Saviour</t>
  </si>
  <si>
    <t>MARNHULL &amp; GILLINGHAM</t>
  </si>
  <si>
    <t>NEWQUAY with LANHERNE</t>
  </si>
  <si>
    <t>Most Holy Trinity</t>
  </si>
  <si>
    <t>OTTERY ST MARY</t>
  </si>
  <si>
    <t>Sacred Heart &amp; St Therese of the Child Jesus</t>
  </si>
  <si>
    <t>PLY060/69</t>
  </si>
  <si>
    <t>PENZANCE &amp; St IVES</t>
  </si>
  <si>
    <t>The Immaculate Conception of Our Lady, Sacred Heart &amp; St. Ia</t>
  </si>
  <si>
    <t>REDRUTH</t>
  </si>
  <si>
    <t>PLY067A/61</t>
  </si>
  <si>
    <t>ST AGNES &amp; PERRANPORTH, NEWQUAY</t>
  </si>
  <si>
    <t>Our Lady, Star of the Sea &amp; Christ the King</t>
  </si>
  <si>
    <t>ST IVES (SEE PLY060 PENZANCE ABOVE)</t>
  </si>
  <si>
    <t>Sacred Heart &amp; St Ia</t>
  </si>
  <si>
    <t>SCLERDER ABBEY</t>
  </si>
  <si>
    <t>SHAFTSBURY</t>
  </si>
  <si>
    <t>SHALDON - included in PLY081 - Teignmouth</t>
  </si>
  <si>
    <t>Most Precious Blood</t>
  </si>
  <si>
    <t>The Holy Spirit &amp; St Edward</t>
  </si>
  <si>
    <t>CALLINGTON</t>
  </si>
  <si>
    <t>PLY081/75</t>
  </si>
  <si>
    <t>Our Lady &amp; St Patrick</t>
  </si>
  <si>
    <t>PLY084/033</t>
  </si>
  <si>
    <t>TIVERTON &amp; CULLOMPTON</t>
  </si>
  <si>
    <t>St James &amp; St Boniface</t>
  </si>
  <si>
    <t>TORPOINT</t>
  </si>
  <si>
    <t>St. Joan of Arc</t>
  </si>
  <si>
    <t>WAREHAM</t>
  </si>
  <si>
    <t>St Edward - Our Lady Queen Martyrs &amp; St Joseph</t>
  </si>
  <si>
    <t>WEST MOORS</t>
  </si>
  <si>
    <t>WEYMOUTH &amp; PORTLAND</t>
  </si>
  <si>
    <t>PLYMOUTH DIOCESE</t>
  </si>
  <si>
    <t>Missio's APF-Mill Hill Red Box Annual Parish Results 2018 - Shrewsbury Diocese</t>
  </si>
  <si>
    <t>Parish</t>
  </si>
  <si>
    <t>Shrewsbury Cathedral</t>
  </si>
  <si>
    <t xml:space="preserve">Our Lady's &amp; Holy Cross </t>
  </si>
  <si>
    <t>HEALD GREEN, CHEADLE</t>
  </si>
  <si>
    <t>St Milburga &amp; St Walburga</t>
  </si>
  <si>
    <t>SHR037/38</t>
  </si>
  <si>
    <t>MALPAS (now closed)</t>
  </si>
  <si>
    <t xml:space="preserve">St Joseph's </t>
  </si>
  <si>
    <t>Our Lady Mother of Saviour</t>
  </si>
  <si>
    <t>SHR077/074</t>
  </si>
  <si>
    <t>St. Maximilian Kolbe</t>
  </si>
  <si>
    <t>SHR085/86</t>
  </si>
  <si>
    <t>St Peter &amp; St. Raphael</t>
  </si>
  <si>
    <t>Our Lady &amp; the Apostles</t>
  </si>
  <si>
    <t>St Philip</t>
  </si>
  <si>
    <t>SHR101/103</t>
  </si>
  <si>
    <t>SHR105/106</t>
  </si>
  <si>
    <t>St Peter &amp; St Paul - Holy Apostles &amp; Martyrs</t>
  </si>
  <si>
    <t>Sacred Heart  &amp; St Peter</t>
  </si>
  <si>
    <t>Our Lady Queen of Peace &amp; St Anthony</t>
  </si>
  <si>
    <t>St Hilda</t>
  </si>
  <si>
    <t>SHR999/777</t>
  </si>
  <si>
    <t>SHREWSBURY DIOCESE</t>
  </si>
  <si>
    <t>Balancing figure</t>
  </si>
  <si>
    <t>APF-Mill Hill Red Box Annual Parish Results 2018 - Archdiocese of Southwark</t>
  </si>
  <si>
    <t>Corr Diocesan Accounts</t>
  </si>
  <si>
    <t>Cathedral Church of St George</t>
  </si>
  <si>
    <t>ABBEYWOOD</t>
  </si>
  <si>
    <t>St Benet</t>
  </si>
  <si>
    <t>St  David</t>
  </si>
  <si>
    <t>St Finbarr</t>
  </si>
  <si>
    <t>BEARSTED &amp; HARRIETSHAM</t>
  </si>
  <si>
    <t>St Peter &amp; The Good Shepherd</t>
  </si>
  <si>
    <t>The Annunciation &amp; St Augustine</t>
  </si>
  <si>
    <t>BERMONDSEY SOUTH</t>
  </si>
  <si>
    <t>Our Lady of La Salette &amp; St Joseph</t>
  </si>
  <si>
    <t>Parish of The Holy Family</t>
  </si>
  <si>
    <t>Precious Blood</t>
  </si>
  <si>
    <t>St Margaret</t>
  </si>
  <si>
    <t>St  Mary (Our Immaculate Lady of Victories)</t>
  </si>
  <si>
    <t>CLAPHAM COMMON</t>
  </si>
  <si>
    <t>St Bedes</t>
  </si>
  <si>
    <t>St Theodore</t>
  </si>
  <si>
    <t>St Mary of the Crays</t>
  </si>
  <si>
    <t>CROYDON SOUTH</t>
  </si>
  <si>
    <t>St  Vincent</t>
  </si>
  <si>
    <t>DULWICH EAST</t>
  </si>
  <si>
    <t>The Virgin Mother of Good Counsel</t>
  </si>
  <si>
    <t>Our Lady Of Loreto &amp; St Winefride</t>
  </si>
  <si>
    <t>St Francis of Sales &amp; St Gertrude</t>
  </si>
  <si>
    <t>St Austin &amp; St Gregory</t>
  </si>
  <si>
    <t>St John the Evangelist &amp; St Andrew</t>
  </si>
  <si>
    <t>St Bartholomew</t>
  </si>
  <si>
    <t>St Cecilia</t>
  </si>
  <si>
    <t>St Chad's</t>
  </si>
  <si>
    <t>The Faithful Virgin</t>
  </si>
  <si>
    <t>St Mary Help of Christians</t>
  </si>
  <si>
    <t>Holy Innocents</t>
  </si>
  <si>
    <t>St James the Apostle</t>
  </si>
  <si>
    <t>The Holy Cross</t>
  </si>
  <si>
    <t>Our Lady &amp; St Simon Stock</t>
  </si>
  <si>
    <t xml:space="preserve"> St Ethelbert &amp; St Gertrude</t>
  </si>
  <si>
    <t>St  Elizabeth</t>
  </si>
  <si>
    <t>St Peter &amp; the Guardian Angels</t>
  </si>
  <si>
    <t>SURBITON</t>
  </si>
  <si>
    <t>St Raphael</t>
  </si>
  <si>
    <t>Our Lady &amp; St PhilIp Neri</t>
  </si>
  <si>
    <t>St Andrews</t>
  </si>
  <si>
    <t>St Elphege</t>
  </si>
  <si>
    <t>The Holy Family - St Peter</t>
  </si>
  <si>
    <t>SOU173/174</t>
  </si>
  <si>
    <t>St Peter &amp; St. Catherine</t>
  </si>
  <si>
    <t>Missio's APF-Mill Hill Red Box Annual Parish Results 2018 - Westminster Diocese</t>
  </si>
  <si>
    <t>Dedications</t>
  </si>
  <si>
    <t>WES A/C</t>
  </si>
  <si>
    <t>Deaneries</t>
  </si>
  <si>
    <t>WESTMINSTER</t>
  </si>
  <si>
    <t>Cathedral of the Most Precious Blood</t>
  </si>
  <si>
    <t>Westminster</t>
  </si>
  <si>
    <t>St Saviour the Crescent</t>
  </si>
  <si>
    <t>Watford</t>
  </si>
  <si>
    <t>ACTON</t>
  </si>
  <si>
    <t>Ealing</t>
  </si>
  <si>
    <t>ACTON (EAST)</t>
  </si>
  <si>
    <t>ACTON (WEST)</t>
  </si>
  <si>
    <t>Upper Thames</t>
  </si>
  <si>
    <t>BALDOCK</t>
  </si>
  <si>
    <t>Stevenage</t>
  </si>
  <si>
    <t>Barnet</t>
  </si>
  <si>
    <t>BAYSWATER</t>
  </si>
  <si>
    <t>North Kensington</t>
  </si>
  <si>
    <t>BERKHAMSTEAD</t>
  </si>
  <si>
    <t>St. Albans</t>
  </si>
  <si>
    <t>BETHNAL GREEN</t>
  </si>
  <si>
    <t>Tower Hamlets</t>
  </si>
  <si>
    <t>BISHOP' S STORTFORD</t>
  </si>
  <si>
    <t>Lea Valley</t>
  </si>
  <si>
    <t>BOREHAMWOOD (NORTH)</t>
  </si>
  <si>
    <t>St John &amp; St Thomas More</t>
  </si>
  <si>
    <t>CHIPPERFIELD</t>
  </si>
  <si>
    <t>BOW</t>
  </si>
  <si>
    <t>BOW COMMON</t>
  </si>
  <si>
    <t>Holy Name &amp; Lady of the Sacred Heart</t>
  </si>
  <si>
    <t>Hounslow</t>
  </si>
  <si>
    <t>BROOK GREEN</t>
  </si>
  <si>
    <t>Hammersmith</t>
  </si>
  <si>
    <t>BUNHILL ROW</t>
  </si>
  <si>
    <t>St. Joseph's</t>
  </si>
  <si>
    <t>Islington</t>
  </si>
  <si>
    <t>BURNT OAK</t>
  </si>
  <si>
    <t>BUSHEY &amp; OXHEY</t>
  </si>
  <si>
    <t>CAMDEN TOWN</t>
  </si>
  <si>
    <t>Camden</t>
  </si>
  <si>
    <t>CARPENDERS PARK</t>
  </si>
  <si>
    <t>CHELSEA</t>
  </si>
  <si>
    <t xml:space="preserve">St Mary's </t>
  </si>
  <si>
    <t>Kensington &amp; Chelsea</t>
  </si>
  <si>
    <t>St Paul's</t>
  </si>
  <si>
    <t>CHISWICK</t>
  </si>
  <si>
    <t>CHORLEYWOOD</t>
  </si>
  <si>
    <t>CLAPTON</t>
  </si>
  <si>
    <t>St Scholastica</t>
  </si>
  <si>
    <t>Hackney</t>
  </si>
  <si>
    <t>CLAPTON PARK</t>
  </si>
  <si>
    <t>CLERKENWELL</t>
  </si>
  <si>
    <t>St.s Peter and Paul</t>
  </si>
  <si>
    <t>COCKFOSTERS</t>
  </si>
  <si>
    <t>Church of Christ The King</t>
  </si>
  <si>
    <t>Enfield</t>
  </si>
  <si>
    <t>COMMERCIAL ROAD</t>
  </si>
  <si>
    <t>CRANFORD</t>
  </si>
  <si>
    <t>CRICKLEWOOD</t>
  </si>
  <si>
    <t>CROXLEY GREEN</t>
  </si>
  <si>
    <t>CUFFLEY</t>
  </si>
  <si>
    <t>DOLLIS HILL</t>
  </si>
  <si>
    <t>Brent</t>
  </si>
  <si>
    <t>EALING ABBEY</t>
  </si>
  <si>
    <t>EASTCOTE</t>
  </si>
  <si>
    <t>Hillingdon</t>
  </si>
  <si>
    <t>EDMONTON (LOWER)</t>
  </si>
  <si>
    <t>ELY PLACE</t>
  </si>
  <si>
    <t>Our Lady of Mount Carmel &amp; St George</t>
  </si>
  <si>
    <t>FARM STREET</t>
  </si>
  <si>
    <t>Marylebone</t>
  </si>
  <si>
    <t>FELTHAM</t>
  </si>
  <si>
    <t>FINCHLEY (CHURCH END)</t>
  </si>
  <si>
    <t>FINCHLEY EAST</t>
  </si>
  <si>
    <t>FINCHLEY (NORTH)</t>
  </si>
  <si>
    <t>LEICESTER SQUARE</t>
  </si>
  <si>
    <t>Notre Dame de France</t>
  </si>
  <si>
    <t>FULHAM</t>
  </si>
  <si>
    <t>FULHAM ROAD</t>
  </si>
  <si>
    <t>GARSTON</t>
  </si>
  <si>
    <t>GOLDERS GREEN</t>
  </si>
  <si>
    <t>GRAHAME PARK</t>
  </si>
  <si>
    <t>GROVE PARK</t>
  </si>
  <si>
    <t>GUNNERSBURY</t>
  </si>
  <si>
    <t>HACKNEY</t>
  </si>
  <si>
    <t>HAMMERSMITH</t>
  </si>
  <si>
    <t>HAMPSTEAD</t>
  </si>
  <si>
    <t>HAMPTON HILL</t>
  </si>
  <si>
    <t>HANWELL</t>
  </si>
  <si>
    <t>HAREFIELD</t>
  </si>
  <si>
    <t>HARROW-ON-THE-HILL</t>
  </si>
  <si>
    <t>Harrow</t>
  </si>
  <si>
    <t>HARROW (NORTH)</t>
  </si>
  <si>
    <t>HARROW (SOUTH) &amp; NORTHOLT</t>
  </si>
  <si>
    <t>St Gabriel &amp; St Bernard</t>
  </si>
  <si>
    <t>HARROW ROAD</t>
  </si>
  <si>
    <t xml:space="preserve"> Our Lady of Lourdes &amp; St Vincent de Paul</t>
  </si>
  <si>
    <t>HATFIELD (SOUTH)</t>
  </si>
  <si>
    <t>HAVERSTOCK HILL</t>
  </si>
  <si>
    <t>HEADSTONE LANE</t>
  </si>
  <si>
    <t>HEMEL HEMPSTEAD (West)</t>
  </si>
  <si>
    <t>HEMEL HEMPSTEAD (EAST)</t>
  </si>
  <si>
    <t>Our Lady of All Creation</t>
  </si>
  <si>
    <t>HEMEL HEMPSTEAD (N): Shared</t>
  </si>
  <si>
    <t>Church of the Resurrection &amp; St Paul</t>
  </si>
  <si>
    <t>HENDON</t>
  </si>
  <si>
    <t>HENDON (WEST)</t>
  </si>
  <si>
    <t>The Immaculate &amp; St Joseph</t>
  </si>
  <si>
    <t>HIGHBURY</t>
  </si>
  <si>
    <t>HIGHGATE</t>
  </si>
  <si>
    <t>HILLINGDON</t>
  </si>
  <si>
    <t>HITCHIN</t>
  </si>
  <si>
    <t>Our Lady &amp; St Andrew</t>
  </si>
  <si>
    <t>HOLLOWAY</t>
  </si>
  <si>
    <t>HOMERTON</t>
  </si>
  <si>
    <t>HOXTON</t>
  </si>
  <si>
    <t>ISLINGTON</t>
  </si>
  <si>
    <t>KENSAL NEW TOWN</t>
  </si>
  <si>
    <t>KENSAL RISE</t>
  </si>
  <si>
    <t>KENSINGTON</t>
  </si>
  <si>
    <t>Our  Lady of Victories</t>
  </si>
  <si>
    <t>KENTISH TOWN</t>
  </si>
  <si>
    <t>KENTON</t>
  </si>
  <si>
    <t>KILBURN</t>
  </si>
  <si>
    <t>KINGSBURY GREEN</t>
  </si>
  <si>
    <t>St Sebastian &amp; St Pancras</t>
  </si>
  <si>
    <t>KINGSLAND</t>
  </si>
  <si>
    <t>LETCHWORTH</t>
  </si>
  <si>
    <t>LIMEHOUSE</t>
  </si>
  <si>
    <t>LINCOLNS INN FIELDS</t>
  </si>
  <si>
    <t>St Anselm &amp; St Cecilia</t>
  </si>
  <si>
    <t>LITHUANIAN CHURCH</t>
  </si>
  <si>
    <t>LONDON COLNEY</t>
  </si>
  <si>
    <t>Our Lady &amp; St Mary of Walsingham</t>
  </si>
  <si>
    <t>MANOR HOUSE</t>
  </si>
  <si>
    <t>MARYLEBONE</t>
  </si>
  <si>
    <t>MILE END</t>
  </si>
  <si>
    <t>MILL END &amp; MAPLE CROSS</t>
  </si>
  <si>
    <t>MILL HILL</t>
  </si>
  <si>
    <t>Sacred Heart &amp; St Mary Immaculate</t>
  </si>
  <si>
    <t>MILLWALL</t>
  </si>
  <si>
    <t>St Edmund's</t>
  </si>
  <si>
    <t>MOORFIELDS</t>
  </si>
  <si>
    <t>SAWBRIDGE &amp; MUCH HADHAM</t>
  </si>
  <si>
    <t>Holy Cross &amp; Most Holy Redeemer</t>
  </si>
  <si>
    <t>NEASDEN</t>
  </si>
  <si>
    <t>MUSWELL HILL</t>
  </si>
  <si>
    <t>Our Lady of Muswell Hill</t>
  </si>
  <si>
    <t>Haringey</t>
  </si>
  <si>
    <t>NEW BARNET</t>
  </si>
  <si>
    <t>Mary Immaculate &amp; St Peter</t>
  </si>
  <si>
    <t>NEW SOUTHGATE</t>
  </si>
  <si>
    <t>NORTHFIELDS</t>
  </si>
  <si>
    <t>NOTTING HILL</t>
  </si>
  <si>
    <t>OGLE STREET</t>
  </si>
  <si>
    <t>OLD HALL GREEN &amp; PUCKERIDGE</t>
  </si>
  <si>
    <t>BROMPTON ORATORY</t>
  </si>
  <si>
    <t>PADDINGTON</t>
  </si>
  <si>
    <t>PALMERS GREEN</t>
  </si>
  <si>
    <t>PARSONS GREEN</t>
  </si>
  <si>
    <t>Holly Cross</t>
  </si>
  <si>
    <t>PERIVALE</t>
  </si>
  <si>
    <t>PIMLICO</t>
  </si>
  <si>
    <t>PONDERS END</t>
  </si>
  <si>
    <t>Mary, Mother of God</t>
  </si>
  <si>
    <t>POPLAR</t>
  </si>
  <si>
    <t>PRESTON ROAD</t>
  </si>
  <si>
    <t>WES159/170</t>
  </si>
  <si>
    <t>RADLETT &amp; SHENLEY??</t>
  </si>
  <si>
    <t>REDBOURNE</t>
  </si>
  <si>
    <t>Most Sacred Heart</t>
  </si>
  <si>
    <t>RUISLIP (SOUTH)</t>
  </si>
  <si>
    <t>St Alban &amp; St Stephen</t>
  </si>
  <si>
    <t>St Bartolomew</t>
  </si>
  <si>
    <t>ST CHARLES SQUARE</t>
  </si>
  <si>
    <t>ST JOHN'S WOOD</t>
  </si>
  <si>
    <t>ST MARGARET'S-ON-THAMES</t>
  </si>
  <si>
    <t>SHEPHERDS BUSH</t>
  </si>
  <si>
    <t>SOHO SQUARE</t>
  </si>
  <si>
    <t>SOMERS TOWN</t>
  </si>
  <si>
    <t>SPANISH PLACE</t>
  </si>
  <si>
    <t>St James</t>
  </si>
  <si>
    <t>STAMFORD HILL</t>
  </si>
  <si>
    <t>St Ignatius</t>
  </si>
  <si>
    <t>STANWELL</t>
  </si>
  <si>
    <t>FULHAM STEPHENDALE ROAD</t>
  </si>
  <si>
    <t xml:space="preserve">STEVENAGE OLD TOWN </t>
  </si>
  <si>
    <t>Transfiguration of Our Lord</t>
  </si>
  <si>
    <t xml:space="preserve">STEVENAGE BEDWELL </t>
  </si>
  <si>
    <t>STEVENAGE SHEPHALL</t>
  </si>
  <si>
    <t>STOKE NEWINGTON</t>
  </si>
  <si>
    <t>STONEBRIDGE</t>
  </si>
  <si>
    <t>The Five Precious Wounds</t>
  </si>
  <si>
    <t>STROUD GREEN</t>
  </si>
  <si>
    <t>SWISS COTTAGE</t>
  </si>
  <si>
    <t>TEDDINGTON &amp; HAMPTON WICK</t>
  </si>
  <si>
    <t>TOLLINGTON PARK</t>
  </si>
  <si>
    <t>St Mellitus</t>
  </si>
  <si>
    <t>TOTTENHAM</t>
  </si>
  <si>
    <t>TOWER HILL</t>
  </si>
  <si>
    <t>WES201</t>
  </si>
  <si>
    <t>Catholic Chaplaincy</t>
  </si>
  <si>
    <t xml:space="preserve">Newman House, Gower St. </t>
  </si>
  <si>
    <t>ARCHWAY</t>
  </si>
  <si>
    <t>WAPPING</t>
  </si>
  <si>
    <t>Sacred Heart of Jesus &amp; St Joseph</t>
  </si>
  <si>
    <t>WARWICK STREET</t>
  </si>
  <si>
    <t>WATFORD (NORTH)</t>
  </si>
  <si>
    <t>WEALDSTONE &amp; HARROW WEALD</t>
  </si>
  <si>
    <t>St Bonaventure</t>
  </si>
  <si>
    <t>WELWYN GARDEN CITY (EAST)</t>
  </si>
  <si>
    <t>Our Lady, Queen of Apostles</t>
  </si>
  <si>
    <t>WEST DRAYTON &amp; YIEWSLEY</t>
  </si>
  <si>
    <t>WEST GREEN</t>
  </si>
  <si>
    <t>WHEATHAMPSTEAD</t>
  </si>
  <si>
    <t>WHETSTONE</t>
  </si>
  <si>
    <t>WHITE CITY</t>
  </si>
  <si>
    <t>WHITTON</t>
  </si>
  <si>
    <t>WILLESDEN</t>
  </si>
  <si>
    <t>WILLESDEN GREEN</t>
  </si>
  <si>
    <t>St Magdalen</t>
  </si>
  <si>
    <t>WOOD GREEN</t>
  </si>
  <si>
    <t>WES777/999</t>
  </si>
  <si>
    <t>Missio's APF-Mill Hill Red Box Annual Parish Results 2018 - Wrexham Diocese</t>
  </si>
  <si>
    <t>TOTAL 2018</t>
  </si>
  <si>
    <t>Our Lady Star of the Sea &amp; St Winefride</t>
  </si>
  <si>
    <t>Our Lady &amp; St James</t>
  </si>
  <si>
    <t>BARMOUTH</t>
  </si>
  <si>
    <t>St Tudwal</t>
  </si>
  <si>
    <t>BLAENAU FFESTINOG</t>
  </si>
  <si>
    <t>CAERNARFON</t>
  </si>
  <si>
    <t>St David &amp; St Helen</t>
  </si>
  <si>
    <t>CHIRK</t>
  </si>
  <si>
    <t>CONNAH'S QUAY</t>
  </si>
  <si>
    <t>St Michael &amp; All Angels (Closed)</t>
  </si>
  <si>
    <t>closed</t>
  </si>
  <si>
    <t>DOLGELLAU</t>
  </si>
  <si>
    <t>Our Lady of Seven Sorrows</t>
  </si>
  <si>
    <t>HAWARDEN</t>
  </si>
  <si>
    <t>HOLYHEAD</t>
  </si>
  <si>
    <t>Most Holy Family</t>
  </si>
  <si>
    <t>Eglwys Y Groes (Holy Cross)</t>
  </si>
  <si>
    <t>Eglwys Y Bugail Da</t>
  </si>
  <si>
    <t>ROSSETT</t>
  </si>
  <si>
    <t>St Mair Our Lady Help of Christians</t>
  </si>
  <si>
    <t>MOLD</t>
  </si>
  <si>
    <t>NEWTON</t>
  </si>
  <si>
    <t>God the Holy Ghost</t>
  </si>
  <si>
    <t>OLD COLWYN</t>
  </si>
  <si>
    <t>OVERTON</t>
  </si>
  <si>
    <t>Our Lady &amp; The Welsh Martyrs</t>
  </si>
  <si>
    <t>PANTASAPH</t>
  </si>
  <si>
    <t>WRX056/58</t>
  </si>
  <si>
    <t>PORTHMADOG &amp; PWLLHELI</t>
  </si>
  <si>
    <t>Most Holy Redeemer + St. Joseph</t>
  </si>
  <si>
    <t>PRESTATYN</t>
  </si>
  <si>
    <t>St. Peter and St. Frances</t>
  </si>
  <si>
    <t>PWLLHELI (See above)</t>
  </si>
  <si>
    <t>QUEENSFERRY</t>
  </si>
  <si>
    <t>The Blessed Trinity</t>
  </si>
  <si>
    <t>RUABON</t>
  </si>
  <si>
    <t>St Mary The Virgin</t>
  </si>
  <si>
    <t>RUTHIN</t>
  </si>
  <si>
    <t>SALTNEY &amp; BROUGHTON</t>
  </si>
  <si>
    <t>TYWYN</t>
  </si>
  <si>
    <t>Add direct donations in Eccleston Square (from Finance)</t>
  </si>
  <si>
    <t>Total for each parish (current year)</t>
  </si>
  <si>
    <t>VARIOUS for NOR</t>
  </si>
  <si>
    <t>for POR</t>
  </si>
  <si>
    <t xml:space="preserve">inconsistent naming of Various account e.g. </t>
  </si>
  <si>
    <t>Actioned</t>
  </si>
  <si>
    <t>In worksheet: 'Historic Data - working'</t>
  </si>
  <si>
    <t>Replaced columns D and E:</t>
  </si>
  <si>
    <t>with</t>
  </si>
  <si>
    <t>In individual diocese's worksheet</t>
  </si>
  <si>
    <t>A</t>
  </si>
  <si>
    <t>column D &amp; E are hidden</t>
  </si>
  <si>
    <t>B</t>
  </si>
  <si>
    <t>Queries</t>
  </si>
  <si>
    <t>these are for printing posters</t>
  </si>
  <si>
    <t>C</t>
  </si>
  <si>
    <t>Changed columns F &amp; G to look for value in 'Historic Data - working'</t>
  </si>
  <si>
    <t>For the following year:</t>
  </si>
  <si>
    <t>Serial number</t>
  </si>
  <si>
    <t>Column F is for current year</t>
  </si>
  <si>
    <t>Column G is for current year -1 (current year minus one)</t>
  </si>
  <si>
    <t>yes in Historic data worksheet?</t>
  </si>
  <si>
    <t>.</t>
  </si>
  <si>
    <t>##### -ve</t>
  </si>
  <si>
    <t>have not changed columns A to C</t>
  </si>
  <si>
    <t>It was copied from individual 'poster' /  worksheet</t>
  </si>
  <si>
    <t>checked for completeness in Master Table and Historic Data - working</t>
  </si>
  <si>
    <t>Combined parishes  --&gt;</t>
  </si>
  <si>
    <t>Various accounts: 000 / 777 / 999  --&gt; need to be consistent</t>
  </si>
  <si>
    <t>a)</t>
  </si>
  <si>
    <t>In 'Historic Data - working'</t>
  </si>
  <si>
    <t>b)</t>
  </si>
  <si>
    <t>some individual parish does not exist in 'Master Table'</t>
  </si>
  <si>
    <t>in 'Master Table'</t>
  </si>
  <si>
    <t xml:space="preserve">   vlookup first 6 characters from LEFT?? Bit how about e.g. NOT037A</t>
  </si>
  <si>
    <t xml:space="preserve">  WES201</t>
  </si>
  <si>
    <t xml:space="preserve">  BRE012</t>
  </si>
  <si>
    <t>Combined based on 'Historic Data - working'</t>
  </si>
  <si>
    <t>combined with ???</t>
  </si>
  <si>
    <t>column Q (in posters) may be different to column B (in ThankQ)</t>
  </si>
  <si>
    <r>
      <t xml:space="preserve">and </t>
    </r>
    <r>
      <rPr>
        <b/>
        <sz val="12"/>
        <color rgb="FF000000"/>
        <rFont val="Arial"/>
        <family val="2"/>
      </rPr>
      <t>hide</t>
    </r>
    <r>
      <rPr>
        <sz val="12"/>
        <color indexed="8"/>
        <rFont val="Arial"/>
        <family val="2"/>
      </rPr>
      <t xml:space="preserve"> these 2 columns for printing</t>
    </r>
  </si>
  <si>
    <t>to get rid of formulae (column F = sum of (column D and E))</t>
  </si>
  <si>
    <t>D</t>
  </si>
  <si>
    <t>copy &amp; paste with values in columns F, G &amp; H</t>
  </si>
  <si>
    <t>?? Link all columns A to G to 'Historic Data - working'?</t>
  </si>
  <si>
    <t>cannot cope with combined parishes in posters</t>
  </si>
  <si>
    <t>in v 2 excel</t>
  </si>
  <si>
    <t>Any changes to manes, location etc since 2018 results?</t>
  </si>
  <si>
    <t>In some individual diocese's worksheet: totals are not the same as in other workbook.  Which one was the correct one?</t>
  </si>
  <si>
    <t>I have copied the file with 'batch processing' worksheet in it</t>
  </si>
  <si>
    <t>H</t>
  </si>
  <si>
    <t>vlookup for serial number in column E (from Master Table)</t>
  </si>
  <si>
    <t>copy &amp; paste ith value:</t>
  </si>
  <si>
    <t>column F &amp; G (&amp; other column on the RHS)</t>
  </si>
  <si>
    <t xml:space="preserve">and paste with vluse from column G </t>
  </si>
  <si>
    <t>i.e. to move current year data to comparitive column</t>
  </si>
  <si>
    <t>For printing</t>
  </si>
  <si>
    <t>? What header appears in each sheet?</t>
  </si>
  <si>
    <r>
      <t>? What page number appears at bottom RHS? E.g.</t>
    </r>
    <r>
      <rPr>
        <b/>
        <sz val="12"/>
        <color rgb="FF000000"/>
        <rFont val="Arial"/>
        <family val="2"/>
      </rPr>
      <t xml:space="preserve"> Page 1 of 3</t>
    </r>
  </si>
  <si>
    <t>J</t>
  </si>
  <si>
    <t>? Comparitive year's figures in grey (not black)?</t>
  </si>
  <si>
    <t>Header text in each diocese will also change as it is linked to F2</t>
  </si>
  <si>
    <t>Link cell F2 to ARU / cell F2 ( to make it as  current year)  (One off exerecise)</t>
  </si>
  <si>
    <t>A1</t>
  </si>
  <si>
    <t>G</t>
  </si>
  <si>
    <t>one of the dioceses has marked on DD's return for closed parishes/town name changes etc</t>
  </si>
  <si>
    <t>ensure posters are reflected</t>
  </si>
  <si>
    <t>Our PCN</t>
  </si>
  <si>
    <t>OR  copy current year column and insert &amp; paste value to RHS of current year column</t>
  </si>
  <si>
    <t>ARU005</t>
  </si>
  <si>
    <t>ARU006</t>
  </si>
  <si>
    <t>ARU015</t>
  </si>
  <si>
    <t>ARU021</t>
  </si>
  <si>
    <t>ARU023</t>
  </si>
  <si>
    <t>ARU050</t>
  </si>
  <si>
    <t>ARU052</t>
  </si>
  <si>
    <t>ARU057</t>
  </si>
  <si>
    <t>ARU082</t>
  </si>
  <si>
    <t>ARU095</t>
  </si>
  <si>
    <t>ARU106</t>
  </si>
  <si>
    <t>ARU108</t>
  </si>
  <si>
    <t>Missing from download:</t>
  </si>
  <si>
    <t>BRE015</t>
  </si>
  <si>
    <t>BRE018</t>
  </si>
  <si>
    <t>E</t>
  </si>
  <si>
    <t>Check total per Diocese before import direct donation</t>
  </si>
  <si>
    <t>St. Aldhelm</t>
  </si>
  <si>
    <t>St. Cuthbert</t>
  </si>
  <si>
    <t>Holy Ghost</t>
  </si>
  <si>
    <t xml:space="preserve"> St. Hugh</t>
  </si>
  <si>
    <t>St Michael &amp; 
St. Joseph</t>
  </si>
  <si>
    <t>Indiv diocese</t>
  </si>
  <si>
    <t>note from 2018 indicated it might be part of NOR008</t>
  </si>
  <si>
    <t>NOR029 / 401</t>
  </si>
  <si>
    <t>check borders</t>
  </si>
  <si>
    <t>check duplicated PCN</t>
  </si>
  <si>
    <t>but NOR008 is combined with 008S</t>
  </si>
  <si>
    <t>check total agrees to Cedric's banking</t>
  </si>
  <si>
    <t>NOT107 / 570</t>
  </si>
  <si>
    <t>still need this line??</t>
  </si>
  <si>
    <t>Done this in 2019 poster formatting</t>
  </si>
  <si>
    <t>Insert new column in F --&gt; cannot copy &amp; paste values due to merged cells !!!!!</t>
  </si>
  <si>
    <t>change print area in each dioceses to only show 2 years' figures</t>
  </si>
  <si>
    <r>
      <t>Copy &amp; paste value into adjacent column (</t>
    </r>
    <r>
      <rPr>
        <b/>
        <strike/>
        <sz val="12"/>
        <color rgb="FF000000"/>
        <rFont val="Arial"/>
        <family val="2"/>
      </rPr>
      <t>not to insert new column as it is linked to 'Master Table</t>
    </r>
    <r>
      <rPr>
        <strike/>
        <sz val="12"/>
        <color indexed="8"/>
        <rFont val="Arial"/>
        <family val="2"/>
      </rPr>
      <t>'</t>
    </r>
  </si>
  <si>
    <t>copy &amp; paste values of  'current year' figures into new column</t>
  </si>
  <si>
    <t>change F2 in ARU to current year (after moving figures into new column)</t>
  </si>
  <si>
    <t xml:space="preserve">  all other worksheets will change</t>
  </si>
  <si>
    <t xml:space="preserve">   also the headers will change</t>
  </si>
  <si>
    <t>Holy Cross Parish - St Brannoc RC Church,</t>
  </si>
  <si>
    <t xml:space="preserve">     Our Lady Star of the Sea and</t>
  </si>
  <si>
    <t xml:space="preserve">     The Most Holy Saviour</t>
  </si>
  <si>
    <t>Column A - get rid of formula???</t>
  </si>
  <si>
    <t>Our Lady &amp; 
 Holy Trinity Church Crookham</t>
  </si>
  <si>
    <t>(line to be deleted)</t>
  </si>
  <si>
    <t xml:space="preserve">  Holy Spirit</t>
  </si>
  <si>
    <t xml:space="preserve">  St. Raphael</t>
  </si>
  <si>
    <t xml:space="preserve">St Peter &amp; </t>
  </si>
  <si>
    <t xml:space="preserve">Sacred Heart &amp; </t>
  </si>
  <si>
    <t xml:space="preserve">   Our Lady of Lourdes</t>
  </si>
  <si>
    <t xml:space="preserve">   Holy Apostles &amp; Martyrs</t>
  </si>
  <si>
    <t>St Peter &amp; St Paul and</t>
  </si>
  <si>
    <t xml:space="preserve">  St. Catherine</t>
  </si>
  <si>
    <t xml:space="preserve">  The Good Shepherd</t>
  </si>
  <si>
    <t>Guernsey parishes</t>
  </si>
  <si>
    <t>Our Lady of Walsingham, London Colney</t>
  </si>
  <si>
    <t xml:space="preserve">WES  </t>
  </si>
  <si>
    <t>PLY053 ?</t>
  </si>
  <si>
    <t xml:space="preserve">Parish of the Most Most Holy Redeemer </t>
  </si>
  <si>
    <t xml:space="preserve">  &amp; St Joseph</t>
  </si>
  <si>
    <t>MENEVIA DIOCESE</t>
  </si>
  <si>
    <t xml:space="preserve">St Patrick, </t>
  </si>
  <si>
    <t xml:space="preserve">  St Joseph</t>
  </si>
  <si>
    <t xml:space="preserve">  St George &amp; </t>
  </si>
  <si>
    <t>BIRMINGHAM DIOCESE</t>
  </si>
  <si>
    <t>BRENTWOOD DIOCESE</t>
  </si>
  <si>
    <t>does not exsist</t>
  </si>
  <si>
    <t>combined with CLF080-2339 &amp; CLF081-2340 &amp; CLF082-2341</t>
  </si>
  <si>
    <t>£105.55 unidentified items in DD's return</t>
  </si>
  <si>
    <t>Our Lady &amp; the Saints of Guernsey Parish (St Joseph &amp; St Mary)</t>
  </si>
  <si>
    <t>Grand Total</t>
  </si>
  <si>
    <t>source file: 2019 South_Direct Donations.xlsx</t>
  </si>
  <si>
    <t>Summary of direct donations</t>
  </si>
  <si>
    <t>name changed</t>
  </si>
  <si>
    <t>updated</t>
  </si>
  <si>
    <t>Row Labels</t>
  </si>
  <si>
    <t>Sum of Total for each parish (current year)</t>
  </si>
  <si>
    <t>Green Form Totals</t>
  </si>
  <si>
    <t>last income in 2010</t>
  </si>
  <si>
    <t>Holy Cross &amp;</t>
  </si>
  <si>
    <t xml:space="preserve">  St. Peter &amp; St. Paul</t>
  </si>
  <si>
    <t xml:space="preserve">  St Pius X RC Church</t>
  </si>
  <si>
    <t>St Teresa of the Child Jesus &amp;</t>
  </si>
  <si>
    <t xml:space="preserve">Mary Immaculate &amp; 
</t>
  </si>
  <si>
    <t xml:space="preserve">  St. Joseph</t>
  </si>
  <si>
    <t xml:space="preserve">Our Lady of Peace &amp;
</t>
  </si>
  <si>
    <t xml:space="preserve">   the Sacred Heart </t>
  </si>
  <si>
    <t xml:space="preserve">  St. David</t>
  </si>
  <si>
    <t>&lt;--- make sure filter is NOT on in 'Master Table'</t>
  </si>
  <si>
    <t>KETTERING &amp; DESBOROUGH</t>
  </si>
  <si>
    <t xml:space="preserve">Our Lady of Ransom and
</t>
  </si>
  <si>
    <t xml:space="preserve">  St. Joseph &amp; the Holy Child</t>
  </si>
  <si>
    <t xml:space="preserve">  Holy Trinity</t>
  </si>
  <si>
    <t>St Edward the Confessor &amp;</t>
  </si>
  <si>
    <t>s/b</t>
  </si>
  <si>
    <t>diff</t>
  </si>
  <si>
    <t>Our Lady Queen of Peace &amp;</t>
  </si>
  <si>
    <t xml:space="preserve">  St Andrew (Shared Church)</t>
  </si>
  <si>
    <t>BURNHAM &amp;</t>
  </si>
  <si>
    <t xml:space="preserve">  CIPPENHAM</t>
  </si>
  <si>
    <t xml:space="preserve">  St. Dunstan's</t>
  </si>
  <si>
    <t xml:space="preserve">St Mary &amp;
</t>
  </si>
  <si>
    <t xml:space="preserve"> St. Vincent de Paul</t>
  </si>
  <si>
    <t>CORBY,</t>
  </si>
  <si>
    <t xml:space="preserve">  OUNDLE,</t>
  </si>
  <si>
    <t xml:space="preserve">  THRAPSTON,</t>
  </si>
  <si>
    <t xml:space="preserve">  RAUNDS &amp;</t>
  </si>
  <si>
    <t xml:space="preserve">  CORBY</t>
  </si>
  <si>
    <t>Our Lady of Walsingham,</t>
  </si>
  <si>
    <t xml:space="preserve">  The Most Holy Name of Jesus,</t>
  </si>
  <si>
    <t xml:space="preserve">  St Paul the Apostle,</t>
  </si>
  <si>
    <t xml:space="preserve">  St Thomas More &amp;</t>
  </si>
  <si>
    <t xml:space="preserve">  St John Ogilvie</t>
  </si>
  <si>
    <t xml:space="preserve">The Good Shepherd &amp;
</t>
  </si>
  <si>
    <t xml:space="preserve">   Our Lady of Light</t>
  </si>
  <si>
    <t>St John the Apostle &amp;</t>
  </si>
  <si>
    <t xml:space="preserve">   The Holy Family</t>
  </si>
  <si>
    <t xml:space="preserve">MANSFIELD, </t>
  </si>
  <si>
    <t xml:space="preserve">  RAINSWORTH &amp;</t>
  </si>
  <si>
    <t xml:space="preserve">  NEW OLLERTON</t>
  </si>
  <si>
    <t>Our Lady of Lourdes &amp;</t>
  </si>
  <si>
    <t xml:space="preserve">  St. Charles Borromeo</t>
  </si>
  <si>
    <t xml:space="preserve">  SUTTON-IN-ASHFIELD</t>
  </si>
  <si>
    <t>KIRKBY-IN-ASHFIELD &amp;</t>
  </si>
  <si>
    <t xml:space="preserve">  St Joseph the Worker</t>
  </si>
  <si>
    <t>Our Lady Help of Christians &amp;</t>
  </si>
  <si>
    <t>St Mary &amp;</t>
  </si>
  <si>
    <t xml:space="preserve">  St. John Bosco</t>
  </si>
  <si>
    <t xml:space="preserve">  St Margaret &amp; The Immaculate Conception</t>
  </si>
  <si>
    <t>St Charles Borromeo and</t>
  </si>
  <si>
    <t>St Paul &amp;</t>
  </si>
  <si>
    <t xml:space="preserve">  St. Mary</t>
  </si>
  <si>
    <t>The Holy Spirit  &amp;</t>
  </si>
  <si>
    <t xml:space="preserve">  Our Lady of Grace</t>
  </si>
  <si>
    <t>WEST BRIDGFORD &amp; COTGRAVE</t>
  </si>
  <si>
    <t xml:space="preserve">  Sacred Heart &amp; St. Ia</t>
  </si>
  <si>
    <t>The Immaculate Conception of Our Lady &amp;</t>
  </si>
  <si>
    <t>Parish of All Saints - Our Lady &amp; St Patrick,</t>
  </si>
  <si>
    <t xml:space="preserve">  St Agatha &amp;</t>
  </si>
  <si>
    <t xml:space="preserve">  St Ignatius of Loyola</t>
  </si>
  <si>
    <t xml:space="preserve">  DAWLISH &amp;</t>
  </si>
  <si>
    <t xml:space="preserve">  SHALDON</t>
  </si>
  <si>
    <t>TEIGNMOUTH,</t>
  </si>
  <si>
    <t>Parish of All Saints (St Agatha)</t>
  </si>
  <si>
    <t>Parish of St Maximilian Kolbe - St Edward &amp;</t>
  </si>
  <si>
    <t xml:space="preserve">  St Bernard of Clairvaux</t>
  </si>
  <si>
    <t>Our Lady Star of the Sea &amp;</t>
  </si>
  <si>
    <t>LONDON COLNEY,</t>
  </si>
  <si>
    <t xml:space="preserve">  RADLETT &amp; </t>
  </si>
  <si>
    <t xml:space="preserve">  SHENLEY</t>
  </si>
  <si>
    <t xml:space="preserve">  St Anthony of Padua &amp;</t>
  </si>
  <si>
    <t>Our Lady, St Mary of Walsingham,</t>
  </si>
  <si>
    <t>Published results:</t>
  </si>
  <si>
    <t xml:space="preserve">  RADSTOCK &amp;</t>
  </si>
  <si>
    <t xml:space="preserve">  MIDSOMER NORTON, </t>
  </si>
  <si>
    <t xml:space="preserve">  NORTON ST. PHILIP, </t>
  </si>
  <si>
    <t xml:space="preserve">  STRATTON ON THE FOSSE</t>
  </si>
  <si>
    <t xml:space="preserve">  HOLCOMBE, </t>
  </si>
  <si>
    <t>CHILCOMPTON,</t>
  </si>
  <si>
    <t>should be</t>
  </si>
  <si>
    <t xml:space="preserve">  - Notre Dame du Rosarie</t>
  </si>
  <si>
    <t>Our Lady &amp; the Saints of Guernsey Parish 
  - St Joseph &amp; St Mary</t>
  </si>
  <si>
    <t xml:space="preserve">  - Our Lady Star of the Sea</t>
  </si>
  <si>
    <t>To look for duplicates</t>
  </si>
  <si>
    <t>copy &amp; paste serial number</t>
  </si>
  <si>
    <t>sort in order</t>
  </si>
  <si>
    <t>use adjacent column to work out if consecutive sequence exists (look for zero if use formula (cell d22 - d21)</t>
  </si>
  <si>
    <t>Our Lady, Star of the Sea &amp;</t>
  </si>
  <si>
    <t xml:space="preserve">  Christ the King</t>
  </si>
  <si>
    <t>Cathedral Church of St Mary &amp; St Boniface with</t>
  </si>
  <si>
    <t>Before final print</t>
  </si>
  <si>
    <t>copy current year column into new column</t>
  </si>
  <si>
    <t>get rid of 'blank' cell if combined</t>
  </si>
  <si>
    <t>to preserve vlookup in each cell for each parish</t>
  </si>
  <si>
    <t xml:space="preserve">St Therese &amp; </t>
  </si>
  <si>
    <t xml:space="preserve">   St. Philip &amp; St. James</t>
  </si>
  <si>
    <t xml:space="preserve">Our Lady of the Rosary &amp; </t>
  </si>
  <si>
    <t xml:space="preserve">Our Lady &amp; </t>
  </si>
  <si>
    <t xml:space="preserve">Our  Lady  &amp; St  John the Evangelist and </t>
  </si>
  <si>
    <t xml:space="preserve">St Thomas of Canterbury  &amp; </t>
  </si>
  <si>
    <t xml:space="preserve">  St Clare </t>
  </si>
  <si>
    <t xml:space="preserve">St Osmund &amp; </t>
  </si>
  <si>
    <t xml:space="preserve">  Most Holy Redeemer</t>
  </si>
  <si>
    <t>St Augustine &amp;</t>
  </si>
  <si>
    <t xml:space="preserve">   St. John Fisher</t>
  </si>
  <si>
    <t>Master input data</t>
  </si>
  <si>
    <t>in ARU, cell F2 = current year</t>
  </si>
  <si>
    <t>change it will change all the subsequent worksheets</t>
  </si>
  <si>
    <t>Total not aggree to what is expected</t>
  </si>
  <si>
    <t>St Joseph &amp;</t>
  </si>
  <si>
    <t xml:space="preserve">   St Mary</t>
  </si>
  <si>
    <t xml:space="preserve">St Mary and </t>
  </si>
  <si>
    <t>Parish of 
   English Martyrs RC Church and</t>
  </si>
  <si>
    <t xml:space="preserve">   Holy Trinity SWF RC Church</t>
  </si>
  <si>
    <t xml:space="preserve">Our Lady &amp; St Werburgh &amp; </t>
  </si>
  <si>
    <t xml:space="preserve">  Our BlessedLady &amp; St. John</t>
  </si>
  <si>
    <t xml:space="preserve">St Giles &amp; </t>
  </si>
  <si>
    <t xml:space="preserve">  St. Thomas</t>
  </si>
  <si>
    <t xml:space="preserve">English Martyrs &amp; </t>
  </si>
  <si>
    <t xml:space="preserve">  St. Francis Xavier</t>
  </si>
  <si>
    <t>The Sacred Heart &amp; Our Lady and</t>
  </si>
  <si>
    <t xml:space="preserve">   Ss Peter &amp; Paul</t>
  </si>
  <si>
    <t xml:space="preserve">  The Most Holy Name &amp;</t>
  </si>
  <si>
    <t xml:space="preserve">   Bridgettine Convent</t>
  </si>
  <si>
    <t>GERRARDS CROSS, DENHAM &amp; IVER HEATH</t>
  </si>
  <si>
    <t>St Joseph,</t>
  </si>
  <si>
    <t>Immaculate Conception - St. Mary &amp;</t>
  </si>
  <si>
    <t>Form received 04-03-2020 and also Based on counterfoil records kept by Trevor Cooksey</t>
  </si>
  <si>
    <t>0444452</t>
  </si>
  <si>
    <t>263191</t>
  </si>
  <si>
    <t>0444518</t>
  </si>
  <si>
    <t>PLY081??</t>
  </si>
  <si>
    <t xml:space="preserve">  St Boniface</t>
  </si>
  <si>
    <t xml:space="preserve">St James &amp; </t>
  </si>
  <si>
    <t xml:space="preserve"> Parish of Our Lady Immaculate &amp; Holy Name ( Our Lady Immaculate Church)</t>
  </si>
  <si>
    <t>Parish of
 Our Lady Immaculate &amp;</t>
  </si>
  <si>
    <t xml:space="preserve">  The Holy Name</t>
  </si>
  <si>
    <r>
      <t>Corpus Christi &amp; St Joseph Parish (</t>
    </r>
    <r>
      <rPr>
        <b/>
        <sz val="10"/>
        <rFont val="Segoe UI"/>
        <family val="2"/>
      </rPr>
      <t>Corpus Christi RC Church</t>
    </r>
    <r>
      <rPr>
        <sz val="10"/>
        <rFont val="Segoe UI"/>
        <family val="2"/>
      </rPr>
      <t>)</t>
    </r>
  </si>
  <si>
    <t>refer to POR002/701: same LocSec?</t>
  </si>
  <si>
    <t xml:space="preserve">Convent - No Parish tab in ThankQ  </t>
  </si>
  <si>
    <t>Tadley Parish 
  St Michael RC Church and</t>
  </si>
  <si>
    <t xml:space="preserve">  St Oswald</t>
  </si>
  <si>
    <t>Lambourn &amp; Hungerford Parish 
  Sacred Heart &amp;</t>
  </si>
  <si>
    <t xml:space="preserve">  Our Lady of Lourdes</t>
  </si>
  <si>
    <t>(1)</t>
  </si>
  <si>
    <t>(2)</t>
  </si>
  <si>
    <t>create a new worksheet to compare serial number and amount</t>
  </si>
  <si>
    <t>e.g. cell A2 = A3</t>
  </si>
  <si>
    <t>Before starting input for new year</t>
  </si>
  <si>
    <t>copy &amp; paste column with previous year figures</t>
  </si>
  <si>
    <t xml:space="preserve">  (Column F is for current year, column G needs to be copy &amp; paste first as it is link to column F)</t>
  </si>
  <si>
    <r>
      <t xml:space="preserve">  copy &amp; paste previous year column (to the RHS) and get ready for current year's 'published' results </t>
    </r>
    <r>
      <rPr>
        <b/>
        <sz val="10"/>
        <color rgb="FF000000"/>
        <rFont val="Arial"/>
        <family val="2"/>
      </rPr>
      <t>(for formatting purpose)</t>
    </r>
  </si>
  <si>
    <t>xx ?</t>
  </si>
  <si>
    <t>PORTSMOUTH DIOCESE</t>
  </si>
  <si>
    <t>Column F</t>
  </si>
  <si>
    <t>Column G</t>
  </si>
  <si>
    <t xml:space="preserve"> = current year  with vlookup formula</t>
  </si>
  <si>
    <t>insert a new column in H (next to previous year)</t>
  </si>
  <si>
    <r>
      <t xml:space="preserve"> = current year.  It has been </t>
    </r>
    <r>
      <rPr>
        <b/>
        <sz val="10"/>
        <color rgb="FF000000"/>
        <rFont val="Arial"/>
        <family val="2"/>
      </rPr>
      <t>formatted and  is for printing</t>
    </r>
  </si>
  <si>
    <t>PLY045S</t>
  </si>
  <si>
    <t xml:space="preserve">Our Lady of Ransom &amp; </t>
  </si>
  <si>
    <t xml:space="preserve">  St. Agnes</t>
  </si>
  <si>
    <t xml:space="preserve">The Holy Family &amp; </t>
  </si>
  <si>
    <t xml:space="preserve">   St. Charles Borromeo</t>
  </si>
  <si>
    <t xml:space="preserve">    St. Joseph</t>
  </si>
  <si>
    <t>Parish of the Nativity of the Lord - St Teresa &amp;</t>
  </si>
  <si>
    <t>Our Lady Immaculate &amp;</t>
  </si>
  <si>
    <t xml:space="preserve">   St Philip Neri</t>
  </si>
  <si>
    <t>HALLAM DIOCESE</t>
  </si>
  <si>
    <t>Hallam Diocese Various</t>
  </si>
  <si>
    <t>2534</t>
  </si>
  <si>
    <t>HAL999</t>
  </si>
  <si>
    <t>PENISTONE</t>
  </si>
  <si>
    <t>2478</t>
  </si>
  <si>
    <t>HAL071</t>
  </si>
  <si>
    <t>ARMTHORPE</t>
  </si>
  <si>
    <t>Our Lady of Sorrows and St Francis</t>
  </si>
  <si>
    <t>2461</t>
  </si>
  <si>
    <t>HAL067</t>
  </si>
  <si>
    <t>SHEFFIELD</t>
  </si>
  <si>
    <t>2531</t>
  </si>
  <si>
    <t>HAL066</t>
  </si>
  <si>
    <t>WORKSOP</t>
  </si>
  <si>
    <t>St Mary &amp; St Joseph the Worker (St Mary)</t>
  </si>
  <si>
    <t>0444591</t>
  </si>
  <si>
    <t>HAL064</t>
  </si>
  <si>
    <t>WOODLANDS</t>
  </si>
  <si>
    <t>Ss Joseph &amp; Teresa</t>
  </si>
  <si>
    <t>2528</t>
  </si>
  <si>
    <t>HAL063</t>
  </si>
  <si>
    <t>WICKERSLEY</t>
  </si>
  <si>
    <t>Blessed Trinity</t>
  </si>
  <si>
    <t>2526</t>
  </si>
  <si>
    <t>HAL061</t>
  </si>
  <si>
    <t>WATH-UPON-DEARNE</t>
  </si>
  <si>
    <t>2525</t>
  </si>
  <si>
    <t>HAL060</t>
  </si>
  <si>
    <t>THRYBERGH</t>
  </si>
  <si>
    <t>2524</t>
  </si>
  <si>
    <t>HAL059</t>
  </si>
  <si>
    <t>STAINFORTH</t>
  </si>
  <si>
    <t>2522</t>
  </si>
  <si>
    <t>HAL057</t>
  </si>
  <si>
    <t>Our Lady of Beauchief</t>
  </si>
  <si>
    <t>2521</t>
  </si>
  <si>
    <t>HAL056</t>
  </si>
  <si>
    <t>2520</t>
  </si>
  <si>
    <t>HAL055</t>
  </si>
  <si>
    <t>2518</t>
  </si>
  <si>
    <t>HAL053</t>
  </si>
  <si>
    <t>St Maximilian Kolbe Family of Churches (St Theresa's)</t>
  </si>
  <si>
    <t>2517</t>
  </si>
  <si>
    <t>HAL052</t>
  </si>
  <si>
    <t>2516</t>
  </si>
  <si>
    <t>HAL051</t>
  </si>
  <si>
    <t>2515</t>
  </si>
  <si>
    <t>HAL050</t>
  </si>
  <si>
    <t>St Oswald</t>
  </si>
  <si>
    <t>2514</t>
  </si>
  <si>
    <t>HAL049</t>
  </si>
  <si>
    <t>Mother of God &amp; St Wilfrid</t>
  </si>
  <si>
    <t>2513</t>
  </si>
  <si>
    <t>HAL048</t>
  </si>
  <si>
    <t>2511</t>
  </si>
  <si>
    <t>HAL047</t>
  </si>
  <si>
    <t>2510</t>
  </si>
  <si>
    <t>HAL046</t>
  </si>
  <si>
    <t>2508</t>
  </si>
  <si>
    <t>HAL045</t>
  </si>
  <si>
    <t>St Catherine of Alexandria</t>
  </si>
  <si>
    <t>2506</t>
  </si>
  <si>
    <t>HAL043</t>
  </si>
  <si>
    <t>Cathedral of St Marie</t>
  </si>
  <si>
    <t>2505</t>
  </si>
  <si>
    <t>HAL042</t>
  </si>
  <si>
    <t>ROTHERHAM</t>
  </si>
  <si>
    <t>The Immaculate Conception (St Mary's)</t>
  </si>
  <si>
    <t>2503</t>
  </si>
  <si>
    <t>HAL040</t>
  </si>
  <si>
    <t>2502</t>
  </si>
  <si>
    <t>HAL039</t>
  </si>
  <si>
    <t>ROSSINGTON</t>
  </si>
  <si>
    <t>2501</t>
  </si>
  <si>
    <t>HAL038</t>
  </si>
  <si>
    <t>RETFORD</t>
  </si>
  <si>
    <t>2500</t>
  </si>
  <si>
    <t>HAL037</t>
  </si>
  <si>
    <t>OLDCOTES</t>
  </si>
  <si>
    <t>2498</t>
  </si>
  <si>
    <t>HAL035</t>
  </si>
  <si>
    <t>MOORENDS</t>
  </si>
  <si>
    <t>Ss Joseph &amp; Nicholas</t>
  </si>
  <si>
    <t>2497</t>
  </si>
  <si>
    <t>HAL034</t>
  </si>
  <si>
    <t>MEXBOROUGH</t>
  </si>
  <si>
    <t>2496</t>
  </si>
  <si>
    <t>HAL033</t>
  </si>
  <si>
    <t>MALTBY</t>
  </si>
  <si>
    <t>2495</t>
  </si>
  <si>
    <t>HAL032</t>
  </si>
  <si>
    <t>DEARNE VALLEY</t>
  </si>
  <si>
    <t>Corpus Christi (St Helen's, Hoyland)</t>
  </si>
  <si>
    <t>2494</t>
  </si>
  <si>
    <t>HAL031</t>
  </si>
  <si>
    <t>HIGH GREEN</t>
  </si>
  <si>
    <t>2493</t>
  </si>
  <si>
    <t>HAL030</t>
  </si>
  <si>
    <t>DONCASTER</t>
  </si>
  <si>
    <t>2488</t>
  </si>
  <si>
    <t>HAL025</t>
  </si>
  <si>
    <t>SPINK HILL</t>
  </si>
  <si>
    <t>2487</t>
  </si>
  <si>
    <t>HAL024</t>
  </si>
  <si>
    <t>DRONFIELD</t>
  </si>
  <si>
    <t>2486</t>
  </si>
  <si>
    <t>HAL023</t>
  </si>
  <si>
    <t>2485</t>
  </si>
  <si>
    <t>HAL022</t>
  </si>
  <si>
    <t>2484</t>
  </si>
  <si>
    <t>HAL021</t>
  </si>
  <si>
    <t>2483</t>
  </si>
  <si>
    <t>HAL020</t>
  </si>
  <si>
    <t>Our Lady of Mount Carmel &amp; St Mary Magdalen</t>
  </si>
  <si>
    <t>2482</t>
  </si>
  <si>
    <t>HAL019</t>
  </si>
  <si>
    <t>St Peter in Chains</t>
  </si>
  <si>
    <t>2481</t>
  </si>
  <si>
    <t>HAL018</t>
  </si>
  <si>
    <t>DINNINGTON</t>
  </si>
  <si>
    <t>2480</t>
  </si>
  <si>
    <t>HAL017</t>
  </si>
  <si>
    <t>2479</t>
  </si>
  <si>
    <t>HAL016</t>
  </si>
  <si>
    <t>DEEPCAR</t>
  </si>
  <si>
    <t>2477</t>
  </si>
  <si>
    <t>HAL015</t>
  </si>
  <si>
    <t>DARTON</t>
  </si>
  <si>
    <t>2475</t>
  </si>
  <si>
    <t>HAL014</t>
  </si>
  <si>
    <t>CUDWORTH</t>
  </si>
  <si>
    <t>2474</t>
  </si>
  <si>
    <t>HAL013</t>
  </si>
  <si>
    <t>CHESTERFIELD</t>
  </si>
  <si>
    <t>St Hugh of Lincoln (CLOSED)</t>
  </si>
  <si>
    <t>0444570</t>
  </si>
  <si>
    <t>HAL011</t>
  </si>
  <si>
    <t>Our Lady, Queen of Peace (Holy Family)</t>
  </si>
  <si>
    <t>2471</t>
  </si>
  <si>
    <t>HAL010</t>
  </si>
  <si>
    <t>Our Lady, Queen of Peace (Annunciation)</t>
  </si>
  <si>
    <t>2470</t>
  </si>
  <si>
    <t>HAL009</t>
  </si>
  <si>
    <t>BARNSLEY</t>
  </si>
  <si>
    <t>2467</t>
  </si>
  <si>
    <t>HAL006</t>
  </si>
  <si>
    <t>2466</t>
  </si>
  <si>
    <t>HAL005</t>
  </si>
  <si>
    <t>2465</t>
  </si>
  <si>
    <t>HAL004</t>
  </si>
  <si>
    <t>BAMFORD</t>
  </si>
  <si>
    <t>Our Lady of Sorrows &amp; St Michael</t>
  </si>
  <si>
    <t>2464</t>
  </si>
  <si>
    <t>HAL003</t>
  </si>
  <si>
    <t>ASKERN</t>
  </si>
  <si>
    <t>2462</t>
  </si>
  <si>
    <t>HAL002</t>
  </si>
  <si>
    <t>KIRK SANDALL</t>
  </si>
  <si>
    <t>2460</t>
  </si>
  <si>
    <t>HAL001</t>
  </si>
  <si>
    <t>Red Box</t>
  </si>
  <si>
    <t>Direct</t>
  </si>
  <si>
    <t>Serial no</t>
  </si>
  <si>
    <t>HEXHAM DIOCESE</t>
  </si>
  <si>
    <t>Hexham and Newcastle Diocese Various</t>
  </si>
  <si>
    <t>2726</t>
  </si>
  <si>
    <t>HEX999</t>
  </si>
  <si>
    <t>WREKENTON</t>
  </si>
  <si>
    <t>2723</t>
  </si>
  <si>
    <t>HEX198</t>
  </si>
  <si>
    <t>WOOLER</t>
  </si>
  <si>
    <t>St Ninian</t>
  </si>
  <si>
    <t>2722</t>
  </si>
  <si>
    <t>HEX197</t>
  </si>
  <si>
    <t>WINDLESTONE</t>
  </si>
  <si>
    <t>2720</t>
  </si>
  <si>
    <t>HEX194</t>
  </si>
  <si>
    <t>WALLSEND</t>
  </si>
  <si>
    <t>Our Lady &amp; St Aidan</t>
  </si>
  <si>
    <t>2719</t>
  </si>
  <si>
    <t>HEX192</t>
  </si>
  <si>
    <t>WILLINGTON</t>
  </si>
  <si>
    <t>Our Lady &amp; St Thomas</t>
  </si>
  <si>
    <t>2718</t>
  </si>
  <si>
    <t>HEX191</t>
  </si>
  <si>
    <t>WHITTINGHAM</t>
  </si>
  <si>
    <t>2717</t>
  </si>
  <si>
    <t>HEX190</t>
  </si>
  <si>
    <t>WHITLEY BAY</t>
  </si>
  <si>
    <t>St Edward (Parish of Our Lady Star of the Sea)</t>
  </si>
  <si>
    <t>2716</t>
  </si>
  <si>
    <t>HEX189</t>
  </si>
  <si>
    <t>WHITBURN</t>
  </si>
  <si>
    <t>0444627</t>
  </si>
  <si>
    <t>HEX188</t>
  </si>
  <si>
    <t>WHICKHAM</t>
  </si>
  <si>
    <t>St Mary (Parish of Our Lady and St Philip Neri)</t>
  </si>
  <si>
    <t>2715</t>
  </si>
  <si>
    <t>HEX187</t>
  </si>
  <si>
    <t>WEST MONKSEATON</t>
  </si>
  <si>
    <t>Immaculate Heart of Mary (Parish of Our Lady Star of the Sea)</t>
  </si>
  <si>
    <t>2714</t>
  </si>
  <si>
    <t>HEX186</t>
  </si>
  <si>
    <t>WESTERHOPE</t>
  </si>
  <si>
    <t>2713</t>
  </si>
  <si>
    <t>HEX185</t>
  </si>
  <si>
    <t>WEST DENTON</t>
  </si>
  <si>
    <t>2712</t>
  </si>
  <si>
    <t>HEX184</t>
  </si>
  <si>
    <t>WASHINGTON</t>
  </si>
  <si>
    <t>St John Boste (Parish of St John XX111)</t>
  </si>
  <si>
    <t>2711</t>
  </si>
  <si>
    <t>HEX183</t>
  </si>
  <si>
    <t>St Bede (Parish of St John XX111)</t>
  </si>
  <si>
    <t>2710</t>
  </si>
  <si>
    <t>HEX182</t>
  </si>
  <si>
    <t>Our Blessed Lady Immaculate (Parish of St John XX111)</t>
  </si>
  <si>
    <t>2709</t>
  </si>
  <si>
    <t>HEX181</t>
  </si>
  <si>
    <t>2708</t>
  </si>
  <si>
    <t>HEX180</t>
  </si>
  <si>
    <t>Our Lady &amp; St Columba</t>
  </si>
  <si>
    <t>2707</t>
  </si>
  <si>
    <t>HEX179</t>
  </si>
  <si>
    <t>USHAW MOOR</t>
  </si>
  <si>
    <t>2705</t>
  </si>
  <si>
    <t>HEX178</t>
  </si>
  <si>
    <t>CULLERCOATS</t>
  </si>
  <si>
    <t>Our Lady &amp; St Oswin’s, Tynemouth &amp; St Mary’s, Cullercoats (Our Lady and St Oswin)</t>
  </si>
  <si>
    <t>2704</t>
  </si>
  <si>
    <t>HEX177</t>
  </si>
  <si>
    <t>TUDHOE</t>
  </si>
  <si>
    <t>St Charles</t>
  </si>
  <si>
    <t>2703</t>
  </si>
  <si>
    <t>HEX176</t>
  </si>
  <si>
    <t>TRIMDON</t>
  </si>
  <si>
    <t>St William</t>
  </si>
  <si>
    <t>2702</t>
  </si>
  <si>
    <t>HEX175</t>
  </si>
  <si>
    <t>THROPTON</t>
  </si>
  <si>
    <t>2700</t>
  </si>
  <si>
    <t>HEX173</t>
  </si>
  <si>
    <t>THROCKLEY</t>
  </si>
  <si>
    <t>2699</t>
  </si>
  <si>
    <t>HEX172</t>
  </si>
  <si>
    <t>THORNLEY</t>
  </si>
  <si>
    <t>Sacred Heart &amp; English Martyrs</t>
  </si>
  <si>
    <t>2698</t>
  </si>
  <si>
    <t>HEX171</t>
  </si>
  <si>
    <t>SUNDERLAND</t>
  </si>
  <si>
    <t>Sacred Heart &amp; St John Bosco</t>
  </si>
  <si>
    <t>2696</t>
  </si>
  <si>
    <t>HEX168</t>
  </si>
  <si>
    <t>2695</t>
  </si>
  <si>
    <t>HEX166</t>
  </si>
  <si>
    <t>Immaculate Heart</t>
  </si>
  <si>
    <t>2694</t>
  </si>
  <si>
    <t>HEX165</t>
  </si>
  <si>
    <t>2691</t>
  </si>
  <si>
    <t>HEX162</t>
  </si>
  <si>
    <t>Ss Cecilia &amp; Patrick</t>
  </si>
  <si>
    <t>2690</t>
  </si>
  <si>
    <t>HEX161</t>
  </si>
  <si>
    <t>2689</t>
  </si>
  <si>
    <t>HEX160</t>
  </si>
  <si>
    <t>St Anne and Holy Family</t>
  </si>
  <si>
    <t>2688</t>
  </si>
  <si>
    <t>HEX159</t>
  </si>
  <si>
    <t>2686</t>
  </si>
  <si>
    <t>HEX158</t>
  </si>
  <si>
    <t>STOCKTON-ON-TEES</t>
  </si>
  <si>
    <t>2685</t>
  </si>
  <si>
    <t>HEX157</t>
  </si>
  <si>
    <t>English Martyrs &amp; Ss Peter &amp; Paul</t>
  </si>
  <si>
    <t>2683</t>
  </si>
  <si>
    <t>HEX155</t>
  </si>
  <si>
    <t>2682</t>
  </si>
  <si>
    <t>HEX154</t>
  </si>
  <si>
    <t>2681</t>
  </si>
  <si>
    <t>HEX153</t>
  </si>
  <si>
    <t>2680</t>
  </si>
  <si>
    <t>HEX152</t>
  </si>
  <si>
    <t>2679</t>
  </si>
  <si>
    <t>HEX151</t>
  </si>
  <si>
    <t>STELLA</t>
  </si>
  <si>
    <t>Ss Mary &amp; Thomas Aquinas</t>
  </si>
  <si>
    <t>2678</t>
  </si>
  <si>
    <t>HEX150</t>
  </si>
  <si>
    <t>STANLEY</t>
  </si>
  <si>
    <t>2677</t>
  </si>
  <si>
    <t>HEX149</t>
  </si>
  <si>
    <t>SOUTH SHIELDS</t>
  </si>
  <si>
    <t>2676</t>
  </si>
  <si>
    <t>HEX148</t>
  </si>
  <si>
    <t>Ss Peter &amp; Paul</t>
  </si>
  <si>
    <t>2675</t>
  </si>
  <si>
    <t>HEX147</t>
  </si>
  <si>
    <t>2673</t>
  </si>
  <si>
    <t>HEX145</t>
  </si>
  <si>
    <t>2672</t>
  </si>
  <si>
    <t>HEX144</t>
  </si>
  <si>
    <t>SILKSWORTH</t>
  </si>
  <si>
    <t>St Leonard</t>
  </si>
  <si>
    <t>2670</t>
  </si>
  <si>
    <t>HEX142</t>
  </si>
  <si>
    <t>SHOTTON</t>
  </si>
  <si>
    <t>2669</t>
  </si>
  <si>
    <t>HEX141</t>
  </si>
  <si>
    <t>SHOTLEY BRIDGE</t>
  </si>
  <si>
    <t>2668</t>
  </si>
  <si>
    <t>HEX140</t>
  </si>
  <si>
    <t>SHILDON</t>
  </si>
  <si>
    <t>St Thomas the Apostle (Parish of the Holy Family)</t>
  </si>
  <si>
    <t>2667</t>
  </si>
  <si>
    <t>HEX139</t>
  </si>
  <si>
    <t>SEDGEFIELD</t>
  </si>
  <si>
    <t>2666</t>
  </si>
  <si>
    <t>HEX138</t>
  </si>
  <si>
    <t>SEAHOUSES</t>
  </si>
  <si>
    <t>2665</t>
  </si>
  <si>
    <t>HEX137</t>
  </si>
  <si>
    <t>SEAHAM HARBOUR</t>
  </si>
  <si>
    <t>2664</t>
  </si>
  <si>
    <t>HEX136</t>
  </si>
  <si>
    <t>SACRISTON</t>
  </si>
  <si>
    <t>2663</t>
  </si>
  <si>
    <t>HEX135</t>
  </si>
  <si>
    <t>RYHOPE</t>
  </si>
  <si>
    <t>2662</t>
  </si>
  <si>
    <t>HEX134</t>
  </si>
  <si>
    <t>PRUDHOE</t>
  </si>
  <si>
    <t>Our Lady &amp; St Cuthbert</t>
  </si>
  <si>
    <t>0444580</t>
  </si>
  <si>
    <t>HEX132</t>
  </si>
  <si>
    <t>PONTELAND</t>
  </si>
  <si>
    <t>2660</t>
  </si>
  <si>
    <t>HEX130</t>
  </si>
  <si>
    <t>PETERLEE</t>
  </si>
  <si>
    <t>2659</t>
  </si>
  <si>
    <t>HEX129</t>
  </si>
  <si>
    <t>PENSHAW</t>
  </si>
  <si>
    <t>Our Lady Queen of Peace (Parish of St John XXIII)</t>
  </si>
  <si>
    <t>2658</t>
  </si>
  <si>
    <t>HEX128</t>
  </si>
  <si>
    <t>PELAW</t>
  </si>
  <si>
    <t>2657</t>
  </si>
  <si>
    <t>HEX127</t>
  </si>
  <si>
    <t>NORTH SHIELDS</t>
  </si>
  <si>
    <t>2656</t>
  </si>
  <si>
    <t>HEX126</t>
  </si>
  <si>
    <t>2655</t>
  </si>
  <si>
    <t>HEX125</t>
  </si>
  <si>
    <t>NORTH GOSFORTH</t>
  </si>
  <si>
    <t>2654</t>
  </si>
  <si>
    <t>HEX124</t>
  </si>
  <si>
    <t>NEWTON AYCLIFFE</t>
  </si>
  <si>
    <t>2652</t>
  </si>
  <si>
    <t>HEX122</t>
  </si>
  <si>
    <t>NEW SEAHAM</t>
  </si>
  <si>
    <t>2651</t>
  </si>
  <si>
    <t>HEX121</t>
  </si>
  <si>
    <t>NEWHOUSE</t>
  </si>
  <si>
    <t>2650</t>
  </si>
  <si>
    <t>HEX120</t>
  </si>
  <si>
    <t>NEW HARTLEY</t>
  </si>
  <si>
    <t>2649</t>
  </si>
  <si>
    <t>HEX119</t>
  </si>
  <si>
    <t>NEWCASTLE UPON TYNE</t>
  </si>
  <si>
    <t>2648</t>
  </si>
  <si>
    <t>HEX118</t>
  </si>
  <si>
    <t>2647</t>
  </si>
  <si>
    <t>HEX117</t>
  </si>
  <si>
    <t>St Robert</t>
  </si>
  <si>
    <t>2646</t>
  </si>
  <si>
    <t>HEX116</t>
  </si>
  <si>
    <t>All Saints (St Michael)</t>
  </si>
  <si>
    <t>2645</t>
  </si>
  <si>
    <t>HEX115</t>
  </si>
  <si>
    <t>2644</t>
  </si>
  <si>
    <t>HEX114</t>
  </si>
  <si>
    <t>2641</t>
  </si>
  <si>
    <t>HEX112</t>
  </si>
  <si>
    <t>2639</t>
  </si>
  <si>
    <t>HEX110</t>
  </si>
  <si>
    <t>St Dominic's Priory Church</t>
  </si>
  <si>
    <t>2638</t>
  </si>
  <si>
    <t>HEX109</t>
  </si>
  <si>
    <t>St Cuthbert Kenton</t>
  </si>
  <si>
    <t>2637</t>
  </si>
  <si>
    <t>HEX108</t>
  </si>
  <si>
    <t>All Saints (St Bede)</t>
  </si>
  <si>
    <t>2636</t>
  </si>
  <si>
    <t>HEX107</t>
  </si>
  <si>
    <t>2635</t>
  </si>
  <si>
    <t>HEX106</t>
  </si>
  <si>
    <t>2634</t>
  </si>
  <si>
    <t>HEX105</t>
  </si>
  <si>
    <t>Cathedral of St Mary</t>
  </si>
  <si>
    <t>2633</t>
  </si>
  <si>
    <t>HEX104</t>
  </si>
  <si>
    <t>MURTON</t>
  </si>
  <si>
    <t>2632</t>
  </si>
  <si>
    <t>HEX102</t>
  </si>
  <si>
    <t>MORPETH</t>
  </si>
  <si>
    <t>2631</t>
  </si>
  <si>
    <t>HEX101</t>
  </si>
  <si>
    <t>LONGHORSLEY</t>
  </si>
  <si>
    <t>2628</t>
  </si>
  <si>
    <t>HEX097</t>
  </si>
  <si>
    <t>DURHAM</t>
  </si>
  <si>
    <t>2626</t>
  </si>
  <si>
    <t>HEX095</t>
  </si>
  <si>
    <t>LANCHESTER</t>
  </si>
  <si>
    <t>2625</t>
  </si>
  <si>
    <t>HEX094</t>
  </si>
  <si>
    <t>JARROW</t>
  </si>
  <si>
    <t>2624</t>
  </si>
  <si>
    <t>HEX093</t>
  </si>
  <si>
    <t>2623</t>
  </si>
  <si>
    <t>HEX092</t>
  </si>
  <si>
    <t>2622</t>
  </si>
  <si>
    <t>HEX091</t>
  </si>
  <si>
    <t>2621</t>
  </si>
  <si>
    <t>HEX090</t>
  </si>
  <si>
    <t>HUTTON HOUSE</t>
  </si>
  <si>
    <t>2620</t>
  </si>
  <si>
    <t>HEX089</t>
  </si>
  <si>
    <t>HOUGHTON LE SPRING</t>
  </si>
  <si>
    <t>2619</t>
  </si>
  <si>
    <t>HEX088</t>
  </si>
  <si>
    <t>HORDEN</t>
  </si>
  <si>
    <t>2618</t>
  </si>
  <si>
    <t>HEX087</t>
  </si>
  <si>
    <t>HIGHFIELD</t>
  </si>
  <si>
    <t>2617</t>
  </si>
  <si>
    <t>HEX086</t>
  </si>
  <si>
    <t>HEXHAM</t>
  </si>
  <si>
    <t>2616</t>
  </si>
  <si>
    <t>HEX085</t>
  </si>
  <si>
    <t>HEBBURN</t>
  </si>
  <si>
    <t>2615</t>
  </si>
  <si>
    <t>HEX084</t>
  </si>
  <si>
    <t>2614</t>
  </si>
  <si>
    <t>HEX083</t>
  </si>
  <si>
    <t>HAYDON BRIDGE</t>
  </si>
  <si>
    <t>St John of Beverley</t>
  </si>
  <si>
    <t>2613</t>
  </si>
  <si>
    <t>HEX082</t>
  </si>
  <si>
    <t>HARTLEPOOL</t>
  </si>
  <si>
    <t>St Thomas More (Holy Family Parish)</t>
  </si>
  <si>
    <t>2612</t>
  </si>
  <si>
    <t>HEX081</t>
  </si>
  <si>
    <t>St Patrick (Holy Family Parish)</t>
  </si>
  <si>
    <t>2610</t>
  </si>
  <si>
    <t>HEX079</t>
  </si>
  <si>
    <t>The Immaculate Conception (St Mary Headland)</t>
  </si>
  <si>
    <t>2609</t>
  </si>
  <si>
    <t>HEX078</t>
  </si>
  <si>
    <t>St John Vianney (Holy Family Parish)</t>
  </si>
  <si>
    <t>2608</t>
  </si>
  <si>
    <t>HEX077</t>
  </si>
  <si>
    <t>2607</t>
  </si>
  <si>
    <t>HEX076</t>
  </si>
  <si>
    <t>St Joseph (Holy Family Parish)</t>
  </si>
  <si>
    <t>2606</t>
  </si>
  <si>
    <t>HEX075</t>
  </si>
  <si>
    <t>HALTWHISTLE</t>
  </si>
  <si>
    <t>0444583</t>
  </si>
  <si>
    <t>HEX074</t>
  </si>
  <si>
    <t>GOSFORTH</t>
  </si>
  <si>
    <t>2605</t>
  </si>
  <si>
    <t>HEX073</t>
  </si>
  <si>
    <t>GATESHEAD</t>
  </si>
  <si>
    <t>2604</t>
  </si>
  <si>
    <t>HEX071</t>
  </si>
  <si>
    <t>2603</t>
  </si>
  <si>
    <t>HEX070</t>
  </si>
  <si>
    <t>Immaculate Heart of Mary (Parish of Our Lady &amp; St Philip Neri)</t>
  </si>
  <si>
    <t>2602</t>
  </si>
  <si>
    <t>HEX069</t>
  </si>
  <si>
    <t>Holy Rosary Team Valley</t>
  </si>
  <si>
    <t>2601</t>
  </si>
  <si>
    <t>HEX068</t>
  </si>
  <si>
    <t>2600</t>
  </si>
  <si>
    <t>HEX067</t>
  </si>
  <si>
    <t>2598</t>
  </si>
  <si>
    <t>HEX065</t>
  </si>
  <si>
    <t>2597</t>
  </si>
  <si>
    <t>HEX064</t>
  </si>
  <si>
    <t>GAINFORD</t>
  </si>
  <si>
    <t>2596</t>
  </si>
  <si>
    <t>HEX063</t>
  </si>
  <si>
    <t>FOREST HALL</t>
  </si>
  <si>
    <t>2594</t>
  </si>
  <si>
    <t>HEX061</t>
  </si>
  <si>
    <t>FERRYHILL</t>
  </si>
  <si>
    <t>2593</t>
  </si>
  <si>
    <t>HEX060</t>
  </si>
  <si>
    <t>FELLING</t>
  </si>
  <si>
    <t>2592</t>
  </si>
  <si>
    <t>HEX059</t>
  </si>
  <si>
    <t>2591</t>
  </si>
  <si>
    <t>HEX058</t>
  </si>
  <si>
    <t>ESH LAUDE/LANGLEY PARK</t>
  </si>
  <si>
    <t>2589</t>
  </si>
  <si>
    <t>HEX056</t>
  </si>
  <si>
    <t>Durham Martyrs (St Joseph)</t>
  </si>
  <si>
    <t>2586</t>
  </si>
  <si>
    <t>HEX051</t>
  </si>
  <si>
    <t>Durham Martyrs (Ss Godric &amp; Bede)</t>
  </si>
  <si>
    <t>2585</t>
  </si>
  <si>
    <t>HEX050</t>
  </si>
  <si>
    <t>2582</t>
  </si>
  <si>
    <t>HEX049</t>
  </si>
  <si>
    <t>DIPTON</t>
  </si>
  <si>
    <t>2580</t>
  </si>
  <si>
    <t>HEX047</t>
  </si>
  <si>
    <t>DARLINGTON</t>
  </si>
  <si>
    <t>2579</t>
  </si>
  <si>
    <t>HEX046</t>
  </si>
  <si>
    <t>2577</t>
  </si>
  <si>
    <t>HEX044</t>
  </si>
  <si>
    <t>2576</t>
  </si>
  <si>
    <t>HEX043</t>
  </si>
  <si>
    <t>2575</t>
  </si>
  <si>
    <t>HEX042</t>
  </si>
  <si>
    <t>2574</t>
  </si>
  <si>
    <t>HEX041</t>
  </si>
  <si>
    <t>CROOK</t>
  </si>
  <si>
    <t>2571</t>
  </si>
  <si>
    <t>HEX038</t>
  </si>
  <si>
    <t>CRAWCROOK</t>
  </si>
  <si>
    <t>2570</t>
  </si>
  <si>
    <t>HEX037</t>
  </si>
  <si>
    <t>CRAMLINGTON</t>
  </si>
  <si>
    <t>2569</t>
  </si>
  <si>
    <t>HEX036</t>
  </si>
  <si>
    <t>COXHOE</t>
  </si>
  <si>
    <t>Ss Joseph, Patrick, Cuthbert</t>
  </si>
  <si>
    <t>2568</t>
  </si>
  <si>
    <t>HEX034</t>
  </si>
  <si>
    <t>COWPEN</t>
  </si>
  <si>
    <t>2567</t>
  </si>
  <si>
    <t>HEX033</t>
  </si>
  <si>
    <t>COUNDON</t>
  </si>
  <si>
    <t>2566</t>
  </si>
  <si>
    <t>HEX032</t>
  </si>
  <si>
    <t>CONSETT</t>
  </si>
  <si>
    <t>St Pius X Moorside</t>
  </si>
  <si>
    <t>2565</t>
  </si>
  <si>
    <t>HEX031</t>
  </si>
  <si>
    <t>2564</t>
  </si>
  <si>
    <t>HEX030</t>
  </si>
  <si>
    <t>CHESTER LE STREET</t>
  </si>
  <si>
    <t>2562</t>
  </si>
  <si>
    <t>HEX028</t>
  </si>
  <si>
    <t>BYERMOOR</t>
  </si>
  <si>
    <t>2561</t>
  </si>
  <si>
    <t>HEX027</t>
  </si>
  <si>
    <t>LEADGATE</t>
  </si>
  <si>
    <t>2560</t>
  </si>
  <si>
    <t>HEX026</t>
  </si>
  <si>
    <t>BOLDON COLLIERY</t>
  </si>
  <si>
    <t>2559</t>
  </si>
  <si>
    <t>HEX025</t>
  </si>
  <si>
    <t>BLYTH</t>
  </si>
  <si>
    <t>2558</t>
  </si>
  <si>
    <t>HEX024</t>
  </si>
  <si>
    <t>BLAYDON-ON-TYNE</t>
  </si>
  <si>
    <t>2557</t>
  </si>
  <si>
    <t>HEX023</t>
  </si>
  <si>
    <t>2556</t>
  </si>
  <si>
    <t>HEX022</t>
  </si>
  <si>
    <t>BLACKHILL</t>
  </si>
  <si>
    <t>Our Blessed Lady Immaculate</t>
  </si>
  <si>
    <t>2555</t>
  </si>
  <si>
    <t>HEX021</t>
  </si>
  <si>
    <t>BLACKHALL</t>
  </si>
  <si>
    <t>2554</t>
  </si>
  <si>
    <t>HEX020</t>
  </si>
  <si>
    <t>BISHOP AUCKLAND</t>
  </si>
  <si>
    <t>2552</t>
  </si>
  <si>
    <t>HEX018</t>
  </si>
  <si>
    <t>2551</t>
  </si>
  <si>
    <t>HEX017</t>
  </si>
  <si>
    <t>BIRTLEY</t>
  </si>
  <si>
    <t>2550</t>
  </si>
  <si>
    <t>HEX016</t>
  </si>
  <si>
    <t>BILLINGHAM</t>
  </si>
  <si>
    <t>2549</t>
  </si>
  <si>
    <t>HEX015</t>
  </si>
  <si>
    <t>Our Lady of the Holy Rosary</t>
  </si>
  <si>
    <t>2548</t>
  </si>
  <si>
    <t>HEX014</t>
  </si>
  <si>
    <t>2547</t>
  </si>
  <si>
    <t>HEX013</t>
  </si>
  <si>
    <t>BERWICK-UPON-TWEED</t>
  </si>
  <si>
    <t>2546</t>
  </si>
  <si>
    <t>HEX012</t>
  </si>
  <si>
    <t>BENTON</t>
  </si>
  <si>
    <t>2545</t>
  </si>
  <si>
    <t>HEX011</t>
  </si>
  <si>
    <t>BELL'S CLOSE</t>
  </si>
  <si>
    <t>2544</t>
  </si>
  <si>
    <t>HEX010</t>
  </si>
  <si>
    <t>BELLINGHAM</t>
  </si>
  <si>
    <t>2543</t>
  </si>
  <si>
    <t>HEX009</t>
  </si>
  <si>
    <t>BEDLINGTON</t>
  </si>
  <si>
    <t>2542</t>
  </si>
  <si>
    <t>HEX008</t>
  </si>
  <si>
    <t>BARNARD CASTLE</t>
  </si>
  <si>
    <t>2541</t>
  </si>
  <si>
    <t>HEX007</t>
  </si>
  <si>
    <t>BACKWORTH</t>
  </si>
  <si>
    <t>Our Lady &amp; St Edmund (Parish of Our Lady Star of the Sea)</t>
  </si>
  <si>
    <t>2540</t>
  </si>
  <si>
    <t>HEX006</t>
  </si>
  <si>
    <t>ASHINGTON</t>
  </si>
  <si>
    <t>2539</t>
  </si>
  <si>
    <t>HEX005</t>
  </si>
  <si>
    <t>ANNITSFORD</t>
  </si>
  <si>
    <t>2538</t>
  </si>
  <si>
    <t>HEX004</t>
  </si>
  <si>
    <t>ANNFIELD PLAIN</t>
  </si>
  <si>
    <t>2537</t>
  </si>
  <si>
    <t>HEX003</t>
  </si>
  <si>
    <t>AMBLE</t>
  </si>
  <si>
    <t>The Sacred Heart &amp; St Cuthbert</t>
  </si>
  <si>
    <t>2536</t>
  </si>
  <si>
    <t>HEX002</t>
  </si>
  <si>
    <t>ALNWICK</t>
  </si>
  <si>
    <t>2535</t>
  </si>
  <si>
    <t>HEX001</t>
  </si>
  <si>
    <t>LANCASTER DIOCESE</t>
  </si>
  <si>
    <t>Lancaster Diocese Various</t>
  </si>
  <si>
    <t>2846</t>
  </si>
  <si>
    <t>LAN999</t>
  </si>
  <si>
    <t>THORNTON-LE-FYLDE</t>
  </si>
  <si>
    <t>2830</t>
  </si>
  <si>
    <t>LAN119</t>
  </si>
  <si>
    <t>LYTHAM ST. ANNES</t>
  </si>
  <si>
    <t>2826</t>
  </si>
  <si>
    <t>LAN118</t>
  </si>
  <si>
    <t>PRESTON</t>
  </si>
  <si>
    <t>2810</t>
  </si>
  <si>
    <t>LAN116</t>
  </si>
  <si>
    <t>POULTON-LE-FYLDE</t>
  </si>
  <si>
    <t>2806</t>
  </si>
  <si>
    <t>LAN115</t>
  </si>
  <si>
    <t>MORECAMBE</t>
  </si>
  <si>
    <t>Holy Family Westgate</t>
  </si>
  <si>
    <t>0444542</t>
  </si>
  <si>
    <t>LAN112</t>
  </si>
  <si>
    <t>MILNTHORPE</t>
  </si>
  <si>
    <t>2797</t>
  </si>
  <si>
    <t>LAN111</t>
  </si>
  <si>
    <t>THORNTON-CLEVELEYS</t>
  </si>
  <si>
    <t>St John Southworth</t>
  </si>
  <si>
    <t>2765</t>
  </si>
  <si>
    <t>LAN108</t>
  </si>
  <si>
    <t>CARLISLE</t>
  </si>
  <si>
    <t>The Cumbrian Martyrs (St Edmund)</t>
  </si>
  <si>
    <t>2758</t>
  </si>
  <si>
    <t>LAN107</t>
  </si>
  <si>
    <t>WORKINGTON</t>
  </si>
  <si>
    <t>Christ the Good Shepherd (St Gregory)</t>
  </si>
  <si>
    <t>2842</t>
  </si>
  <si>
    <t>LAN105</t>
  </si>
  <si>
    <t>Christ the Good Shepherd (Our Lady &amp; St Michael)</t>
  </si>
  <si>
    <t>2841</t>
  </si>
  <si>
    <t>LAN103</t>
  </si>
  <si>
    <t>WINDERMERE</t>
  </si>
  <si>
    <t>Our Lady of Windermere and  St Herbert</t>
  </si>
  <si>
    <t>2840</t>
  </si>
  <si>
    <t>LAN102</t>
  </si>
  <si>
    <t>WIGTON</t>
  </si>
  <si>
    <t>2839</t>
  </si>
  <si>
    <t>LAN101</t>
  </si>
  <si>
    <t>WHITEHAVEN</t>
  </si>
  <si>
    <t>2838</t>
  </si>
  <si>
    <t>LAN100</t>
  </si>
  <si>
    <t>St Begh</t>
  </si>
  <si>
    <t>2837</t>
  </si>
  <si>
    <t>LAN099</t>
  </si>
  <si>
    <t>WESTBY</t>
  </si>
  <si>
    <t>2836</t>
  </si>
  <si>
    <t>LAN098</t>
  </si>
  <si>
    <t>WESHAM</t>
  </si>
  <si>
    <t>The Holy Cross (St Joseph)</t>
  </si>
  <si>
    <t>2835</t>
  </si>
  <si>
    <t>LAN097</t>
  </si>
  <si>
    <t>WARWICK BRIDGE</t>
  </si>
  <si>
    <t>Our Lady of Eden (Our Lady &amp; St Wilfrid)</t>
  </si>
  <si>
    <t>2834</t>
  </si>
  <si>
    <t>LAN096</t>
  </si>
  <si>
    <t>ULVERSTON</t>
  </si>
  <si>
    <t>St Mary of Furness</t>
  </si>
  <si>
    <t>2833</t>
  </si>
  <si>
    <t>LAN095</t>
  </si>
  <si>
    <t>THURNHAM</t>
  </si>
  <si>
    <t>Ss Thomas &amp; Elizabeth</t>
  </si>
  <si>
    <t>2832</t>
  </si>
  <si>
    <t>LAN094</t>
  </si>
  <si>
    <t>2831</t>
  </si>
  <si>
    <t>LAN093</t>
  </si>
  <si>
    <t>SILLOTH</t>
  </si>
  <si>
    <t>2829</t>
  </si>
  <si>
    <t>LAN092</t>
  </si>
  <si>
    <t>SEASCALE</t>
  </si>
  <si>
    <t>2828</t>
  </si>
  <si>
    <t>LAN091</t>
  </si>
  <si>
    <t>2825</t>
  </si>
  <si>
    <t>LAN089</t>
  </si>
  <si>
    <t>2824</t>
  </si>
  <si>
    <t>LAN088</t>
  </si>
  <si>
    <t>St John Paul II (Shrine Church of St Walburge)</t>
  </si>
  <si>
    <t>2823</t>
  </si>
  <si>
    <t>LAN087</t>
  </si>
  <si>
    <t>Sacred Heart Ashton</t>
  </si>
  <si>
    <t>2821</t>
  </si>
  <si>
    <t>LAN085</t>
  </si>
  <si>
    <t>2819</t>
  </si>
  <si>
    <t>LAN084</t>
  </si>
  <si>
    <t>St John Paul II (St Peter &amp; Paul)</t>
  </si>
  <si>
    <t>0444465</t>
  </si>
  <si>
    <t>LAN083</t>
  </si>
  <si>
    <t>St John XXIII (St Joseph)</t>
  </si>
  <si>
    <t>2816</t>
  </si>
  <si>
    <t>LAN081</t>
  </si>
  <si>
    <t>2813</t>
  </si>
  <si>
    <t>LAN079</t>
  </si>
  <si>
    <t>2812</t>
  </si>
  <si>
    <t>LAN078</t>
  </si>
  <si>
    <t>St John XX111(English Martyrs with St Ignatius)</t>
  </si>
  <si>
    <t>2811</t>
  </si>
  <si>
    <t>LAN077</t>
  </si>
  <si>
    <t>Blessed Sacrament Ribbleton</t>
  </si>
  <si>
    <t>2809</t>
  </si>
  <si>
    <t>LAN076</t>
  </si>
  <si>
    <t>2807</t>
  </si>
  <si>
    <t>LAN074</t>
  </si>
  <si>
    <t>2805</t>
  </si>
  <si>
    <t>LAN073</t>
  </si>
  <si>
    <t>PENRITH</t>
  </si>
  <si>
    <t>St Catherine of Alexandria Virgin and Martyr</t>
  </si>
  <si>
    <t>2803</t>
  </si>
  <si>
    <t>LAN071</t>
  </si>
  <si>
    <t>2802</t>
  </si>
  <si>
    <t>LAN070</t>
  </si>
  <si>
    <t>Blessed John Henry Newman (St Mary)</t>
  </si>
  <si>
    <t>2799</t>
  </si>
  <si>
    <t>LAN068</t>
  </si>
  <si>
    <t>MILLOM</t>
  </si>
  <si>
    <t>St Francis of Assisi (Our Lady &amp; St James)</t>
  </si>
  <si>
    <t>2796</t>
  </si>
  <si>
    <t>LAN066</t>
  </si>
  <si>
    <t>MARYPORT</t>
  </si>
  <si>
    <t>2795</t>
  </si>
  <si>
    <t>LAN065</t>
  </si>
  <si>
    <t>2794</t>
  </si>
  <si>
    <t>LAN064</t>
  </si>
  <si>
    <t>LEA TOWN</t>
  </si>
  <si>
    <t>0444471</t>
  </si>
  <si>
    <t>LAN063</t>
  </si>
  <si>
    <t>KNOTT END</t>
  </si>
  <si>
    <t>2792</t>
  </si>
  <si>
    <t>LAN062</t>
  </si>
  <si>
    <t>KIRKHAM</t>
  </si>
  <si>
    <t>The Holy Cross (St John the Evangelist)</t>
  </si>
  <si>
    <t>2791</t>
  </si>
  <si>
    <t>LAN061</t>
  </si>
  <si>
    <t>KESWICK</t>
  </si>
  <si>
    <t>Our Lady &amp; St Charles</t>
  </si>
  <si>
    <t>2789</t>
  </si>
  <si>
    <t>LAN058</t>
  </si>
  <si>
    <t>KENDAL</t>
  </si>
  <si>
    <t>Holy Trinity &amp; St George</t>
  </si>
  <si>
    <t>2788</t>
  </si>
  <si>
    <t>LAN057</t>
  </si>
  <si>
    <t>2787</t>
  </si>
  <si>
    <t>LAN056</t>
  </si>
  <si>
    <t>HORNBY</t>
  </si>
  <si>
    <t>2786</t>
  </si>
  <si>
    <t>LAN055</t>
  </si>
  <si>
    <t>GREAT ECCLESTON</t>
  </si>
  <si>
    <t>2784</t>
  </si>
  <si>
    <t>LAN053</t>
  </si>
  <si>
    <t>GRANGE-OVER-SANDS</t>
  </si>
  <si>
    <t>2782</t>
  </si>
  <si>
    <t>LAN052</t>
  </si>
  <si>
    <t>GOOSNARGH</t>
  </si>
  <si>
    <t>St Francis Hill Chapel</t>
  </si>
  <si>
    <t>2781</t>
  </si>
  <si>
    <t>LAN051</t>
  </si>
  <si>
    <t>GARSTANG</t>
  </si>
  <si>
    <t>Ss Mary &amp; Michael</t>
  </si>
  <si>
    <t>2779</t>
  </si>
  <si>
    <t>LAN050</t>
  </si>
  <si>
    <t>FRIZINGTON</t>
  </si>
  <si>
    <t>St Mary &amp; St Joseph (St Joseph)</t>
  </si>
  <si>
    <t>2778</t>
  </si>
  <si>
    <t>LAN049</t>
  </si>
  <si>
    <t>FRECKLETON &amp; WARTON</t>
  </si>
  <si>
    <t>2777</t>
  </si>
  <si>
    <t>LAN048</t>
  </si>
  <si>
    <t>FLEETWOOD</t>
  </si>
  <si>
    <t>St Wulstan &amp; St Edmund (St Wulstan)</t>
  </si>
  <si>
    <t>2776</t>
  </si>
  <si>
    <t>LAN047</t>
  </si>
  <si>
    <t>2775</t>
  </si>
  <si>
    <t>LAN046</t>
  </si>
  <si>
    <t>St Wulstan &amp; St Edmund (St Edmund)</t>
  </si>
  <si>
    <t>2774</t>
  </si>
  <si>
    <t>LAN045</t>
  </si>
  <si>
    <t>FERNYHALGH</t>
  </si>
  <si>
    <t>2773</t>
  </si>
  <si>
    <t>LAN044</t>
  </si>
  <si>
    <t>EGREMONT</t>
  </si>
  <si>
    <t>2772</t>
  </si>
  <si>
    <t>LAN043</t>
  </si>
  <si>
    <t>DALTON-IN-FURNESS</t>
  </si>
  <si>
    <t>Our Lady of the Rosary and St Margaret of Scotland</t>
  </si>
  <si>
    <t>0444468</t>
  </si>
  <si>
    <t>LAN041</t>
  </si>
  <si>
    <t>COTTAM</t>
  </si>
  <si>
    <t>St Andrew &amp; Blessed George Haydock</t>
  </si>
  <si>
    <t>2769</t>
  </si>
  <si>
    <t>LAN040</t>
  </si>
  <si>
    <t>COCKERMOUTH</t>
  </si>
  <si>
    <t>2767</t>
  </si>
  <si>
    <t>LAN038</t>
  </si>
  <si>
    <t>2766</t>
  </si>
  <si>
    <t>LAN037</t>
  </si>
  <si>
    <t>CLEATOR</t>
  </si>
  <si>
    <t>St Mary &amp; St Joseph (St Mary)</t>
  </si>
  <si>
    <t>2764</t>
  </si>
  <si>
    <t>LAN036</t>
  </si>
  <si>
    <t>CLAUGHTON-ON-BROCK</t>
  </si>
  <si>
    <t>2763</t>
  </si>
  <si>
    <t>LAN035</t>
  </si>
  <si>
    <t>CATFORTH</t>
  </si>
  <si>
    <t>2762</t>
  </si>
  <si>
    <t>LAN034</t>
  </si>
  <si>
    <t>CARNFORTH</t>
  </si>
  <si>
    <t>2761</t>
  </si>
  <si>
    <t>LAN033</t>
  </si>
  <si>
    <t>Our Lady of Eden (Our Lady &amp; St Joseph)</t>
  </si>
  <si>
    <t>2760</t>
  </si>
  <si>
    <t>LAN032</t>
  </si>
  <si>
    <t>Sacred Heart of Jesus (St Margaret Mary)</t>
  </si>
  <si>
    <t>2759</t>
  </si>
  <si>
    <t>LAN031</t>
  </si>
  <si>
    <t>Sacred Heart (Christ the King)</t>
  </si>
  <si>
    <t>2757</t>
  </si>
  <si>
    <t>LAN030</t>
  </si>
  <si>
    <t>The Cumbrian Martyrs (St Bede)</t>
  </si>
  <si>
    <t>2756</t>
  </si>
  <si>
    <t>LAN029</t>
  </si>
  <si>
    <t>St Augustine of Hippo</t>
  </si>
  <si>
    <t>2755</t>
  </si>
  <si>
    <t>LAN028</t>
  </si>
  <si>
    <t>BOLTON LE SANDS</t>
  </si>
  <si>
    <t>2754</t>
  </si>
  <si>
    <t>LAN026</t>
  </si>
  <si>
    <t>BLACKPOOL</t>
  </si>
  <si>
    <t>2753</t>
  </si>
  <si>
    <t>LAN025</t>
  </si>
  <si>
    <t>2752</t>
  </si>
  <si>
    <t>LAN024</t>
  </si>
  <si>
    <t>Christ the King and St Kentigern (St Kentigern)</t>
  </si>
  <si>
    <t>2750</t>
  </si>
  <si>
    <t>LAN023</t>
  </si>
  <si>
    <t>2749</t>
  </si>
  <si>
    <t>LAN021</t>
  </si>
  <si>
    <t>2748</t>
  </si>
  <si>
    <t>LAN020</t>
  </si>
  <si>
    <t>Christ the King and St Kentigern (Christ the King)</t>
  </si>
  <si>
    <t>2746</t>
  </si>
  <si>
    <t>LAN018</t>
  </si>
  <si>
    <t>St Bernadette Bispham</t>
  </si>
  <si>
    <t>2745</t>
  </si>
  <si>
    <t>LAN017</t>
  </si>
  <si>
    <t>BARROW-IN-FURNESS</t>
  </si>
  <si>
    <t>Our Lady of Furness (St Mary)</t>
  </si>
  <si>
    <t>2741</t>
  </si>
  <si>
    <t>LAN013</t>
  </si>
  <si>
    <t>APPLEBY</t>
  </si>
  <si>
    <t>Our Lady of Appleby</t>
  </si>
  <si>
    <t>2738</t>
  </si>
  <si>
    <t>LAN008</t>
  </si>
  <si>
    <t>ANSDELL</t>
  </si>
  <si>
    <t>2737</t>
  </si>
  <si>
    <t>LAN007</t>
  </si>
  <si>
    <t>AMBLESIDE</t>
  </si>
  <si>
    <t>Mater Amabilis</t>
  </si>
  <si>
    <t>2736</t>
  </si>
  <si>
    <t>LAN006</t>
  </si>
  <si>
    <t>ALSTON LANE</t>
  </si>
  <si>
    <t>2735</t>
  </si>
  <si>
    <t>LAN005</t>
  </si>
  <si>
    <t xml:space="preserve">LANCASTER </t>
  </si>
  <si>
    <t>2734</t>
  </si>
  <si>
    <t>LAN004</t>
  </si>
  <si>
    <t>2732</t>
  </si>
  <si>
    <t>LAN003</t>
  </si>
  <si>
    <t>2730</t>
  </si>
  <si>
    <t>LAN002</t>
  </si>
  <si>
    <t>St Peter's Cathedral</t>
  </si>
  <si>
    <t>2729</t>
  </si>
  <si>
    <t>LAN001</t>
  </si>
  <si>
    <t>LEEDS DIOCESE</t>
  </si>
  <si>
    <t>Leeds Diocese Various</t>
  </si>
  <si>
    <t>2990</t>
  </si>
  <si>
    <t>LEE999</t>
  </si>
  <si>
    <t>EARBY</t>
  </si>
  <si>
    <t>2887</t>
  </si>
  <si>
    <t>LEE138</t>
  </si>
  <si>
    <t>ADDINGHAM</t>
  </si>
  <si>
    <t>Our Lady &amp; English Martyrs</t>
  </si>
  <si>
    <t>2918</t>
  </si>
  <si>
    <t>LEE134</t>
  </si>
  <si>
    <t>HOWDEN</t>
  </si>
  <si>
    <t>2987</t>
  </si>
  <si>
    <t>LEE133</t>
  </si>
  <si>
    <t>SHERBURN-IN-ELMET</t>
  </si>
  <si>
    <t>2986</t>
  </si>
  <si>
    <t>LEE132</t>
  </si>
  <si>
    <t>SKIPTON</t>
  </si>
  <si>
    <t>0444586</t>
  </si>
  <si>
    <t>LEE131</t>
  </si>
  <si>
    <t>YEADON</t>
  </si>
  <si>
    <t>2984</t>
  </si>
  <si>
    <t>LEE129</t>
  </si>
  <si>
    <t>WETHERBY</t>
  </si>
  <si>
    <t>2983</t>
  </si>
  <si>
    <t>LEE128</t>
  </si>
  <si>
    <t>WAKEFIELD</t>
  </si>
  <si>
    <t>2982</t>
  </si>
  <si>
    <t>LEE127</t>
  </si>
  <si>
    <t>St Martin de Porres (St Austin)</t>
  </si>
  <si>
    <t>2980</t>
  </si>
  <si>
    <t>LEE125</t>
  </si>
  <si>
    <t>UPPERMILL</t>
  </si>
  <si>
    <t>Sacred Heart &amp; St William</t>
  </si>
  <si>
    <t>2979</t>
  </si>
  <si>
    <t>LEE124</t>
  </si>
  <si>
    <t>TADCASTER</t>
  </si>
  <si>
    <t>2978</t>
  </si>
  <si>
    <t>LEE123</t>
  </si>
  <si>
    <t>SOWERBY BRIDGE</t>
  </si>
  <si>
    <t>Sacred Heart &amp; St Patrick</t>
  </si>
  <si>
    <t>2977</t>
  </si>
  <si>
    <t>LEE122</t>
  </si>
  <si>
    <t>SLAITHWAITE</t>
  </si>
  <si>
    <t>Holy Redeemer (Holy Family)</t>
  </si>
  <si>
    <t>2976</t>
  </si>
  <si>
    <t>LEE121</t>
  </si>
  <si>
    <t>2975</t>
  </si>
  <si>
    <t>LEE120</t>
  </si>
  <si>
    <t>SILSDEN</t>
  </si>
  <si>
    <t>2974</t>
  </si>
  <si>
    <t>LEE119</t>
  </si>
  <si>
    <t>THRESHFIELD</t>
  </si>
  <si>
    <t>2973</t>
  </si>
  <si>
    <t>LEE118</t>
  </si>
  <si>
    <t>SHIPLEY</t>
  </si>
  <si>
    <t>St Benedicta of the Cross (St Walburga)</t>
  </si>
  <si>
    <t>2971</t>
  </si>
  <si>
    <t>LEE116</t>
  </si>
  <si>
    <t>SETTLE</t>
  </si>
  <si>
    <t>2970</t>
  </si>
  <si>
    <t>LEE115</t>
  </si>
  <si>
    <t>SELBY</t>
  </si>
  <si>
    <t>2969</t>
  </si>
  <si>
    <t>LEE114</t>
  </si>
  <si>
    <t>2968</t>
  </si>
  <si>
    <t>LEE112</t>
  </si>
  <si>
    <t>RIPON</t>
  </si>
  <si>
    <t>2967</t>
  </si>
  <si>
    <t>LEE111</t>
  </si>
  <si>
    <t>QUEENSBURY</t>
  </si>
  <si>
    <t>2966</t>
  </si>
  <si>
    <t>LEE110</t>
  </si>
  <si>
    <t>PUDSEY</t>
  </si>
  <si>
    <t>2965</t>
  </si>
  <si>
    <t>LEE109</t>
  </si>
  <si>
    <t>PONTEFRACT</t>
  </si>
  <si>
    <t>2963</t>
  </si>
  <si>
    <t>LEE107</t>
  </si>
  <si>
    <t>OTLEY</t>
  </si>
  <si>
    <t>2961</t>
  </si>
  <si>
    <t>LEE105</t>
  </si>
  <si>
    <t>OSSETT</t>
  </si>
  <si>
    <t>2960</t>
  </si>
  <si>
    <t>LEE104</t>
  </si>
  <si>
    <t>NORMANTON</t>
  </si>
  <si>
    <t>2959</t>
  </si>
  <si>
    <t>LEE103</t>
  </si>
  <si>
    <t>MORLEY</t>
  </si>
  <si>
    <t>2958</t>
  </si>
  <si>
    <t>LEE102</t>
  </si>
  <si>
    <t>MIRFIELD</t>
  </si>
  <si>
    <t>2956</t>
  </si>
  <si>
    <t>LEE100</t>
  </si>
  <si>
    <t>LEEDS</t>
  </si>
  <si>
    <t>Saint John H Newman (St Theresa of the Child Jesus)</t>
  </si>
  <si>
    <t>2953</t>
  </si>
  <si>
    <t>LEE097</t>
  </si>
  <si>
    <t>St Margaret Clitherow (St Philip)</t>
  </si>
  <si>
    <t>0444599</t>
  </si>
  <si>
    <t>LEE096</t>
  </si>
  <si>
    <t>St Margaret Clitherow (St Joseph &amp; St Peter)</t>
  </si>
  <si>
    <t>2951</t>
  </si>
  <si>
    <t>LEE095</t>
  </si>
  <si>
    <t>2949</t>
  </si>
  <si>
    <t>LEE093</t>
  </si>
  <si>
    <t>St Nicholas Gipton</t>
  </si>
  <si>
    <t>2948</t>
  </si>
  <si>
    <t>LEE092</t>
  </si>
  <si>
    <t>St Augustine Harehills Road</t>
  </si>
  <si>
    <t>2943</t>
  </si>
  <si>
    <t>LEE087</t>
  </si>
  <si>
    <t>St Maximillian Kolbe (St Anthony)</t>
  </si>
  <si>
    <t>2942</t>
  </si>
  <si>
    <t>LEE086</t>
  </si>
  <si>
    <t>St Jeanne Jugan (Our Lady of Lourdes)</t>
  </si>
  <si>
    <t>2939</t>
  </si>
  <si>
    <t>LEE083</t>
  </si>
  <si>
    <t>2938</t>
  </si>
  <si>
    <t>LEE082</t>
  </si>
  <si>
    <t>St John Vianney (Immaculate Heart)</t>
  </si>
  <si>
    <t>2936</t>
  </si>
  <si>
    <t>LEE080</t>
  </si>
  <si>
    <t>Mother of Unfailing Help (Holy Rosary)</t>
  </si>
  <si>
    <t>2933</t>
  </si>
  <si>
    <t>LEE078</t>
  </si>
  <si>
    <t>Our Lady of Kirkstall (Holy Name of Jesus)</t>
  </si>
  <si>
    <t>2932</t>
  </si>
  <si>
    <t>LEE077</t>
  </si>
  <si>
    <t>St Gianna Beretta Molla (Holy Family)</t>
  </si>
  <si>
    <t>2931</t>
  </si>
  <si>
    <t>LEE076</t>
  </si>
  <si>
    <t>Our Lady of Kirkstall (The Assumption)</t>
  </si>
  <si>
    <t>2928</t>
  </si>
  <si>
    <t>LEE073</t>
  </si>
  <si>
    <t>Mother of Unfailing Help (Cathedral of St Anne)</t>
  </si>
  <si>
    <t>2926</t>
  </si>
  <si>
    <t>LEE072</t>
  </si>
  <si>
    <t>St Joseph (St Michael)</t>
  </si>
  <si>
    <t>2925</t>
  </si>
  <si>
    <t>LEE071</t>
  </si>
  <si>
    <t>KNARESBOROUGH</t>
  </si>
  <si>
    <t>2924</t>
  </si>
  <si>
    <t>LEE070</t>
  </si>
  <si>
    <t>KEIGHLEY</t>
  </si>
  <si>
    <t>2921</t>
  </si>
  <si>
    <t>LEE067</t>
  </si>
  <si>
    <t>2920</t>
  </si>
  <si>
    <t>LEE066</t>
  </si>
  <si>
    <t>ILKLEY</t>
  </si>
  <si>
    <t>2917</t>
  </si>
  <si>
    <t>LEE065</t>
  </si>
  <si>
    <t>HUDDERSFIELD</t>
  </si>
  <si>
    <t>Holy Redeemer (St Patrick)</t>
  </si>
  <si>
    <t>2916</t>
  </si>
  <si>
    <t>LEE064</t>
  </si>
  <si>
    <t>Holy Redeemer (O.L of Lourdes)</t>
  </si>
  <si>
    <t>2915</t>
  </si>
  <si>
    <t>LEE063</t>
  </si>
  <si>
    <t>Immaculate Heart of Mary (English Martyrs)</t>
  </si>
  <si>
    <t>2913</t>
  </si>
  <si>
    <t>LEE062</t>
  </si>
  <si>
    <t>Immaculate Heart of Mary (St Joseph)</t>
  </si>
  <si>
    <t>2912</t>
  </si>
  <si>
    <t>LEE061</t>
  </si>
  <si>
    <t>HORSFORTH</t>
  </si>
  <si>
    <t>Our Lady of Kirkstall (St Mary)</t>
  </si>
  <si>
    <t>2907</t>
  </si>
  <si>
    <t>LEE058</t>
  </si>
  <si>
    <t>HEMSWORTH</t>
  </si>
  <si>
    <t>Sacred Heart &amp; St Joseph (Sacred Heart)</t>
  </si>
  <si>
    <t>2906</t>
  </si>
  <si>
    <t>LEE057</t>
  </si>
  <si>
    <t>HECKMONDWIKE</t>
  </si>
  <si>
    <t>2905</t>
  </si>
  <si>
    <t>LEE056</t>
  </si>
  <si>
    <t>MYTHOLMROYD</t>
  </si>
  <si>
    <t>2904</t>
  </si>
  <si>
    <t>LEE054</t>
  </si>
  <si>
    <t>HAWORTH &amp; DENHOLME</t>
  </si>
  <si>
    <t>2902</t>
  </si>
  <si>
    <t>LEE053</t>
  </si>
  <si>
    <t>HARROGATE</t>
  </si>
  <si>
    <t>St Robert Street</t>
  </si>
  <si>
    <t>2901</t>
  </si>
  <si>
    <t>LEE052</t>
  </si>
  <si>
    <t>2900</t>
  </si>
  <si>
    <t>LEE051</t>
  </si>
  <si>
    <t>St Aelred Woodlands Road</t>
  </si>
  <si>
    <t>2899</t>
  </si>
  <si>
    <t>LEE050</t>
  </si>
  <si>
    <t>HALIFAX</t>
  </si>
  <si>
    <t>Sacred Heart &amp; St Bernard</t>
  </si>
  <si>
    <t>2898</t>
  </si>
  <si>
    <t>LEE049</t>
  </si>
  <si>
    <t>St Malachy Nursery Lane</t>
  </si>
  <si>
    <t>2897</t>
  </si>
  <si>
    <t>LEE048</t>
  </si>
  <si>
    <t>St Marie Gibbet Street</t>
  </si>
  <si>
    <t>2896</t>
  </si>
  <si>
    <t>LEE047</t>
  </si>
  <si>
    <t>2893</t>
  </si>
  <si>
    <t>LEE044</t>
  </si>
  <si>
    <t>GARFORTH</t>
  </si>
  <si>
    <t>2890</t>
  </si>
  <si>
    <t>LEE041</t>
  </si>
  <si>
    <t>DEWSBURY</t>
  </si>
  <si>
    <t>Our Lady &amp; St Paulinus</t>
  </si>
  <si>
    <t>2885</t>
  </si>
  <si>
    <t>LEE037</t>
  </si>
  <si>
    <t>CLIFFORD</t>
  </si>
  <si>
    <t>2883</t>
  </si>
  <si>
    <t>LEE035</t>
  </si>
  <si>
    <t>CLECKHEATON</t>
  </si>
  <si>
    <t>Our Lady &amp; St Paul of the Cross</t>
  </si>
  <si>
    <t>2882</t>
  </si>
  <si>
    <t>LEE034</t>
  </si>
  <si>
    <t>CASTLEFORD</t>
  </si>
  <si>
    <t>2881</t>
  </si>
  <si>
    <t>LEE033</t>
  </si>
  <si>
    <t>CARLTON</t>
  </si>
  <si>
    <t>2880</t>
  </si>
  <si>
    <t>LEE032</t>
  </si>
  <si>
    <t>Ss John Fisher &amp; Thomas More</t>
  </si>
  <si>
    <t>2879</t>
  </si>
  <si>
    <t>LEE031</t>
  </si>
  <si>
    <t>BRIGHOUSE</t>
  </si>
  <si>
    <t>2878</t>
  </si>
  <si>
    <t>LEE030</t>
  </si>
  <si>
    <t>BRADFORD</t>
  </si>
  <si>
    <t>Ss Theresa &amp; Winefride Wibsey</t>
  </si>
  <si>
    <t>2877</t>
  </si>
  <si>
    <t>LEE029</t>
  </si>
  <si>
    <t>St William Ingleby Road</t>
  </si>
  <si>
    <t>2876</t>
  </si>
  <si>
    <t>LEE028</t>
  </si>
  <si>
    <t>The Parish of St Mary (St Peter)</t>
  </si>
  <si>
    <t>2875</t>
  </si>
  <si>
    <t>LEE027</t>
  </si>
  <si>
    <t>2870</t>
  </si>
  <si>
    <t>LEE024</t>
  </si>
  <si>
    <t>2869</t>
  </si>
  <si>
    <t>LEE023</t>
  </si>
  <si>
    <t>0444593</t>
  </si>
  <si>
    <t>LEE022</t>
  </si>
  <si>
    <t>St Cuthbert &amp; First Martyrs of Rome (St Cuthbert)</t>
  </si>
  <si>
    <t>2867</t>
  </si>
  <si>
    <t>LEE021</t>
  </si>
  <si>
    <t>The Parish of St Mary (St Columba)</t>
  </si>
  <si>
    <t>2866</t>
  </si>
  <si>
    <t>LEE020</t>
  </si>
  <si>
    <t>2865</t>
  </si>
  <si>
    <t>LEE019</t>
  </si>
  <si>
    <t>2863</t>
  </si>
  <si>
    <t>LEE017</t>
  </si>
  <si>
    <t>2860</t>
  </si>
  <si>
    <t>LEE014</t>
  </si>
  <si>
    <t>St Cuthbert &amp; First Martyrs of Rome (1st Martyrs)</t>
  </si>
  <si>
    <t>2859</t>
  </si>
  <si>
    <t>LEE013</t>
  </si>
  <si>
    <t>BISHOP THORNTON</t>
  </si>
  <si>
    <t>2857</t>
  </si>
  <si>
    <t>LEE011</t>
  </si>
  <si>
    <t>2856</t>
  </si>
  <si>
    <t>LEE010</t>
  </si>
  <si>
    <t>COTTINGLEY</t>
  </si>
  <si>
    <t>Our Lady &amp; St Joseph Aire Valley</t>
  </si>
  <si>
    <t>2855</t>
  </si>
  <si>
    <t>LEE009</t>
  </si>
  <si>
    <t>BENTHAM</t>
  </si>
  <si>
    <t>2853</t>
  </si>
  <si>
    <t>LEE007</t>
  </si>
  <si>
    <t>BATLEY CARR</t>
  </si>
  <si>
    <t>2852</t>
  </si>
  <si>
    <t>LEE006</t>
  </si>
  <si>
    <t>BATLEY</t>
  </si>
  <si>
    <t>2851</t>
  </si>
  <si>
    <t>LEE005</t>
  </si>
  <si>
    <t>BARNOLDSWICK</t>
  </si>
  <si>
    <t>2850</t>
  </si>
  <si>
    <t>LEE004</t>
  </si>
  <si>
    <t>BAILDON</t>
  </si>
  <si>
    <t>St Teresa Benedict of the Cross (St Aidan)</t>
  </si>
  <si>
    <t>2849</t>
  </si>
  <si>
    <t>LEE003</t>
  </si>
  <si>
    <t>LIVERPOOL DIOCESE</t>
  </si>
  <si>
    <t>Liverpool Diocese Various</t>
  </si>
  <si>
    <t>211</t>
  </si>
  <si>
    <t>LIV999</t>
  </si>
  <si>
    <t>WARRINGTON</t>
  </si>
  <si>
    <t>St Oliver Plunkett Oakwood</t>
  </si>
  <si>
    <t>0444488</t>
  </si>
  <si>
    <t>LIV244</t>
  </si>
  <si>
    <t>SOUTHPORT</t>
  </si>
  <si>
    <t>St John Stone</t>
  </si>
  <si>
    <t>208</t>
  </si>
  <si>
    <t>LIV243</t>
  </si>
  <si>
    <t>SKELMERSDALE</t>
  </si>
  <si>
    <t>St Richard (St Francis of Assisi)</t>
  </si>
  <si>
    <t>0444481</t>
  </si>
  <si>
    <t>LIV241</t>
  </si>
  <si>
    <t>St Richard (St Edmund) CLOSED</t>
  </si>
  <si>
    <t>0444479</t>
  </si>
  <si>
    <t>LIV240</t>
  </si>
  <si>
    <t>St Richard (St Mary Queen of Apostles)</t>
  </si>
  <si>
    <t>0444480</t>
  </si>
  <si>
    <t>LIV239</t>
  </si>
  <si>
    <t>ISLE OF MAN</t>
  </si>
  <si>
    <t>St Mary and St Columba (St Columba)</t>
  </si>
  <si>
    <t>0444464</t>
  </si>
  <si>
    <t>LIV238</t>
  </si>
  <si>
    <t>LIV237</t>
  </si>
  <si>
    <t>206</t>
  </si>
  <si>
    <t>LIV235</t>
  </si>
  <si>
    <t>205</t>
  </si>
  <si>
    <t>LIV234</t>
  </si>
  <si>
    <t>203</t>
  </si>
  <si>
    <t>LIV232</t>
  </si>
  <si>
    <t>St Mary of the Isle</t>
  </si>
  <si>
    <t>202</t>
  </si>
  <si>
    <t>LIV231</t>
  </si>
  <si>
    <t>St Mary and St Columba (St Mary)</t>
  </si>
  <si>
    <t>200</t>
  </si>
  <si>
    <t>LIV230</t>
  </si>
  <si>
    <t>WRIGHTINGTON</t>
  </si>
  <si>
    <t>199</t>
  </si>
  <si>
    <t>LIV229</t>
  </si>
  <si>
    <t>WOOLSTON</t>
  </si>
  <si>
    <t>St Peter and St Michael</t>
  </si>
  <si>
    <t>198</t>
  </si>
  <si>
    <t>LIV228</t>
  </si>
  <si>
    <t>WIGAN</t>
  </si>
  <si>
    <t>St William (St Patrick)</t>
  </si>
  <si>
    <t>197</t>
  </si>
  <si>
    <t>LIV227</t>
  </si>
  <si>
    <t>196</t>
  </si>
  <si>
    <t>LIV226</t>
  </si>
  <si>
    <t>195</t>
  </si>
  <si>
    <t>LIV225</t>
  </si>
  <si>
    <t>St William (St John )</t>
  </si>
  <si>
    <t>194</t>
  </si>
  <si>
    <t>LIV223</t>
  </si>
  <si>
    <t>St Edward (St Cuthbert)</t>
  </si>
  <si>
    <t>192</t>
  </si>
  <si>
    <t>LIV221</t>
  </si>
  <si>
    <t>St Edward (Sacred Heart)</t>
  </si>
  <si>
    <t>191</t>
  </si>
  <si>
    <t>LIV220</t>
  </si>
  <si>
    <t>WIDNES</t>
  </si>
  <si>
    <t>St Pius X Sefton Avenue CLOSED</t>
  </si>
  <si>
    <t>0444594</t>
  </si>
  <si>
    <t>LIV216</t>
  </si>
  <si>
    <t>Parish of St Wilfrid (St John Fisher)</t>
  </si>
  <si>
    <t>185</t>
  </si>
  <si>
    <t>LIV212</t>
  </si>
  <si>
    <t>Parish of St Wilfred (St Bede)</t>
  </si>
  <si>
    <t>184</t>
  </si>
  <si>
    <t>LIV211</t>
  </si>
  <si>
    <t>Our Lady of Perpetual Succour CLOSED</t>
  </si>
  <si>
    <t>183</t>
  </si>
  <si>
    <t>LIV210</t>
  </si>
  <si>
    <t>WHISTON</t>
  </si>
  <si>
    <t>St Leo</t>
  </si>
  <si>
    <t>182</t>
  </si>
  <si>
    <t>LIV209</t>
  </si>
  <si>
    <t>St Luke the Evangelist</t>
  </si>
  <si>
    <t>181</t>
  </si>
  <si>
    <t>LIV208</t>
  </si>
  <si>
    <t>180</t>
  </si>
  <si>
    <t>LIV207</t>
  </si>
  <si>
    <t>179</t>
  </si>
  <si>
    <t>LIV206</t>
  </si>
  <si>
    <t>St Bridget RC Church</t>
  </si>
  <si>
    <t>178</t>
  </si>
  <si>
    <t>LIV205X</t>
  </si>
  <si>
    <t>St Stephen, First Martyr</t>
  </si>
  <si>
    <t>177</t>
  </si>
  <si>
    <t>LIV205</t>
  </si>
  <si>
    <t>Blessed James Bell (St Oswald)</t>
  </si>
  <si>
    <t>176</t>
  </si>
  <si>
    <t>LIV204</t>
  </si>
  <si>
    <t>Blessed James Bell (St Mary)</t>
  </si>
  <si>
    <t>175</t>
  </si>
  <si>
    <t>LIV203</t>
  </si>
  <si>
    <t>Blessed James Bell (St Benedict)</t>
  </si>
  <si>
    <t>174</t>
  </si>
  <si>
    <t>LIV202</t>
  </si>
  <si>
    <t>172</t>
  </si>
  <si>
    <t>LIV200</t>
  </si>
  <si>
    <t>Sacred Heart and St Alban (Sacred Heart)</t>
  </si>
  <si>
    <t>171</t>
  </si>
  <si>
    <t>LIV199</t>
  </si>
  <si>
    <t>Blessed James Bell (St Mary) CLOSED</t>
  </si>
  <si>
    <t>0444487</t>
  </si>
  <si>
    <t>LIV198</t>
  </si>
  <si>
    <t>UPHOLLAND</t>
  </si>
  <si>
    <t>169</t>
  </si>
  <si>
    <t>LIV197</t>
  </si>
  <si>
    <t>TARLETON</t>
  </si>
  <si>
    <t>168</t>
  </si>
  <si>
    <t>LIV196</t>
  </si>
  <si>
    <t>ST HELENS</t>
  </si>
  <si>
    <t>St Theresa Sutton Manor</t>
  </si>
  <si>
    <t>167</t>
  </si>
  <si>
    <t>LIV195</t>
  </si>
  <si>
    <t>STANDISH</t>
  </si>
  <si>
    <t>Our Lady of the Annunciation and St Bernadette (Our Lady's / St Marie's)</t>
  </si>
  <si>
    <t>166</t>
  </si>
  <si>
    <t>LIV194</t>
  </si>
  <si>
    <t>165</t>
  </si>
  <si>
    <t>LIV193</t>
  </si>
  <si>
    <t>164</t>
  </si>
  <si>
    <t>LIV192</t>
  </si>
  <si>
    <t>St Marie on the Sands</t>
  </si>
  <si>
    <t>163</t>
  </si>
  <si>
    <t>LIV191</t>
  </si>
  <si>
    <t>0444477</t>
  </si>
  <si>
    <t>LIV190</t>
  </si>
  <si>
    <t>161</t>
  </si>
  <si>
    <t>LIV189</t>
  </si>
  <si>
    <t>Our Lady of Lourdes and St Joseph (Our Lady's)</t>
  </si>
  <si>
    <t>160</t>
  </si>
  <si>
    <t>LIV188</t>
  </si>
  <si>
    <t>159</t>
  </si>
  <si>
    <t>LIV187</t>
  </si>
  <si>
    <t>SOUTH HILL</t>
  </si>
  <si>
    <t>158</t>
  </si>
  <si>
    <t>LIV186</t>
  </si>
  <si>
    <t>SHEVINGTON</t>
  </si>
  <si>
    <t>Our Lady of the Annunciation and St Bernadette (St Bernadette)</t>
  </si>
  <si>
    <t>156</t>
  </si>
  <si>
    <t>LIV183</t>
  </si>
  <si>
    <t>SCARISBRICK</t>
  </si>
  <si>
    <t>155</t>
  </si>
  <si>
    <t>LIV182</t>
  </si>
  <si>
    <t>0444370</t>
  </si>
  <si>
    <t>LIV181</t>
  </si>
  <si>
    <t>153</t>
  </si>
  <si>
    <t>LIV180</t>
  </si>
  <si>
    <t>St Teresa Devon Street</t>
  </si>
  <si>
    <t>152</t>
  </si>
  <si>
    <t>LIV179</t>
  </si>
  <si>
    <t>0444482</t>
  </si>
  <si>
    <t>LIV176</t>
  </si>
  <si>
    <t>148</t>
  </si>
  <si>
    <t>LIV175</t>
  </si>
  <si>
    <t>146</t>
  </si>
  <si>
    <t>LIV173</t>
  </si>
  <si>
    <t>St Anne and Blessed Dominic</t>
  </si>
  <si>
    <t>145</t>
  </si>
  <si>
    <t>LIV172</t>
  </si>
  <si>
    <t>Holy Cross &amp; St Helen</t>
  </si>
  <si>
    <t>142</t>
  </si>
  <si>
    <t>LIV169</t>
  </si>
  <si>
    <t>St Julie Eccleston</t>
  </si>
  <si>
    <t>141</t>
  </si>
  <si>
    <t>LIV168</t>
  </si>
  <si>
    <t>RAINFORD</t>
  </si>
  <si>
    <t>138</t>
  </si>
  <si>
    <t>LIV164</t>
  </si>
  <si>
    <t>PORTICO</t>
  </si>
  <si>
    <t>136</t>
  </si>
  <si>
    <t>LIV162</t>
  </si>
  <si>
    <t>PLATT BRIDGE</t>
  </si>
  <si>
    <t>135</t>
  </si>
  <si>
    <t>LIV161</t>
  </si>
  <si>
    <t>PENWORTHAM</t>
  </si>
  <si>
    <t>St Mary Magdalen and St Teresa (St Teresa)</t>
  </si>
  <si>
    <t>134</t>
  </si>
  <si>
    <t>LIV160</t>
  </si>
  <si>
    <t>132</t>
  </si>
  <si>
    <t>LIV158</t>
  </si>
  <si>
    <t>PARBOLD</t>
  </si>
  <si>
    <t>Our Lady and All Saints</t>
  </si>
  <si>
    <t>131</t>
  </si>
  <si>
    <t>LIV157</t>
  </si>
  <si>
    <t>ORRELL</t>
  </si>
  <si>
    <t>130</t>
  </si>
  <si>
    <t>LIV156</t>
  </si>
  <si>
    <t>ORMSKIRK</t>
  </si>
  <si>
    <t>129</t>
  </si>
  <si>
    <t>LIV155</t>
  </si>
  <si>
    <t>NEWTON-LE-WILLOWS</t>
  </si>
  <si>
    <t>128</t>
  </si>
  <si>
    <t>LIV154</t>
  </si>
  <si>
    <t>St Mary and St John</t>
  </si>
  <si>
    <t>127</t>
  </si>
  <si>
    <t>LIV153</t>
  </si>
  <si>
    <t>NETHERTON</t>
  </si>
  <si>
    <t>126</t>
  </si>
  <si>
    <t>LIV152</t>
  </si>
  <si>
    <t>125</t>
  </si>
  <si>
    <t>LIV151</t>
  </si>
  <si>
    <t>124</t>
  </si>
  <si>
    <t>LIV150</t>
  </si>
  <si>
    <t>MELLING</t>
  </si>
  <si>
    <t>St Mary and St Kentigern (St Mary)</t>
  </si>
  <si>
    <t>123</t>
  </si>
  <si>
    <t>LIV149</t>
  </si>
  <si>
    <t>122</t>
  </si>
  <si>
    <t>LIV148</t>
  </si>
  <si>
    <t>MAGHULL</t>
  </si>
  <si>
    <t>121</t>
  </si>
  <si>
    <t>LIV146</t>
  </si>
  <si>
    <t>LYDIATE</t>
  </si>
  <si>
    <t>St Catherine of Alexandria (St Gregory)</t>
  </si>
  <si>
    <t>120</t>
  </si>
  <si>
    <t>LIV145</t>
  </si>
  <si>
    <t>GOLBORNE</t>
  </si>
  <si>
    <t>St Catherine of Siena &amp; All Saints (St Catherine)</t>
  </si>
  <si>
    <t>0444467</t>
  </si>
  <si>
    <t>LIV143</t>
  </si>
  <si>
    <t>LONGTON</t>
  </si>
  <si>
    <t>St Oswald's</t>
  </si>
  <si>
    <t>117</t>
  </si>
  <si>
    <t>LIV142</t>
  </si>
  <si>
    <t>LEYLAND</t>
  </si>
  <si>
    <t>115</t>
  </si>
  <si>
    <t>LIV140</t>
  </si>
  <si>
    <t>LEIGH</t>
  </si>
  <si>
    <t>St Edmund Arrowsmith (St Joseph)</t>
  </si>
  <si>
    <t>113</t>
  </si>
  <si>
    <t>LIV138</t>
  </si>
  <si>
    <t>St Edmund Arrowsmith (Sacred Heart)</t>
  </si>
  <si>
    <t>111</t>
  </si>
  <si>
    <t>LIV136</t>
  </si>
  <si>
    <t>LIVERPOOL</t>
  </si>
  <si>
    <t>Ss Peter and Paul</t>
  </si>
  <si>
    <t>108</t>
  </si>
  <si>
    <t>LIV133</t>
  </si>
  <si>
    <t>KIRKBY</t>
  </si>
  <si>
    <t>St Michael and All Angels</t>
  </si>
  <si>
    <t>107</t>
  </si>
  <si>
    <t>LIV132</t>
  </si>
  <si>
    <t>St Joseph and St Laurence</t>
  </si>
  <si>
    <t>105</t>
  </si>
  <si>
    <t>LIV130</t>
  </si>
  <si>
    <t>St Mary Mother of God</t>
  </si>
  <si>
    <t>103</t>
  </si>
  <si>
    <t>LIV128</t>
  </si>
  <si>
    <t>INCE BLUNDELL</t>
  </si>
  <si>
    <t>101</t>
  </si>
  <si>
    <t>LIV126</t>
  </si>
  <si>
    <t>INCE</t>
  </si>
  <si>
    <t>St William  (St William) CLOSED</t>
  </si>
  <si>
    <t>100</t>
  </si>
  <si>
    <t>LIV125</t>
  </si>
  <si>
    <t>HUYTON</t>
  </si>
  <si>
    <t>99</t>
  </si>
  <si>
    <t>LIV124</t>
  </si>
  <si>
    <t>St Columba and St John Fisher (St Columba)</t>
  </si>
  <si>
    <t>98</t>
  </si>
  <si>
    <t>LIV123</t>
  </si>
  <si>
    <t>ROBY</t>
  </si>
  <si>
    <t>97</t>
  </si>
  <si>
    <t>LIV122</t>
  </si>
  <si>
    <t>96</t>
  </si>
  <si>
    <t>LIV121</t>
  </si>
  <si>
    <t>95</t>
  </si>
  <si>
    <t>LIV120</t>
  </si>
  <si>
    <t>HINDLEY GREEN</t>
  </si>
  <si>
    <t>93</t>
  </si>
  <si>
    <t>LIV118</t>
  </si>
  <si>
    <t>HINDLEY</t>
  </si>
  <si>
    <t>92</t>
  </si>
  <si>
    <t>LIV117</t>
  </si>
  <si>
    <t>HIGHTOWN</t>
  </si>
  <si>
    <t>91</t>
  </si>
  <si>
    <t>LIV116</t>
  </si>
  <si>
    <t>HAYDOCK</t>
  </si>
  <si>
    <t>Blessed English Martyrs</t>
  </si>
  <si>
    <t>90</t>
  </si>
  <si>
    <t>LIV115</t>
  </si>
  <si>
    <t>St Catherine of Siena &amp; All Saints (All Saints)</t>
  </si>
  <si>
    <t>89</t>
  </si>
  <si>
    <t>LIV114</t>
  </si>
  <si>
    <t>FORMBY</t>
  </si>
  <si>
    <t>88</t>
  </si>
  <si>
    <t>LIV113</t>
  </si>
  <si>
    <t>St Jerome</t>
  </si>
  <si>
    <t>87</t>
  </si>
  <si>
    <t>LIV112</t>
  </si>
  <si>
    <t>86</t>
  </si>
  <si>
    <t>LIV111</t>
  </si>
  <si>
    <t>FARINGTON</t>
  </si>
  <si>
    <t>St Catherine Laboure</t>
  </si>
  <si>
    <t>85</t>
  </si>
  <si>
    <t>LIV110</t>
  </si>
  <si>
    <t>EUXTON</t>
  </si>
  <si>
    <t>84</t>
  </si>
  <si>
    <t>LIV109</t>
  </si>
  <si>
    <t>ECCLESTON</t>
  </si>
  <si>
    <t>83</t>
  </si>
  <si>
    <t>LIV108</t>
  </si>
  <si>
    <t>Parish of St Wilfrid (St Michael)</t>
  </si>
  <si>
    <t>82</t>
  </si>
  <si>
    <t>LIV107</t>
  </si>
  <si>
    <t>THORNTON</t>
  </si>
  <si>
    <t>81</t>
  </si>
  <si>
    <t>LIV106</t>
  </si>
  <si>
    <t>CROSBY</t>
  </si>
  <si>
    <t>80</t>
  </si>
  <si>
    <t>LIV105</t>
  </si>
  <si>
    <t>79</t>
  </si>
  <si>
    <t>LIV104</t>
  </si>
  <si>
    <t>CROFT</t>
  </si>
  <si>
    <t>St Lewis</t>
  </si>
  <si>
    <t>77</t>
  </si>
  <si>
    <t>LIV102</t>
  </si>
  <si>
    <t>COPPULL</t>
  </si>
  <si>
    <t>76</t>
  </si>
  <si>
    <t>LIV101</t>
  </si>
  <si>
    <t>CLAYTON GREEN</t>
  </si>
  <si>
    <t>St Bede Clayton le Woods</t>
  </si>
  <si>
    <t>75</t>
  </si>
  <si>
    <t>LIV100</t>
  </si>
  <si>
    <t>CHORLEY</t>
  </si>
  <si>
    <t>74</t>
  </si>
  <si>
    <t>LIV099</t>
  </si>
  <si>
    <t>73</t>
  </si>
  <si>
    <t>LIV098</t>
  </si>
  <si>
    <t>72</t>
  </si>
  <si>
    <t>LIV097</t>
  </si>
  <si>
    <t>Sacred Heart Brooke Street</t>
  </si>
  <si>
    <t>70</t>
  </si>
  <si>
    <t>LIV095</t>
  </si>
  <si>
    <t>BURTONWOOD</t>
  </si>
  <si>
    <t>St Paul of the Cross</t>
  </si>
  <si>
    <t>69</t>
  </si>
  <si>
    <t>LIV094</t>
  </si>
  <si>
    <t>BURSCOUGH</t>
  </si>
  <si>
    <t>67</t>
  </si>
  <si>
    <t>LIV092</t>
  </si>
  <si>
    <t>BRYN</t>
  </si>
  <si>
    <t>66</t>
  </si>
  <si>
    <t>LIV091</t>
  </si>
  <si>
    <t>WITHNELL</t>
  </si>
  <si>
    <t>65</t>
  </si>
  <si>
    <t>LIV090</t>
  </si>
  <si>
    <t>BRINDLE</t>
  </si>
  <si>
    <t>64</t>
  </si>
  <si>
    <t>LIV089</t>
  </si>
  <si>
    <t>BOOTLE</t>
  </si>
  <si>
    <t>St Robert Bellarmine</t>
  </si>
  <si>
    <t>62</t>
  </si>
  <si>
    <t>LIV087</t>
  </si>
  <si>
    <t>Ss Richard &amp; Alexander (CLOSED)</t>
  </si>
  <si>
    <t>61</t>
  </si>
  <si>
    <t>LIV086</t>
  </si>
  <si>
    <t>St Monica and St Richard</t>
  </si>
  <si>
    <t>60</t>
  </si>
  <si>
    <t>LIV085</t>
  </si>
  <si>
    <t>St James Marsh Lane</t>
  </si>
  <si>
    <t>58</t>
  </si>
  <si>
    <t>LIV083</t>
  </si>
  <si>
    <t>BOOTHSTOWN</t>
  </si>
  <si>
    <t>St Margaret Clitherow (Holy Family)</t>
  </si>
  <si>
    <t>56</t>
  </si>
  <si>
    <t>LIV081</t>
  </si>
  <si>
    <t>BLUNDELLSANDS</t>
  </si>
  <si>
    <t>55</t>
  </si>
  <si>
    <t>LIV080</t>
  </si>
  <si>
    <t>BIRCHLEY-BILLINGE</t>
  </si>
  <si>
    <t>54</t>
  </si>
  <si>
    <t>LIV079</t>
  </si>
  <si>
    <t>AUGHTON</t>
  </si>
  <si>
    <t>53</t>
  </si>
  <si>
    <t>LIV078</t>
  </si>
  <si>
    <t>ATHERTON</t>
  </si>
  <si>
    <t>St Margaret Clitherow (St Richard)</t>
  </si>
  <si>
    <t>52</t>
  </si>
  <si>
    <t>LIV077</t>
  </si>
  <si>
    <t>ASTLEY</t>
  </si>
  <si>
    <t>St Margaret Clitherow (St Ambrose)</t>
  </si>
  <si>
    <t>51</t>
  </si>
  <si>
    <t>LIV076</t>
  </si>
  <si>
    <t>ASHTON-IN-MAKERFIELD</t>
  </si>
  <si>
    <t>St Oswald &amp; Edmund Arrowsmith</t>
  </si>
  <si>
    <t>50</t>
  </si>
  <si>
    <t>LIV075</t>
  </si>
  <si>
    <t>ANDERTON</t>
  </si>
  <si>
    <t>49</t>
  </si>
  <si>
    <t>LIV074</t>
  </si>
  <si>
    <t>48</t>
  </si>
  <si>
    <t>LIV072</t>
  </si>
  <si>
    <t>St Thomas More CLOSED</t>
  </si>
  <si>
    <t>44</t>
  </si>
  <si>
    <t>LIV069</t>
  </si>
  <si>
    <t>43</t>
  </si>
  <si>
    <t>LIV068</t>
  </si>
  <si>
    <t>St Sebastian</t>
  </si>
  <si>
    <t>40</t>
  </si>
  <si>
    <t>LIV065</t>
  </si>
  <si>
    <t>Our Lady and St Philomena (St Philomena)</t>
  </si>
  <si>
    <t>39</t>
  </si>
  <si>
    <t>LIV064</t>
  </si>
  <si>
    <t>WEST DERBY</t>
  </si>
  <si>
    <t>38</t>
  </si>
  <si>
    <t>LIV061</t>
  </si>
  <si>
    <t>Our Lady of Mount Carmel and St Patrick (St Patrick)</t>
  </si>
  <si>
    <t>37</t>
  </si>
  <si>
    <t>LIV060</t>
  </si>
  <si>
    <t>Christ the King and Our Lady (St Paschal Baylon) CLOSED</t>
  </si>
  <si>
    <t>36</t>
  </si>
  <si>
    <t>LIV059</t>
  </si>
  <si>
    <t>St Oswald, King and Martyr</t>
  </si>
  <si>
    <t>35</t>
  </si>
  <si>
    <t>LIV058</t>
  </si>
  <si>
    <t>St Michael and Sacred Heart (St Michael)</t>
  </si>
  <si>
    <t>34</t>
  </si>
  <si>
    <t>LIV057</t>
  </si>
  <si>
    <t>33</t>
  </si>
  <si>
    <t>LIV056</t>
  </si>
  <si>
    <t>31</t>
  </si>
  <si>
    <t>LIV054</t>
  </si>
  <si>
    <t>St John Vianney (St Mark)</t>
  </si>
  <si>
    <t>29</t>
  </si>
  <si>
    <t>LIV052</t>
  </si>
  <si>
    <t>28</t>
  </si>
  <si>
    <t>LIV051</t>
  </si>
  <si>
    <t>26</t>
  </si>
  <si>
    <t>LIV048</t>
  </si>
  <si>
    <t>23</t>
  </si>
  <si>
    <t>LIV044</t>
  </si>
  <si>
    <t>St Wilfrid (St Francis of Assisi)</t>
  </si>
  <si>
    <t>22</t>
  </si>
  <si>
    <t>LIV043</t>
  </si>
  <si>
    <t>LITHERLAND</t>
  </si>
  <si>
    <t>St Elizabeth of Hungary</t>
  </si>
  <si>
    <t>20</t>
  </si>
  <si>
    <t>LIV041</t>
  </si>
  <si>
    <t>St Clare &amp; St Hugh</t>
  </si>
  <si>
    <t>18</t>
  </si>
  <si>
    <t>LIV039</t>
  </si>
  <si>
    <t>St Charles and St Thomas More</t>
  </si>
  <si>
    <t>16</t>
  </si>
  <si>
    <t>LIV037</t>
  </si>
  <si>
    <t>St Cecilia Tuebrook</t>
  </si>
  <si>
    <t>15</t>
  </si>
  <si>
    <t>LIV036</t>
  </si>
  <si>
    <t>St Wilfrid (St Bernadette) CLOSED</t>
  </si>
  <si>
    <t>0444498</t>
  </si>
  <si>
    <t>LIV033</t>
  </si>
  <si>
    <t>St Wilfrid (St Austin) CLOSED</t>
  </si>
  <si>
    <t>12</t>
  </si>
  <si>
    <t>LIV032</t>
  </si>
  <si>
    <t>11</t>
  </si>
  <si>
    <t>LIV031</t>
  </si>
  <si>
    <t>St Sylvester (St Anthony)</t>
  </si>
  <si>
    <t>10</t>
  </si>
  <si>
    <t>LIV030</t>
  </si>
  <si>
    <t>St John Vianney (St Andrew) CLOSED</t>
  </si>
  <si>
    <t>0444496</t>
  </si>
  <si>
    <t>LIV028</t>
  </si>
  <si>
    <t>7</t>
  </si>
  <si>
    <t>LIV027</t>
  </si>
  <si>
    <t>St Albert the Great</t>
  </si>
  <si>
    <t>5</t>
  </si>
  <si>
    <t>LIV025</t>
  </si>
  <si>
    <t>St Michael and Sacred Heart (Sacred Heart)</t>
  </si>
  <si>
    <t>0444495</t>
  </si>
  <si>
    <t>LIV023</t>
  </si>
  <si>
    <t>2</t>
  </si>
  <si>
    <t>LIV022</t>
  </si>
  <si>
    <t>Our Lady Queen of Peace (CLOSED)</t>
  </si>
  <si>
    <t>3011</t>
  </si>
  <si>
    <t>LIV019</t>
  </si>
  <si>
    <t>Our Lady, Queen of Martyrs and St Swithin</t>
  </si>
  <si>
    <t>3010</t>
  </si>
  <si>
    <t>LIV018</t>
  </si>
  <si>
    <t>Our Lady of Mount Carmel and St Patrick (Our Lady of Mount Carmel)</t>
  </si>
  <si>
    <t>3009</t>
  </si>
  <si>
    <t>LIV017</t>
  </si>
  <si>
    <t>Our Lady of Good Help Wavertree CLOSED</t>
  </si>
  <si>
    <t>3006</t>
  </si>
  <si>
    <t>LIV014</t>
  </si>
  <si>
    <t>0444493</t>
  </si>
  <si>
    <t>LIV013</t>
  </si>
  <si>
    <t>Our Lady of the Annunciation (Bishop Eton)</t>
  </si>
  <si>
    <t>3004</t>
  </si>
  <si>
    <t>LIV012</t>
  </si>
  <si>
    <t>Holy Trinity Garston CLOSED</t>
  </si>
  <si>
    <t>0444492</t>
  </si>
  <si>
    <t>LIV011</t>
  </si>
  <si>
    <t>3002</t>
  </si>
  <si>
    <t>LIV010</t>
  </si>
  <si>
    <t>Holy Name Fazakerley</t>
  </si>
  <si>
    <t>3001</t>
  </si>
  <si>
    <t>LIV009</t>
  </si>
  <si>
    <t>3000</t>
  </si>
  <si>
    <t>LIV008</t>
  </si>
  <si>
    <t>St John Vianney (Holy Family)</t>
  </si>
  <si>
    <t>0444491</t>
  </si>
  <si>
    <t>LIV007</t>
  </si>
  <si>
    <t>Our Lady and The English Martyrs (English Martyrs)</t>
  </si>
  <si>
    <t>2997</t>
  </si>
  <si>
    <t>LIV005</t>
  </si>
  <si>
    <t>Christ the King &amp; Our Lady</t>
  </si>
  <si>
    <t>2996</t>
  </si>
  <si>
    <t>LIV004</t>
  </si>
  <si>
    <t>2994</t>
  </si>
  <si>
    <t>LIV003</t>
  </si>
  <si>
    <t>2993</t>
  </si>
  <si>
    <t>LIV002</t>
  </si>
  <si>
    <t>Middlesbrough Diocese Various</t>
  </si>
  <si>
    <t>363</t>
  </si>
  <si>
    <t>MID999</t>
  </si>
  <si>
    <t>YORK</t>
  </si>
  <si>
    <t>360</t>
  </si>
  <si>
    <t>MID096</t>
  </si>
  <si>
    <t>359</t>
  </si>
  <si>
    <t>MID095</t>
  </si>
  <si>
    <t>356</t>
  </si>
  <si>
    <t>MID094</t>
  </si>
  <si>
    <t>St Paulinus</t>
  </si>
  <si>
    <t>0444600</t>
  </si>
  <si>
    <t>MID093</t>
  </si>
  <si>
    <t>353</t>
  </si>
  <si>
    <t>MID092</t>
  </si>
  <si>
    <t>352</t>
  </si>
  <si>
    <t>MID091</t>
  </si>
  <si>
    <t>St Aelred</t>
  </si>
  <si>
    <t>351</t>
  </si>
  <si>
    <t>MID090</t>
  </si>
  <si>
    <t>YARM</t>
  </si>
  <si>
    <t>Ss Mary &amp; Romuald</t>
  </si>
  <si>
    <t>350</t>
  </si>
  <si>
    <t>MID089</t>
  </si>
  <si>
    <t>WITHERNSEA</t>
  </si>
  <si>
    <t>Ss Peter &amp; John Fisher</t>
  </si>
  <si>
    <t>348</t>
  </si>
  <si>
    <t>MID087</t>
  </si>
  <si>
    <t>WHITBY</t>
  </si>
  <si>
    <t>346</t>
  </si>
  <si>
    <t>MID085</t>
  </si>
  <si>
    <t>THORNABY</t>
  </si>
  <si>
    <t>344</t>
  </si>
  <si>
    <t>MID083</t>
  </si>
  <si>
    <t>343</t>
  </si>
  <si>
    <t>MID082</t>
  </si>
  <si>
    <t>THIRSK</t>
  </si>
  <si>
    <t>342</t>
  </si>
  <si>
    <t>MID081</t>
  </si>
  <si>
    <t>TEESVILLE</t>
  </si>
  <si>
    <t>341</t>
  </si>
  <si>
    <t>MID080</t>
  </si>
  <si>
    <t>STOKESLEY</t>
  </si>
  <si>
    <t>340</t>
  </si>
  <si>
    <t>MID079</t>
  </si>
  <si>
    <t>STAITHES</t>
  </si>
  <si>
    <t>339</t>
  </si>
  <si>
    <t>MID078</t>
  </si>
  <si>
    <t>SCARBOROUGH</t>
  </si>
  <si>
    <t>335</t>
  </si>
  <si>
    <t>MID075</t>
  </si>
  <si>
    <t>334</t>
  </si>
  <si>
    <t>MID074</t>
  </si>
  <si>
    <t>333</t>
  </si>
  <si>
    <t>MID073</t>
  </si>
  <si>
    <t>SALTBURN-BY-THE-SEA</t>
  </si>
  <si>
    <t>332</t>
  </si>
  <si>
    <t>MID072</t>
  </si>
  <si>
    <t>Ss Joseph &amp; Francis Xavier</t>
  </si>
  <si>
    <t>331</t>
  </si>
  <si>
    <t>MID071</t>
  </si>
  <si>
    <t>REDCAR</t>
  </si>
  <si>
    <t>Blessed Nicholas Postgate (St Augustine)</t>
  </si>
  <si>
    <t>329</t>
  </si>
  <si>
    <t>MID069</t>
  </si>
  <si>
    <t>Blessed Nicholas Postgate (Sacred Heart)</t>
  </si>
  <si>
    <t>328</t>
  </si>
  <si>
    <t>MID068</t>
  </si>
  <si>
    <t>POCKLINGTON</t>
  </si>
  <si>
    <t>Ss Mary &amp; Joseph</t>
  </si>
  <si>
    <t>327</t>
  </si>
  <si>
    <t>MID067</t>
  </si>
  <si>
    <t>MALTON</t>
  </si>
  <si>
    <t>326</t>
  </si>
  <si>
    <t>MID066</t>
  </si>
  <si>
    <t>OSMOTHERLEY</t>
  </si>
  <si>
    <t>Our Lady of Mount Grace (CLOSED)</t>
  </si>
  <si>
    <t>325</t>
  </si>
  <si>
    <t>MID065</t>
  </si>
  <si>
    <t>ORMESBY</t>
  </si>
  <si>
    <t>324</t>
  </si>
  <si>
    <t>MID064</t>
  </si>
  <si>
    <t>NUNTHORPE</t>
  </si>
  <si>
    <t>323</t>
  </si>
  <si>
    <t>MID063</t>
  </si>
  <si>
    <t>NORTHALLERTON</t>
  </si>
  <si>
    <t>322</t>
  </si>
  <si>
    <t>MID062</t>
  </si>
  <si>
    <t>0444582</t>
  </si>
  <si>
    <t>MID061</t>
  </si>
  <si>
    <t>MARSKE-BY-THE-SEA</t>
  </si>
  <si>
    <t>St Bede's</t>
  </si>
  <si>
    <t>320</t>
  </si>
  <si>
    <t>MID060</t>
  </si>
  <si>
    <t>MARKET WEIGHTON</t>
  </si>
  <si>
    <t>319</t>
  </si>
  <si>
    <t>MID059</t>
  </si>
  <si>
    <t>Ss Mary &amp; Leonard</t>
  </si>
  <si>
    <t>318</t>
  </si>
  <si>
    <t>MID058</t>
  </si>
  <si>
    <t>Ss Joseph &amp; Cuthbert</t>
  </si>
  <si>
    <t>317</t>
  </si>
  <si>
    <t>MID057</t>
  </si>
  <si>
    <t>LEYBURN</t>
  </si>
  <si>
    <t>316</t>
  </si>
  <si>
    <t>MID056</t>
  </si>
  <si>
    <t>KIRKBYMOORSIDE</t>
  </si>
  <si>
    <t>313</t>
  </si>
  <si>
    <t>MID053</t>
  </si>
  <si>
    <t>HULL</t>
  </si>
  <si>
    <t>310</t>
  </si>
  <si>
    <t>MID051</t>
  </si>
  <si>
    <t>INGLEBY BARWICK</t>
  </si>
  <si>
    <t>309</t>
  </si>
  <si>
    <t>MID049</t>
  </si>
  <si>
    <t>St Mary Queen of Martyrs</t>
  </si>
  <si>
    <t>306</t>
  </si>
  <si>
    <t>MID046</t>
  </si>
  <si>
    <t>305</t>
  </si>
  <si>
    <t>MID045</t>
  </si>
  <si>
    <t>304</t>
  </si>
  <si>
    <t>MID044</t>
  </si>
  <si>
    <t>303</t>
  </si>
  <si>
    <t>MID043</t>
  </si>
  <si>
    <t>St Bede Bilton Grange</t>
  </si>
  <si>
    <t>302</t>
  </si>
  <si>
    <t>MID042</t>
  </si>
  <si>
    <t>St Anthony Endsleigh Grange</t>
  </si>
  <si>
    <t>301</t>
  </si>
  <si>
    <t>MID041</t>
  </si>
  <si>
    <t>300</t>
  </si>
  <si>
    <t>MID040</t>
  </si>
  <si>
    <t>Our Lady of Lourdes &amp; St Peter</t>
  </si>
  <si>
    <t>298</t>
  </si>
  <si>
    <t>MID039</t>
  </si>
  <si>
    <t>HORNSEA</t>
  </si>
  <si>
    <t>294</t>
  </si>
  <si>
    <t>MID035</t>
  </si>
  <si>
    <t>HESSLE</t>
  </si>
  <si>
    <t>292</t>
  </si>
  <si>
    <t>MID033</t>
  </si>
  <si>
    <t>HEDON</t>
  </si>
  <si>
    <t>St Mary &amp; Joseph</t>
  </si>
  <si>
    <t>291</t>
  </si>
  <si>
    <t>MID031</t>
  </si>
  <si>
    <t>290</t>
  </si>
  <si>
    <t>MID030</t>
  </si>
  <si>
    <t>GUISBOROUGH</t>
  </si>
  <si>
    <t>289</t>
  </si>
  <si>
    <t>MID029</t>
  </si>
  <si>
    <t>FILEY</t>
  </si>
  <si>
    <t>288</t>
  </si>
  <si>
    <t>MID027</t>
  </si>
  <si>
    <t>EGTON BRIDGE</t>
  </si>
  <si>
    <t>St Hedda</t>
  </si>
  <si>
    <t>286</t>
  </si>
  <si>
    <t>MID024</t>
  </si>
  <si>
    <t>EASINGWOLD</t>
  </si>
  <si>
    <t>285</t>
  </si>
  <si>
    <t>MID023</t>
  </si>
  <si>
    <t>DRIFFIELD</t>
  </si>
  <si>
    <t>284</t>
  </si>
  <si>
    <t>MID022</t>
  </si>
  <si>
    <t>DORMANSTOWN</t>
  </si>
  <si>
    <t>Blessed Nicholas Postgate (St William)</t>
  </si>
  <si>
    <t>0444610</t>
  </si>
  <si>
    <t>MID021</t>
  </si>
  <si>
    <t>COTTINGHAM</t>
  </si>
  <si>
    <t>282</t>
  </si>
  <si>
    <t>MID020</t>
  </si>
  <si>
    <t>BROTTON</t>
  </si>
  <si>
    <t>0444609</t>
  </si>
  <si>
    <t>MID017</t>
  </si>
  <si>
    <t>BRIDLINGTON</t>
  </si>
  <si>
    <t>279</t>
  </si>
  <si>
    <t>MID016</t>
  </si>
  <si>
    <t>BEVERLEY</t>
  </si>
  <si>
    <t>278</t>
  </si>
  <si>
    <t>MID015</t>
  </si>
  <si>
    <t>BEDALE</t>
  </si>
  <si>
    <t>277</t>
  </si>
  <si>
    <t>MID014</t>
  </si>
  <si>
    <t>AMPLEFORTH</t>
  </si>
  <si>
    <t>276</t>
  </si>
  <si>
    <t>MID013</t>
  </si>
  <si>
    <t>MIDDLESBROUGH</t>
  </si>
  <si>
    <t>275</t>
  </si>
  <si>
    <t>MID012</t>
  </si>
  <si>
    <t>0444577</t>
  </si>
  <si>
    <t>MID010</t>
  </si>
  <si>
    <t>272</t>
  </si>
  <si>
    <t>MID009</t>
  </si>
  <si>
    <t>271</t>
  </si>
  <si>
    <t>MID008</t>
  </si>
  <si>
    <t>St Clare of Assisi</t>
  </si>
  <si>
    <t>270</t>
  </si>
  <si>
    <t>MID007</t>
  </si>
  <si>
    <t>Holy Name of Mary</t>
  </si>
  <si>
    <t>266</t>
  </si>
  <si>
    <t>MID003</t>
  </si>
  <si>
    <t>265</t>
  </si>
  <si>
    <t>MID002</t>
  </si>
  <si>
    <t>264</t>
  </si>
  <si>
    <t>MID001</t>
  </si>
  <si>
    <t>SALFORD DIOCESE</t>
  </si>
  <si>
    <t>Salford Diocese Various</t>
  </si>
  <si>
    <t>1051</t>
  </si>
  <si>
    <t>SAL999</t>
  </si>
  <si>
    <t>WHITEFIELD</t>
  </si>
  <si>
    <t>St Michael Albert Road</t>
  </si>
  <si>
    <t>1046</t>
  </si>
  <si>
    <t>SAL208</t>
  </si>
  <si>
    <t>OLDHAM</t>
  </si>
  <si>
    <t>Our Lady Moorside</t>
  </si>
  <si>
    <t>1003</t>
  </si>
  <si>
    <t>SAL207</t>
  </si>
  <si>
    <t>MIDDLETON</t>
  </si>
  <si>
    <t>Ss Agnes &amp; John Fisher Hollins</t>
  </si>
  <si>
    <t>988</t>
  </si>
  <si>
    <t>SAL206</t>
  </si>
  <si>
    <t>HAIGH</t>
  </si>
  <si>
    <t>Our Lady of The Immaculate Conception</t>
  </si>
  <si>
    <t>973</t>
  </si>
  <si>
    <t>SAL205</t>
  </si>
  <si>
    <t>HEYWOOD</t>
  </si>
  <si>
    <t>Our Lady &amp; St Paul Argyle Street</t>
  </si>
  <si>
    <t>931</t>
  </si>
  <si>
    <t>SAL202</t>
  </si>
  <si>
    <t>St John Fisher Haughton Green</t>
  </si>
  <si>
    <t>0444469</t>
  </si>
  <si>
    <t>SAL201</t>
  </si>
  <si>
    <t>LITTLE LEVER</t>
  </si>
  <si>
    <t>Blessed Dominic Barberi (St Teresa)</t>
  </si>
  <si>
    <t>889</t>
  </si>
  <si>
    <t>SAL198</t>
  </si>
  <si>
    <t>BOLTON</t>
  </si>
  <si>
    <t>St Vincent de Paul Over Hulton</t>
  </si>
  <si>
    <t>881</t>
  </si>
  <si>
    <t>SAL197</t>
  </si>
  <si>
    <t>Corpus Christi (St Brendan)</t>
  </si>
  <si>
    <t>878</t>
  </si>
  <si>
    <t>SAL196</t>
  </si>
  <si>
    <t>WHITWORTH</t>
  </si>
  <si>
    <t>St Mary &amp; St Anselm (St Anslem)</t>
  </si>
  <si>
    <t>1047</t>
  </si>
  <si>
    <t>SAL192</t>
  </si>
  <si>
    <t>St Bernadette Bury New Road</t>
  </si>
  <si>
    <t>1045</t>
  </si>
  <si>
    <t>SAL191</t>
  </si>
  <si>
    <t>WHALLEY</t>
  </si>
  <si>
    <t>1044</t>
  </si>
  <si>
    <t>SAL190</t>
  </si>
  <si>
    <t>WESTHOUGHTON</t>
  </si>
  <si>
    <t>1043</t>
  </si>
  <si>
    <t>SAL189</t>
  </si>
  <si>
    <t>WALTON-LE-DALE</t>
  </si>
  <si>
    <t>1042</t>
  </si>
  <si>
    <t>SAL188</t>
  </si>
  <si>
    <t>WALKDEN</t>
  </si>
  <si>
    <t>1041</t>
  </si>
  <si>
    <t>SAL187</t>
  </si>
  <si>
    <t>URMSTON</t>
  </si>
  <si>
    <t>1040</t>
  </si>
  <si>
    <t>SAL186</t>
  </si>
  <si>
    <t>BROMLEY CROSS</t>
  </si>
  <si>
    <t>Corpus Christi (St John)</t>
  </si>
  <si>
    <t>1039</t>
  </si>
  <si>
    <t>SAL185</t>
  </si>
  <si>
    <t>TOTTINGTON</t>
  </si>
  <si>
    <t>1037</t>
  </si>
  <si>
    <t>SAL183</t>
  </si>
  <si>
    <t>TODMORDEN</t>
  </si>
  <si>
    <t>1036</t>
  </si>
  <si>
    <t>SAL182</t>
  </si>
  <si>
    <t>SWINTON</t>
  </si>
  <si>
    <t>St Mary Immaculate Conception</t>
  </si>
  <si>
    <t>1035</t>
  </si>
  <si>
    <t>SAL181</t>
  </si>
  <si>
    <t>St Ambrose Barlow Parish - St Charles</t>
  </si>
  <si>
    <t>1034</t>
  </si>
  <si>
    <t>SAL180</t>
  </si>
  <si>
    <t>STRETFORD</t>
  </si>
  <si>
    <t>St Teresa Firswood</t>
  </si>
  <si>
    <t>0444486</t>
  </si>
  <si>
    <t>SAL179</t>
  </si>
  <si>
    <t>MANCHESTER</t>
  </si>
  <si>
    <t>St Hugh Of Lincoln Glastonbury</t>
  </si>
  <si>
    <t>1032</t>
  </si>
  <si>
    <t>SAL178</t>
  </si>
  <si>
    <t>St Ann Chester Road</t>
  </si>
  <si>
    <t>1030</t>
  </si>
  <si>
    <t>SAL176</t>
  </si>
  <si>
    <t>STONYHURST</t>
  </si>
  <si>
    <t>St Peter &amp; St Joseph</t>
  </si>
  <si>
    <t>1029</t>
  </si>
  <si>
    <t>SAL175</t>
  </si>
  <si>
    <t>SHAW</t>
  </si>
  <si>
    <t>1027</t>
  </si>
  <si>
    <t>SAL173</t>
  </si>
  <si>
    <t>SAMLESBURY</t>
  </si>
  <si>
    <t>Ss Mary &amp; John Southworth</t>
  </si>
  <si>
    <t>1026</t>
  </si>
  <si>
    <t>SAL172</t>
  </si>
  <si>
    <t>SABDEN</t>
  </si>
  <si>
    <t>Our Lady of the Valley (St Mary Queen of Peace)</t>
  </si>
  <si>
    <t>1025</t>
  </si>
  <si>
    <t>SAL171</t>
  </si>
  <si>
    <t>ROYTON</t>
  </si>
  <si>
    <t>Ss Aidan &amp; Oswald</t>
  </si>
  <si>
    <t>1024</t>
  </si>
  <si>
    <t>SAL170</t>
  </si>
  <si>
    <t>ROCHDALE</t>
  </si>
  <si>
    <t>1023</t>
  </si>
  <si>
    <t>SAL169</t>
  </si>
  <si>
    <t>St Vincent de Paul Norden</t>
  </si>
  <si>
    <t>1022</t>
  </si>
  <si>
    <t>SAL168</t>
  </si>
  <si>
    <t>St Patrick Watts Street</t>
  </si>
  <si>
    <t>1021</t>
  </si>
  <si>
    <t>SAL167</t>
  </si>
  <si>
    <t>St Margaret Clitherow (Sacred Heart)</t>
  </si>
  <si>
    <t>1020</t>
  </si>
  <si>
    <t>SAL166</t>
  </si>
  <si>
    <t>1019</t>
  </si>
  <si>
    <t>SAL165</t>
  </si>
  <si>
    <t>RISHTON</t>
  </si>
  <si>
    <t>1018</t>
  </si>
  <si>
    <t>SAL164</t>
  </si>
  <si>
    <t>RIBCHESTER</t>
  </si>
  <si>
    <t>1017</t>
  </si>
  <si>
    <t>SAL163</t>
  </si>
  <si>
    <t>St Joseph Reddish</t>
  </si>
  <si>
    <t>1016</t>
  </si>
  <si>
    <t>SAL162</t>
  </si>
  <si>
    <t>RAWTENSTALL</t>
  </si>
  <si>
    <t>St James the Less</t>
  </si>
  <si>
    <t>1015</t>
  </si>
  <si>
    <t>SAL161</t>
  </si>
  <si>
    <t>BURY</t>
  </si>
  <si>
    <t>1014</t>
  </si>
  <si>
    <t>SAL160</t>
  </si>
  <si>
    <t>RADCLIFFE</t>
  </si>
  <si>
    <t>Ss Mary &amp; Philip Neri</t>
  </si>
  <si>
    <t>1013</t>
  </si>
  <si>
    <t>SAL159</t>
  </si>
  <si>
    <t>PRESWICH</t>
  </si>
  <si>
    <t>1012</t>
  </si>
  <si>
    <t>SAL158</t>
  </si>
  <si>
    <t>BLACKBURN</t>
  </si>
  <si>
    <t>St Oscar Romero (Ss Mary &amp; John)</t>
  </si>
  <si>
    <t>1011</t>
  </si>
  <si>
    <t>SAL157</t>
  </si>
  <si>
    <t>St Ambrose Barlow Parish - St Mark</t>
  </si>
  <si>
    <t>1010</t>
  </si>
  <si>
    <t>SAL156</t>
  </si>
  <si>
    <t>ECCLES</t>
  </si>
  <si>
    <t>Holy Cross  St Matthew &amp; St Gilbert</t>
  </si>
  <si>
    <t>1008</t>
  </si>
  <si>
    <t>SAL154</t>
  </si>
  <si>
    <t>BURNLEY</t>
  </si>
  <si>
    <t>St John Paul II (St Philip)</t>
  </si>
  <si>
    <t>1007</t>
  </si>
  <si>
    <t>SAL153</t>
  </si>
  <si>
    <t>PADIHAM</t>
  </si>
  <si>
    <t>St John Paul II (St John)</t>
  </si>
  <si>
    <t>1006</t>
  </si>
  <si>
    <t>SAL152</t>
  </si>
  <si>
    <t>OSWALDTWISTLE</t>
  </si>
  <si>
    <t>1005</t>
  </si>
  <si>
    <t>SAL151</t>
  </si>
  <si>
    <t>OSBALDESTON</t>
  </si>
  <si>
    <t>1004</t>
  </si>
  <si>
    <t>SAL150</t>
  </si>
  <si>
    <t>Sacred Heart and Our Lady (CLOSED)</t>
  </si>
  <si>
    <t>1002</t>
  </si>
  <si>
    <t>SAL149</t>
  </si>
  <si>
    <t>Mount Carmel &amp; St Patrick</t>
  </si>
  <si>
    <t>1000</t>
  </si>
  <si>
    <t>SAL147</t>
  </si>
  <si>
    <t>St Mary (CLOSED)</t>
  </si>
  <si>
    <t>999</t>
  </si>
  <si>
    <t>SAL146</t>
  </si>
  <si>
    <t>St Francis of Assisi (St Micheal)</t>
  </si>
  <si>
    <t>998</t>
  </si>
  <si>
    <t>SAL145</t>
  </si>
  <si>
    <t>St Francis of Assisi (St Anne's) CLOSED</t>
  </si>
  <si>
    <t>997</t>
  </si>
  <si>
    <t>SAL144</t>
  </si>
  <si>
    <t>NEW SPRINGS</t>
  </si>
  <si>
    <t>0444623</t>
  </si>
  <si>
    <t>SAL143</t>
  </si>
  <si>
    <t>ROSSENDALE</t>
  </si>
  <si>
    <t>Ss Joseph &amp; Peter</t>
  </si>
  <si>
    <t>995</t>
  </si>
  <si>
    <t>SAL142</t>
  </si>
  <si>
    <t>NELSON</t>
  </si>
  <si>
    <t>Good Shepherd (Holy Saviour)</t>
  </si>
  <si>
    <t>994</t>
  </si>
  <si>
    <t>SAL141</t>
  </si>
  <si>
    <t>BARROWFORD</t>
  </si>
  <si>
    <t>Good Shepherd (Ss Peter &amp; Paul)</t>
  </si>
  <si>
    <t>993</t>
  </si>
  <si>
    <t>SAL140</t>
  </si>
  <si>
    <t>0444574</t>
  </si>
  <si>
    <t>SAL138</t>
  </si>
  <si>
    <t>MOSSLEY</t>
  </si>
  <si>
    <t>991</t>
  </si>
  <si>
    <t>SAL137</t>
  </si>
  <si>
    <t>Our Lady of the Assumption RC Church</t>
  </si>
  <si>
    <t>989</t>
  </si>
  <si>
    <t>SAL136</t>
  </si>
  <si>
    <t>987</t>
  </si>
  <si>
    <t>SAL135</t>
  </si>
  <si>
    <t>St Willibrord Clayton</t>
  </si>
  <si>
    <t>986</t>
  </si>
  <si>
    <t>SAL134</t>
  </si>
  <si>
    <t>St Robert of Newminster (St Richard)</t>
  </si>
  <si>
    <t>983</t>
  </si>
  <si>
    <t>SAL131</t>
  </si>
  <si>
    <t>St Patrick Livesey Street</t>
  </si>
  <si>
    <t>0444543</t>
  </si>
  <si>
    <t>SAL129</t>
  </si>
  <si>
    <t>Mount Carmel Blackley</t>
  </si>
  <si>
    <t>980</t>
  </si>
  <si>
    <t>SAL128</t>
  </si>
  <si>
    <t>St Robert of Newminster (St Mary)</t>
  </si>
  <si>
    <t>978</t>
  </si>
  <si>
    <t>SAL126</t>
  </si>
  <si>
    <t>St Malachy Eggington</t>
  </si>
  <si>
    <t>0444601</t>
  </si>
  <si>
    <t>SAL124</t>
  </si>
  <si>
    <t>St Margaret Mary New Moston</t>
  </si>
  <si>
    <t>976</t>
  </si>
  <si>
    <t>SAL122</t>
  </si>
  <si>
    <t>St Kentigern Fallowfield</t>
  </si>
  <si>
    <t>975</t>
  </si>
  <si>
    <t>SAL121</t>
  </si>
  <si>
    <t>St John Bosco Blackley</t>
  </si>
  <si>
    <t>972</t>
  </si>
  <si>
    <t>SAL119</t>
  </si>
  <si>
    <t>St John Chorlton cum Hardy</t>
  </si>
  <si>
    <t>971</t>
  </si>
  <si>
    <t>SAL118</t>
  </si>
  <si>
    <t>The Sacred Heart and St Francis (Sacred Heart)</t>
  </si>
  <si>
    <t>968</t>
  </si>
  <si>
    <t>SAL116</t>
  </si>
  <si>
    <t>The Sacred Heart and St Francis (St Francis)</t>
  </si>
  <si>
    <t>0444541</t>
  </si>
  <si>
    <t>SAL115</t>
  </si>
  <si>
    <t>Our Lady &amp; St Alphonsus</t>
  </si>
  <si>
    <t>966</t>
  </si>
  <si>
    <t>SAL114</t>
  </si>
  <si>
    <t>English Martyrs Whalley Range</t>
  </si>
  <si>
    <t>964</t>
  </si>
  <si>
    <t>SAL113</t>
  </si>
  <si>
    <t>963</t>
  </si>
  <si>
    <t>SAL112</t>
  </si>
  <si>
    <t>960</t>
  </si>
  <si>
    <t>SAL110</t>
  </si>
  <si>
    <t>959</t>
  </si>
  <si>
    <t>SAL109</t>
  </si>
  <si>
    <t>957</t>
  </si>
  <si>
    <t>SAL107</t>
  </si>
  <si>
    <t>956</t>
  </si>
  <si>
    <t>SAL106</t>
  </si>
  <si>
    <t>955</t>
  </si>
  <si>
    <t>SAL105</t>
  </si>
  <si>
    <t>954</t>
  </si>
  <si>
    <t>SAL104</t>
  </si>
  <si>
    <t>952</t>
  </si>
  <si>
    <t>SAL102</t>
  </si>
  <si>
    <t>951</t>
  </si>
  <si>
    <t>SAL101</t>
  </si>
  <si>
    <t>St Augustine All Saints</t>
  </si>
  <si>
    <t>949</t>
  </si>
  <si>
    <t>SAL100</t>
  </si>
  <si>
    <t>St Anne Higher Openshaw</t>
  </si>
  <si>
    <t>948</t>
  </si>
  <si>
    <t>SAL099</t>
  </si>
  <si>
    <t>947</t>
  </si>
  <si>
    <t>SAL098</t>
  </si>
  <si>
    <t>St Anne (St Anne &amp; St Brigid)</t>
  </si>
  <si>
    <t>946</t>
  </si>
  <si>
    <t>SAL097</t>
  </si>
  <si>
    <t>945</t>
  </si>
  <si>
    <t>SAL096</t>
  </si>
  <si>
    <t>LOSTOCK HALL</t>
  </si>
  <si>
    <t>Our Lady &amp; St Gerard</t>
  </si>
  <si>
    <t>944</t>
  </si>
  <si>
    <t>SAL094</t>
  </si>
  <si>
    <t>LONGRIDGE</t>
  </si>
  <si>
    <t>943</t>
  </si>
  <si>
    <t>SAL093</t>
  </si>
  <si>
    <t>LITTLE HULTON</t>
  </si>
  <si>
    <t>St Edmund &amp; Lancashire Martyrs</t>
  </si>
  <si>
    <t>940</t>
  </si>
  <si>
    <t>SAL091</t>
  </si>
  <si>
    <t>LITTLEBOROUGH</t>
  </si>
  <si>
    <t>St Mary of the Annunciation</t>
  </si>
  <si>
    <t>939</t>
  </si>
  <si>
    <t>SAL090</t>
  </si>
  <si>
    <t>LEES</t>
  </si>
  <si>
    <t>938</t>
  </si>
  <si>
    <t>SAL089</t>
  </si>
  <si>
    <t>IRLAM</t>
  </si>
  <si>
    <t>935</t>
  </si>
  <si>
    <t>SAL088</t>
  </si>
  <si>
    <t>936</t>
  </si>
  <si>
    <t>SAL087</t>
  </si>
  <si>
    <t>HORWICH</t>
  </si>
  <si>
    <t>934</t>
  </si>
  <si>
    <t>SAL086</t>
  </si>
  <si>
    <t>HOLLINWOOD</t>
  </si>
  <si>
    <t>933</t>
  </si>
  <si>
    <t>SAL085</t>
  </si>
  <si>
    <t>932</t>
  </si>
  <si>
    <t>SAL084</t>
  </si>
  <si>
    <t>930</t>
  </si>
  <si>
    <t>SAL083</t>
  </si>
  <si>
    <t>929</t>
  </si>
  <si>
    <t>SAL082</t>
  </si>
  <si>
    <t>St Winifred</t>
  </si>
  <si>
    <t>928</t>
  </si>
  <si>
    <t>SAL081</t>
  </si>
  <si>
    <t>HASLINGDEN</t>
  </si>
  <si>
    <t>St Marie (The Immaculate Conception)</t>
  </si>
  <si>
    <t>926</t>
  </si>
  <si>
    <t>SAL079</t>
  </si>
  <si>
    <t>GREAT HARWOOD</t>
  </si>
  <si>
    <t>925</t>
  </si>
  <si>
    <t>SAL078</t>
  </si>
  <si>
    <t>924</t>
  </si>
  <si>
    <t>SAL077</t>
  </si>
  <si>
    <t>FLIXTON</t>
  </si>
  <si>
    <t>923</t>
  </si>
  <si>
    <t>SAL076</t>
  </si>
  <si>
    <t>FARNWORTH</t>
  </si>
  <si>
    <t>Our Lady of Lourdes &amp; St Gregory</t>
  </si>
  <si>
    <t>922</t>
  </si>
  <si>
    <t>SAL075</t>
  </si>
  <si>
    <t>KEARSLEY</t>
  </si>
  <si>
    <t>921</t>
  </si>
  <si>
    <t>SAL074</t>
  </si>
  <si>
    <t>FAILSWORTH</t>
  </si>
  <si>
    <t>Parish of the Nativity (Immaculate Conception)</t>
  </si>
  <si>
    <t>919</t>
  </si>
  <si>
    <t>SAL072</t>
  </si>
  <si>
    <t>SALFORD</t>
  </si>
  <si>
    <t>918</t>
  </si>
  <si>
    <t>SAL071</t>
  </si>
  <si>
    <t>917</t>
  </si>
  <si>
    <t>SAL070</t>
  </si>
  <si>
    <t>DROYLSDEN</t>
  </si>
  <si>
    <t>915</t>
  </si>
  <si>
    <t>SAL069</t>
  </si>
  <si>
    <t>St Mary (Our Lady of Sorrows)</t>
  </si>
  <si>
    <t>914</t>
  </si>
  <si>
    <t>SAL068</t>
  </si>
  <si>
    <t>912</t>
  </si>
  <si>
    <t>SAL067</t>
  </si>
  <si>
    <t>DARWEN</t>
  </si>
  <si>
    <t>Sacred Heart and St Edward</t>
  </si>
  <si>
    <t>910</t>
  </si>
  <si>
    <t>SAL066</t>
  </si>
  <si>
    <t>909</t>
  </si>
  <si>
    <t>SAL065</t>
  </si>
  <si>
    <t>DUNSOP BRIDGE</t>
  </si>
  <si>
    <t>St Hubert</t>
  </si>
  <si>
    <t>0444611</t>
  </si>
  <si>
    <t>SAL064</t>
  </si>
  <si>
    <t>COLNE</t>
  </si>
  <si>
    <t>Good Shepherd (Sacred Heart)</t>
  </si>
  <si>
    <t>908</t>
  </si>
  <si>
    <t>SAL063</t>
  </si>
  <si>
    <t>CLITHEROE</t>
  </si>
  <si>
    <t>Our Lady of the Valley (St Michael &amp; St John)</t>
  </si>
  <si>
    <t>907</t>
  </si>
  <si>
    <t>SAL062</t>
  </si>
  <si>
    <t>CLAYTON-LE-MOORS</t>
  </si>
  <si>
    <t>906</t>
  </si>
  <si>
    <t>SAL061</t>
  </si>
  <si>
    <t>CHIPPING</t>
  </si>
  <si>
    <t>905</t>
  </si>
  <si>
    <t>SAL060</t>
  </si>
  <si>
    <t>CHADDERTON</t>
  </si>
  <si>
    <t>St Herbert</t>
  </si>
  <si>
    <t>904</t>
  </si>
  <si>
    <t>SAL059</t>
  </si>
  <si>
    <t>CASTLETON</t>
  </si>
  <si>
    <t>St Gabriel and the Angels</t>
  </si>
  <si>
    <t>903</t>
  </si>
  <si>
    <t>SAL058</t>
  </si>
  <si>
    <t>Our Lady &amp; Guardian Angels</t>
  </si>
  <si>
    <t>902</t>
  </si>
  <si>
    <t>SAL057</t>
  </si>
  <si>
    <t>St Marie and St Joseph (St Marie)</t>
  </si>
  <si>
    <t>901</t>
  </si>
  <si>
    <t>SAL056</t>
  </si>
  <si>
    <t>St Marie and St Joseph (St Joseph)</t>
  </si>
  <si>
    <t>899</t>
  </si>
  <si>
    <t>SAL054</t>
  </si>
  <si>
    <t>Christ the King (Manchester Road)</t>
  </si>
  <si>
    <t>898</t>
  </si>
  <si>
    <t>SAL053</t>
  </si>
  <si>
    <t>St John Paul II (St Mary)</t>
  </si>
  <si>
    <t>896</t>
  </si>
  <si>
    <t>SAL052</t>
  </si>
  <si>
    <t>St Mary of the Assumption</t>
  </si>
  <si>
    <t>895</t>
  </si>
  <si>
    <t>SAL051</t>
  </si>
  <si>
    <t>894</t>
  </si>
  <si>
    <t>SAL050</t>
  </si>
  <si>
    <t>St John Paul II (St Augustine)</t>
  </si>
  <si>
    <t>0444367</t>
  </si>
  <si>
    <t>SAL049</t>
  </si>
  <si>
    <t>Christ the Redeemer (St William)</t>
  </si>
  <si>
    <t>890</t>
  </si>
  <si>
    <t>SAL047</t>
  </si>
  <si>
    <t>Blessed Dominic Barberi (St Osmund)</t>
  </si>
  <si>
    <t>886</t>
  </si>
  <si>
    <t>SAL044</t>
  </si>
  <si>
    <t>Holy Infant Astley Bridge</t>
  </si>
  <si>
    <t>885</t>
  </si>
  <si>
    <t>SAL043</t>
  </si>
  <si>
    <t>St Cuthbert (St Thomas of Canterbury Heaton)</t>
  </si>
  <si>
    <t>884</t>
  </si>
  <si>
    <t>SAL041</t>
  </si>
  <si>
    <t>St Cuthbert (St Joseph)</t>
  </si>
  <si>
    <t>883</t>
  </si>
  <si>
    <t>SAL040</t>
  </si>
  <si>
    <t>St James the Great Montserrat CLOSED</t>
  </si>
  <si>
    <t>882</t>
  </si>
  <si>
    <t>SAL039</t>
  </si>
  <si>
    <t>Christ the Redeemer(St Ethelbert)</t>
  </si>
  <si>
    <t>879</t>
  </si>
  <si>
    <t>SAL038</t>
  </si>
  <si>
    <t>St Columba Tonge Moor</t>
  </si>
  <si>
    <t>877</t>
  </si>
  <si>
    <t>SAL037</t>
  </si>
  <si>
    <t>Parish of St Edmund &amp; St Patrick (St Edmund)</t>
  </si>
  <si>
    <t>876</t>
  </si>
  <si>
    <t>SAL036</t>
  </si>
  <si>
    <t>St Oscar Romero (St John Vianney)</t>
  </si>
  <si>
    <t>875</t>
  </si>
  <si>
    <t>SAL035</t>
  </si>
  <si>
    <t>Holy Family (St Teresa)</t>
  </si>
  <si>
    <t>873</t>
  </si>
  <si>
    <t>SAL033</t>
  </si>
  <si>
    <t>Sacred Heart Preston New Road</t>
  </si>
  <si>
    <t>872</t>
  </si>
  <si>
    <t>SAL032</t>
  </si>
  <si>
    <t>St Oscar Romero (St Peter in Chains)</t>
  </si>
  <si>
    <t>871</t>
  </si>
  <si>
    <t>SAL031</t>
  </si>
  <si>
    <t>870</t>
  </si>
  <si>
    <t>SAL030</t>
  </si>
  <si>
    <t>Holy Family (St Joseph)</t>
  </si>
  <si>
    <t>869</t>
  </si>
  <si>
    <t>SAL028</t>
  </si>
  <si>
    <t>Holy Souls Brownhill</t>
  </si>
  <si>
    <t>868</t>
  </si>
  <si>
    <t>SAL027</t>
  </si>
  <si>
    <t>867</t>
  </si>
  <si>
    <t>SAL026</t>
  </si>
  <si>
    <t>St Alban Larkhill</t>
  </si>
  <si>
    <t>865</t>
  </si>
  <si>
    <t>SAL024</t>
  </si>
  <si>
    <t>BILLINGTON</t>
  </si>
  <si>
    <t>St Mary Langho</t>
  </si>
  <si>
    <t>864</t>
  </si>
  <si>
    <t>SAL023</t>
  </si>
  <si>
    <t>BAMBER BRIDGE</t>
  </si>
  <si>
    <t>863</t>
  </si>
  <si>
    <t>SAL021</t>
  </si>
  <si>
    <t>0444615</t>
  </si>
  <si>
    <t>SAL019</t>
  </si>
  <si>
    <t>ASHTON-U-LYNE</t>
  </si>
  <si>
    <t>Holy Cross and St Helen (St Christopher)</t>
  </si>
  <si>
    <t>860</t>
  </si>
  <si>
    <t>SAL018</t>
  </si>
  <si>
    <t>ASHTON-UNDER-LYNE</t>
  </si>
  <si>
    <t>Holy Cross and St Helen (St Ann)</t>
  </si>
  <si>
    <t>857</t>
  </si>
  <si>
    <t>SAL016</t>
  </si>
  <si>
    <t>St Thomas More Alkrington</t>
  </si>
  <si>
    <t>856</t>
  </si>
  <si>
    <t>SAL015</t>
  </si>
  <si>
    <t>ACCRINGTON</t>
  </si>
  <si>
    <t>St Anne and St Joseph (St Joseph)</t>
  </si>
  <si>
    <t>855</t>
  </si>
  <si>
    <t>SAL014</t>
  </si>
  <si>
    <t>St Anne and St Joseph (St Anne)</t>
  </si>
  <si>
    <t>854</t>
  </si>
  <si>
    <t>SAL013</t>
  </si>
  <si>
    <t>St Thomas Higher Broughton</t>
  </si>
  <si>
    <t>852</t>
  </si>
  <si>
    <t>SAL011</t>
  </si>
  <si>
    <t>St Sebastian Pendleton</t>
  </si>
  <si>
    <t>851</t>
  </si>
  <si>
    <t>SAL010</t>
  </si>
  <si>
    <t>St Joseph Ordsall</t>
  </si>
  <si>
    <t>0444490</t>
  </si>
  <si>
    <t>SAL008</t>
  </si>
  <si>
    <t>Mother of God &amp; St James Pendlet</t>
  </si>
  <si>
    <t>847</t>
  </si>
  <si>
    <t>SAL006</t>
  </si>
  <si>
    <t>St Luke Irlam o'th' Height</t>
  </si>
  <si>
    <t>846</t>
  </si>
  <si>
    <t>SAL005</t>
  </si>
  <si>
    <t>Our Lady of Dolours Kersal</t>
  </si>
  <si>
    <t>844</t>
  </si>
  <si>
    <t>SAL003</t>
  </si>
  <si>
    <t>Cathedral of St John</t>
  </si>
  <si>
    <t>842</t>
  </si>
  <si>
    <t>SAL001</t>
  </si>
  <si>
    <t>Ss William &amp; Francis</t>
  </si>
  <si>
    <t>HEX045</t>
  </si>
  <si>
    <t>HEX048</t>
  </si>
  <si>
    <t>HEX053</t>
  </si>
  <si>
    <t>EASINGTON LANE</t>
  </si>
  <si>
    <t xml:space="preserve">St Patrick </t>
  </si>
  <si>
    <t>HEX195</t>
  </si>
  <si>
    <t>WINLATON</t>
  </si>
  <si>
    <t>HARWORTH</t>
  </si>
  <si>
    <t>HAL028</t>
  </si>
  <si>
    <t>GRIMETHORPE</t>
  </si>
  <si>
    <t>HAL027</t>
  </si>
  <si>
    <t>DUNSTAN</t>
  </si>
  <si>
    <t>SCORTON</t>
  </si>
  <si>
    <t>Ss Mary &amp; James</t>
  </si>
  <si>
    <t>LAN090</t>
  </si>
  <si>
    <t>CONISTON</t>
  </si>
  <si>
    <t>St Francis of Assisi (Sacred Heart)</t>
  </si>
  <si>
    <t>LAN039</t>
  </si>
  <si>
    <t>LEE038</t>
  </si>
  <si>
    <t>St Thomas More Chickenly (CLOSED)</t>
  </si>
  <si>
    <t>LEE046</t>
  </si>
  <si>
    <t>St Columba Highroad Well Lane</t>
  </si>
  <si>
    <t>LEE074</t>
  </si>
  <si>
    <t>Christ the King Bramley</t>
  </si>
  <si>
    <t>LEE099</t>
  </si>
  <si>
    <t>St Gianna Beretta Molla (St Wilfrid) - CLOSED</t>
  </si>
  <si>
    <t>LEE108</t>
  </si>
  <si>
    <t>St Joseph (Holy Family)</t>
  </si>
  <si>
    <t>LIV001</t>
  </si>
  <si>
    <t>Cathedral of Christ the King</t>
  </si>
  <si>
    <t>LIV015</t>
  </si>
  <si>
    <t>St Sylvester (O.L.O. Immaculate Conception)</t>
  </si>
  <si>
    <t>LIV103</t>
  </si>
  <si>
    <t>CRONTON</t>
  </si>
  <si>
    <t>LIV134</t>
  </si>
  <si>
    <t>KNOWSLEY</t>
  </si>
  <si>
    <t>LIV135</t>
  </si>
  <si>
    <t>St Edmund Arrowsmith (Our Lady of the Rosary)</t>
  </si>
  <si>
    <t>LIV163</t>
  </si>
  <si>
    <t>PRESCOT</t>
  </si>
  <si>
    <t>LIV165</t>
  </si>
  <si>
    <t>RAINHILL</t>
  </si>
  <si>
    <t>LIV177</t>
  </si>
  <si>
    <t>LIV242</t>
  </si>
  <si>
    <t>St Bridget Fearnhead</t>
  </si>
  <si>
    <t>MID037</t>
  </si>
  <si>
    <t>Corpus Christi Derringham</t>
  </si>
  <si>
    <t>MID052</t>
  </si>
  <si>
    <t>MID055</t>
  </si>
  <si>
    <t>LEALHOLM</t>
  </si>
  <si>
    <t>SAL004</t>
  </si>
  <si>
    <t>St Boniface Lower Broughton</t>
  </si>
  <si>
    <t>SAL020</t>
  </si>
  <si>
    <t>BACUP</t>
  </si>
  <si>
    <t>SAL120</t>
  </si>
  <si>
    <t>St Joseph Longsight</t>
  </si>
  <si>
    <t>SAL132</t>
  </si>
  <si>
    <t>St Anne &amp; St Brigid</t>
  </si>
  <si>
    <t>SAL148</t>
  </si>
  <si>
    <t>Holy Family &amp; Holy Rosary</t>
  </si>
  <si>
    <t>Income</t>
  </si>
  <si>
    <t>Increase/</t>
  </si>
  <si>
    <t>%</t>
  </si>
  <si>
    <t>(Decrease)</t>
  </si>
  <si>
    <t>Change</t>
  </si>
  <si>
    <t>(£)</t>
  </si>
  <si>
    <t>Arundel &amp; Brighton</t>
  </si>
  <si>
    <t>Birmingham</t>
  </si>
  <si>
    <t>Cardiff</t>
  </si>
  <si>
    <t>Clifton</t>
  </si>
  <si>
    <t>East Anglia</t>
  </si>
  <si>
    <t>Hallam</t>
  </si>
  <si>
    <t>Hexham &amp; Newcastle</t>
  </si>
  <si>
    <t>Lancaster</t>
  </si>
  <si>
    <t>Leeds</t>
  </si>
  <si>
    <t>Liverpool</t>
  </si>
  <si>
    <t>Menevia</t>
  </si>
  <si>
    <t>Middlesbrough</t>
  </si>
  <si>
    <t>Northampton</t>
  </si>
  <si>
    <t>Nottingham</t>
  </si>
  <si>
    <t>Plymouth</t>
  </si>
  <si>
    <t>Portsmouth</t>
  </si>
  <si>
    <t>Salford</t>
  </si>
  <si>
    <t>Shrewsbury</t>
  </si>
  <si>
    <t>Southwark</t>
  </si>
  <si>
    <t>Wrexham</t>
  </si>
  <si>
    <t>Anonymous/Other Donations</t>
  </si>
  <si>
    <t>Southern Diocese</t>
  </si>
  <si>
    <t>Northern Diocese</t>
  </si>
  <si>
    <t>Southern % of Total</t>
  </si>
  <si>
    <t>Northern % of Total</t>
  </si>
  <si>
    <t>The total amount raised per diocese in any year as shown in the Overview Tab may be different to the sum of the totals per parish. This is because some parishes want their totals reported in different ways. For example, a parish with several churches may want each church's Red Box total broken down per church. Others want each church in the parish to have the overall total for the parish recorded against them.</t>
  </si>
  <si>
    <t>2020 v 20219</t>
  </si>
  <si>
    <t>Combined</t>
  </si>
  <si>
    <t>Ind Direct</t>
  </si>
  <si>
    <t>Parish Direct</t>
  </si>
  <si>
    <t>Parish of Bognor Regis &amp; Slindon (St Richard of Chichester)</t>
  </si>
  <si>
    <t>Parish of Bognor Regis &amp; Slindon (Our Lady of Sorrows)</t>
  </si>
  <si>
    <t>Parish of East Brighton (St John the Baptist RC Church)</t>
  </si>
  <si>
    <t>Parish of East Brighton (St Joseph RC Church)</t>
  </si>
  <si>
    <t>Parish of St Wilfrid's &amp; St Edward the Confessor (St Wilfrid RC Church)</t>
  </si>
  <si>
    <t>EGHAM</t>
  </si>
  <si>
    <t>Parish of St Edmund (St Edmund, King &amp; Martyr RC Church)</t>
  </si>
  <si>
    <t>Parish of Haslemere, Chiddingfold &amp; Hindhead (Our Lady of Lourdes RC Church)</t>
  </si>
  <si>
    <t>Parish of St Paul (St Paul RC Church)</t>
  </si>
  <si>
    <t>Parish of Haslemere, Chiddingfold &amp; Hindhead (St Anselm RC Church)</t>
  </si>
  <si>
    <t>Parish of St Wilfrid's &amp; St Edward the Confessor (St Edward the Confessor)</t>
  </si>
  <si>
    <t>The Sacred Heart RC Church (CLOSED)</t>
  </si>
  <si>
    <t>Parish of St Paul (Our Lady of Fatima)</t>
  </si>
  <si>
    <t>ARU total is £43,618.79, but according to ES should be £43,516.71</t>
  </si>
  <si>
    <t>ARU043 / 0479430</t>
  </si>
  <si>
    <t>This is the money paid into the diocesan Red Box account</t>
  </si>
  <si>
    <t>This is the money paid directly by individuals (e.g. Direct Debit, cheques sent to Eccleston Sq/Freshfield, bank transfers)</t>
  </si>
  <si>
    <t>This is the money paid directly by parishes (e.g. Bank transfers or cheques sent to Eccleston Sq/Freshfield)</t>
  </si>
  <si>
    <t>parish direct</t>
  </si>
  <si>
    <t>Sacred Heart Chapel - CLOSED</t>
  </si>
  <si>
    <t>St Stanislaus Dulverton</t>
  </si>
  <si>
    <t>CLF017 / 2275</t>
  </si>
  <si>
    <t>CLF036S / 0442730</t>
  </si>
  <si>
    <t>CLF036S2 / 0442731</t>
  </si>
  <si>
    <t>CLF049S / 0444422</t>
  </si>
  <si>
    <t>CLF067S / 0444437</t>
  </si>
  <si>
    <t>CLF087S / 0444423</t>
  </si>
  <si>
    <t>CLF099S / 0444431</t>
  </si>
  <si>
    <t>Our Lady of Perpetual Succour &amp; St Edumund</t>
  </si>
  <si>
    <t>Deanery</t>
  </si>
  <si>
    <t>Ind direct</t>
  </si>
  <si>
    <t>Swansea</t>
  </si>
  <si>
    <t>Llandrindod Wells</t>
  </si>
  <si>
    <t>Carmarthen</t>
  </si>
  <si>
    <t>Port Talbot</t>
  </si>
  <si>
    <t>Pembroke</t>
  </si>
  <si>
    <t>CLYDACH</t>
  </si>
  <si>
    <t>CLOSED</t>
  </si>
  <si>
    <t>PONTARDDULAIS</t>
  </si>
  <si>
    <t>MEN020 / 147959</t>
  </si>
  <si>
    <t>MEN041XS / 0443162</t>
  </si>
  <si>
    <t>MEN042S / 0443175</t>
  </si>
  <si>
    <t>Parish direct</t>
  </si>
  <si>
    <t>St John Henry Newman - Our  Lady of Grace</t>
  </si>
  <si>
    <t xml:space="preserve">KETTERING                     </t>
  </si>
  <si>
    <t>NOR69S</t>
  </si>
  <si>
    <t>Our Lady of Lincoln RC Church</t>
  </si>
  <si>
    <t>Parish of Melbourne &amp; Castle Donington (Our Lady of Mercy &amp; St Philip Neri RC Church)</t>
  </si>
  <si>
    <t>NOT011 / 471</t>
  </si>
  <si>
    <t>NOT137 / 0553116</t>
  </si>
  <si>
    <t>NOT037A / 497</t>
  </si>
  <si>
    <t>0443350</t>
  </si>
  <si>
    <t>Bridport Parish (St John RC Church)</t>
  </si>
  <si>
    <t>Bridport Parish (St Mary &amp; St Catherine Church)</t>
  </si>
  <si>
    <t>Parish of Our Lady of All Nations, Camborne &amp; Redruth (St John the Baptist)</t>
  </si>
  <si>
    <t>Parish of St James &amp; St Boniface (St Boniface RC Church)</t>
  </si>
  <si>
    <t>Parish of Newquay, Perranporth &amp; St Agnes (The Most Holy Trinity RC Church)</t>
  </si>
  <si>
    <t>Parish of Newquay, Perranporth &amp; St Agnes (Christ the King RC Church)</t>
  </si>
  <si>
    <t>Parish of Our Lady of All Nations, Camborne &amp; Redruth (The Assumption)</t>
  </si>
  <si>
    <t>Parish of Newquay, Perranporth &amp; St Agnes (Our Lady, Star of the Sea)</t>
  </si>
  <si>
    <t>Parish of St James &amp; St Boniface (St James RC Church)</t>
  </si>
  <si>
    <t>PLY082</t>
  </si>
  <si>
    <t>PLY082 / 678</t>
  </si>
  <si>
    <t>701</t>
  </si>
  <si>
    <t>Corpus Christi &amp; St Joseph Parish (Corpus Christi RC Church)</t>
  </si>
  <si>
    <t>704</t>
  </si>
  <si>
    <t>Thames	Isis</t>
  </si>
  <si>
    <t>Parish of Our Lady &amp; The Saints of Guernsey (St Anne &amp; St Mary Magdalene)</t>
  </si>
  <si>
    <t>B. of Guernsey</t>
  </si>
  <si>
    <t>Northeast Hampshire</t>
  </si>
  <si>
    <t>Hampshire Downs</t>
  </si>
  <si>
    <t>Northwest Hampshire</t>
  </si>
  <si>
    <t>South Berkshire</t>
  </si>
  <si>
    <t>Three Rivers</t>
  </si>
  <si>
    <t>Bordon-Petersfield</t>
  </si>
  <si>
    <t>Bournemouth</t>
  </si>
  <si>
    <t>Avon Stour</t>
  </si>
  <si>
    <t>New Forest</t>
  </si>
  <si>
    <t>North Downs</t>
  </si>
  <si>
    <t>Isle of Wight</t>
  </si>
  <si>
    <t>Reading</t>
  </si>
  <si>
    <t>Solent</t>
  </si>
  <si>
    <t>Parish of Our Lady &amp; The Saints of Guernsey (St Joseph &amp; St Mary)</t>
  </si>
  <si>
    <t>Parish of Our Lady &amp; The Saints of Guernsey (Notre Dame du Rosaire)</t>
  </si>
  <si>
    <t>Bailiwick of Guernsey</t>
  </si>
  <si>
    <t>Parish of Our Lady &amp; The Saints of Guernsey (Our Lady Star of the Sea)</t>
  </si>
  <si>
    <t>Havant</t>
  </si>
  <si>
    <t>Southampton East</t>
  </si>
  <si>
    <t>St Thomas More RC Church (Yateley &amp; Hartley Wintney Parish)</t>
  </si>
  <si>
    <t>Jersey</t>
  </si>
  <si>
    <t>Great Park</t>
  </si>
  <si>
    <t>West Berkshire</t>
  </si>
  <si>
    <t>Thames Isis</t>
  </si>
  <si>
    <t>Southampton Central &amp; West</t>
  </si>
  <si>
    <t>St Swithun RC Church (Yateley &amp; Hartley Wintney Parish)</t>
  </si>
  <si>
    <t>POR108 / 0479508</t>
  </si>
  <si>
    <t>SHR001/669</t>
  </si>
  <si>
    <t>SHREWSBURY Cathedral</t>
  </si>
  <si>
    <t>SHR002 / 1054</t>
  </si>
  <si>
    <t>SHREWSBURY Our Lady of Pity</t>
  </si>
  <si>
    <t>SHR003 / 1055</t>
  </si>
  <si>
    <t>SHREWSBURY St Winefride</t>
  </si>
  <si>
    <t>SHR004 / 1056</t>
  </si>
  <si>
    <t>ALDERLEY EDGE St Pius X</t>
  </si>
  <si>
    <t>SHR005 / 1057</t>
  </si>
  <si>
    <t>ALSAGER St Gabriel</t>
  </si>
  <si>
    <t>SHR006 / 1059</t>
  </si>
  <si>
    <t>ALTRINCHAM St Hugh &amp; St John</t>
  </si>
  <si>
    <t>SHR008 / 1061</t>
  </si>
  <si>
    <t>ALTRINCHAM St Vincent de Paul</t>
  </si>
  <si>
    <t>SHR009 / 1062</t>
  </si>
  <si>
    <t>BARNTON Our Lady of Fatima</t>
  </si>
  <si>
    <t>SHR009X / 1063</t>
  </si>
  <si>
    <t>BEBINGTON St Luke the Physician</t>
  </si>
  <si>
    <t>SHR011 / 1065</t>
  </si>
  <si>
    <t>BIRKENHEAD Holy Name of Jesus</t>
  </si>
  <si>
    <t>SHR012 / 1066</t>
  </si>
  <si>
    <t>BIRKENHEAD Our Lady's, Holy Cross &amp; St Paul's</t>
  </si>
  <si>
    <t>SHR013 / 1067</t>
  </si>
  <si>
    <t>BIRKENHEAD St Anne</t>
  </si>
  <si>
    <t>SHR014 / 1068</t>
  </si>
  <si>
    <t>BIRKENHEAD St Joseph</t>
  </si>
  <si>
    <t>SHR016 / 1070</t>
  </si>
  <si>
    <t>BIRKENHEAD St Michael &amp; All Angels</t>
  </si>
  <si>
    <t>SHR017 / 1071</t>
  </si>
  <si>
    <t>BIRKENHEAD St Paul</t>
  </si>
  <si>
    <t>SHR019 / 1073</t>
  </si>
  <si>
    <t>BIRKENHEAD St Werburgh &amp; St Laurence</t>
  </si>
  <si>
    <t>SHR020 / 1074</t>
  </si>
  <si>
    <t>BOLLINGTON St Gregory</t>
  </si>
  <si>
    <t>SHR021 / 1075</t>
  </si>
  <si>
    <t>BRAMHALL St Vincent de Paul</t>
  </si>
  <si>
    <t>SHR022 / 1076</t>
  </si>
  <si>
    <t>BRIDGNORTH St John the Evangelist</t>
  </si>
  <si>
    <t>SHR023 / 1077</t>
  </si>
  <si>
    <t>BROMBOROUGH Christ the King</t>
  </si>
  <si>
    <t>SHR024 / 1078</t>
  </si>
  <si>
    <t>HEALD GREEN, CHEADLE Christ Church</t>
  </si>
  <si>
    <t>SHR025 / 1079</t>
  </si>
  <si>
    <t>CHEADLE St Ann</t>
  </si>
  <si>
    <t>SHR026 / 1080</t>
  </si>
  <si>
    <t>CHEADLE St Chad</t>
  </si>
  <si>
    <t>SHR027 / 1081</t>
  </si>
  <si>
    <t>CHESTER St Clare</t>
  </si>
  <si>
    <t>SHR028 / 1082</t>
  </si>
  <si>
    <t>CHESTER St Columba</t>
  </si>
  <si>
    <t>SHR029 / 1083</t>
  </si>
  <si>
    <t>CHESTER St Francis</t>
  </si>
  <si>
    <t>SHR030 / 1084</t>
  </si>
  <si>
    <t>CHESTER St Theresa</t>
  </si>
  <si>
    <t>SHR031 / 1085</t>
  </si>
  <si>
    <t>CHESTER St Werburgh</t>
  </si>
  <si>
    <t>SHR032 / 1086</t>
  </si>
  <si>
    <t>CHURCH STRETTON St Milburga &amp; St Walburga</t>
  </si>
  <si>
    <t>SHR033 / 1087</t>
  </si>
  <si>
    <t>CONGLETON St Mary</t>
  </si>
  <si>
    <t>SHR034 / 1088</t>
  </si>
  <si>
    <t>CREWE St Mary of the Immaculate Conception</t>
  </si>
  <si>
    <t>SHR035 / 1089</t>
  </si>
  <si>
    <t>DUKINFIELD St Mary</t>
  </si>
  <si>
    <t>SHR036 / 1090</t>
  </si>
  <si>
    <t>ELLESMERE St Michael</t>
  </si>
  <si>
    <t>SHR036X / 147912</t>
  </si>
  <si>
    <t>WEM Our Lady of Perpetual Succour</t>
  </si>
  <si>
    <t>SHR037-38 / 1091/92</t>
  </si>
  <si>
    <t>ELLESMERE PORT Our Lady Star of the Sea &amp; St Bernard</t>
  </si>
  <si>
    <t>SHR039 / 1093</t>
  </si>
  <si>
    <t>FRODSHAM St Luke</t>
  </si>
  <si>
    <t>SHR040 / 1094</t>
  </si>
  <si>
    <t>GREASBY Our Lady of Pity</t>
  </si>
  <si>
    <t>SHR041 / 1095</t>
  </si>
  <si>
    <t>ELLESMERE PORT St Saviour</t>
  </si>
  <si>
    <t>SHR042 / 1096</t>
  </si>
  <si>
    <t>HALE BARNS Holy Angels</t>
  </si>
  <si>
    <t>SHR043 / 1097</t>
  </si>
  <si>
    <t>HANDFORTH St Benedict</t>
  </si>
  <si>
    <t>SHR044 / 1098</t>
  </si>
  <si>
    <t>HATTERSLEY St James the Great</t>
  </si>
  <si>
    <t>SHR046 / 1100</t>
  </si>
  <si>
    <t>HAZEL GROVE St Peter</t>
  </si>
  <si>
    <t>SHR047 / 1101</t>
  </si>
  <si>
    <t>HESWALL Our Lady &amp; St John</t>
  </si>
  <si>
    <t>SHR048 / 1102</t>
  </si>
  <si>
    <t>HOOTON St Mary of the Angels</t>
  </si>
  <si>
    <t>SHR049 / 1103</t>
  </si>
  <si>
    <t>HOYLAKE St Catherine &amp; St Martina</t>
  </si>
  <si>
    <t>SHR050 / 1104</t>
  </si>
  <si>
    <t>HYDE St Paul</t>
  </si>
  <si>
    <t>SHR051 / 1105</t>
  </si>
  <si>
    <t>KNUTSFORD St Vincent de Paul</t>
  </si>
  <si>
    <t>SHR052 / 1106</t>
  </si>
  <si>
    <t>LATCHFORD Blessed John Henry Newman</t>
  </si>
  <si>
    <t>SHR054 / 1108</t>
  </si>
  <si>
    <t>LUDLOW St Peter</t>
  </si>
  <si>
    <t>SHR054A / 147944</t>
  </si>
  <si>
    <t>CLEOBURY MORTIMER St Elizabeth</t>
  </si>
  <si>
    <t>SHR055 / 1109</t>
  </si>
  <si>
    <t>LYMM St Winefride</t>
  </si>
  <si>
    <t>SHR056 / 1110</t>
  </si>
  <si>
    <t>MACCLESFIELD St Alban</t>
  </si>
  <si>
    <t>SHR057 / 1111</t>
  </si>
  <si>
    <t>MACCLESFIELD St Edward the Confessor</t>
  </si>
  <si>
    <t>SHR058X / 1112</t>
  </si>
  <si>
    <t>MALPAS St Joseph</t>
  </si>
  <si>
    <t>SHR059 / 1113</t>
  </si>
  <si>
    <t>MARKET DRAYTON St Thomas Aquinas &amp; Stephen Harding</t>
  </si>
  <si>
    <t>SHR060 / 1114</t>
  </si>
  <si>
    <t>MARPLE The Holy Spirit</t>
  </si>
  <si>
    <t>SHR061 / 1115</t>
  </si>
  <si>
    <t>MIDDLEWICH St Mary</t>
  </si>
  <si>
    <t>SHR063 / 1117</t>
  </si>
  <si>
    <t>NANTWICH St Anne</t>
  </si>
  <si>
    <t>SHR064 / 1118</t>
  </si>
  <si>
    <t>NESTON St Winefride</t>
  </si>
  <si>
    <t>SHR065 / 1119</t>
  </si>
  <si>
    <t>NEW FERRY St John the Evangelist</t>
  </si>
  <si>
    <t>SHR066 / 1120</t>
  </si>
  <si>
    <t>NEWPORT St Peter &amp; St Paul</t>
  </si>
  <si>
    <t>SHR067 / 1121</t>
  </si>
  <si>
    <t>NORTHWICH St Wilfrid</t>
  </si>
  <si>
    <t>SHR069 / 1123</t>
  </si>
  <si>
    <t>OWESTRY Our Lady Help of Christians &amp; St Oswald</t>
  </si>
  <si>
    <t>SHR070 / 1124</t>
  </si>
  <si>
    <t>PARTINGTON Our Lady of Lourdes</t>
  </si>
  <si>
    <t>SHR071 / 1125</t>
  </si>
  <si>
    <t>PENSBY Holy Family</t>
  </si>
  <si>
    <t>SHR072 / 1126</t>
  </si>
  <si>
    <t>POYNTON St Paul</t>
  </si>
  <si>
    <t>SHR073 / 1127</t>
  </si>
  <si>
    <t>ROMILEY Our Lady &amp; St Christopher</t>
  </si>
  <si>
    <t>SHR074 / 1128</t>
  </si>
  <si>
    <t>RUNCORN Holy Spirit</t>
  </si>
  <si>
    <t>SHR075 / 1129</t>
  </si>
  <si>
    <t>RUNCORN Our Lady Mother of Saviour</t>
  </si>
  <si>
    <t>SHR076 / 1130</t>
  </si>
  <si>
    <t>RUNCORN St Augustine</t>
  </si>
  <si>
    <t>SHR077 / 1131</t>
  </si>
  <si>
    <t>RUNCORN St Edward</t>
  </si>
  <si>
    <t>SHR078 / 1132</t>
  </si>
  <si>
    <t>RUNCORN St Martin de Porres</t>
  </si>
  <si>
    <t>SHR079 / 1133</t>
  </si>
  <si>
    <t>SALE All Saints</t>
  </si>
  <si>
    <t>SHR079A / 1134</t>
  </si>
  <si>
    <t>SALE St Margaret Ward</t>
  </si>
  <si>
    <t>SHR080 / 1135</t>
  </si>
  <si>
    <t>SALE St Joseph</t>
  </si>
  <si>
    <t>SHR081 / 1136</t>
  </si>
  <si>
    <t>SALE MOOR Holy Family</t>
  </si>
  <si>
    <t>SHR082 / 1137</t>
  </si>
  <si>
    <t>SANDBACH St Winefride</t>
  </si>
  <si>
    <t>SHR083 / 1138</t>
  </si>
  <si>
    <t>SHIFNAL St Mary</t>
  </si>
  <si>
    <t>SHR085-86 / 1139</t>
  </si>
  <si>
    <t>STALYBRIDGE St Peter</t>
  </si>
  <si>
    <t>SHR088 / 1142</t>
  </si>
  <si>
    <t>STOCKPORT Our Lady &amp; the Apostle</t>
  </si>
  <si>
    <t>SHR089 / 1143</t>
  </si>
  <si>
    <t>STOCKPORT St Ambrose</t>
  </si>
  <si>
    <t>SHR090 / 1144</t>
  </si>
  <si>
    <t>STOCKPORT St Bernadette</t>
  </si>
  <si>
    <t>SHR091 / 1145</t>
  </si>
  <si>
    <t>STOCKPORT St Joseph</t>
  </si>
  <si>
    <t>SHR092 / 1146</t>
  </si>
  <si>
    <t>STOCKPORT St Philip</t>
  </si>
  <si>
    <t>SHR093 / 1147</t>
  </si>
  <si>
    <t>APPLETON St Monica</t>
  </si>
  <si>
    <t>SHR094 / 1148</t>
  </si>
  <si>
    <t>TARPORLEY St Thomas Becket</t>
  </si>
  <si>
    <t>SHR095 / 1149</t>
  </si>
  <si>
    <t>TELFORD St Patrick</t>
  </si>
  <si>
    <t>SHR097 / 1151</t>
  </si>
  <si>
    <t>TELFORD Our Lady of the Rosary</t>
  </si>
  <si>
    <t>SHR098 / 1152</t>
  </si>
  <si>
    <t>TELFORD The Good Shepherd</t>
  </si>
  <si>
    <t>SHR100 / 1154</t>
  </si>
  <si>
    <t>UPTON St Joseph</t>
  </si>
  <si>
    <t>SHR101 / 1155</t>
  </si>
  <si>
    <t>WALLASEY Sacred Heart</t>
  </si>
  <si>
    <t>SHR102 / 1156</t>
  </si>
  <si>
    <t>WALLASEY Our Lady &amp; St Joseph</t>
  </si>
  <si>
    <t>SHR104 / 1158</t>
  </si>
  <si>
    <t>WALLASEY St Alban</t>
  </si>
  <si>
    <t>SHR105 / 1159 &amp; SHR106/1160</t>
  </si>
  <si>
    <t>WALLASEY St Peter &amp; St Paul - Holy Apostles &amp; Martyrs</t>
  </si>
  <si>
    <t>SHR107 / 1161</t>
  </si>
  <si>
    <t>WEAVERHAM St Bede</t>
  </si>
  <si>
    <t>SHR108 / 1162</t>
  </si>
  <si>
    <t>WEST KIRBY St Agnes</t>
  </si>
  <si>
    <t>SHR109 / 1163</t>
  </si>
  <si>
    <t>WHALEY BRIDGE The Sacred Heart</t>
  </si>
  <si>
    <t>SHR110 / 1164</t>
  </si>
  <si>
    <t>WHITCHURCH St George</t>
  </si>
  <si>
    <t>SHR111 / 1165</t>
  </si>
  <si>
    <t>WILMSLOW Sacred Heart &amp; St Teresa</t>
  </si>
  <si>
    <t>SHR112 / 1166</t>
  </si>
  <si>
    <t>WINSFORD St Joseph</t>
  </si>
  <si>
    <t>SHR114 / 1167</t>
  </si>
  <si>
    <t>WYTHENSHAWE Sacred Heart  &amp; St Peter</t>
  </si>
  <si>
    <t>SHR115 / 1168</t>
  </si>
  <si>
    <t>WYTHENSHAWE St Aidan</t>
  </si>
  <si>
    <t>SHR116 / 1169</t>
  </si>
  <si>
    <t>WYTHENSHAWE St Anthony</t>
  </si>
  <si>
    <t>SHR117 / 1170</t>
  </si>
  <si>
    <t>WYTHENSHAWE St Elizabeth</t>
  </si>
  <si>
    <t>SHR118 / 1171</t>
  </si>
  <si>
    <t>WYTHENSHAWE St Hilda</t>
  </si>
  <si>
    <t>SHR119 / 1172</t>
  </si>
  <si>
    <t>WYTHENSHAWE St John Fisher &amp; St Thomas More</t>
  </si>
  <si>
    <t>SHR777-999</t>
  </si>
  <si>
    <t>The Catholic Parish of Sheppey (St Henry &amp; St Elizabeth)</t>
  </si>
  <si>
    <t>St Albans</t>
  </si>
  <si>
    <t>Tower Hamets</t>
  </si>
  <si>
    <t>Hammersmith &amp; Fulham</t>
  </si>
  <si>
    <t>Lea Valley Deanery</t>
  </si>
  <si>
    <t>Barnet Deanary</t>
  </si>
  <si>
    <t xml:space="preserve">Watford </t>
  </si>
  <si>
    <t>Kensington and Chelsea</t>
  </si>
  <si>
    <t>NORTH HARROW</t>
  </si>
  <si>
    <t>St Mary, Our Lady of Walsingham</t>
  </si>
  <si>
    <t>Marylrbone</t>
  </si>
  <si>
    <t xml:space="preserve">Kensington &amp; Chelsea </t>
  </si>
  <si>
    <t xml:space="preserve">Hammersmith &amp; Fulham </t>
  </si>
  <si>
    <t>Harow</t>
  </si>
  <si>
    <t>Harrow`</t>
  </si>
  <si>
    <t>HAL054</t>
  </si>
  <si>
    <t>HAL065</t>
  </si>
  <si>
    <t>St Mary &amp; St Joseph the Worker (St Joseph)</t>
  </si>
  <si>
    <t>Ind. Direct</t>
  </si>
  <si>
    <t xml:space="preserve">This is the money paid directly by parishes (e.g. Bank transfers or cheques sent to Eccleston Sq/Freshfield) </t>
  </si>
  <si>
    <t>HEX029</t>
  </si>
  <si>
    <t>HEX100</t>
  </si>
  <si>
    <t>HEX163</t>
  </si>
  <si>
    <t>HEX164</t>
  </si>
  <si>
    <t>HEX196</t>
  </si>
  <si>
    <t>WOLSINGHAM</t>
  </si>
  <si>
    <t>Holy Family (CLOSED)</t>
  </si>
  <si>
    <t>Parish of St Jeanne Jugan (Holy Rosary)</t>
  </si>
  <si>
    <t>CHOPWELL</t>
  </si>
  <si>
    <t>LAN011</t>
  </si>
  <si>
    <t>LAN016</t>
  </si>
  <si>
    <t>LAN110</t>
  </si>
  <si>
    <t>LAN121</t>
  </si>
  <si>
    <t>Our Lady of Furness (Sacred Heart)</t>
  </si>
  <si>
    <t>Our Lady of Furness (St Columba)</t>
  </si>
  <si>
    <t>0444605 </t>
  </si>
  <si>
    <t>GRASMERE</t>
  </si>
  <si>
    <t>0444504 </t>
  </si>
  <si>
    <t>ALSTON</t>
  </si>
  <si>
    <t>Red Box Parish Donations 2020: Lancaster Diocese</t>
  </si>
  <si>
    <t>Red Box Parish Donations 2020: Hexham &amp; Newcastle Diocese</t>
  </si>
  <si>
    <t>Red Box Parish Donations 2020: Hallam Diocese</t>
  </si>
  <si>
    <t>Red Box Parish Donations 2020: Leeds Diocese</t>
  </si>
  <si>
    <t>LEE075</t>
  </si>
  <si>
    <t>LEE090</t>
  </si>
  <si>
    <t>LEE098</t>
  </si>
  <si>
    <t>0444596 </t>
  </si>
  <si>
    <t>Saint John H Newman (Corpus Christi)</t>
  </si>
  <si>
    <t>Saint John H Newman (St Gregory the Great)</t>
  </si>
  <si>
    <t>St Jeanne Jugan (St Urban)</t>
  </si>
  <si>
    <t>0444579 </t>
  </si>
  <si>
    <t>Red Box Parish Donations 2020: Liverpool Diocese</t>
  </si>
  <si>
    <t>LIV038</t>
  </si>
  <si>
    <t>LIV178</t>
  </si>
  <si>
    <t>LIV184</t>
  </si>
  <si>
    <t>Our Lady, Star of the Sea &amp; St Maughold</t>
  </si>
  <si>
    <t>HARESFINCH</t>
  </si>
  <si>
    <t>Red Box Parish Donations 2020: Middlesbrough Diocese</t>
  </si>
  <si>
    <t>MIDDLESBROUGH DIOCESE</t>
  </si>
  <si>
    <t>SAL069X</t>
  </si>
  <si>
    <t>SAL073</t>
  </si>
  <si>
    <t>SAL117</t>
  </si>
  <si>
    <t>Our Lady of the Valley (St Hubert)</t>
  </si>
  <si>
    <t>Red Box Parish Donations 2020: Salford Diocese</t>
  </si>
  <si>
    <t>0444603</t>
  </si>
  <si>
    <t>Area</t>
  </si>
  <si>
    <t>Dioceses</t>
  </si>
  <si>
    <t>South Essex</t>
  </si>
  <si>
    <t>Barking</t>
  </si>
  <si>
    <t>Area+A3:J18</t>
  </si>
  <si>
    <t>Redbridge</t>
  </si>
  <si>
    <t>Southend</t>
  </si>
  <si>
    <t>North Essex</t>
  </si>
  <si>
    <t>Mid-Essex</t>
  </si>
  <si>
    <t>Newham</t>
  </si>
  <si>
    <t>Mid Essex</t>
  </si>
  <si>
    <t>2081</t>
  </si>
  <si>
    <t>Parish of Our Lady Immaculate &amp; Holy Name ( Our Lady Immaculate Church)</t>
  </si>
  <si>
    <t>Waltham Forest</t>
  </si>
  <si>
    <t>Colchester</t>
  </si>
  <si>
    <t>Havering</t>
  </si>
  <si>
    <t>ROYAL DOCKS</t>
  </si>
  <si>
    <t>DANBURY</t>
  </si>
  <si>
    <t>SOUTH WOODHAM FERRERS</t>
  </si>
  <si>
    <t>West Essex</t>
  </si>
  <si>
    <t>GREAT BARDFIELD</t>
  </si>
  <si>
    <t>GREENSTEAD</t>
  </si>
  <si>
    <t>HARWICH and DOVERCOURT</t>
  </si>
  <si>
    <t>HUTTON and SHENFIELD</t>
  </si>
  <si>
    <t>Our Lady &amp; All Saints (St Theresa of Lisieux)</t>
  </si>
  <si>
    <t>SOUTHEND ON SEA linked with PRITTLEWELL</t>
  </si>
  <si>
    <t>HOCKLEY</t>
  </si>
  <si>
    <t>STANSTED MOUNTFITCHET</t>
  </si>
  <si>
    <t>BRIGHTLINGSEA-with-WIVENHOE</t>
  </si>
  <si>
    <t>CAR035 / 2203</t>
  </si>
  <si>
    <t>BRYNMAWR</t>
  </si>
  <si>
    <t>CAR044 / 2211</t>
  </si>
  <si>
    <t>Parish of the Most Most Holy Redeemer &amp; St Joseph (Most Holy Redeemer RC Church)</t>
  </si>
  <si>
    <t>Parish of the Most Holy Redeemer &amp; St Joseph (St Joseph RC Church)</t>
  </si>
  <si>
    <t>WRX007 / 1622</t>
  </si>
  <si>
    <t>The Immaculate Conception &amp; St Egwin RC Church</t>
  </si>
  <si>
    <t>BIR181S / 0444443</t>
  </si>
  <si>
    <t>SOU052S / 0444386</t>
  </si>
  <si>
    <t>SOU081S / 0444630</t>
  </si>
  <si>
    <t>Red Box Income per diocese,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</si>
</sst>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809]* #,##0.00_-;\-[$£-809]* #,##0.00_-;_-[$£-809]* &quot;-&quot;??_-;_-@_-"/>
    <numFmt numFmtId="165" formatCode="[$£-809]#,##0.00"/>
    <numFmt numFmtId="166" formatCode="[$£-809]#,##0"/>
    <numFmt numFmtId="167" formatCode="0.00_ ;[Red]\-0.00\ "/>
    <numFmt numFmtId="168" formatCode="&quot;£&quot;#,##0.00"/>
    <numFmt numFmtId="169" formatCode="&quot;£&quot;#,##0"/>
    <numFmt numFmtId="170" formatCode="[$£-809]#,##0.00;[Red][$£-809]#,##0.00"/>
    <numFmt numFmtId="171" formatCode="#,##0.00_ ;[Red]\-#,##0.00\ "/>
    <numFmt numFmtId="172" formatCode="_-* #,##0_-;\-* #,##0_-;_-* &quot;-&quot;??_-;_-@_-"/>
    <numFmt numFmtId="173" formatCode="#,##0;[Red]\(#,##0\)"/>
    <numFmt numFmtId="174" formatCode="0.0%"/>
  </numFmts>
  <fonts count="88" x14ac:knownFonts="1">
    <font>
      <sz val="10"/>
      <color indexed="8"/>
      <name val="ARIAL"/>
      <charset val="1"/>
    </font>
    <font>
      <sz val="11"/>
      <color theme="1"/>
      <name val="Calibri"/>
      <family val="2"/>
      <scheme val="minor"/>
    </font>
    <font>
      <sz val="11"/>
      <color theme="1"/>
      <name val="Calibri"/>
      <family val="2"/>
      <scheme val="minor"/>
    </font>
    <font>
      <sz val="16"/>
      <color indexed="8"/>
      <name val="Arial"/>
      <family val="2"/>
    </font>
    <font>
      <b/>
      <sz val="14"/>
      <color indexed="8"/>
      <name val="ARIAL"/>
      <family val="2"/>
    </font>
    <font>
      <b/>
      <sz val="12"/>
      <color indexed="8"/>
      <name val="Arial"/>
      <family val="2"/>
    </font>
    <font>
      <sz val="10"/>
      <color indexed="8"/>
      <name val="Arial"/>
      <family val="2"/>
    </font>
    <font>
      <b/>
      <sz val="10"/>
      <color indexed="8"/>
      <name val="Arial"/>
      <family val="2"/>
    </font>
    <font>
      <sz val="12"/>
      <color indexed="8"/>
      <name val="Arial"/>
      <family val="2"/>
    </font>
    <font>
      <sz val="12"/>
      <color theme="1" tint="0.499984740745262"/>
      <name val="Arial"/>
      <family val="2"/>
    </font>
    <font>
      <sz val="12"/>
      <name val="Arial"/>
      <family val="2"/>
    </font>
    <font>
      <b/>
      <sz val="9"/>
      <color indexed="81"/>
      <name val="Tahoma"/>
      <family val="2"/>
    </font>
    <font>
      <sz val="9"/>
      <color indexed="81"/>
      <name val="Tahoma"/>
      <family val="2"/>
    </font>
    <font>
      <sz val="10"/>
      <color indexed="8"/>
      <name val="Arial"/>
      <family val="2"/>
    </font>
    <font>
      <sz val="10"/>
      <color theme="1"/>
      <name val="Arial"/>
      <family val="2"/>
    </font>
    <font>
      <b/>
      <sz val="10"/>
      <color rgb="FF0070C0"/>
      <name val="Segoe UI"/>
      <family val="2"/>
    </font>
    <font>
      <b/>
      <sz val="11"/>
      <color rgb="FF0070C0"/>
      <name val="Calibri"/>
      <family val="2"/>
      <scheme val="minor"/>
    </font>
    <font>
      <b/>
      <sz val="10"/>
      <color rgb="FF0070C0"/>
      <name val="Arial"/>
      <family val="2"/>
    </font>
    <font>
      <b/>
      <sz val="10"/>
      <color rgb="FFFF0000"/>
      <name val="Arial"/>
      <family val="2"/>
    </font>
    <font>
      <sz val="10"/>
      <name val="Arial"/>
      <family val="2"/>
    </font>
    <font>
      <sz val="10"/>
      <name val="Segoe UI"/>
      <family val="2"/>
    </font>
    <font>
      <strike/>
      <sz val="10"/>
      <name val="Arial"/>
      <family val="2"/>
    </font>
    <font>
      <b/>
      <sz val="10"/>
      <name val="Arial"/>
      <family val="2"/>
    </font>
    <font>
      <sz val="10"/>
      <color rgb="FFFF0000"/>
      <name val="Arial"/>
      <family val="2"/>
    </font>
    <font>
      <sz val="10"/>
      <color rgb="FFFF0000"/>
      <name val="Segoe UI"/>
      <family val="2"/>
    </font>
    <font>
      <b/>
      <sz val="10"/>
      <color rgb="FFFF0000"/>
      <name val="Segoe UI"/>
      <family val="2"/>
    </font>
    <font>
      <b/>
      <sz val="10"/>
      <name val="Segoe UI"/>
      <family val="2"/>
    </font>
    <font>
      <strike/>
      <sz val="10"/>
      <color rgb="FFFF0000"/>
      <name val="Arial"/>
      <family val="2"/>
    </font>
    <font>
      <b/>
      <sz val="10"/>
      <color theme="9" tint="-0.249977111117893"/>
      <name val="Arial"/>
      <family val="2"/>
    </font>
    <font>
      <sz val="16"/>
      <color theme="1"/>
      <name val="Arial"/>
      <family val="2"/>
    </font>
    <font>
      <b/>
      <sz val="12"/>
      <color theme="1"/>
      <name val="Arial"/>
      <family val="2"/>
    </font>
    <font>
      <b/>
      <sz val="12"/>
      <color rgb="FF000000"/>
      <name val="Arial"/>
      <family val="2"/>
    </font>
    <font>
      <b/>
      <i/>
      <sz val="12"/>
      <color rgb="FF000000"/>
      <name val="Arial"/>
      <family val="2"/>
    </font>
    <font>
      <sz val="12"/>
      <color theme="1"/>
      <name val="Arial"/>
      <family val="2"/>
    </font>
    <font>
      <i/>
      <sz val="12"/>
      <color rgb="FF000000"/>
      <name val="Arial"/>
      <family val="2"/>
    </font>
    <font>
      <b/>
      <sz val="12"/>
      <name val="Arial"/>
      <family val="2"/>
    </font>
    <font>
      <sz val="11"/>
      <color theme="1"/>
      <name val="Arial"/>
      <family val="2"/>
    </font>
    <font>
      <sz val="12"/>
      <color rgb="FF0070C0"/>
      <name val="Arial"/>
      <family val="2"/>
    </font>
    <font>
      <sz val="12"/>
      <color theme="0" tint="-0.499984740745262"/>
      <name val="Arial"/>
      <family val="2"/>
    </font>
    <font>
      <sz val="12"/>
      <color rgb="FFFF0000"/>
      <name val="Arial"/>
      <family val="2"/>
    </font>
    <font>
      <b/>
      <sz val="16"/>
      <color indexed="8"/>
      <name val="Arial"/>
      <family val="2"/>
    </font>
    <font>
      <sz val="11"/>
      <color theme="0" tint="-0.499984740745262"/>
      <name val="Arial"/>
      <family val="2"/>
    </font>
    <font>
      <b/>
      <sz val="11"/>
      <color indexed="8"/>
      <name val="Arial"/>
      <family val="2"/>
    </font>
    <font>
      <b/>
      <i/>
      <sz val="11"/>
      <color indexed="8"/>
      <name val="Arial"/>
      <family val="2"/>
    </font>
    <font>
      <i/>
      <sz val="11"/>
      <color indexed="8"/>
      <name val="Arial"/>
      <family val="2"/>
    </font>
    <font>
      <sz val="12"/>
      <color indexed="10"/>
      <name val="Arial"/>
      <family val="2"/>
    </font>
    <font>
      <sz val="11"/>
      <color indexed="8"/>
      <name val="Arial"/>
      <family val="2"/>
    </font>
    <font>
      <i/>
      <sz val="12"/>
      <color indexed="8"/>
      <name val="Arial"/>
      <family val="2"/>
    </font>
    <font>
      <sz val="11"/>
      <name val="Arial"/>
      <family val="2"/>
    </font>
    <font>
      <b/>
      <sz val="11"/>
      <color theme="9" tint="-0.249977111117893"/>
      <name val="Arial"/>
      <family val="2"/>
    </font>
    <font>
      <b/>
      <sz val="12"/>
      <color theme="9" tint="-0.249977111117893"/>
      <name val="Arial"/>
      <family val="2"/>
    </font>
    <font>
      <b/>
      <sz val="9"/>
      <color rgb="FF0070C0"/>
      <name val="Arial"/>
      <family val="2"/>
    </font>
    <font>
      <b/>
      <sz val="12"/>
      <color rgb="FFFF0000"/>
      <name val="Arial"/>
      <family val="2"/>
    </font>
    <font>
      <strike/>
      <sz val="12"/>
      <color indexed="8"/>
      <name val="Arial"/>
      <family val="2"/>
    </font>
    <font>
      <b/>
      <sz val="12"/>
      <color rgb="FF7030A0"/>
      <name val="Arial"/>
      <family val="2"/>
    </font>
    <font>
      <sz val="8"/>
      <name val="Arial"/>
      <family val="2"/>
    </font>
    <font>
      <sz val="8"/>
      <name val="Arial"/>
      <family val="2"/>
    </font>
    <font>
      <sz val="16"/>
      <color theme="0" tint="-0.499984740745262"/>
      <name val="Arial"/>
      <family val="2"/>
    </font>
    <font>
      <b/>
      <strike/>
      <sz val="12"/>
      <color rgb="FF000000"/>
      <name val="Arial"/>
      <family val="2"/>
    </font>
    <font>
      <strike/>
      <sz val="12"/>
      <color rgb="FF7030A0"/>
      <name val="Arial"/>
      <family val="2"/>
    </font>
    <font>
      <sz val="10"/>
      <color theme="0" tint="-0.499984740745262"/>
      <name val="Arial"/>
      <family val="2"/>
    </font>
    <font>
      <sz val="11"/>
      <color rgb="FFFF0000"/>
      <name val="Arial"/>
      <family val="2"/>
    </font>
    <font>
      <sz val="18"/>
      <color rgb="FFFF0000"/>
      <name val="Arial"/>
      <family val="2"/>
    </font>
    <font>
      <b/>
      <sz val="10"/>
      <color rgb="FF000000"/>
      <name val="Arial"/>
      <family val="2"/>
    </font>
    <font>
      <sz val="10"/>
      <color indexed="8"/>
      <name val="Arial"/>
      <family val="2"/>
    </font>
    <font>
      <b/>
      <sz val="20"/>
      <color theme="1"/>
      <name val="Calibri"/>
      <family val="2"/>
      <scheme val="minor"/>
    </font>
    <font>
      <b/>
      <sz val="12"/>
      <color theme="0"/>
      <name val="Arial"/>
      <family val="2"/>
    </font>
    <font>
      <b/>
      <sz val="11"/>
      <color theme="1"/>
      <name val="Arial"/>
      <family val="2"/>
    </font>
    <font>
      <b/>
      <sz val="16"/>
      <color theme="0"/>
      <name val="Arial"/>
      <family val="2"/>
    </font>
    <font>
      <sz val="11"/>
      <color theme="0" tint="-0.499984740745262"/>
      <name val="Calibri"/>
      <family val="2"/>
      <scheme val="minor"/>
    </font>
    <font>
      <b/>
      <sz val="16"/>
      <name val="Arial"/>
      <family val="2"/>
    </font>
    <font>
      <sz val="16"/>
      <color theme="1"/>
      <name val="Calibri"/>
      <family val="2"/>
      <scheme val="minor"/>
    </font>
    <font>
      <b/>
      <sz val="11"/>
      <color theme="0"/>
      <name val="Arial"/>
      <family val="2"/>
    </font>
    <font>
      <b/>
      <sz val="10"/>
      <color theme="0"/>
      <name val="Arial"/>
      <family val="2"/>
    </font>
    <font>
      <b/>
      <sz val="18"/>
      <name val="Arial"/>
      <family val="2"/>
    </font>
    <font>
      <sz val="18"/>
      <name val="Arial"/>
      <family val="2"/>
    </font>
    <font>
      <b/>
      <sz val="11"/>
      <name val="Arial"/>
      <family val="2"/>
    </font>
    <font>
      <b/>
      <sz val="11"/>
      <color rgb="FFFF0000"/>
      <name val="Arial"/>
      <family val="2"/>
    </font>
    <font>
      <b/>
      <i/>
      <sz val="11"/>
      <name val="Arial"/>
      <family val="2"/>
    </font>
    <font>
      <sz val="11"/>
      <color rgb="FFC00000"/>
      <name val="Arial"/>
      <family val="2"/>
    </font>
    <font>
      <b/>
      <sz val="11"/>
      <color theme="2" tint="-0.249977111117893"/>
      <name val="Arial"/>
      <family val="2"/>
    </font>
    <font>
      <sz val="12"/>
      <color theme="2" tint="-0.249977111117893"/>
      <name val="Arial"/>
      <family val="2"/>
    </font>
    <font>
      <sz val="11"/>
      <color rgb="FF595959"/>
      <name val="Arial"/>
      <family val="2"/>
    </font>
    <font>
      <b/>
      <sz val="20"/>
      <color theme="1"/>
      <name val="Arial"/>
      <family val="2"/>
    </font>
    <font>
      <b/>
      <sz val="14"/>
      <color theme="0"/>
      <name val="Arial"/>
      <family val="2"/>
    </font>
    <font>
      <i/>
      <sz val="12"/>
      <color theme="1" tint="0.499984740745262"/>
      <name val="Arial"/>
      <family val="2"/>
    </font>
    <font>
      <sz val="11"/>
      <color theme="2" tint="-0.749992370372631"/>
      <name val="Arial"/>
      <family val="2"/>
    </font>
    <font>
      <b/>
      <sz val="16"/>
      <color theme="1"/>
      <name val="Arial"/>
      <family val="2"/>
    </font>
  </fonts>
  <fills count="40">
    <fill>
      <patternFill patternType="none"/>
    </fill>
    <fill>
      <patternFill patternType="gray125"/>
    </fill>
    <fill>
      <patternFill patternType="solid">
        <fgColor theme="0" tint="-0.499984740745262"/>
        <bgColor indexed="64"/>
      </patternFill>
    </fill>
    <fill>
      <patternFill patternType="solid">
        <fgColor theme="0" tint="-4.9989318521683403E-2"/>
        <bgColor indexed="64"/>
      </patternFill>
    </fill>
    <fill>
      <patternFill patternType="solid">
        <fgColor rgb="FFFF6699"/>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FFF00"/>
        <bgColor indexed="64"/>
      </patternFill>
    </fill>
    <fill>
      <patternFill patternType="solid">
        <fgColor theme="3" tint="0.59999389629810485"/>
        <bgColor indexed="64"/>
      </patternFill>
    </fill>
    <fill>
      <patternFill patternType="solid">
        <fgColor rgb="FFCCFFCC"/>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D5C1AD"/>
        <bgColor indexed="64"/>
      </patternFill>
    </fill>
    <fill>
      <patternFill patternType="solid">
        <fgColor rgb="FFFFFF66"/>
        <bgColor indexed="64"/>
      </patternFill>
    </fill>
    <fill>
      <patternFill patternType="solid">
        <fgColor theme="5" tint="0.59999389629810485"/>
        <bgColor indexed="64"/>
      </patternFill>
    </fill>
    <fill>
      <patternFill patternType="solid">
        <fgColor rgb="FF00CC99"/>
        <bgColor indexed="64"/>
      </patternFill>
    </fill>
    <fill>
      <patternFill patternType="solid">
        <fgColor rgb="FFCCFF66"/>
        <bgColor indexed="64"/>
      </patternFill>
    </fill>
    <fill>
      <patternFill patternType="solid">
        <fgColor theme="0" tint="-0.499984740745262"/>
        <bgColor rgb="FF000000"/>
      </patternFill>
    </fill>
    <fill>
      <patternFill patternType="solid">
        <fgColor rgb="FFD9D9D9"/>
        <bgColor rgb="FF000000"/>
      </patternFill>
    </fill>
    <fill>
      <patternFill patternType="solid">
        <fgColor rgb="FFFF99FF"/>
        <bgColor indexed="64"/>
      </patternFill>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CFF"/>
        <bgColor indexed="64"/>
      </patternFill>
    </fill>
    <fill>
      <patternFill patternType="solid">
        <fgColor theme="0" tint="-0.34998626667073579"/>
        <bgColor indexed="64"/>
      </patternFill>
    </fill>
    <fill>
      <patternFill patternType="solid">
        <fgColor theme="3" tint="0.79998168889431442"/>
        <bgColor indexed="64"/>
      </patternFill>
    </fill>
    <fill>
      <patternFill patternType="solid">
        <fgColor theme="4" tint="-0.249977111117893"/>
        <bgColor indexed="64"/>
      </patternFill>
    </fill>
    <fill>
      <patternFill patternType="solid">
        <fgColor theme="2"/>
        <bgColor indexed="64"/>
      </patternFill>
    </fill>
    <fill>
      <patternFill patternType="solid">
        <fgColor rgb="FFC00000"/>
        <bgColor indexed="64"/>
      </patternFill>
    </fill>
    <fill>
      <patternFill patternType="solid">
        <fgColor theme="1" tint="0.499984740745262"/>
        <bgColor indexed="64"/>
      </patternFill>
    </fill>
    <fill>
      <patternFill patternType="solid">
        <fgColor rgb="FF92D050"/>
        <bgColor indexed="64"/>
      </patternFill>
    </fill>
  </fills>
  <borders count="5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diagonal/>
    </border>
    <border>
      <left/>
      <right style="medium">
        <color indexed="64"/>
      </right>
      <top style="thin">
        <color indexed="64"/>
      </top>
      <bottom style="thin">
        <color indexed="64"/>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medium">
        <color rgb="FFC00000"/>
      </left>
      <right/>
      <top style="medium">
        <color rgb="FFC00000"/>
      </top>
      <bottom style="medium">
        <color rgb="FFC00000"/>
      </bottom>
      <diagonal/>
    </border>
    <border>
      <left/>
      <right/>
      <top style="medium">
        <color rgb="FFC00000"/>
      </top>
      <bottom style="medium">
        <color rgb="FFC00000"/>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indexed="64"/>
      </bottom>
      <diagonal/>
    </border>
    <border>
      <left style="thin">
        <color theme="0" tint="-0.34998626667073579"/>
      </left>
      <right style="thin">
        <color indexed="64"/>
      </right>
      <top style="thin">
        <color theme="0" tint="-0.34998626667073579"/>
      </top>
      <bottom/>
      <diagonal/>
    </border>
    <border>
      <left style="thin">
        <color theme="0" tint="-0.34998626667073579"/>
      </left>
      <right style="thin">
        <color indexed="64"/>
      </right>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s>
  <cellStyleXfs count="20">
    <xf numFmtId="0" fontId="0" fillId="0" borderId="0">
      <alignment vertical="top"/>
    </xf>
    <xf numFmtId="9" fontId="6" fillId="0" borderId="0" applyFont="0" applyFill="0" applyBorder="0" applyAlignment="0" applyProtection="0">
      <alignment vertical="top"/>
    </xf>
    <xf numFmtId="44" fontId="13" fillId="0" borderId="0" applyFont="0" applyFill="0" applyBorder="0" applyAlignment="0" applyProtection="0"/>
    <xf numFmtId="0" fontId="14" fillId="0" borderId="0"/>
    <xf numFmtId="43" fontId="14" fillId="0" borderId="0" applyFont="0" applyFill="0" applyBorder="0" applyAlignment="0" applyProtection="0"/>
    <xf numFmtId="0" fontId="2" fillId="0" borderId="0"/>
    <xf numFmtId="44" fontId="2" fillId="0" borderId="0" applyFont="0" applyFill="0" applyBorder="0" applyAlignment="0" applyProtection="0"/>
    <xf numFmtId="0" fontId="6" fillId="0" borderId="0">
      <alignment vertical="top"/>
    </xf>
    <xf numFmtId="44" fontId="6" fillId="0" borderId="0" applyFont="0" applyFill="0" applyBorder="0" applyAlignment="0" applyProtection="0">
      <alignment vertical="top"/>
    </xf>
    <xf numFmtId="43" fontId="6" fillId="0" borderId="0" applyFont="0" applyFill="0" applyBorder="0" applyAlignment="0" applyProtection="0">
      <alignment vertical="top"/>
    </xf>
    <xf numFmtId="43" fontId="64" fillId="0" borderId="0" applyFont="0" applyFill="0" applyBorder="0" applyAlignment="0" applyProtection="0"/>
    <xf numFmtId="0" fontId="1" fillId="0" borderId="0"/>
    <xf numFmtId="44" fontId="1" fillId="0" borderId="0" applyFont="0" applyFill="0" applyBorder="0" applyAlignment="0" applyProtection="0"/>
    <xf numFmtId="9" fontId="14" fillId="0" borderId="0" applyFont="0" applyFill="0" applyBorder="0" applyAlignment="0" applyProtection="0"/>
    <xf numFmtId="44" fontId="14" fillId="0" borderId="0" applyFont="0" applyFill="0" applyBorder="0" applyAlignment="0" applyProtection="0"/>
    <xf numFmtId="42"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4" fontId="14" fillId="0" borderId="0" applyFont="0" applyFill="0" applyBorder="0" applyAlignment="0" applyProtection="0"/>
    <xf numFmtId="43" fontId="14" fillId="0" borderId="0" applyFont="0" applyFill="0" applyBorder="0" applyAlignment="0" applyProtection="0"/>
  </cellStyleXfs>
  <cellXfs count="923">
    <xf numFmtId="0" fontId="0" fillId="0" borderId="0" xfId="0">
      <alignment vertical="top"/>
    </xf>
    <xf numFmtId="0" fontId="4" fillId="0" borderId="0" xfId="0" applyFont="1">
      <alignment vertical="top"/>
    </xf>
    <xf numFmtId="0" fontId="5" fillId="2" borderId="1" xfId="0" applyFont="1" applyFill="1" applyBorder="1" applyAlignment="1">
      <alignment horizontal="center" vertical="center"/>
    </xf>
    <xf numFmtId="164" fontId="5" fillId="2" borderId="1" xfId="0" applyNumberFormat="1" applyFont="1" applyFill="1" applyBorder="1" applyAlignment="1">
      <alignment horizontal="center" vertical="center"/>
    </xf>
    <xf numFmtId="0" fontId="5" fillId="2" borderId="1" xfId="1" applyNumberFormat="1" applyFont="1" applyFill="1" applyBorder="1" applyAlignment="1">
      <alignment horizontal="center" vertical="center"/>
    </xf>
    <xf numFmtId="0" fontId="7" fillId="3" borderId="0" xfId="0" applyFont="1" applyFill="1">
      <alignment vertical="top"/>
    </xf>
    <xf numFmtId="0" fontId="8" fillId="0" borderId="1" xfId="0" applyFont="1" applyBorder="1" applyAlignment="1">
      <alignment vertical="center"/>
    </xf>
    <xf numFmtId="164" fontId="8" fillId="4" borderId="1" xfId="0" applyNumberFormat="1" applyFont="1" applyFill="1" applyBorder="1" applyAlignment="1">
      <alignment vertical="center"/>
    </xf>
    <xf numFmtId="164" fontId="8" fillId="0" borderId="1" xfId="1" applyNumberFormat="1" applyFont="1" applyBorder="1" applyAlignment="1">
      <alignment vertical="center"/>
    </xf>
    <xf numFmtId="164" fontId="9" fillId="0" borderId="1" xfId="1" applyNumberFormat="1" applyFont="1" applyBorder="1" applyAlignment="1">
      <alignment vertical="center"/>
    </xf>
    <xf numFmtId="165" fontId="0" fillId="0" borderId="0" xfId="0" applyNumberFormat="1">
      <alignment vertical="top"/>
    </xf>
    <xf numFmtId="164" fontId="8" fillId="0" borderId="1" xfId="0" applyNumberFormat="1" applyFont="1" applyBorder="1" applyAlignment="1">
      <alignment vertical="center"/>
    </xf>
    <xf numFmtId="0" fontId="10" fillId="0" borderId="1" xfId="0" applyFont="1" applyBorder="1" applyAlignment="1">
      <alignment vertical="center"/>
    </xf>
    <xf numFmtId="0" fontId="5" fillId="2" borderId="1" xfId="0" applyFont="1" applyFill="1" applyBorder="1" applyAlignment="1">
      <alignment horizontal="right" vertical="center"/>
    </xf>
    <xf numFmtId="0" fontId="5" fillId="2" borderId="1" xfId="0" applyFont="1" applyFill="1" applyBorder="1" applyAlignment="1">
      <alignment vertical="center"/>
    </xf>
    <xf numFmtId="164" fontId="5" fillId="2" borderId="1" xfId="0" applyNumberFormat="1" applyFont="1" applyFill="1" applyBorder="1" applyAlignment="1">
      <alignment vertical="center"/>
    </xf>
    <xf numFmtId="164" fontId="5" fillId="2" borderId="1" xfId="1" applyNumberFormat="1" applyFont="1" applyFill="1" applyBorder="1" applyAlignment="1">
      <alignment vertical="center"/>
    </xf>
    <xf numFmtId="166" fontId="5" fillId="0" borderId="0" xfId="0" applyNumberFormat="1" applyFont="1">
      <alignment vertical="top"/>
    </xf>
    <xf numFmtId="0" fontId="6" fillId="0" borderId="0" xfId="0" applyFont="1">
      <alignment vertical="top"/>
    </xf>
    <xf numFmtId="164" fontId="0" fillId="0" borderId="0" xfId="1" applyNumberFormat="1" applyFont="1">
      <alignment vertical="top"/>
    </xf>
    <xf numFmtId="43" fontId="16" fillId="0" borderId="0" xfId="4" applyFont="1" applyAlignment="1">
      <alignment horizontal="center" vertical="center" wrapText="1"/>
    </xf>
    <xf numFmtId="0" fontId="17" fillId="0" borderId="0" xfId="3" applyFont="1" applyAlignment="1">
      <alignment vertical="top"/>
    </xf>
    <xf numFmtId="0" fontId="19" fillId="0" borderId="0" xfId="3" applyFont="1"/>
    <xf numFmtId="0" fontId="19" fillId="0" borderId="0" xfId="3" applyFont="1" applyAlignment="1">
      <alignment vertical="top"/>
    </xf>
    <xf numFmtId="43" fontId="19" fillId="0" borderId="0" xfId="4" applyFont="1" applyAlignment="1">
      <alignment vertical="top"/>
    </xf>
    <xf numFmtId="43" fontId="19" fillId="0" borderId="0" xfId="4" applyFont="1" applyAlignment="1">
      <alignment horizontal="center" vertical="center"/>
    </xf>
    <xf numFmtId="0" fontId="23" fillId="0" borderId="0" xfId="3" applyFont="1" applyAlignment="1">
      <alignment vertical="top"/>
    </xf>
    <xf numFmtId="43" fontId="23" fillId="0" borderId="0" xfId="4" applyFont="1" applyAlignment="1">
      <alignment horizontal="center" vertical="center"/>
    </xf>
    <xf numFmtId="43" fontId="19" fillId="12" borderId="0" xfId="4" applyFont="1" applyFill="1" applyAlignment="1">
      <alignment vertical="top"/>
    </xf>
    <xf numFmtId="43" fontId="19" fillId="14" borderId="0" xfId="4" applyFont="1" applyFill="1" applyAlignment="1">
      <alignment vertical="top"/>
    </xf>
    <xf numFmtId="43" fontId="19" fillId="9" borderId="0" xfId="4" applyFont="1" applyFill="1" applyAlignment="1">
      <alignment vertical="top"/>
    </xf>
    <xf numFmtId="43" fontId="19" fillId="0" borderId="0" xfId="4" quotePrefix="1" applyFont="1" applyAlignment="1">
      <alignment vertical="top"/>
    </xf>
    <xf numFmtId="43" fontId="19" fillId="22" borderId="0" xfId="4" applyFont="1" applyFill="1" applyAlignment="1">
      <alignment vertical="top"/>
    </xf>
    <xf numFmtId="0" fontId="19" fillId="0" borderId="0" xfId="3" applyFont="1" applyAlignment="1">
      <alignment horizontal="center"/>
    </xf>
    <xf numFmtId="43" fontId="19" fillId="0" borderId="0" xfId="4" applyFont="1"/>
    <xf numFmtId="0" fontId="22" fillId="0" borderId="0" xfId="3" applyFont="1"/>
    <xf numFmtId="43" fontId="22" fillId="0" borderId="0" xfId="4" applyFont="1"/>
    <xf numFmtId="0" fontId="29" fillId="0" borderId="0" xfId="0" applyFont="1" applyAlignment="1">
      <alignment vertical="center" wrapText="1"/>
    </xf>
    <xf numFmtId="0" fontId="30" fillId="2" borderId="1" xfId="0" applyFont="1" applyFill="1" applyBorder="1" applyAlignment="1">
      <alignment horizontal="center" vertical="center"/>
    </xf>
    <xf numFmtId="0" fontId="31" fillId="25" borderId="1" xfId="2" applyNumberFormat="1" applyFont="1" applyFill="1" applyBorder="1" applyAlignment="1">
      <alignment horizontal="center" vertical="center"/>
    </xf>
    <xf numFmtId="0" fontId="32" fillId="26" borderId="1" xfId="0" applyFont="1" applyFill="1" applyBorder="1" applyAlignment="1">
      <alignment horizontal="left" vertical="center"/>
    </xf>
    <xf numFmtId="0" fontId="33" fillId="0" borderId="1" xfId="0" applyFont="1" applyBorder="1" applyAlignment="1">
      <alignment horizontal="left" vertical="center"/>
    </xf>
    <xf numFmtId="0" fontId="33" fillId="27" borderId="1" xfId="0" applyFont="1" applyFill="1" applyBorder="1" applyAlignment="1">
      <alignment horizontal="left" vertical="center"/>
    </xf>
    <xf numFmtId="164" fontId="33" fillId="0" borderId="1" xfId="0" applyNumberFormat="1" applyFont="1" applyBorder="1" applyAlignment="1">
      <alignment horizontal="left" vertical="center"/>
    </xf>
    <xf numFmtId="164" fontId="9" fillId="0" borderId="1" xfId="2" applyNumberFormat="1" applyFont="1" applyBorder="1" applyAlignment="1">
      <alignment horizontal="left" vertical="center"/>
    </xf>
    <xf numFmtId="165" fontId="34" fillId="26" borderId="3" xfId="0" applyNumberFormat="1" applyFont="1" applyFill="1" applyBorder="1" applyAlignment="1">
      <alignment horizontal="left" vertical="center"/>
    </xf>
    <xf numFmtId="165" fontId="34" fillId="26" borderId="1" xfId="0" applyNumberFormat="1" applyFont="1" applyFill="1" applyBorder="1" applyAlignment="1">
      <alignment horizontal="left" vertical="center"/>
    </xf>
    <xf numFmtId="0" fontId="8" fillId="0" borderId="1" xfId="0" applyFont="1" applyBorder="1" applyAlignment="1">
      <alignment horizontal="left" vertical="center"/>
    </xf>
    <xf numFmtId="0" fontId="33" fillId="28" borderId="1" xfId="0" applyFont="1" applyFill="1" applyBorder="1" applyAlignment="1">
      <alignment horizontal="left" vertical="center"/>
    </xf>
    <xf numFmtId="0" fontId="8" fillId="28" borderId="1" xfId="0" applyFont="1" applyFill="1" applyBorder="1" applyAlignment="1">
      <alignment horizontal="left" vertical="center"/>
    </xf>
    <xf numFmtId="0" fontId="33" fillId="12" borderId="1" xfId="0" applyFont="1" applyFill="1" applyBorder="1" applyAlignment="1">
      <alignment horizontal="left" vertical="center"/>
    </xf>
    <xf numFmtId="0" fontId="10" fillId="0" borderId="1" xfId="0" applyFont="1" applyBorder="1" applyAlignment="1">
      <alignment horizontal="left" vertical="center"/>
    </xf>
    <xf numFmtId="0" fontId="5" fillId="2" borderId="1" xfId="0" applyFont="1" applyFill="1" applyBorder="1" applyAlignment="1">
      <alignment horizontal="left" vertical="center"/>
    </xf>
    <xf numFmtId="0" fontId="35" fillId="2" borderId="1" xfId="0" applyFont="1" applyFill="1" applyBorder="1" applyAlignment="1">
      <alignment horizontal="left" vertical="center"/>
    </xf>
    <xf numFmtId="164" fontId="30" fillId="2" borderId="1" xfId="0" applyNumberFormat="1" applyFont="1" applyFill="1" applyBorder="1" applyAlignment="1">
      <alignment horizontal="left" vertical="center"/>
    </xf>
    <xf numFmtId="164" fontId="31" fillId="25" borderId="1" xfId="2" applyNumberFormat="1" applyFont="1" applyFill="1" applyBorder="1" applyAlignment="1">
      <alignment horizontal="left" vertical="center"/>
    </xf>
    <xf numFmtId="165" fontId="32" fillId="26" borderId="1" xfId="0" applyNumberFormat="1" applyFont="1" applyFill="1" applyBorder="1" applyAlignment="1">
      <alignment horizontal="left" vertical="center"/>
    </xf>
    <xf numFmtId="0" fontId="36" fillId="0" borderId="0" xfId="0" applyFont="1" applyAlignment="1">
      <alignment horizontal="left"/>
    </xf>
    <xf numFmtId="164" fontId="36" fillId="0" borderId="0" xfId="0" applyNumberFormat="1" applyFont="1" applyAlignment="1">
      <alignment horizontal="left"/>
    </xf>
    <xf numFmtId="0" fontId="29" fillId="0" borderId="2" xfId="0" applyFont="1" applyBorder="1" applyAlignment="1">
      <alignment vertical="center"/>
    </xf>
    <xf numFmtId="0" fontId="36" fillId="29" borderId="0" xfId="0" applyFont="1" applyFill="1" applyAlignment="1">
      <alignment horizontal="left"/>
    </xf>
    <xf numFmtId="164" fontId="36" fillId="29" borderId="0" xfId="0" applyNumberFormat="1" applyFont="1" applyFill="1" applyAlignment="1">
      <alignment horizontal="left"/>
    </xf>
    <xf numFmtId="0" fontId="0" fillId="29" borderId="0" xfId="0" applyFill="1">
      <alignment vertical="top"/>
    </xf>
    <xf numFmtId="0" fontId="29" fillId="0" borderId="0" xfId="5" applyFont="1" applyAlignment="1">
      <alignment vertical="center" wrapText="1"/>
    </xf>
    <xf numFmtId="0" fontId="36" fillId="0" borderId="0" xfId="5" applyFont="1" applyAlignment="1">
      <alignment horizontal="left"/>
    </xf>
    <xf numFmtId="0" fontId="5" fillId="2" borderId="1" xfId="5" applyFont="1" applyFill="1" applyBorder="1" applyAlignment="1">
      <alignment horizontal="center" vertical="center"/>
    </xf>
    <xf numFmtId="0" fontId="30" fillId="2" borderId="1" xfId="5" applyFont="1" applyFill="1" applyBorder="1" applyAlignment="1">
      <alignment horizontal="center" vertical="center"/>
    </xf>
    <xf numFmtId="0" fontId="36" fillId="0" borderId="0" xfId="5" applyFont="1" applyAlignment="1">
      <alignment horizontal="left" vertical="center"/>
    </xf>
    <xf numFmtId="0" fontId="33" fillId="0" borderId="1" xfId="5" applyFont="1" applyBorder="1" applyAlignment="1">
      <alignment horizontal="left" vertical="center"/>
    </xf>
    <xf numFmtId="164" fontId="33" fillId="0" borderId="1" xfId="5" applyNumberFormat="1" applyFont="1" applyBorder="1" applyAlignment="1">
      <alignment horizontal="left" vertical="center"/>
    </xf>
    <xf numFmtId="0" fontId="8" fillId="0" borderId="1" xfId="5" applyFont="1" applyBorder="1" applyAlignment="1">
      <alignment horizontal="left" vertical="center"/>
    </xf>
    <xf numFmtId="0" fontId="8" fillId="28" borderId="1" xfId="5" applyFont="1" applyFill="1" applyBorder="1" applyAlignment="1">
      <alignment horizontal="left" vertical="center"/>
    </xf>
    <xf numFmtId="0" fontId="10" fillId="0" borderId="1" xfId="5" applyFont="1" applyBorder="1" applyAlignment="1">
      <alignment horizontal="left" vertical="center"/>
    </xf>
    <xf numFmtId="164" fontId="36" fillId="0" borderId="0" xfId="5" applyNumberFormat="1" applyFont="1" applyAlignment="1">
      <alignment horizontal="left"/>
    </xf>
    <xf numFmtId="0" fontId="33" fillId="0" borderId="0" xfId="5" applyFont="1"/>
    <xf numFmtId="0" fontId="33" fillId="0" borderId="1" xfId="5" applyFont="1" applyBorder="1" applyAlignment="1">
      <alignment vertical="center"/>
    </xf>
    <xf numFmtId="0" fontId="33" fillId="27" borderId="1" xfId="5" applyFont="1" applyFill="1" applyBorder="1" applyAlignment="1">
      <alignment vertical="center"/>
    </xf>
    <xf numFmtId="164" fontId="33" fillId="0" borderId="1" xfId="5" applyNumberFormat="1" applyFont="1" applyBorder="1" applyAlignment="1">
      <alignment vertical="center"/>
    </xf>
    <xf numFmtId="0" fontId="8" fillId="0" borderId="1" xfId="5" applyFont="1" applyBorder="1" applyAlignment="1">
      <alignment vertical="center"/>
    </xf>
    <xf numFmtId="0" fontId="33" fillId="28" borderId="1" xfId="5" applyFont="1" applyFill="1" applyBorder="1" applyAlignment="1">
      <alignment vertical="center"/>
    </xf>
    <xf numFmtId="0" fontId="33" fillId="0" borderId="1" xfId="5" applyFont="1" applyBorder="1" applyAlignment="1">
      <alignment vertical="center" wrapText="1"/>
    </xf>
    <xf numFmtId="0" fontId="33" fillId="0" borderId="4" xfId="5" applyFont="1" applyBorder="1" applyAlignment="1">
      <alignment vertical="center"/>
    </xf>
    <xf numFmtId="0" fontId="5" fillId="2" borderId="1" xfId="5" applyFont="1" applyFill="1" applyBorder="1" applyAlignment="1">
      <alignment vertical="center"/>
    </xf>
    <xf numFmtId="0" fontId="30" fillId="2" borderId="0" xfId="5" applyFont="1" applyFill="1" applyAlignment="1">
      <alignment vertical="center"/>
    </xf>
    <xf numFmtId="164" fontId="30" fillId="2" borderId="0" xfId="5" applyNumberFormat="1" applyFont="1" applyFill="1" applyAlignment="1">
      <alignment vertical="center"/>
    </xf>
    <xf numFmtId="164" fontId="33" fillId="0" borderId="0" xfId="5" applyNumberFormat="1" applyFont="1"/>
    <xf numFmtId="0" fontId="6" fillId="0" borderId="0" xfId="7">
      <alignment vertical="top"/>
    </xf>
    <xf numFmtId="0" fontId="5" fillId="0" borderId="1" xfId="7" applyFont="1" applyBorder="1" applyAlignment="1">
      <alignment horizontal="center" vertical="center"/>
    </xf>
    <xf numFmtId="0" fontId="6" fillId="30" borderId="1" xfId="7" applyFill="1" applyBorder="1">
      <alignment vertical="top"/>
    </xf>
    <xf numFmtId="0" fontId="8" fillId="0" borderId="1" xfId="7" applyFont="1" applyBorder="1" applyAlignment="1">
      <alignment horizontal="left" vertical="center"/>
    </xf>
    <xf numFmtId="164" fontId="8" fillId="0" borderId="1" xfId="7" applyNumberFormat="1" applyFont="1" applyBorder="1" applyAlignment="1">
      <alignment horizontal="left" vertical="center"/>
    </xf>
    <xf numFmtId="164" fontId="9" fillId="0" borderId="1" xfId="7" applyNumberFormat="1" applyFont="1" applyBorder="1" applyAlignment="1">
      <alignment horizontal="left" vertical="center"/>
    </xf>
    <xf numFmtId="165" fontId="6" fillId="0" borderId="1" xfId="7" applyNumberFormat="1" applyBorder="1">
      <alignment vertical="top"/>
    </xf>
    <xf numFmtId="164" fontId="8" fillId="28" borderId="1" xfId="7" applyNumberFormat="1" applyFont="1" applyFill="1" applyBorder="1" applyAlignment="1">
      <alignment horizontal="left" vertical="center"/>
    </xf>
    <xf numFmtId="0" fontId="10" fillId="0" borderId="1" xfId="7" applyFont="1" applyBorder="1" applyAlignment="1">
      <alignment horizontal="left" vertical="center"/>
    </xf>
    <xf numFmtId="0" fontId="5" fillId="2" borderId="1" xfId="7" applyFont="1" applyFill="1" applyBorder="1" applyAlignment="1">
      <alignment horizontal="left" vertical="center"/>
    </xf>
    <xf numFmtId="164" fontId="5" fillId="2" borderId="1" xfId="7" applyNumberFormat="1" applyFont="1" applyFill="1" applyBorder="1" applyAlignment="1">
      <alignment horizontal="left" vertical="center"/>
    </xf>
    <xf numFmtId="166" fontId="6" fillId="0" borderId="1" xfId="7" applyNumberFormat="1" applyBorder="1">
      <alignment vertical="top"/>
    </xf>
    <xf numFmtId="164" fontId="6" fillId="0" borderId="0" xfId="7" applyNumberFormat="1">
      <alignment vertical="top"/>
    </xf>
    <xf numFmtId="0" fontId="5" fillId="30" borderId="1" xfId="5" applyFont="1" applyFill="1" applyBorder="1" applyAlignment="1">
      <alignment horizontal="center" vertical="center"/>
    </xf>
    <xf numFmtId="0" fontId="30" fillId="30" borderId="1" xfId="5" applyFont="1" applyFill="1" applyBorder="1" applyAlignment="1">
      <alignment horizontal="center" vertical="center"/>
    </xf>
    <xf numFmtId="168" fontId="33" fillId="27" borderId="1" xfId="5" applyNumberFormat="1" applyFont="1" applyFill="1" applyBorder="1" applyAlignment="1">
      <alignment vertical="center"/>
    </xf>
    <xf numFmtId="164" fontId="9" fillId="0" borderId="1" xfId="5" applyNumberFormat="1" applyFont="1" applyBorder="1" applyAlignment="1">
      <alignment vertical="center"/>
    </xf>
    <xf numFmtId="164" fontId="38" fillId="0" borderId="1" xfId="5" applyNumberFormat="1" applyFont="1" applyBorder="1" applyAlignment="1">
      <alignment vertical="center"/>
    </xf>
    <xf numFmtId="168" fontId="8" fillId="27" borderId="1" xfId="5" applyNumberFormat="1" applyFont="1" applyFill="1" applyBorder="1" applyAlignment="1">
      <alignment vertical="center"/>
    </xf>
    <xf numFmtId="0" fontId="8" fillId="0" borderId="1" xfId="5" applyFont="1" applyBorder="1" applyAlignment="1">
      <alignment vertical="center" wrapText="1"/>
    </xf>
    <xf numFmtId="0" fontId="35" fillId="3" borderId="3" xfId="7" applyFont="1" applyFill="1" applyBorder="1" applyAlignment="1">
      <alignment horizontal="center" vertical="center"/>
    </xf>
    <xf numFmtId="0" fontId="5" fillId="3" borderId="3" xfId="7" applyFont="1" applyFill="1" applyBorder="1" applyAlignment="1">
      <alignment horizontal="center" vertical="center"/>
    </xf>
    <xf numFmtId="0" fontId="5" fillId="3" borderId="3" xfId="1" applyNumberFormat="1" applyFont="1" applyFill="1" applyBorder="1" applyAlignment="1">
      <alignment horizontal="center" vertical="center"/>
    </xf>
    <xf numFmtId="0" fontId="10" fillId="28" borderId="1" xfId="7" applyFont="1" applyFill="1" applyBorder="1" applyAlignment="1">
      <alignment vertical="center"/>
    </xf>
    <xf numFmtId="0" fontId="8" fillId="0" borderId="1" xfId="7" applyFont="1" applyBorder="1" applyAlignment="1">
      <alignment vertical="center"/>
    </xf>
    <xf numFmtId="164" fontId="9" fillId="28" borderId="1" xfId="1" applyNumberFormat="1" applyFont="1" applyFill="1" applyBorder="1" applyAlignment="1">
      <alignment vertical="center"/>
    </xf>
    <xf numFmtId="165" fontId="41" fillId="28" borderId="9" xfId="7" applyNumberFormat="1" applyFont="1" applyFill="1" applyBorder="1" applyAlignment="1">
      <alignment horizontal="center" vertical="center"/>
    </xf>
    <xf numFmtId="0" fontId="10" fillId="31" borderId="1" xfId="7" applyFont="1" applyFill="1" applyBorder="1" applyAlignment="1">
      <alignment vertical="center"/>
    </xf>
    <xf numFmtId="0" fontId="8" fillId="31" borderId="1" xfId="7" applyFont="1" applyFill="1" applyBorder="1" applyAlignment="1">
      <alignment vertical="center"/>
    </xf>
    <xf numFmtId="164" fontId="8" fillId="31" borderId="1" xfId="1" applyNumberFormat="1" applyFont="1" applyFill="1" applyBorder="1" applyAlignment="1">
      <alignment vertical="center"/>
    </xf>
    <xf numFmtId="164" fontId="9" fillId="31" borderId="1" xfId="1" applyNumberFormat="1" applyFont="1" applyFill="1" applyBorder="1" applyAlignment="1">
      <alignment vertical="center"/>
    </xf>
    <xf numFmtId="165" fontId="41" fillId="31" borderId="9" xfId="7" applyNumberFormat="1" applyFont="1" applyFill="1" applyBorder="1" applyAlignment="1">
      <alignment horizontal="center" vertical="center"/>
    </xf>
    <xf numFmtId="165" fontId="41" fillId="0" borderId="9" xfId="7" applyNumberFormat="1" applyFont="1" applyBorder="1" applyAlignment="1">
      <alignment horizontal="center" vertical="center"/>
    </xf>
    <xf numFmtId="0" fontId="6" fillId="0" borderId="1" xfId="7" applyBorder="1">
      <alignment vertical="top"/>
    </xf>
    <xf numFmtId="0" fontId="35" fillId="3" borderId="1" xfId="7" applyFont="1" applyFill="1" applyBorder="1" applyAlignment="1">
      <alignment vertical="center"/>
    </xf>
    <xf numFmtId="0" fontId="10" fillId="3" borderId="1" xfId="7" applyFont="1" applyFill="1" applyBorder="1" applyAlignment="1">
      <alignment vertical="center"/>
    </xf>
    <xf numFmtId="0" fontId="5" fillId="3" borderId="1" xfId="7" applyFont="1" applyFill="1" applyBorder="1" applyAlignment="1">
      <alignment vertical="center"/>
    </xf>
    <xf numFmtId="164" fontId="5" fillId="3" borderId="1" xfId="1" applyNumberFormat="1" applyFont="1" applyFill="1" applyBorder="1" applyAlignment="1">
      <alignment vertical="center"/>
    </xf>
    <xf numFmtId="164" fontId="35" fillId="3" borderId="1" xfId="1" applyNumberFormat="1" applyFont="1" applyFill="1" applyBorder="1" applyAlignment="1">
      <alignment vertical="center"/>
    </xf>
    <xf numFmtId="165" fontId="4" fillId="3" borderId="9" xfId="7" applyNumberFormat="1" applyFont="1" applyFill="1" applyBorder="1">
      <alignment vertical="top"/>
    </xf>
    <xf numFmtId="0" fontId="5" fillId="3" borderId="10" xfId="7" applyFont="1" applyFill="1" applyBorder="1" applyAlignment="1">
      <alignment horizontal="center" vertical="center"/>
    </xf>
    <xf numFmtId="0" fontId="5" fillId="3" borderId="1" xfId="7" applyFont="1" applyFill="1" applyBorder="1" applyAlignment="1">
      <alignment horizontal="center" vertical="center"/>
    </xf>
    <xf numFmtId="0" fontId="5" fillId="3" borderId="1" xfId="7" applyFont="1" applyFill="1" applyBorder="1" applyAlignment="1">
      <alignment horizontal="center" vertical="center" wrapText="1"/>
    </xf>
    <xf numFmtId="0" fontId="42" fillId="3" borderId="11" xfId="7" applyFont="1" applyFill="1" applyBorder="1" applyAlignment="1">
      <alignment horizontal="center" vertical="center"/>
    </xf>
    <xf numFmtId="0" fontId="8" fillId="0" borderId="10" xfId="7" applyFont="1" applyBorder="1" applyAlignment="1">
      <alignment horizontal="left" vertical="center"/>
    </xf>
    <xf numFmtId="0" fontId="8" fillId="28" borderId="1" xfId="7" applyFont="1" applyFill="1" applyBorder="1" applyAlignment="1">
      <alignment horizontal="left" vertical="center"/>
    </xf>
    <xf numFmtId="164" fontId="10" fillId="3" borderId="1" xfId="7" applyNumberFormat="1" applyFont="1" applyFill="1" applyBorder="1" applyAlignment="1">
      <alignment horizontal="left" vertical="center"/>
    </xf>
    <xf numFmtId="168" fontId="8" fillId="3" borderId="11" xfId="8" applyNumberFormat="1" applyFont="1" applyFill="1" applyBorder="1" applyAlignment="1">
      <alignment horizontal="right" vertical="center"/>
    </xf>
    <xf numFmtId="0" fontId="8" fillId="28" borderId="0" xfId="7" applyFont="1" applyFill="1" applyAlignment="1">
      <alignment horizontal="left" vertical="center"/>
    </xf>
    <xf numFmtId="0" fontId="8" fillId="28" borderId="10" xfId="7" applyFont="1" applyFill="1" applyBorder="1" applyAlignment="1">
      <alignment horizontal="left" vertical="center"/>
    </xf>
    <xf numFmtId="0" fontId="5" fillId="30" borderId="12" xfId="7" applyFont="1" applyFill="1" applyBorder="1" applyAlignment="1">
      <alignment horizontal="left" vertical="center"/>
    </xf>
    <xf numFmtId="0" fontId="8" fillId="30" borderId="1" xfId="7" applyFont="1" applyFill="1" applyBorder="1" applyAlignment="1">
      <alignment horizontal="left" vertical="center"/>
    </xf>
    <xf numFmtId="0" fontId="5" fillId="30" borderId="1" xfId="7" applyFont="1" applyFill="1" applyBorder="1" applyAlignment="1">
      <alignment horizontal="left" vertical="center"/>
    </xf>
    <xf numFmtId="164" fontId="5" fillId="30" borderId="1" xfId="7" applyNumberFormat="1" applyFont="1" applyFill="1" applyBorder="1" applyAlignment="1">
      <alignment horizontal="left" vertical="center"/>
    </xf>
    <xf numFmtId="169" fontId="5" fillId="3" borderId="1" xfId="8" applyNumberFormat="1" applyFont="1" applyFill="1" applyBorder="1" applyAlignment="1">
      <alignment horizontal="right" vertical="center"/>
    </xf>
    <xf numFmtId="0" fontId="30" fillId="31" borderId="2" xfId="7" applyFont="1" applyFill="1" applyBorder="1" applyAlignment="1">
      <alignment horizontal="center" vertical="center"/>
    </xf>
    <xf numFmtId="0" fontId="30" fillId="31" borderId="1" xfId="7" applyFont="1" applyFill="1" applyBorder="1" applyAlignment="1">
      <alignment horizontal="center" vertical="center"/>
    </xf>
    <xf numFmtId="0" fontId="30" fillId="31" borderId="1" xfId="7" applyFont="1" applyFill="1" applyBorder="1" applyAlignment="1">
      <alignment horizontal="center" vertical="center" wrapText="1"/>
    </xf>
    <xf numFmtId="0" fontId="30" fillId="31" borderId="0" xfId="7" applyFont="1" applyFill="1" applyAlignment="1">
      <alignment horizontal="center" vertical="center"/>
    </xf>
    <xf numFmtId="0" fontId="43" fillId="30" borderId="1" xfId="7" applyFont="1" applyFill="1" applyBorder="1" applyAlignment="1">
      <alignment horizontal="left" vertical="center"/>
    </xf>
    <xf numFmtId="0" fontId="5" fillId="0" borderId="1" xfId="7" applyFont="1" applyBorder="1" applyAlignment="1">
      <alignment horizontal="left" vertical="center"/>
    </xf>
    <xf numFmtId="164" fontId="9" fillId="0" borderId="1" xfId="8" applyNumberFormat="1" applyFont="1" applyBorder="1" applyAlignment="1">
      <alignment horizontal="left" vertical="center"/>
    </xf>
    <xf numFmtId="7" fontId="44" fillId="30" borderId="1" xfId="8" applyNumberFormat="1" applyFont="1" applyFill="1" applyBorder="1" applyAlignment="1">
      <alignment horizontal="left" vertical="center"/>
    </xf>
    <xf numFmtId="0" fontId="6" fillId="0" borderId="1" xfId="7" applyBorder="1" applyAlignment="1">
      <alignment horizontal="left" vertical="center"/>
    </xf>
    <xf numFmtId="0" fontId="5" fillId="30" borderId="0" xfId="7" applyFont="1" applyFill="1" applyAlignment="1">
      <alignment horizontal="left" vertical="center"/>
    </xf>
    <xf numFmtId="164" fontId="5" fillId="30" borderId="13" xfId="7" applyNumberFormat="1" applyFont="1" applyFill="1" applyBorder="1" applyAlignment="1">
      <alignment horizontal="left" vertical="center"/>
    </xf>
    <xf numFmtId="164" fontId="5" fillId="30" borderId="0" xfId="7" applyNumberFormat="1" applyFont="1" applyFill="1" applyAlignment="1">
      <alignment horizontal="left" vertical="center"/>
    </xf>
    <xf numFmtId="0" fontId="6" fillId="0" borderId="0" xfId="7" applyAlignment="1">
      <alignment horizontal="left" vertical="center"/>
    </xf>
    <xf numFmtId="164" fontId="6" fillId="0" borderId="1" xfId="7" applyNumberFormat="1" applyBorder="1">
      <alignment vertical="top"/>
    </xf>
    <xf numFmtId="164" fontId="6" fillId="12" borderId="0" xfId="7" applyNumberFormat="1" applyFill="1">
      <alignment vertical="top"/>
    </xf>
    <xf numFmtId="0" fontId="3" fillId="0" borderId="0" xfId="7" applyFont="1">
      <alignment vertical="top"/>
    </xf>
    <xf numFmtId="0" fontId="5" fillId="30" borderId="1" xfId="7" applyFont="1" applyFill="1" applyBorder="1" applyAlignment="1">
      <alignment horizontal="center" vertical="center"/>
    </xf>
    <xf numFmtId="0" fontId="8" fillId="27" borderId="1" xfId="7" applyFont="1" applyFill="1" applyBorder="1" applyAlignment="1">
      <alignment horizontal="left" vertical="center"/>
    </xf>
    <xf numFmtId="7" fontId="6" fillId="0" borderId="1" xfId="7" applyNumberFormat="1" applyBorder="1">
      <alignment vertical="top"/>
    </xf>
    <xf numFmtId="44" fontId="0" fillId="0" borderId="1" xfId="8" applyFont="1" applyBorder="1">
      <alignment vertical="top"/>
    </xf>
    <xf numFmtId="0" fontId="8" fillId="0" borderId="14" xfId="7" applyFont="1" applyBorder="1" applyAlignment="1">
      <alignment horizontal="left" vertical="center"/>
    </xf>
    <xf numFmtId="0" fontId="8" fillId="0" borderId="13" xfId="7" applyFont="1" applyBorder="1" applyAlignment="1">
      <alignment horizontal="left" vertical="center"/>
    </xf>
    <xf numFmtId="0" fontId="8" fillId="30" borderId="15" xfId="7" applyFont="1" applyFill="1" applyBorder="1" applyAlignment="1">
      <alignment horizontal="left" vertical="center"/>
    </xf>
    <xf numFmtId="166" fontId="5" fillId="30" borderId="1" xfId="7" applyNumberFormat="1" applyFont="1" applyFill="1" applyBorder="1" applyAlignment="1">
      <alignment horizontal="center" vertical="center"/>
    </xf>
    <xf numFmtId="44" fontId="5" fillId="30" borderId="1" xfId="8" applyFont="1" applyFill="1" applyBorder="1" applyAlignment="1">
      <alignment horizontal="center" vertical="center"/>
    </xf>
    <xf numFmtId="0" fontId="29" fillId="0" borderId="2" xfId="5" applyFont="1" applyBorder="1" applyAlignment="1">
      <alignment horizontal="center" vertical="center"/>
    </xf>
    <xf numFmtId="0" fontId="3" fillId="0" borderId="2" xfId="7" applyFont="1" applyBorder="1" applyAlignment="1">
      <alignment horizontal="center" vertical="center"/>
    </xf>
    <xf numFmtId="0" fontId="3" fillId="0" borderId="1" xfId="7" applyFont="1" applyBorder="1" applyAlignment="1">
      <alignment horizontal="center" vertical="center"/>
    </xf>
    <xf numFmtId="0" fontId="5" fillId="0" borderId="18" xfId="7" applyFont="1" applyBorder="1">
      <alignment vertical="top"/>
    </xf>
    <xf numFmtId="0" fontId="5" fillId="0" borderId="19" xfId="7" applyFont="1" applyBorder="1">
      <alignment vertical="top"/>
    </xf>
    <xf numFmtId="0" fontId="5" fillId="30" borderId="1" xfId="7" applyFont="1" applyFill="1" applyBorder="1" applyAlignment="1">
      <alignment horizontal="center" vertical="center" wrapText="1"/>
    </xf>
    <xf numFmtId="0" fontId="42" fillId="30" borderId="1" xfId="7" applyFont="1" applyFill="1" applyBorder="1" applyAlignment="1">
      <alignment horizontal="center" wrapText="1"/>
    </xf>
    <xf numFmtId="0" fontId="5" fillId="30" borderId="11" xfId="7" applyFont="1" applyFill="1" applyBorder="1" applyAlignment="1">
      <alignment horizontal="center" vertical="center"/>
    </xf>
    <xf numFmtId="168" fontId="33" fillId="32" borderId="1" xfId="7" applyNumberFormat="1" applyFont="1" applyFill="1" applyBorder="1" applyAlignment="1">
      <alignment horizontal="left" vertical="center"/>
    </xf>
    <xf numFmtId="164" fontId="10" fillId="0" borderId="1" xfId="7" applyNumberFormat="1" applyFont="1" applyBorder="1" applyAlignment="1">
      <alignment horizontal="left" vertical="center"/>
    </xf>
    <xf numFmtId="164" fontId="38" fillId="0" borderId="1" xfId="8" applyNumberFormat="1" applyFont="1" applyBorder="1" applyAlignment="1">
      <alignment horizontal="left" vertical="center"/>
    </xf>
    <xf numFmtId="0" fontId="41" fillId="30" borderId="1" xfId="7" applyFont="1" applyFill="1" applyBorder="1" applyAlignment="1"/>
    <xf numFmtId="7" fontId="41" fillId="30" borderId="11" xfId="8" applyNumberFormat="1" applyFont="1" applyFill="1" applyBorder="1" applyAlignment="1">
      <alignment horizontal="right" vertical="center"/>
    </xf>
    <xf numFmtId="0" fontId="8" fillId="32" borderId="1" xfId="7" applyFont="1" applyFill="1" applyBorder="1" applyAlignment="1">
      <alignment horizontal="left" vertical="center"/>
    </xf>
    <xf numFmtId="168" fontId="8" fillId="32" borderId="1" xfId="7" applyNumberFormat="1" applyFont="1" applyFill="1" applyBorder="1" applyAlignment="1">
      <alignment horizontal="left" vertical="center"/>
    </xf>
    <xf numFmtId="168" fontId="10" fillId="32" borderId="1" xfId="7" applyNumberFormat="1" applyFont="1" applyFill="1" applyBorder="1" applyAlignment="1">
      <alignment horizontal="left" vertical="center"/>
    </xf>
    <xf numFmtId="0" fontId="41" fillId="30" borderId="4" xfId="7" applyFont="1" applyFill="1" applyBorder="1" applyAlignment="1"/>
    <xf numFmtId="0" fontId="8" fillId="0" borderId="1" xfId="7" applyFont="1" applyBorder="1" applyAlignment="1">
      <alignment horizontal="left" vertical="center" wrapText="1"/>
    </xf>
    <xf numFmtId="168" fontId="5" fillId="2" borderId="1" xfId="7" applyNumberFormat="1" applyFont="1" applyFill="1" applyBorder="1" applyAlignment="1">
      <alignment horizontal="left" vertical="center"/>
    </xf>
    <xf numFmtId="164" fontId="5" fillId="2" borderId="1" xfId="8" applyNumberFormat="1" applyFont="1" applyFill="1" applyBorder="1" applyAlignment="1">
      <alignment horizontal="left" vertical="center"/>
    </xf>
    <xf numFmtId="0" fontId="5" fillId="30" borderId="15" xfId="7" applyFont="1" applyFill="1" applyBorder="1" applyAlignment="1">
      <alignment horizontal="right"/>
    </xf>
    <xf numFmtId="44" fontId="5" fillId="30" borderId="20" xfId="8" applyFont="1" applyFill="1" applyBorder="1" applyAlignment="1">
      <alignment horizontal="right" vertical="center"/>
    </xf>
    <xf numFmtId="0" fontId="8" fillId="0" borderId="0" xfId="7" applyFont="1">
      <alignment vertical="top"/>
    </xf>
    <xf numFmtId="0" fontId="5" fillId="2" borderId="1" xfId="7" applyFont="1" applyFill="1" applyBorder="1" applyAlignment="1">
      <alignment horizontal="center" vertical="center" wrapText="1"/>
    </xf>
    <xf numFmtId="164" fontId="5" fillId="2" borderId="1" xfId="7" applyNumberFormat="1" applyFont="1" applyFill="1" applyBorder="1" applyAlignment="1">
      <alignment horizontal="center" vertical="center"/>
    </xf>
    <xf numFmtId="0" fontId="5" fillId="2" borderId="1" xfId="7" applyFont="1" applyFill="1" applyBorder="1" applyAlignment="1">
      <alignment horizontal="center" vertical="center"/>
    </xf>
    <xf numFmtId="0" fontId="5" fillId="3" borderId="1" xfId="7" applyFont="1" applyFill="1" applyBorder="1">
      <alignment vertical="top"/>
    </xf>
    <xf numFmtId="0" fontId="8" fillId="0" borderId="1" xfId="7" applyFont="1" applyBorder="1" applyAlignment="1">
      <alignment vertical="center" wrapText="1"/>
    </xf>
    <xf numFmtId="164" fontId="8" fillId="4" borderId="1" xfId="7" applyNumberFormat="1" applyFont="1" applyFill="1" applyBorder="1" applyAlignment="1">
      <alignment vertical="center"/>
    </xf>
    <xf numFmtId="164" fontId="8" fillId="0" borderId="1" xfId="7" applyNumberFormat="1" applyFont="1" applyBorder="1" applyAlignment="1">
      <alignment vertical="center"/>
    </xf>
    <xf numFmtId="165" fontId="8" fillId="0" borderId="1" xfId="7" applyNumberFormat="1" applyFont="1" applyBorder="1">
      <alignment vertical="top"/>
    </xf>
    <xf numFmtId="0" fontId="8" fillId="28" borderId="1" xfId="7" applyFont="1" applyFill="1" applyBorder="1" applyAlignment="1">
      <alignment vertical="center" wrapText="1"/>
    </xf>
    <xf numFmtId="0" fontId="5" fillId="30" borderId="1" xfId="7" applyFont="1" applyFill="1" applyBorder="1" applyAlignment="1">
      <alignment vertical="center"/>
    </xf>
    <xf numFmtId="164" fontId="5" fillId="30" borderId="1" xfId="7" applyNumberFormat="1" applyFont="1" applyFill="1" applyBorder="1" applyAlignment="1">
      <alignment vertical="center"/>
    </xf>
    <xf numFmtId="164" fontId="5" fillId="30" borderId="1" xfId="9" applyNumberFormat="1" applyFont="1" applyFill="1" applyBorder="1" applyAlignment="1">
      <alignment vertical="center"/>
    </xf>
    <xf numFmtId="166" fontId="5" fillId="0" borderId="1" xfId="7" applyNumberFormat="1" applyFont="1" applyBorder="1">
      <alignment vertical="top"/>
    </xf>
    <xf numFmtId="164" fontId="8" fillId="0" borderId="0" xfId="7" applyNumberFormat="1" applyFont="1">
      <alignment vertical="top"/>
    </xf>
    <xf numFmtId="0" fontId="42" fillId="2" borderId="21" xfId="7" applyFont="1" applyFill="1" applyBorder="1" applyAlignment="1">
      <alignment horizontal="center" vertical="center"/>
    </xf>
    <xf numFmtId="0" fontId="7" fillId="30" borderId="1" xfId="7" applyFont="1" applyFill="1" applyBorder="1">
      <alignment vertical="top"/>
    </xf>
    <xf numFmtId="0" fontId="46" fillId="0" borderId="22" xfId="7" applyFont="1" applyBorder="1" applyAlignment="1">
      <alignment horizontal="left" vertical="center"/>
    </xf>
    <xf numFmtId="168" fontId="8" fillId="0" borderId="1" xfId="7" applyNumberFormat="1" applyFont="1" applyBorder="1" applyAlignment="1">
      <alignment horizontal="left" vertical="center"/>
    </xf>
    <xf numFmtId="164" fontId="8" fillId="0" borderId="1" xfId="1" applyNumberFormat="1" applyFont="1" applyBorder="1" applyAlignment="1">
      <alignment horizontal="left" vertical="center"/>
    </xf>
    <xf numFmtId="164" fontId="9" fillId="0" borderId="1" xfId="1" applyNumberFormat="1" applyFont="1" applyBorder="1" applyAlignment="1">
      <alignment horizontal="left" vertical="center"/>
    </xf>
    <xf numFmtId="168" fontId="8" fillId="28" borderId="1" xfId="7" applyNumberFormat="1" applyFont="1" applyFill="1" applyBorder="1" applyAlignment="1">
      <alignment horizontal="left" vertical="center"/>
    </xf>
    <xf numFmtId="0" fontId="47" fillId="0" borderId="1" xfId="7" applyFont="1" applyBorder="1" applyAlignment="1">
      <alignment horizontal="left" vertical="center"/>
    </xf>
    <xf numFmtId="0" fontId="48" fillId="0" borderId="22" xfId="7" applyFont="1" applyBorder="1" applyAlignment="1">
      <alignment horizontal="left" vertical="center"/>
    </xf>
    <xf numFmtId="170" fontId="8" fillId="0" borderId="1" xfId="7" applyNumberFormat="1" applyFont="1" applyBorder="1" applyAlignment="1">
      <alignment horizontal="left" vertical="center"/>
    </xf>
    <xf numFmtId="165" fontId="6" fillId="0" borderId="13" xfId="7" applyNumberFormat="1" applyBorder="1">
      <alignment vertical="top"/>
    </xf>
    <xf numFmtId="0" fontId="5" fillId="2" borderId="23" xfId="7" applyFont="1" applyFill="1" applyBorder="1" applyAlignment="1">
      <alignment horizontal="left" vertical="center"/>
    </xf>
    <xf numFmtId="164" fontId="5" fillId="2" borderId="1" xfId="1" applyNumberFormat="1" applyFont="1" applyFill="1" applyBorder="1" applyAlignment="1">
      <alignment horizontal="left" vertical="center"/>
    </xf>
    <xf numFmtId="0" fontId="23" fillId="0" borderId="0" xfId="7" applyFont="1">
      <alignment vertical="top"/>
    </xf>
    <xf numFmtId="0" fontId="3" fillId="0" borderId="1" xfId="7" applyFont="1" applyBorder="1" applyAlignment="1">
      <alignment vertical="center"/>
    </xf>
    <xf numFmtId="0" fontId="5" fillId="33" borderId="1" xfId="7" applyFont="1" applyFill="1" applyBorder="1" applyAlignment="1">
      <alignment horizontal="center" vertical="center"/>
    </xf>
    <xf numFmtId="164" fontId="5" fillId="33" borderId="1" xfId="7" applyNumberFormat="1" applyFont="1" applyFill="1" applyBorder="1" applyAlignment="1">
      <alignment horizontal="center" vertical="center"/>
    </xf>
    <xf numFmtId="0" fontId="7" fillId="3" borderId="1" xfId="7" applyFont="1" applyFill="1" applyBorder="1">
      <alignment vertical="top"/>
    </xf>
    <xf numFmtId="0" fontId="5" fillId="33" borderId="1" xfId="7" applyFont="1" applyFill="1" applyBorder="1" applyAlignment="1">
      <alignment horizontal="left" vertical="center"/>
    </xf>
    <xf numFmtId="164" fontId="5" fillId="33" borderId="1" xfId="7" applyNumberFormat="1" applyFont="1" applyFill="1" applyBorder="1" applyAlignment="1">
      <alignment horizontal="left" vertical="center"/>
    </xf>
    <xf numFmtId="165" fontId="42" fillId="33" borderId="1" xfId="7" applyNumberFormat="1" applyFont="1" applyFill="1" applyBorder="1">
      <alignment vertical="top"/>
    </xf>
    <xf numFmtId="0" fontId="5" fillId="31" borderId="1" xfId="7" applyFont="1" applyFill="1" applyBorder="1" applyAlignment="1">
      <alignment horizontal="center" vertical="center"/>
    </xf>
    <xf numFmtId="164" fontId="5" fillId="31" borderId="1" xfId="7" applyNumberFormat="1" applyFont="1" applyFill="1" applyBorder="1" applyAlignment="1">
      <alignment horizontal="center" vertical="center"/>
    </xf>
    <xf numFmtId="0" fontId="5" fillId="31" borderId="1" xfId="1" applyNumberFormat="1" applyFont="1" applyFill="1" applyBorder="1" applyAlignment="1">
      <alignment horizontal="center" vertical="center"/>
    </xf>
    <xf numFmtId="164" fontId="8" fillId="4" borderId="1" xfId="7" applyNumberFormat="1" applyFont="1" applyFill="1" applyBorder="1" applyAlignment="1">
      <alignment horizontal="center" vertical="center"/>
    </xf>
    <xf numFmtId="168" fontId="8" fillId="4" borderId="1" xfId="7" applyNumberFormat="1" applyFont="1" applyFill="1" applyBorder="1" applyAlignment="1">
      <alignment horizontal="center" vertical="center"/>
    </xf>
    <xf numFmtId="164" fontId="8" fillId="0" borderId="1" xfId="1" applyNumberFormat="1" applyFont="1" applyBorder="1" applyAlignment="1">
      <alignment horizontal="center" vertical="center"/>
    </xf>
    <xf numFmtId="164" fontId="9" fillId="0" borderId="1" xfId="1" applyNumberFormat="1" applyFont="1" applyBorder="1" applyAlignment="1">
      <alignment horizontal="center" vertical="center"/>
    </xf>
    <xf numFmtId="168" fontId="5" fillId="33" borderId="1" xfId="7" applyNumberFormat="1" applyFont="1" applyFill="1" applyBorder="1" applyAlignment="1">
      <alignment horizontal="center" vertical="center"/>
    </xf>
    <xf numFmtId="164" fontId="5" fillId="33" borderId="1" xfId="1" applyNumberFormat="1" applyFont="1" applyFill="1" applyBorder="1" applyAlignment="1">
      <alignment horizontal="center" vertical="center"/>
    </xf>
    <xf numFmtId="0" fontId="3" fillId="0" borderId="0" xfId="7" applyFont="1" applyAlignment="1">
      <alignment horizontal="center" vertical="top"/>
    </xf>
    <xf numFmtId="0" fontId="5" fillId="33" borderId="1" xfId="1" applyNumberFormat="1" applyFont="1" applyFill="1" applyBorder="1" applyAlignment="1">
      <alignment horizontal="center" vertical="center"/>
    </xf>
    <xf numFmtId="0" fontId="42" fillId="33" borderId="9" xfId="7" applyFont="1" applyFill="1" applyBorder="1" applyAlignment="1">
      <alignment horizontal="center" vertical="top"/>
    </xf>
    <xf numFmtId="0" fontId="46" fillId="0" borderId="0" xfId="7" applyFont="1" applyAlignment="1">
      <alignment horizontal="center" vertical="top"/>
    </xf>
    <xf numFmtId="165" fontId="46" fillId="0" borderId="0" xfId="7" applyNumberFormat="1" applyFont="1">
      <alignment vertical="top"/>
    </xf>
    <xf numFmtId="0" fontId="46" fillId="0" borderId="0" xfId="7" applyFont="1">
      <alignment vertical="top"/>
    </xf>
    <xf numFmtId="169" fontId="46" fillId="33" borderId="0" xfId="7" applyNumberFormat="1" applyFont="1" applyFill="1">
      <alignment vertical="top"/>
    </xf>
    <xf numFmtId="164" fontId="46" fillId="0" borderId="0" xfId="7" applyNumberFormat="1" applyFont="1">
      <alignment vertical="top"/>
    </xf>
    <xf numFmtId="0" fontId="6" fillId="0" borderId="0" xfId="7" applyBorder="1">
      <alignment vertical="top"/>
    </xf>
    <xf numFmtId="164" fontId="6" fillId="0" borderId="0" xfId="7" applyNumberFormat="1" applyBorder="1">
      <alignment vertical="top"/>
    </xf>
    <xf numFmtId="0" fontId="40" fillId="0" borderId="6" xfId="7" applyFont="1" applyBorder="1" applyAlignment="1">
      <alignment vertical="center"/>
    </xf>
    <xf numFmtId="0" fontId="40" fillId="0" borderId="7" xfId="7" applyFont="1" applyBorder="1" applyAlignment="1">
      <alignment vertical="center"/>
    </xf>
    <xf numFmtId="0" fontId="40" fillId="0" borderId="8" xfId="7" applyFont="1" applyBorder="1" applyAlignment="1">
      <alignment vertical="center"/>
    </xf>
    <xf numFmtId="0" fontId="29" fillId="0" borderId="2" xfId="5" applyFont="1" applyBorder="1" applyAlignment="1">
      <alignment vertical="center"/>
    </xf>
    <xf numFmtId="0" fontId="29" fillId="0" borderId="5" xfId="5" applyFont="1" applyBorder="1" applyAlignment="1">
      <alignment vertical="center"/>
    </xf>
    <xf numFmtId="0" fontId="3" fillId="0" borderId="2" xfId="7" applyFont="1" applyBorder="1" applyAlignment="1">
      <alignment vertical="center"/>
    </xf>
    <xf numFmtId="0" fontId="5" fillId="30" borderId="13" xfId="5" applyFont="1" applyFill="1" applyBorder="1" applyAlignment="1">
      <alignment vertical="center"/>
    </xf>
    <xf numFmtId="0" fontId="30" fillId="30" borderId="13" xfId="5" applyFont="1" applyFill="1" applyBorder="1" applyAlignment="1">
      <alignment vertical="center"/>
    </xf>
    <xf numFmtId="168" fontId="30" fillId="30" borderId="13" xfId="5" applyNumberFormat="1" applyFont="1" applyFill="1" applyBorder="1" applyAlignment="1">
      <alignment vertical="center"/>
    </xf>
    <xf numFmtId="164" fontId="30" fillId="30" borderId="13" xfId="5" applyNumberFormat="1" applyFont="1" applyFill="1" applyBorder="1" applyAlignment="1">
      <alignment vertical="center"/>
    </xf>
    <xf numFmtId="164" fontId="35" fillId="30" borderId="13" xfId="5" applyNumberFormat="1" applyFont="1" applyFill="1" applyBorder="1" applyAlignment="1">
      <alignment vertical="center"/>
    </xf>
    <xf numFmtId="0" fontId="8" fillId="0" borderId="3" xfId="5" applyFont="1" applyBorder="1" applyAlignment="1">
      <alignment vertical="center"/>
    </xf>
    <xf numFmtId="0" fontId="29" fillId="0" borderId="1" xfId="5" applyFont="1" applyBorder="1" applyAlignment="1">
      <alignment vertical="center"/>
    </xf>
    <xf numFmtId="0" fontId="3" fillId="0" borderId="0" xfId="7" applyFont="1" applyAlignment="1">
      <alignment vertical="center"/>
    </xf>
    <xf numFmtId="0" fontId="3" fillId="0" borderId="16" xfId="7" applyFont="1" applyBorder="1" applyAlignment="1">
      <alignment vertical="center"/>
    </xf>
    <xf numFmtId="0" fontId="3" fillId="0" borderId="17" xfId="7" applyFont="1" applyBorder="1" applyAlignment="1">
      <alignment vertical="center"/>
    </xf>
    <xf numFmtId="0" fontId="3" fillId="0" borderId="0" xfId="0" applyFont="1" applyAlignment="1">
      <alignment vertical="center"/>
    </xf>
    <xf numFmtId="0" fontId="3" fillId="0" borderId="21" xfId="7" applyFont="1" applyBorder="1" applyAlignment="1">
      <alignment vertical="center"/>
    </xf>
    <xf numFmtId="0" fontId="3" fillId="0" borderId="24" xfId="7" applyFont="1" applyBorder="1" applyAlignment="1">
      <alignment vertical="center"/>
    </xf>
    <xf numFmtId="0" fontId="3" fillId="0" borderId="9" xfId="7" applyFont="1" applyBorder="1" applyAlignment="1">
      <alignment vertical="center"/>
    </xf>
    <xf numFmtId="0" fontId="8" fillId="0" borderId="0" xfId="0" applyFont="1">
      <alignment vertical="top"/>
    </xf>
    <xf numFmtId="0" fontId="8" fillId="0" borderId="0" xfId="0" applyFont="1" applyBorder="1">
      <alignment vertical="top"/>
    </xf>
    <xf numFmtId="0" fontId="10" fillId="28" borderId="0" xfId="7" applyFont="1" applyFill="1" applyBorder="1" applyAlignment="1">
      <alignment vertical="center"/>
    </xf>
    <xf numFmtId="0" fontId="8" fillId="0" borderId="0" xfId="7" applyFont="1" applyBorder="1" applyAlignment="1">
      <alignment horizontal="left" vertical="center"/>
    </xf>
    <xf numFmtId="0" fontId="46" fillId="0" borderId="0" xfId="7" applyFont="1" applyBorder="1" applyAlignment="1">
      <alignment horizontal="left" vertical="center"/>
    </xf>
    <xf numFmtId="0" fontId="8" fillId="0" borderId="0" xfId="7" applyFont="1" applyBorder="1" applyAlignment="1">
      <alignment horizontal="left" vertical="center" wrapText="1"/>
    </xf>
    <xf numFmtId="0" fontId="8" fillId="34" borderId="0" xfId="0" applyFont="1" applyFill="1" applyBorder="1" applyAlignment="1">
      <alignment vertical="center"/>
    </xf>
    <xf numFmtId="0" fontId="8" fillId="34" borderId="0" xfId="0" applyFont="1" applyFill="1">
      <alignment vertical="top"/>
    </xf>
    <xf numFmtId="0" fontId="5" fillId="0" borderId="0" xfId="0" applyFont="1">
      <alignment vertical="top"/>
    </xf>
    <xf numFmtId="0" fontId="50" fillId="0" borderId="0" xfId="0" applyFont="1">
      <alignment vertical="top"/>
    </xf>
    <xf numFmtId="0" fontId="8" fillId="0" borderId="0" xfId="0" applyFont="1" applyAlignment="1">
      <alignment horizontal="center" vertical="top"/>
    </xf>
    <xf numFmtId="0" fontId="39" fillId="0" borderId="0" xfId="0" applyFont="1" applyAlignment="1">
      <alignment horizontal="center" vertical="top"/>
    </xf>
    <xf numFmtId="0" fontId="36" fillId="0" borderId="0" xfId="0" applyFont="1" applyFill="1" applyAlignment="1">
      <alignment horizontal="left"/>
    </xf>
    <xf numFmtId="0" fontId="29" fillId="0" borderId="2" xfId="0" applyFont="1" applyFill="1" applyBorder="1" applyAlignment="1">
      <alignment vertical="center"/>
    </xf>
    <xf numFmtId="0" fontId="30" fillId="0" borderId="1" xfId="0" applyFont="1" applyFill="1" applyBorder="1" applyAlignment="1">
      <alignment horizontal="center" vertical="center"/>
    </xf>
    <xf numFmtId="0" fontId="33" fillId="0" borderId="1" xfId="0" applyFont="1" applyFill="1" applyBorder="1" applyAlignment="1">
      <alignment horizontal="left" vertical="center"/>
    </xf>
    <xf numFmtId="0" fontId="35" fillId="0" borderId="1" xfId="0" applyFont="1" applyFill="1" applyBorder="1" applyAlignment="1">
      <alignment horizontal="left" vertical="center"/>
    </xf>
    <xf numFmtId="0" fontId="29" fillId="0" borderId="2" xfId="5" applyFont="1" applyFill="1" applyBorder="1" applyAlignment="1">
      <alignment vertical="center"/>
    </xf>
    <xf numFmtId="0" fontId="30" fillId="0" borderId="1" xfId="5" applyFont="1" applyFill="1" applyBorder="1" applyAlignment="1">
      <alignment horizontal="center" vertical="center"/>
    </xf>
    <xf numFmtId="0" fontId="33" fillId="0" borderId="1" xfId="5" applyFont="1" applyFill="1" applyBorder="1" applyAlignment="1">
      <alignment vertical="center"/>
    </xf>
    <xf numFmtId="0" fontId="33" fillId="0" borderId="0" xfId="5" applyFont="1" applyFill="1"/>
    <xf numFmtId="0" fontId="30" fillId="0" borderId="0" xfId="5" applyFont="1" applyFill="1" applyAlignment="1">
      <alignment vertical="center"/>
    </xf>
    <xf numFmtId="0" fontId="40" fillId="0" borderId="7" xfId="7" applyFont="1" applyFill="1" applyBorder="1" applyAlignment="1">
      <alignment vertical="center"/>
    </xf>
    <xf numFmtId="0" fontId="5" fillId="0" borderId="3" xfId="7" applyFont="1" applyFill="1" applyBorder="1" applyAlignment="1">
      <alignment horizontal="center" vertical="center"/>
    </xf>
    <xf numFmtId="0" fontId="8" fillId="0" borderId="1" xfId="7" applyFont="1" applyFill="1" applyBorder="1" applyAlignment="1">
      <alignment vertical="center"/>
    </xf>
    <xf numFmtId="0" fontId="5" fillId="0" borderId="1" xfId="7" applyFont="1" applyFill="1" applyBorder="1" applyAlignment="1">
      <alignment vertical="center"/>
    </xf>
    <xf numFmtId="0" fontId="3" fillId="0" borderId="2" xfId="7" applyFont="1" applyFill="1" applyBorder="1" applyAlignment="1">
      <alignment vertical="center"/>
    </xf>
    <xf numFmtId="0" fontId="5" fillId="0" borderId="1" xfId="7" applyFont="1" applyFill="1" applyBorder="1" applyAlignment="1">
      <alignment horizontal="center" vertical="center"/>
    </xf>
    <xf numFmtId="0" fontId="8" fillId="0" borderId="1" xfId="7" applyFont="1" applyFill="1" applyBorder="1" applyAlignment="1">
      <alignment horizontal="left" vertical="center"/>
    </xf>
    <xf numFmtId="0" fontId="10" fillId="0" borderId="1" xfId="7" applyFont="1" applyFill="1" applyBorder="1" applyAlignment="1">
      <alignment horizontal="left" vertical="center"/>
    </xf>
    <xf numFmtId="0" fontId="5" fillId="0" borderId="1" xfId="7" applyFont="1" applyFill="1" applyBorder="1" applyAlignment="1">
      <alignment horizontal="left" vertical="center"/>
    </xf>
    <xf numFmtId="0" fontId="29" fillId="0" borderId="1" xfId="5" applyFont="1" applyFill="1" applyBorder="1" applyAlignment="1">
      <alignment vertical="center"/>
    </xf>
    <xf numFmtId="168" fontId="33" fillId="0" borderId="1" xfId="5" applyNumberFormat="1" applyFont="1" applyFill="1" applyBorder="1" applyAlignment="1">
      <alignment vertical="center"/>
    </xf>
    <xf numFmtId="168" fontId="8" fillId="0" borderId="1" xfId="5" applyNumberFormat="1" applyFont="1" applyFill="1" applyBorder="1" applyAlignment="1">
      <alignment vertical="center"/>
    </xf>
    <xf numFmtId="168" fontId="30" fillId="0" borderId="13" xfId="5" applyNumberFormat="1" applyFont="1" applyFill="1" applyBorder="1" applyAlignment="1">
      <alignment vertical="center"/>
    </xf>
    <xf numFmtId="0" fontId="3" fillId="0" borderId="1" xfId="7" applyFont="1" applyFill="1" applyBorder="1" applyAlignment="1">
      <alignment vertical="center"/>
    </xf>
    <xf numFmtId="0" fontId="8" fillId="0" borderId="0" xfId="7" applyFont="1" applyFill="1" applyAlignment="1">
      <alignment horizontal="left" vertical="center"/>
    </xf>
    <xf numFmtId="0" fontId="3" fillId="0" borderId="0" xfId="7" applyFont="1" applyFill="1" applyAlignment="1">
      <alignment vertical="center"/>
    </xf>
    <xf numFmtId="0" fontId="30" fillId="0" borderId="1" xfId="7" applyFont="1" applyFill="1" applyBorder="1" applyAlignment="1">
      <alignment horizontal="center" vertical="center"/>
    </xf>
    <xf numFmtId="0" fontId="30" fillId="0" borderId="1" xfId="7" applyFont="1" applyFill="1" applyBorder="1" applyAlignment="1">
      <alignment horizontal="center" vertical="center" wrapText="1"/>
    </xf>
    <xf numFmtId="0" fontId="5" fillId="0" borderId="0" xfId="7" applyFont="1" applyFill="1" applyAlignment="1">
      <alignment horizontal="left" vertical="center"/>
    </xf>
    <xf numFmtId="0" fontId="3" fillId="0" borderId="17" xfId="7" applyFont="1" applyFill="1" applyBorder="1" applyAlignment="1">
      <alignment vertical="center"/>
    </xf>
    <xf numFmtId="0" fontId="5" fillId="0" borderId="1" xfId="7" applyFont="1" applyFill="1" applyBorder="1" applyAlignment="1">
      <alignment horizontal="center" vertical="center" wrapText="1"/>
    </xf>
    <xf numFmtId="168" fontId="33" fillId="0" borderId="1" xfId="7" applyNumberFormat="1" applyFont="1" applyFill="1" applyBorder="1" applyAlignment="1">
      <alignment horizontal="left" vertical="center"/>
    </xf>
    <xf numFmtId="168" fontId="8" fillId="0" borderId="1" xfId="7" applyNumberFormat="1" applyFont="1" applyFill="1" applyBorder="1" applyAlignment="1">
      <alignment horizontal="left" vertical="center"/>
    </xf>
    <xf numFmtId="168" fontId="5" fillId="0" borderId="1" xfId="7" applyNumberFormat="1" applyFont="1" applyFill="1" applyBorder="1" applyAlignment="1">
      <alignment horizontal="left" vertical="center"/>
    </xf>
    <xf numFmtId="164" fontId="8" fillId="0" borderId="1" xfId="7" applyNumberFormat="1" applyFont="1" applyFill="1" applyBorder="1" applyAlignment="1">
      <alignment vertical="center"/>
    </xf>
    <xf numFmtId="164" fontId="5" fillId="0" borderId="1" xfId="9" applyNumberFormat="1" applyFont="1" applyFill="1" applyBorder="1" applyAlignment="1">
      <alignment vertical="center"/>
    </xf>
    <xf numFmtId="0" fontId="3" fillId="0" borderId="0" xfId="0" applyFont="1" applyFill="1" applyAlignment="1">
      <alignment vertical="center"/>
    </xf>
    <xf numFmtId="164" fontId="8" fillId="0" borderId="1" xfId="0" applyNumberFormat="1" applyFont="1" applyFill="1" applyBorder="1" applyAlignment="1">
      <alignment vertical="center"/>
    </xf>
    <xf numFmtId="164" fontId="5" fillId="0" borderId="1" xfId="0" applyNumberFormat="1" applyFont="1" applyFill="1" applyBorder="1" applyAlignment="1">
      <alignment vertical="center"/>
    </xf>
    <xf numFmtId="164" fontId="8" fillId="0" borderId="1" xfId="7" applyNumberFormat="1" applyFont="1" applyFill="1" applyBorder="1" applyAlignment="1">
      <alignment horizontal="left" vertical="center"/>
    </xf>
    <xf numFmtId="170" fontId="8" fillId="0" borderId="1" xfId="7" applyNumberFormat="1" applyFont="1" applyFill="1" applyBorder="1" applyAlignment="1">
      <alignment horizontal="left" vertical="center"/>
    </xf>
    <xf numFmtId="164" fontId="5" fillId="0" borderId="1" xfId="7" applyNumberFormat="1" applyFont="1" applyFill="1" applyBorder="1" applyAlignment="1">
      <alignment horizontal="left" vertical="center"/>
    </xf>
    <xf numFmtId="0" fontId="3" fillId="0" borderId="24" xfId="7" applyFont="1" applyFill="1" applyBorder="1" applyAlignment="1">
      <alignment vertical="center"/>
    </xf>
    <xf numFmtId="164" fontId="8" fillId="0" borderId="1" xfId="7" applyNumberFormat="1" applyFont="1" applyFill="1" applyBorder="1" applyAlignment="1">
      <alignment horizontal="center" vertical="center"/>
    </xf>
    <xf numFmtId="168" fontId="8" fillId="0" borderId="1" xfId="7" applyNumberFormat="1" applyFont="1" applyFill="1" applyBorder="1" applyAlignment="1">
      <alignment horizontal="center" vertical="center"/>
    </xf>
    <xf numFmtId="168" fontId="5" fillId="0" borderId="1" xfId="7" applyNumberFormat="1" applyFont="1" applyFill="1" applyBorder="1" applyAlignment="1">
      <alignment horizontal="center" vertical="center"/>
    </xf>
    <xf numFmtId="0" fontId="30" fillId="12" borderId="1" xfId="0" applyFont="1" applyFill="1" applyBorder="1" applyAlignment="1">
      <alignment horizontal="center" vertical="center"/>
    </xf>
    <xf numFmtId="0" fontId="18" fillId="8" borderId="0" xfId="3" applyFont="1" applyFill="1" applyAlignment="1">
      <alignment vertical="top" wrapText="1"/>
    </xf>
    <xf numFmtId="0" fontId="19" fillId="8" borderId="0" xfId="3" applyFont="1" applyFill="1" applyAlignment="1">
      <alignment vertical="top"/>
    </xf>
    <xf numFmtId="0" fontId="23" fillId="8" borderId="0" xfId="3" applyFont="1" applyFill="1" applyAlignment="1">
      <alignment vertical="top"/>
    </xf>
    <xf numFmtId="0" fontId="19" fillId="8" borderId="0" xfId="3" applyFont="1" applyFill="1"/>
    <xf numFmtId="0" fontId="22" fillId="8" borderId="0" xfId="3" applyFont="1" applyFill="1"/>
    <xf numFmtId="0" fontId="30" fillId="0" borderId="1" xfId="0" applyFont="1" applyFill="1" applyBorder="1" applyAlignment="1"/>
    <xf numFmtId="0" fontId="5" fillId="0" borderId="1" xfId="1" applyNumberFormat="1" applyFont="1" applyFill="1" applyBorder="1" applyAlignment="1">
      <alignment horizontal="center" vertical="center"/>
    </xf>
    <xf numFmtId="0" fontId="30" fillId="33" borderId="1" xfId="0" applyFont="1" applyFill="1" applyBorder="1" applyAlignment="1">
      <alignment horizontal="center" vertical="center"/>
    </xf>
    <xf numFmtId="0" fontId="8" fillId="0" borderId="1" xfId="7" applyFont="1" applyBorder="1" applyAlignment="1">
      <alignment horizontal="left" vertical="top"/>
    </xf>
    <xf numFmtId="0" fontId="19" fillId="32" borderId="0" xfId="3" applyFont="1" applyFill="1" applyAlignment="1">
      <alignment vertical="top"/>
    </xf>
    <xf numFmtId="171" fontId="49" fillId="0" borderId="0" xfId="3" applyNumberFormat="1" applyFont="1" applyAlignment="1">
      <alignment vertical="top" wrapText="1"/>
    </xf>
    <xf numFmtId="171" fontId="19" fillId="0" borderId="0" xfId="3" applyNumberFormat="1" applyFont="1" applyAlignment="1">
      <alignment vertical="top"/>
    </xf>
    <xf numFmtId="171" fontId="19" fillId="32" borderId="0" xfId="3" applyNumberFormat="1" applyFont="1" applyFill="1" applyAlignment="1">
      <alignment vertical="top"/>
    </xf>
    <xf numFmtId="171" fontId="22" fillId="0" borderId="0" xfId="3" applyNumberFormat="1" applyFont="1" applyAlignment="1">
      <alignment vertical="top"/>
    </xf>
    <xf numFmtId="171" fontId="19" fillId="0" borderId="0" xfId="3" applyNumberFormat="1" applyFont="1"/>
    <xf numFmtId="0" fontId="19" fillId="30" borderId="0" xfId="3" applyFont="1" applyFill="1"/>
    <xf numFmtId="0" fontId="33" fillId="32" borderId="1" xfId="0" applyFont="1" applyFill="1" applyBorder="1" applyAlignment="1">
      <alignment horizontal="left" vertical="center"/>
    </xf>
    <xf numFmtId="164" fontId="8" fillId="32" borderId="1" xfId="1" applyNumberFormat="1" applyFont="1" applyFill="1" applyBorder="1" applyAlignment="1">
      <alignment horizontal="left" vertical="center"/>
    </xf>
    <xf numFmtId="0" fontId="6" fillId="32" borderId="1" xfId="7" applyFill="1" applyBorder="1">
      <alignment vertical="top"/>
    </xf>
    <xf numFmtId="0" fontId="0" fillId="32" borderId="0" xfId="0" applyFill="1">
      <alignment vertical="top"/>
    </xf>
    <xf numFmtId="0" fontId="39" fillId="0" borderId="1" xfId="7" applyFont="1" applyBorder="1" applyAlignment="1">
      <alignment vertical="center" wrapText="1"/>
    </xf>
    <xf numFmtId="0" fontId="39" fillId="0" borderId="1" xfId="0" applyFont="1" applyFill="1" applyBorder="1" applyAlignment="1">
      <alignment horizontal="left" vertical="center"/>
    </xf>
    <xf numFmtId="0" fontId="39" fillId="0" borderId="1" xfId="7" applyFont="1" applyBorder="1" applyAlignment="1">
      <alignment horizontal="left" vertical="center"/>
    </xf>
    <xf numFmtId="0" fontId="39" fillId="28" borderId="1" xfId="7" applyFont="1" applyFill="1" applyBorder="1" applyAlignment="1">
      <alignment vertical="center"/>
    </xf>
    <xf numFmtId="0" fontId="39" fillId="0" borderId="1" xfId="0" applyFont="1" applyBorder="1" applyAlignment="1">
      <alignment vertical="center"/>
    </xf>
    <xf numFmtId="0" fontId="8" fillId="0" borderId="0" xfId="0" applyFont="1" applyFill="1" applyAlignment="1">
      <alignment horizontal="center" vertical="top"/>
    </xf>
    <xf numFmtId="0" fontId="39" fillId="0" borderId="0" xfId="0" applyFont="1" applyFill="1" applyAlignment="1">
      <alignment horizontal="center" vertical="top"/>
    </xf>
    <xf numFmtId="0" fontId="39" fillId="0" borderId="1" xfId="7" applyFont="1" applyBorder="1" applyAlignment="1">
      <alignment vertical="top" wrapText="1"/>
    </xf>
    <xf numFmtId="0" fontId="10" fillId="0" borderId="1" xfId="0" applyFont="1" applyFill="1" applyBorder="1" applyAlignment="1">
      <alignment horizontal="left" vertical="center"/>
    </xf>
    <xf numFmtId="0" fontId="19" fillId="32" borderId="0" xfId="3" applyFont="1" applyFill="1" applyAlignment="1">
      <alignment horizontal="center" vertical="top"/>
    </xf>
    <xf numFmtId="0" fontId="51" fillId="0" borderId="0" xfId="3" applyFont="1" applyAlignment="1">
      <alignment vertical="top" wrapText="1"/>
    </xf>
    <xf numFmtId="0" fontId="52" fillId="0" borderId="0" xfId="0" applyFont="1">
      <alignment vertical="top"/>
    </xf>
    <xf numFmtId="0" fontId="6" fillId="0" borderId="0" xfId="7" applyFill="1">
      <alignment vertical="top"/>
    </xf>
    <xf numFmtId="164" fontId="46" fillId="0" borderId="0" xfId="7" applyNumberFormat="1" applyFont="1" applyFill="1">
      <alignment vertical="top"/>
    </xf>
    <xf numFmtId="168" fontId="6" fillId="0" borderId="0" xfId="7" applyNumberFormat="1" applyFill="1">
      <alignment vertical="top"/>
    </xf>
    <xf numFmtId="0" fontId="23" fillId="0" borderId="0" xfId="7" applyFont="1" applyFill="1">
      <alignment vertical="top"/>
    </xf>
    <xf numFmtId="164" fontId="0" fillId="0" borderId="0" xfId="0" applyNumberFormat="1" applyFill="1">
      <alignment vertical="top"/>
    </xf>
    <xf numFmtId="164" fontId="8" fillId="0" borderId="0" xfId="7" applyNumberFormat="1" applyFont="1" applyFill="1">
      <alignment vertical="top"/>
    </xf>
    <xf numFmtId="0" fontId="6" fillId="0" borderId="0" xfId="7" applyFill="1" applyBorder="1">
      <alignment vertical="top"/>
    </xf>
    <xf numFmtId="0" fontId="6" fillId="0" borderId="1" xfId="7" applyFill="1" applyBorder="1">
      <alignment vertical="top"/>
    </xf>
    <xf numFmtId="0" fontId="33" fillId="0" borderId="1" xfId="5" applyFont="1" applyFill="1" applyBorder="1" applyAlignment="1">
      <alignment horizontal="left" vertical="center"/>
    </xf>
    <xf numFmtId="0" fontId="36" fillId="0" borderId="0" xfId="5" applyFont="1" applyFill="1" applyAlignment="1">
      <alignment horizontal="left"/>
    </xf>
    <xf numFmtId="0" fontId="53" fillId="0" borderId="0" xfId="0" applyFont="1">
      <alignment vertical="top"/>
    </xf>
    <xf numFmtId="0" fontId="37" fillId="0" borderId="0" xfId="0" applyFont="1">
      <alignment vertical="top"/>
    </xf>
    <xf numFmtId="0" fontId="3" fillId="0" borderId="2" xfId="0" applyFont="1" applyBorder="1" applyAlignment="1">
      <alignment vertical="center"/>
    </xf>
    <xf numFmtId="0" fontId="29" fillId="0" borderId="0" xfId="5" applyFont="1" applyBorder="1" applyAlignment="1">
      <alignment vertical="center"/>
    </xf>
    <xf numFmtId="0" fontId="29" fillId="0" borderId="0" xfId="5" applyFont="1" applyBorder="1" applyAlignment="1">
      <alignment horizontal="center" vertical="center"/>
    </xf>
    <xf numFmtId="0" fontId="33" fillId="0" borderId="1" xfId="5" applyFont="1" applyFill="1" applyBorder="1" applyAlignment="1">
      <alignment horizontal="center" vertical="center"/>
    </xf>
    <xf numFmtId="0" fontId="33" fillId="0" borderId="0" xfId="5" applyFont="1" applyFill="1" applyAlignment="1">
      <alignment horizontal="center"/>
    </xf>
    <xf numFmtId="0" fontId="36" fillId="0" borderId="0" xfId="5" applyFont="1" applyFill="1" applyAlignment="1">
      <alignment horizontal="center"/>
    </xf>
    <xf numFmtId="0" fontId="6" fillId="0" borderId="0" xfId="7" applyFill="1" applyAlignment="1">
      <alignment horizontal="right" vertical="top"/>
    </xf>
    <xf numFmtId="0" fontId="54" fillId="0" borderId="0" xfId="0" applyFont="1">
      <alignment vertical="top"/>
    </xf>
    <xf numFmtId="0" fontId="29" fillId="0" borderId="0" xfId="5" applyFont="1" applyFill="1" applyAlignment="1">
      <alignment vertical="center" wrapText="1"/>
    </xf>
    <xf numFmtId="0" fontId="15" fillId="0" borderId="0" xfId="0" applyFont="1" applyAlignment="1">
      <alignment horizontal="center" vertical="center"/>
    </xf>
    <xf numFmtId="0" fontId="15" fillId="0" borderId="0" xfId="0" applyFont="1" applyAlignment="1">
      <alignment horizontal="center" vertical="center" wrapText="1"/>
    </xf>
    <xf numFmtId="0" fontId="16" fillId="0" borderId="0" xfId="0" applyFont="1" applyAlignment="1">
      <alignment horizontal="center" vertical="center"/>
    </xf>
    <xf numFmtId="0" fontId="17" fillId="0" borderId="0" xfId="0" applyFont="1">
      <alignment vertical="top"/>
    </xf>
    <xf numFmtId="167" fontId="17" fillId="0" borderId="0" xfId="0" applyNumberFormat="1" applyFont="1">
      <alignment vertical="top"/>
    </xf>
    <xf numFmtId="0" fontId="18" fillId="0" borderId="0" xfId="0" applyFont="1" applyAlignment="1">
      <alignment vertical="top" wrapText="1"/>
    </xf>
    <xf numFmtId="0" fontId="20" fillId="0" borderId="0" xfId="0" applyFont="1" applyAlignment="1">
      <alignment horizontal="left" vertical="top"/>
    </xf>
    <xf numFmtId="0" fontId="20" fillId="5" borderId="0" xfId="0" applyFont="1" applyFill="1" applyAlignment="1">
      <alignment horizontal="left" vertical="top" wrapText="1"/>
    </xf>
    <xf numFmtId="0" fontId="20" fillId="0" borderId="0" xfId="0" applyFont="1" applyAlignment="1">
      <alignment horizontal="left" vertical="top" wrapText="1"/>
    </xf>
    <xf numFmtId="0" fontId="19" fillId="0" borderId="0" xfId="0" applyFont="1" applyAlignment="1">
      <alignment horizontal="center" vertical="top"/>
    </xf>
    <xf numFmtId="0" fontId="19" fillId="0" borderId="0" xfId="0" applyFont="1">
      <alignment vertical="top"/>
    </xf>
    <xf numFmtId="43" fontId="19" fillId="0" borderId="0" xfId="0" applyNumberFormat="1" applyFont="1">
      <alignment vertical="top"/>
    </xf>
    <xf numFmtId="0" fontId="19" fillId="0" borderId="0" xfId="0" applyFont="1" applyAlignment="1"/>
    <xf numFmtId="0" fontId="19" fillId="7" borderId="0" xfId="0" applyFont="1" applyFill="1">
      <alignment vertical="top"/>
    </xf>
    <xf numFmtId="0" fontId="20" fillId="8" borderId="0" xfId="0" applyFont="1" applyFill="1" applyAlignment="1">
      <alignment horizontal="left" vertical="top" wrapText="1"/>
    </xf>
    <xf numFmtId="0" fontId="19" fillId="6" borderId="0" xfId="0" applyFont="1" applyFill="1">
      <alignment vertical="top"/>
    </xf>
    <xf numFmtId="167" fontId="19" fillId="0" borderId="0" xfId="0" quotePrefix="1" applyNumberFormat="1" applyFont="1">
      <alignment vertical="top"/>
    </xf>
    <xf numFmtId="167" fontId="19" fillId="0" borderId="0" xfId="0" applyNumberFormat="1" applyFont="1">
      <alignment vertical="top"/>
    </xf>
    <xf numFmtId="0" fontId="19" fillId="9" borderId="0" xfId="0" applyFont="1" applyFill="1">
      <alignment vertical="top"/>
    </xf>
    <xf numFmtId="6" fontId="19" fillId="0" borderId="0" xfId="0" applyNumberFormat="1" applyFont="1">
      <alignment vertical="top"/>
    </xf>
    <xf numFmtId="0" fontId="23" fillId="0" borderId="0" xfId="0" applyFont="1">
      <alignment vertical="top"/>
    </xf>
    <xf numFmtId="0" fontId="19" fillId="24" borderId="0" xfId="0" applyFont="1" applyFill="1">
      <alignment vertical="top"/>
    </xf>
    <xf numFmtId="0" fontId="20" fillId="10" borderId="0" xfId="0" applyFont="1" applyFill="1" applyAlignment="1">
      <alignment horizontal="left" vertical="top" wrapText="1"/>
    </xf>
    <xf numFmtId="0" fontId="24" fillId="0" borderId="0" xfId="0" applyFont="1" applyAlignment="1">
      <alignment horizontal="left" vertical="top"/>
    </xf>
    <xf numFmtId="0" fontId="24" fillId="0" borderId="0" xfId="0" applyFont="1" applyAlignment="1">
      <alignment horizontal="left" vertical="top" wrapText="1"/>
    </xf>
    <xf numFmtId="0" fontId="20" fillId="11" borderId="0" xfId="0" applyFont="1" applyFill="1" applyAlignment="1">
      <alignment horizontal="left" vertical="top" wrapText="1"/>
    </xf>
    <xf numFmtId="0" fontId="20" fillId="12" borderId="0" xfId="0" applyFont="1" applyFill="1" applyAlignment="1">
      <alignment horizontal="left" vertical="top"/>
    </xf>
    <xf numFmtId="0" fontId="20" fillId="12" borderId="0" xfId="0" applyFont="1" applyFill="1" applyAlignment="1">
      <alignment horizontal="left" vertical="top" wrapText="1"/>
    </xf>
    <xf numFmtId="0" fontId="19" fillId="12" borderId="0" xfId="0" applyFont="1" applyFill="1" applyAlignment="1">
      <alignment horizontal="center" vertical="top"/>
    </xf>
    <xf numFmtId="0" fontId="20" fillId="13" borderId="0" xfId="0" applyFont="1" applyFill="1" applyAlignment="1">
      <alignment horizontal="left" vertical="top" wrapText="1"/>
    </xf>
    <xf numFmtId="0" fontId="20" fillId="15" borderId="0" xfId="0" applyFont="1" applyFill="1" applyAlignment="1">
      <alignment horizontal="left" vertical="top" wrapText="1"/>
    </xf>
    <xf numFmtId="0" fontId="20" fillId="16" borderId="0" xfId="0" applyFont="1" applyFill="1" applyAlignment="1">
      <alignment horizontal="left" vertical="top" wrapText="1"/>
    </xf>
    <xf numFmtId="0" fontId="20" fillId="17" borderId="0" xfId="0" applyFont="1" applyFill="1" applyAlignment="1">
      <alignment horizontal="left" vertical="top" wrapText="1"/>
    </xf>
    <xf numFmtId="0" fontId="20" fillId="18" borderId="0" xfId="0" applyFont="1" applyFill="1" applyAlignment="1">
      <alignment horizontal="left" vertical="top" wrapText="1"/>
    </xf>
    <xf numFmtId="0" fontId="21" fillId="0" borderId="0" xfId="0" applyFont="1">
      <alignment vertical="top"/>
    </xf>
    <xf numFmtId="0" fontId="20" fillId="19" borderId="0" xfId="0" applyFont="1" applyFill="1" applyAlignment="1">
      <alignment horizontal="left" vertical="top" wrapText="1"/>
    </xf>
    <xf numFmtId="0" fontId="19" fillId="0" borderId="0" xfId="0" quotePrefix="1" applyFont="1">
      <alignment vertical="top"/>
    </xf>
    <xf numFmtId="0" fontId="25" fillId="19" borderId="0" xfId="0" applyFont="1" applyFill="1" applyAlignment="1">
      <alignment horizontal="left" vertical="top" wrapText="1"/>
    </xf>
    <xf numFmtId="0" fontId="20" fillId="20" borderId="0" xfId="0" applyFont="1" applyFill="1" applyAlignment="1">
      <alignment horizontal="left" vertical="top" wrapText="1"/>
    </xf>
    <xf numFmtId="0" fontId="24" fillId="20" borderId="0" xfId="0" applyFont="1" applyFill="1" applyAlignment="1">
      <alignment horizontal="left" vertical="top" wrapText="1"/>
    </xf>
    <xf numFmtId="0" fontId="20" fillId="21" borderId="0" xfId="0" applyFont="1" applyFill="1" applyAlignment="1">
      <alignment horizontal="left" vertical="top" wrapText="1"/>
    </xf>
    <xf numFmtId="0" fontId="20" fillId="23" borderId="0" xfId="0" applyFont="1" applyFill="1" applyAlignment="1">
      <alignment horizontal="left" vertical="top" wrapText="1"/>
    </xf>
    <xf numFmtId="167" fontId="19" fillId="24" borderId="0" xfId="0" applyNumberFormat="1" applyFont="1" applyFill="1">
      <alignment vertical="top"/>
    </xf>
    <xf numFmtId="0" fontId="20" fillId="24" borderId="0" xfId="0" applyFont="1" applyFill="1" applyAlignment="1">
      <alignment horizontal="left" vertical="top" wrapText="1"/>
    </xf>
    <xf numFmtId="0" fontId="19" fillId="0" borderId="0" xfId="0" applyFont="1" applyAlignment="1">
      <alignment vertical="top" wrapText="1"/>
    </xf>
    <xf numFmtId="0" fontId="19" fillId="0" borderId="0" xfId="0" applyFont="1" applyAlignment="1">
      <alignment wrapText="1"/>
    </xf>
    <xf numFmtId="0" fontId="19" fillId="0" borderId="0" xfId="0" applyFont="1" applyAlignment="1">
      <alignment horizontal="center"/>
    </xf>
    <xf numFmtId="167" fontId="19" fillId="0" borderId="0" xfId="0" applyNumberFormat="1" applyFont="1" applyAlignment="1"/>
    <xf numFmtId="0" fontId="22" fillId="0" borderId="0" xfId="0" applyFont="1" applyAlignment="1">
      <alignment wrapText="1"/>
    </xf>
    <xf numFmtId="0" fontId="22" fillId="0" borderId="0" xfId="0" applyFont="1" applyAlignment="1"/>
    <xf numFmtId="0" fontId="22" fillId="0" borderId="0" xfId="0" applyFont="1" applyAlignment="1">
      <alignment horizontal="center"/>
    </xf>
    <xf numFmtId="171" fontId="19" fillId="0" borderId="0" xfId="3" applyNumberFormat="1" applyFont="1" applyFill="1" applyAlignment="1">
      <alignment vertical="top"/>
    </xf>
    <xf numFmtId="0" fontId="19" fillId="0" borderId="0" xfId="3" applyFont="1" applyFill="1" applyAlignment="1">
      <alignment horizontal="center" vertical="top"/>
    </xf>
    <xf numFmtId="0" fontId="19" fillId="0" borderId="0" xfId="3" applyFont="1" applyFill="1" applyAlignment="1">
      <alignment vertical="top"/>
    </xf>
    <xf numFmtId="0" fontId="8" fillId="0" borderId="1" xfId="7" applyFont="1" applyFill="1" applyBorder="1" applyAlignment="1">
      <alignment horizontal="center" vertical="center"/>
    </xf>
    <xf numFmtId="0" fontId="6" fillId="0" borderId="0" xfId="7" applyFill="1" applyAlignment="1">
      <alignment horizontal="center" vertical="top"/>
    </xf>
    <xf numFmtId="0" fontId="33" fillId="0" borderId="13" xfId="5" applyFont="1" applyBorder="1" applyAlignment="1">
      <alignment horizontal="left" vertical="center"/>
    </xf>
    <xf numFmtId="0" fontId="33" fillId="0" borderId="13" xfId="5" applyFont="1" applyBorder="1" applyAlignment="1">
      <alignment vertical="center"/>
    </xf>
    <xf numFmtId="0" fontId="33" fillId="0" borderId="13" xfId="5" applyFont="1" applyFill="1" applyBorder="1" applyAlignment="1">
      <alignment horizontal="center" vertical="center"/>
    </xf>
    <xf numFmtId="164" fontId="33" fillId="0" borderId="13" xfId="5" applyNumberFormat="1" applyFont="1" applyBorder="1" applyAlignment="1">
      <alignment horizontal="left" vertical="center"/>
    </xf>
    <xf numFmtId="0" fontId="33" fillId="0" borderId="3" xfId="5" applyFont="1" applyBorder="1" applyAlignment="1">
      <alignment horizontal="left" vertical="center"/>
    </xf>
    <xf numFmtId="0" fontId="33" fillId="0" borderId="3" xfId="5" applyFont="1" applyBorder="1" applyAlignment="1">
      <alignment vertical="center"/>
    </xf>
    <xf numFmtId="0" fontId="33" fillId="0" borderId="3" xfId="5" applyFont="1" applyFill="1" applyBorder="1" applyAlignment="1">
      <alignment horizontal="center" vertical="center"/>
    </xf>
    <xf numFmtId="164" fontId="33" fillId="0" borderId="3" xfId="5" applyNumberFormat="1" applyFont="1" applyBorder="1" applyAlignment="1">
      <alignment horizontal="left" vertical="center"/>
    </xf>
    <xf numFmtId="0" fontId="39" fillId="0" borderId="1" xfId="7" applyFont="1" applyFill="1" applyBorder="1" applyAlignment="1">
      <alignment horizontal="center" vertical="center"/>
    </xf>
    <xf numFmtId="0" fontId="39" fillId="0" borderId="0" xfId="0" applyFont="1">
      <alignment vertical="top"/>
    </xf>
    <xf numFmtId="0" fontId="57" fillId="0" borderId="0" xfId="5" applyFont="1" applyBorder="1" applyAlignment="1">
      <alignment vertical="center"/>
    </xf>
    <xf numFmtId="164" fontId="38" fillId="0" borderId="13" xfId="5" applyNumberFormat="1" applyFont="1" applyBorder="1" applyAlignment="1">
      <alignment vertical="center"/>
    </xf>
    <xf numFmtId="164" fontId="38" fillId="0" borderId="3" xfId="5" applyNumberFormat="1" applyFont="1" applyBorder="1" applyAlignment="1">
      <alignment vertical="center"/>
    </xf>
    <xf numFmtId="164" fontId="38" fillId="0" borderId="0" xfId="5" applyNumberFormat="1" applyFont="1"/>
    <xf numFmtId="0" fontId="57" fillId="0" borderId="2" xfId="5" applyFont="1" applyBorder="1" applyAlignment="1">
      <alignment vertical="center"/>
    </xf>
    <xf numFmtId="164" fontId="38" fillId="0" borderId="1" xfId="5" applyNumberFormat="1" applyFont="1" applyBorder="1" applyAlignment="1">
      <alignment horizontal="left" vertical="center"/>
    </xf>
    <xf numFmtId="164" fontId="41" fillId="0" borderId="0" xfId="5" applyNumberFormat="1" applyFont="1" applyAlignment="1">
      <alignment horizontal="left"/>
    </xf>
    <xf numFmtId="168" fontId="33" fillId="0" borderId="1" xfId="5" applyNumberFormat="1" applyFont="1" applyFill="1" applyBorder="1" applyAlignment="1">
      <alignment horizontal="center" vertical="center"/>
    </xf>
    <xf numFmtId="0" fontId="3" fillId="0" borderId="0" xfId="7" applyFont="1" applyAlignment="1">
      <alignment horizontal="center" vertical="center"/>
    </xf>
    <xf numFmtId="0" fontId="6" fillId="0" borderId="0" xfId="7" applyFont="1" applyFill="1" applyBorder="1" applyAlignment="1">
      <alignment horizontal="center" vertical="top"/>
    </xf>
    <xf numFmtId="0" fontId="6" fillId="0" borderId="1" xfId="7" applyFont="1" applyFill="1" applyBorder="1" applyAlignment="1">
      <alignment horizontal="center" vertical="top"/>
    </xf>
    <xf numFmtId="0" fontId="6" fillId="0" borderId="0" xfId="7" applyFont="1" applyFill="1" applyAlignment="1">
      <alignment horizontal="center" vertical="top"/>
    </xf>
    <xf numFmtId="0" fontId="8" fillId="0" borderId="13" xfId="7" applyFont="1" applyBorder="1" applyAlignment="1">
      <alignment horizontal="left" vertical="center"/>
    </xf>
    <xf numFmtId="0" fontId="8" fillId="0" borderId="3" xfId="7" applyFont="1" applyBorder="1" applyAlignment="1">
      <alignment horizontal="left" vertical="center"/>
    </xf>
    <xf numFmtId="0" fontId="8" fillId="9" borderId="1" xfId="7" applyFont="1" applyFill="1" applyBorder="1" applyAlignment="1">
      <alignment horizontal="left" vertical="center"/>
    </xf>
    <xf numFmtId="0" fontId="8" fillId="9" borderId="1" xfId="7" applyFont="1" applyFill="1" applyBorder="1" applyAlignment="1">
      <alignment horizontal="center" vertical="center"/>
    </xf>
    <xf numFmtId="168" fontId="33" fillId="0" borderId="1" xfId="7" applyNumberFormat="1" applyFont="1" applyFill="1" applyBorder="1" applyAlignment="1">
      <alignment horizontal="center" vertical="center"/>
    </xf>
    <xf numFmtId="0" fontId="8" fillId="0" borderId="4" xfId="7" applyFont="1" applyBorder="1" applyAlignment="1">
      <alignment horizontal="left" vertical="center"/>
    </xf>
    <xf numFmtId="0" fontId="8" fillId="0" borderId="21" xfId="0" applyFont="1" applyBorder="1">
      <alignment vertical="top"/>
    </xf>
    <xf numFmtId="0" fontId="8" fillId="0" borderId="24" xfId="0" applyFont="1" applyBorder="1">
      <alignment vertical="top"/>
    </xf>
    <xf numFmtId="0" fontId="8" fillId="0" borderId="9" xfId="0" applyFont="1" applyBorder="1">
      <alignment vertical="top"/>
    </xf>
    <xf numFmtId="0" fontId="8" fillId="22" borderId="24" xfId="0" applyFont="1" applyFill="1" applyBorder="1">
      <alignment vertical="top"/>
    </xf>
    <xf numFmtId="0" fontId="8" fillId="0" borderId="0" xfId="0" applyFont="1" applyAlignment="1">
      <alignment vertical="top"/>
    </xf>
    <xf numFmtId="0" fontId="59" fillId="0" borderId="0" xfId="0" applyFont="1">
      <alignment vertical="top"/>
    </xf>
    <xf numFmtId="0" fontId="8" fillId="12" borderId="0" xfId="0" applyFont="1" applyFill="1">
      <alignment vertical="top"/>
    </xf>
    <xf numFmtId="164" fontId="8" fillId="0" borderId="0" xfId="7" applyNumberFormat="1" applyFont="1" applyFill="1" applyAlignment="1">
      <alignment horizontal="center" vertical="top"/>
    </xf>
    <xf numFmtId="164" fontId="33" fillId="0" borderId="1" xfId="5" applyNumberFormat="1" applyFont="1" applyFill="1" applyBorder="1" applyAlignment="1">
      <alignment horizontal="left" vertical="center"/>
    </xf>
    <xf numFmtId="0" fontId="8" fillId="0" borderId="13" xfId="7" applyFont="1" applyBorder="1" applyAlignment="1">
      <alignment vertical="center" wrapText="1"/>
    </xf>
    <xf numFmtId="0" fontId="8" fillId="0" borderId="3" xfId="7" applyFont="1" applyBorder="1" applyAlignment="1">
      <alignment vertical="center" wrapText="1"/>
    </xf>
    <xf numFmtId="0" fontId="3" fillId="0" borderId="2" xfId="0" applyFont="1" applyBorder="1" applyAlignment="1">
      <alignment horizontal="center" vertical="center"/>
    </xf>
    <xf numFmtId="164" fontId="8" fillId="0" borderId="1" xfId="0" applyNumberFormat="1" applyFont="1" applyFill="1" applyBorder="1" applyAlignment="1">
      <alignment horizontal="center" vertical="center"/>
    </xf>
    <xf numFmtId="164" fontId="0" fillId="0" borderId="0" xfId="0" applyNumberFormat="1" applyFill="1" applyAlignment="1">
      <alignment horizontal="center" vertical="top"/>
    </xf>
    <xf numFmtId="0" fontId="10" fillId="0" borderId="1" xfId="5" applyFont="1" applyFill="1" applyBorder="1" applyAlignment="1">
      <alignment horizontal="center" vertical="center"/>
    </xf>
    <xf numFmtId="164" fontId="6" fillId="0" borderId="0" xfId="7" applyNumberFormat="1" applyFill="1" applyAlignment="1">
      <alignment horizontal="center" vertical="top"/>
    </xf>
    <xf numFmtId="164" fontId="23" fillId="0" borderId="0" xfId="7" applyNumberFormat="1" applyFont="1" applyFill="1" applyAlignment="1">
      <alignment horizontal="center" vertical="top"/>
    </xf>
    <xf numFmtId="164" fontId="38" fillId="0" borderId="1" xfId="7" applyNumberFormat="1" applyFont="1" applyBorder="1" applyAlignment="1">
      <alignment horizontal="left" vertical="center"/>
    </xf>
    <xf numFmtId="164" fontId="60" fillId="0" borderId="0" xfId="7" applyNumberFormat="1" applyFont="1">
      <alignment vertical="top"/>
    </xf>
    <xf numFmtId="0" fontId="38" fillId="0" borderId="1" xfId="5" applyFont="1" applyFill="1" applyBorder="1" applyAlignment="1">
      <alignment horizontal="center" vertical="center"/>
    </xf>
    <xf numFmtId="0" fontId="8" fillId="35" borderId="0" xfId="0" applyFont="1" applyFill="1">
      <alignment vertical="top"/>
    </xf>
    <xf numFmtId="0" fontId="23" fillId="0" borderId="0" xfId="0" applyFont="1" applyAlignment="1">
      <alignment wrapText="1"/>
    </xf>
    <xf numFmtId="164" fontId="46" fillId="0" borderId="0" xfId="7" applyNumberFormat="1" applyFont="1" applyFill="1" applyAlignment="1">
      <alignment horizontal="center" vertical="top"/>
    </xf>
    <xf numFmtId="0" fontId="61" fillId="0" borderId="0" xfId="7" applyFont="1">
      <alignment vertical="top"/>
    </xf>
    <xf numFmtId="0" fontId="57" fillId="0" borderId="2" xfId="7" applyFont="1" applyBorder="1" applyAlignment="1">
      <alignment vertical="center"/>
    </xf>
    <xf numFmtId="0" fontId="57" fillId="0" borderId="2" xfId="0" applyFont="1" applyBorder="1" applyAlignment="1">
      <alignment vertical="center"/>
    </xf>
    <xf numFmtId="164" fontId="38" fillId="0" borderId="1" xfId="1" applyNumberFormat="1" applyFont="1" applyBorder="1" applyAlignment="1">
      <alignment vertical="center"/>
    </xf>
    <xf numFmtId="164" fontId="60" fillId="0" borderId="0" xfId="1" applyNumberFormat="1" applyFont="1">
      <alignment vertical="top"/>
    </xf>
    <xf numFmtId="0" fontId="21" fillId="0" borderId="0" xfId="0" applyFont="1" applyAlignment="1"/>
    <xf numFmtId="0" fontId="21" fillId="0" borderId="0" xfId="0" applyFont="1" applyAlignment="1">
      <alignment wrapText="1"/>
    </xf>
    <xf numFmtId="0" fontId="8" fillId="0" borderId="13" xfId="7" applyFont="1" applyBorder="1" applyAlignment="1">
      <alignment horizontal="left" vertical="center"/>
    </xf>
    <xf numFmtId="0" fontId="8" fillId="0" borderId="3" xfId="7" applyFont="1" applyBorder="1" applyAlignment="1">
      <alignment horizontal="left" vertical="center"/>
    </xf>
    <xf numFmtId="168" fontId="0" fillId="0" borderId="0" xfId="0" applyNumberFormat="1" applyAlignment="1"/>
    <xf numFmtId="0" fontId="7" fillId="0" borderId="0" xfId="0" applyFont="1">
      <alignment vertical="top"/>
    </xf>
    <xf numFmtId="168" fontId="7" fillId="0" borderId="25" xfId="0" applyNumberFormat="1" applyFont="1" applyBorder="1" applyAlignment="1"/>
    <xf numFmtId="168" fontId="0" fillId="0" borderId="0" xfId="0" applyNumberFormat="1" applyAlignment="1">
      <alignment horizontal="center"/>
    </xf>
    <xf numFmtId="4" fontId="28" fillId="0" borderId="0" xfId="3" applyNumberFormat="1" applyFont="1" applyAlignment="1">
      <alignment vertical="top" wrapText="1"/>
    </xf>
    <xf numFmtId="4" fontId="19" fillId="0" borderId="0" xfId="3" applyNumberFormat="1" applyFont="1" applyAlignment="1">
      <alignment vertical="top"/>
    </xf>
    <xf numFmtId="4" fontId="19" fillId="0" borderId="0" xfId="3" applyNumberFormat="1" applyFont="1"/>
    <xf numFmtId="0" fontId="0" fillId="0" borderId="0" xfId="0" pivotButton="1">
      <alignment vertical="top"/>
    </xf>
    <xf numFmtId="0" fontId="0" fillId="0" borderId="0" xfId="0" applyAlignment="1">
      <alignment horizontal="left" vertical="top"/>
    </xf>
    <xf numFmtId="4" fontId="0" fillId="0" borderId="0" xfId="0" applyNumberFormat="1">
      <alignment vertical="top"/>
    </xf>
    <xf numFmtId="0" fontId="6" fillId="28" borderId="0" xfId="0" applyFont="1" applyFill="1">
      <alignment vertical="top"/>
    </xf>
    <xf numFmtId="4" fontId="0" fillId="28" borderId="0" xfId="0" applyNumberFormat="1" applyFill="1">
      <alignment vertical="top"/>
    </xf>
    <xf numFmtId="0" fontId="0" fillId="28" borderId="0" xfId="0" applyFill="1">
      <alignment vertical="top"/>
    </xf>
    <xf numFmtId="0" fontId="7" fillId="28" borderId="0" xfId="0" applyFont="1" applyFill="1">
      <alignment vertical="top"/>
    </xf>
    <xf numFmtId="4" fontId="7" fillId="28" borderId="25" xfId="0" applyNumberFormat="1" applyFont="1" applyFill="1" applyBorder="1">
      <alignment vertical="top"/>
    </xf>
    <xf numFmtId="0" fontId="8" fillId="0" borderId="21" xfId="0" applyFont="1" applyBorder="1" applyAlignment="1">
      <alignment horizontal="left" vertical="center"/>
    </xf>
    <xf numFmtId="0" fontId="33" fillId="0" borderId="9" xfId="0" applyFont="1" applyFill="1" applyBorder="1" applyAlignment="1">
      <alignment horizontal="left" vertical="center"/>
    </xf>
    <xf numFmtId="0" fontId="33" fillId="0" borderId="13" xfId="0" applyFont="1" applyBorder="1" applyAlignment="1">
      <alignment horizontal="left" vertical="center"/>
    </xf>
    <xf numFmtId="0" fontId="33" fillId="0" borderId="3" xfId="0" applyFont="1" applyBorder="1" applyAlignment="1">
      <alignment horizontal="left" vertical="center"/>
    </xf>
    <xf numFmtId="0" fontId="33" fillId="28" borderId="26" xfId="0" applyFont="1" applyFill="1" applyBorder="1" applyAlignment="1">
      <alignment horizontal="left" vertical="center"/>
    </xf>
    <xf numFmtId="0" fontId="8" fillId="28" borderId="27" xfId="0" applyFont="1" applyFill="1" applyBorder="1" applyAlignment="1">
      <alignment horizontal="left" vertical="center"/>
    </xf>
    <xf numFmtId="0" fontId="33" fillId="28" borderId="28" xfId="0" applyFont="1" applyFill="1" applyBorder="1" applyAlignment="1">
      <alignment horizontal="left" vertical="center"/>
    </xf>
    <xf numFmtId="0" fontId="8" fillId="28" borderId="5" xfId="0" applyFont="1" applyFill="1" applyBorder="1" applyAlignment="1">
      <alignment horizontal="left" vertical="center"/>
    </xf>
    <xf numFmtId="164" fontId="38" fillId="0" borderId="1" xfId="5" applyNumberFormat="1" applyFont="1" applyFill="1" applyBorder="1" applyAlignment="1">
      <alignment vertical="center"/>
    </xf>
    <xf numFmtId="0" fontId="8" fillId="0" borderId="1" xfId="5" applyFont="1" applyFill="1" applyBorder="1" applyAlignment="1">
      <alignment vertical="center"/>
    </xf>
    <xf numFmtId="0" fontId="33" fillId="0" borderId="3" xfId="5" applyFont="1" applyFill="1" applyBorder="1" applyAlignment="1">
      <alignment horizontal="left" vertical="center"/>
    </xf>
    <xf numFmtId="0" fontId="33" fillId="0" borderId="3" xfId="5" applyFont="1" applyFill="1" applyBorder="1" applyAlignment="1">
      <alignment vertical="center"/>
    </xf>
    <xf numFmtId="164" fontId="33" fillId="0" borderId="3" xfId="5" applyNumberFormat="1" applyFont="1" applyFill="1" applyBorder="1" applyAlignment="1">
      <alignment horizontal="left" vertical="center"/>
    </xf>
    <xf numFmtId="164" fontId="38" fillId="0" borderId="3" xfId="5" applyNumberFormat="1" applyFont="1" applyFill="1" applyBorder="1" applyAlignment="1">
      <alignment vertical="center"/>
    </xf>
    <xf numFmtId="0" fontId="8" fillId="0" borderId="9" xfId="7" applyFont="1" applyFill="1" applyBorder="1" applyAlignment="1">
      <alignment horizontal="center" vertical="center"/>
    </xf>
    <xf numFmtId="0" fontId="10" fillId="28" borderId="13" xfId="7" applyFont="1" applyFill="1" applyBorder="1" applyAlignment="1">
      <alignment vertical="center"/>
    </xf>
    <xf numFmtId="0" fontId="10" fillId="28" borderId="3" xfId="7" applyFont="1" applyFill="1" applyBorder="1" applyAlignment="1">
      <alignment vertical="center"/>
    </xf>
    <xf numFmtId="0" fontId="10" fillId="0" borderId="3" xfId="7" applyFont="1" applyBorder="1" applyAlignment="1">
      <alignment vertical="center"/>
    </xf>
    <xf numFmtId="168" fontId="33" fillId="0" borderId="9" xfId="5" applyNumberFormat="1" applyFont="1" applyFill="1" applyBorder="1" applyAlignment="1">
      <alignment horizontal="center" vertical="center"/>
    </xf>
    <xf numFmtId="0" fontId="8" fillId="0" borderId="13" xfId="5" applyFont="1" applyBorder="1" applyAlignment="1">
      <alignment vertical="center"/>
    </xf>
    <xf numFmtId="0" fontId="8" fillId="0" borderId="13" xfId="5" applyFont="1" applyBorder="1" applyAlignment="1">
      <alignment vertical="center" wrapText="1"/>
    </xf>
    <xf numFmtId="0" fontId="8" fillId="0" borderId="4" xfId="5" applyFont="1" applyBorder="1" applyAlignment="1">
      <alignment vertical="center" wrapText="1"/>
    </xf>
    <xf numFmtId="0" fontId="8" fillId="0" borderId="3" xfId="5" applyFont="1" applyBorder="1" applyAlignment="1">
      <alignment vertical="center" wrapText="1"/>
    </xf>
    <xf numFmtId="0" fontId="8" fillId="0" borderId="3" xfId="7" applyFont="1" applyBorder="1" applyAlignment="1">
      <alignment vertical="center"/>
    </xf>
    <xf numFmtId="0" fontId="18" fillId="0" borderId="0" xfId="0" quotePrefix="1" applyFont="1">
      <alignment vertical="top"/>
    </xf>
    <xf numFmtId="164" fontId="6" fillId="0" borderId="0" xfId="7" applyNumberFormat="1" applyFill="1">
      <alignment vertical="top"/>
    </xf>
    <xf numFmtId="0" fontId="8" fillId="0" borderId="21" xfId="7" applyFont="1" applyFill="1" applyBorder="1" applyAlignment="1">
      <alignment horizontal="left" vertical="center"/>
    </xf>
    <xf numFmtId="0" fontId="8" fillId="0" borderId="13" xfId="7" applyFont="1" applyFill="1" applyBorder="1" applyAlignment="1">
      <alignment horizontal="left" vertical="center"/>
    </xf>
    <xf numFmtId="0" fontId="8" fillId="0" borderId="4" xfId="7" applyFont="1" applyFill="1" applyBorder="1" applyAlignment="1">
      <alignment horizontal="left" vertical="center"/>
    </xf>
    <xf numFmtId="0" fontId="8" fillId="0" borderId="3" xfId="7" applyFont="1" applyFill="1" applyBorder="1" applyAlignment="1">
      <alignment horizontal="left" vertical="center"/>
    </xf>
    <xf numFmtId="0" fontId="8" fillId="0" borderId="13" xfId="7" applyFont="1" applyBorder="1" applyAlignment="1">
      <alignment vertical="center"/>
    </xf>
    <xf numFmtId="0" fontId="8" fillId="0" borderId="4" xfId="7" applyFont="1" applyBorder="1" applyAlignment="1">
      <alignment vertical="center"/>
    </xf>
    <xf numFmtId="168" fontId="33" fillId="0" borderId="9" xfId="7" applyNumberFormat="1" applyFont="1" applyFill="1" applyBorder="1" applyAlignment="1">
      <alignment horizontal="center" vertical="center"/>
    </xf>
    <xf numFmtId="0" fontId="8" fillId="28" borderId="3" xfId="7" applyFont="1" applyFill="1" applyBorder="1" applyAlignment="1">
      <alignment horizontal="left" vertical="center"/>
    </xf>
    <xf numFmtId="0" fontId="8" fillId="0" borderId="13" xfId="7" applyFont="1" applyFill="1" applyBorder="1" applyAlignment="1">
      <alignment vertical="center"/>
    </xf>
    <xf numFmtId="0" fontId="8" fillId="0" borderId="0" xfId="7" applyFont="1" applyFill="1">
      <alignment vertical="top"/>
    </xf>
    <xf numFmtId="0" fontId="7" fillId="0" borderId="0" xfId="7" applyFont="1" applyFill="1">
      <alignment vertical="top"/>
    </xf>
    <xf numFmtId="0" fontId="7" fillId="0" borderId="0" xfId="7" applyFont="1" applyFill="1" applyAlignment="1">
      <alignment horizontal="right" vertical="top"/>
    </xf>
    <xf numFmtId="0" fontId="8" fillId="0" borderId="26" xfId="5" applyFont="1" applyBorder="1" applyAlignment="1">
      <alignment vertical="center"/>
    </xf>
    <xf numFmtId="0" fontId="8" fillId="0" borderId="29" xfId="5" applyFont="1" applyBorder="1" applyAlignment="1">
      <alignment vertical="center"/>
    </xf>
    <xf numFmtId="0" fontId="8" fillId="0" borderId="28" xfId="5" applyFont="1" applyBorder="1" applyAlignment="1">
      <alignment vertical="center"/>
    </xf>
    <xf numFmtId="164" fontId="10" fillId="0" borderId="9" xfId="0" applyNumberFormat="1" applyFont="1" applyFill="1" applyBorder="1" applyAlignment="1">
      <alignment horizontal="center" vertical="center"/>
    </xf>
    <xf numFmtId="0" fontId="8" fillId="0" borderId="13" xfId="0" applyFont="1" applyBorder="1" applyAlignment="1">
      <alignment vertical="center"/>
    </xf>
    <xf numFmtId="0" fontId="8" fillId="0" borderId="3" xfId="0" applyFont="1" applyBorder="1" applyAlignment="1">
      <alignment vertical="center"/>
    </xf>
    <xf numFmtId="0" fontId="10" fillId="0" borderId="4" xfId="0" applyFont="1" applyBorder="1" applyAlignment="1">
      <alignment vertical="center"/>
    </xf>
    <xf numFmtId="0" fontId="10" fillId="0" borderId="13" xfId="0" applyFont="1" applyBorder="1" applyAlignment="1">
      <alignment vertical="center" wrapText="1"/>
    </xf>
    <xf numFmtId="0" fontId="10" fillId="0" borderId="3" xfId="0" applyFont="1" applyBorder="1" applyAlignment="1">
      <alignment vertical="center"/>
    </xf>
    <xf numFmtId="164" fontId="41" fillId="0" borderId="0" xfId="7" applyNumberFormat="1" applyFont="1">
      <alignment vertical="top"/>
    </xf>
    <xf numFmtId="0" fontId="41" fillId="0" borderId="0" xfId="7" applyFont="1">
      <alignment vertical="top"/>
    </xf>
    <xf numFmtId="164" fontId="38" fillId="0" borderId="1" xfId="1" applyNumberFormat="1" applyFont="1" applyBorder="1" applyAlignment="1">
      <alignment horizontal="left" vertical="center"/>
    </xf>
    <xf numFmtId="0" fontId="60" fillId="0" borderId="0" xfId="7" applyFont="1">
      <alignment vertical="top"/>
    </xf>
    <xf numFmtId="164" fontId="8" fillId="0" borderId="9" xfId="7" applyNumberFormat="1" applyFont="1" applyFill="1" applyBorder="1" applyAlignment="1">
      <alignment horizontal="center" vertical="center"/>
    </xf>
    <xf numFmtId="0" fontId="8" fillId="28" borderId="3" xfId="7" applyFont="1" applyFill="1" applyBorder="1" applyAlignment="1">
      <alignment vertical="center" wrapText="1"/>
    </xf>
    <xf numFmtId="0" fontId="8" fillId="0" borderId="4" xfId="7" applyFont="1" applyFill="1" applyBorder="1" applyAlignment="1">
      <alignment vertical="center" wrapText="1"/>
    </xf>
    <xf numFmtId="0" fontId="39" fillId="0" borderId="0" xfId="7" applyFont="1">
      <alignment vertical="top"/>
    </xf>
    <xf numFmtId="0" fontId="8" fillId="0" borderId="3" xfId="7" applyFont="1" applyFill="1" applyBorder="1" applyAlignment="1">
      <alignment vertical="center"/>
    </xf>
    <xf numFmtId="164" fontId="38" fillId="0" borderId="1" xfId="7" applyNumberFormat="1" applyFont="1" applyBorder="1" applyAlignment="1">
      <alignment vertical="center"/>
    </xf>
    <xf numFmtId="164" fontId="38" fillId="0" borderId="1" xfId="7" applyNumberFormat="1" applyFont="1" applyFill="1" applyBorder="1" applyAlignment="1">
      <alignment vertical="center"/>
    </xf>
    <xf numFmtId="164" fontId="38" fillId="0" borderId="0" xfId="7" applyNumberFormat="1" applyFont="1">
      <alignment vertical="top"/>
    </xf>
    <xf numFmtId="0" fontId="3" fillId="0" borderId="0" xfId="7" applyFont="1" applyBorder="1" applyAlignment="1">
      <alignment vertical="center"/>
    </xf>
    <xf numFmtId="0" fontId="3" fillId="0" borderId="0" xfId="7" applyFont="1" applyBorder="1" applyAlignment="1">
      <alignment horizontal="center" vertical="center"/>
    </xf>
    <xf numFmtId="0" fontId="3" fillId="0" borderId="9" xfId="7" applyFont="1" applyBorder="1" applyAlignment="1">
      <alignment horizontal="center" vertical="center"/>
    </xf>
    <xf numFmtId="0" fontId="29" fillId="0" borderId="3" xfId="5" applyFont="1" applyBorder="1" applyAlignment="1">
      <alignment horizontal="center" vertical="center"/>
    </xf>
    <xf numFmtId="0" fontId="29" fillId="0" borderId="28" xfId="5" applyFont="1" applyBorder="1" applyAlignment="1">
      <alignment horizontal="center" vertical="center"/>
    </xf>
    <xf numFmtId="0" fontId="33" fillId="0" borderId="13" xfId="5" applyFont="1" applyBorder="1" applyAlignment="1">
      <alignment vertical="center" wrapText="1"/>
    </xf>
    <xf numFmtId="0" fontId="33" fillId="0" borderId="3" xfId="5" applyFont="1" applyBorder="1" applyAlignment="1">
      <alignment vertical="center" wrapText="1"/>
    </xf>
    <xf numFmtId="164" fontId="19" fillId="0" borderId="0" xfId="1" applyNumberFormat="1" applyFont="1">
      <alignment vertical="top"/>
    </xf>
    <xf numFmtId="0" fontId="19" fillId="0" borderId="0" xfId="7" applyFont="1">
      <alignment vertical="top"/>
    </xf>
    <xf numFmtId="0" fontId="33" fillId="0" borderId="9" xfId="5" applyFont="1" applyFill="1" applyBorder="1" applyAlignment="1">
      <alignment horizontal="center" vertical="center"/>
    </xf>
    <xf numFmtId="0" fontId="39" fillId="0" borderId="1" xfId="5" applyFont="1" applyFill="1" applyBorder="1" applyAlignment="1">
      <alignment horizontal="center" vertical="center"/>
    </xf>
    <xf numFmtId="0" fontId="10" fillId="0" borderId="1" xfId="7" applyFont="1" applyFill="1" applyBorder="1" applyAlignment="1">
      <alignment horizontal="center" vertical="center"/>
    </xf>
    <xf numFmtId="0" fontId="10" fillId="0" borderId="1" xfId="7" applyFont="1" applyFill="1" applyBorder="1" applyAlignment="1">
      <alignment vertical="center"/>
    </xf>
    <xf numFmtId="164" fontId="9" fillId="0" borderId="1" xfId="1" applyNumberFormat="1" applyFont="1" applyFill="1" applyBorder="1" applyAlignment="1">
      <alignment vertical="center"/>
    </xf>
    <xf numFmtId="165" fontId="41" fillId="0" borderId="9" xfId="7" applyNumberFormat="1" applyFont="1" applyFill="1" applyBorder="1" applyAlignment="1">
      <alignment horizontal="center" vertical="center"/>
    </xf>
    <xf numFmtId="4" fontId="19" fillId="36" borderId="0" xfId="3" applyNumberFormat="1" applyFont="1" applyFill="1" applyAlignment="1">
      <alignment vertical="top"/>
    </xf>
    <xf numFmtId="0" fontId="8" fillId="0" borderId="27" xfId="7" applyFont="1" applyFill="1" applyBorder="1" applyAlignment="1">
      <alignment vertical="center" wrapText="1"/>
    </xf>
    <xf numFmtId="0" fontId="10" fillId="0" borderId="4" xfId="7" applyFont="1" applyFill="1" applyBorder="1" applyAlignment="1">
      <alignment vertical="center" wrapText="1"/>
    </xf>
    <xf numFmtId="0" fontId="10" fillId="0" borderId="30" xfId="7" applyFont="1" applyFill="1" applyBorder="1" applyAlignment="1">
      <alignment vertical="center" wrapText="1"/>
    </xf>
    <xf numFmtId="0" fontId="8" fillId="0" borderId="5" xfId="7" applyFont="1" applyFill="1" applyBorder="1" applyAlignment="1">
      <alignment vertical="center" wrapText="1"/>
    </xf>
    <xf numFmtId="4" fontId="18" fillId="0" borderId="0" xfId="0" applyNumberFormat="1" applyFont="1" applyAlignment="1">
      <alignment horizontal="right" vertical="center"/>
    </xf>
    <xf numFmtId="0" fontId="10" fillId="28" borderId="13" xfId="7" applyFont="1" applyFill="1" applyBorder="1" applyAlignment="1">
      <alignment vertical="center" wrapText="1"/>
    </xf>
    <xf numFmtId="0" fontId="10" fillId="0" borderId="3" xfId="7" applyFont="1" applyFill="1" applyBorder="1" applyAlignment="1">
      <alignment vertical="center"/>
    </xf>
    <xf numFmtId="0" fontId="10" fillId="0" borderId="9" xfId="7" applyFont="1" applyFill="1" applyBorder="1" applyAlignment="1">
      <alignment horizontal="center" vertical="center"/>
    </xf>
    <xf numFmtId="0" fontId="8" fillId="11" borderId="0" xfId="0" applyFont="1" applyFill="1">
      <alignment vertical="top"/>
    </xf>
    <xf numFmtId="0" fontId="8" fillId="0" borderId="1" xfId="0" applyFont="1" applyFill="1" applyBorder="1" applyAlignment="1">
      <alignment vertical="center"/>
    </xf>
    <xf numFmtId="164" fontId="38" fillId="0" borderId="1" xfId="1" applyNumberFormat="1" applyFont="1" applyFill="1" applyBorder="1" applyAlignment="1">
      <alignment vertical="center"/>
    </xf>
    <xf numFmtId="0" fontId="0" fillId="0" borderId="0" xfId="0" applyFill="1">
      <alignment vertical="top"/>
    </xf>
    <xf numFmtId="164" fontId="8" fillId="0" borderId="9" xfId="0" applyNumberFormat="1" applyFont="1" applyFill="1" applyBorder="1" applyAlignment="1">
      <alignment horizontal="center" vertical="center"/>
    </xf>
    <xf numFmtId="0" fontId="8" fillId="0" borderId="13" xfId="0" applyFont="1" applyBorder="1" applyAlignment="1">
      <alignment vertical="center" wrapText="1"/>
    </xf>
    <xf numFmtId="0" fontId="6" fillId="0" borderId="0" xfId="0" quotePrefix="1" applyFont="1">
      <alignment vertical="top"/>
    </xf>
    <xf numFmtId="0" fontId="33" fillId="0" borderId="13" xfId="5" applyFont="1" applyBorder="1" applyAlignment="1">
      <alignment horizontal="left" vertical="center"/>
    </xf>
    <xf numFmtId="0" fontId="33" fillId="0" borderId="3" xfId="5" applyFont="1" applyBorder="1" applyAlignment="1">
      <alignment horizontal="left" vertical="center"/>
    </xf>
    <xf numFmtId="0" fontId="33" fillId="0" borderId="13" xfId="5" applyFont="1" applyBorder="1" applyAlignment="1">
      <alignment horizontal="left" vertical="center" wrapText="1"/>
    </xf>
    <xf numFmtId="0" fontId="10" fillId="0" borderId="3" xfId="5" applyFont="1" applyBorder="1" applyAlignment="1">
      <alignment horizontal="left" vertical="center"/>
    </xf>
    <xf numFmtId="0" fontId="10" fillId="28" borderId="3" xfId="7" applyFont="1" applyFill="1" applyBorder="1" applyAlignment="1">
      <alignment vertical="center" wrapText="1"/>
    </xf>
    <xf numFmtId="0" fontId="40" fillId="0" borderId="0" xfId="7" applyFont="1" applyBorder="1" applyAlignment="1">
      <alignment vertical="center"/>
    </xf>
    <xf numFmtId="0" fontId="40" fillId="0" borderId="0" xfId="7" applyFont="1" applyBorder="1" applyAlignment="1">
      <alignment horizontal="center" vertical="center"/>
    </xf>
    <xf numFmtId="0" fontId="62" fillId="0" borderId="0" xfId="7" applyFont="1">
      <alignment vertical="top"/>
    </xf>
    <xf numFmtId="0" fontId="57" fillId="0" borderId="0" xfId="7" applyFont="1" applyBorder="1" applyAlignment="1">
      <alignment vertical="center"/>
    </xf>
    <xf numFmtId="164" fontId="10" fillId="0" borderId="1" xfId="5" applyNumberFormat="1" applyFont="1" applyBorder="1" applyAlignment="1">
      <alignment horizontal="left" vertical="center"/>
    </xf>
    <xf numFmtId="0" fontId="8" fillId="0" borderId="13" xfId="7" applyFont="1" applyBorder="1" applyAlignment="1">
      <alignment horizontal="left" vertical="center"/>
    </xf>
    <xf numFmtId="0" fontId="8" fillId="0" borderId="3" xfId="7" applyFont="1" applyBorder="1" applyAlignment="1">
      <alignment horizontal="left" vertical="center"/>
    </xf>
    <xf numFmtId="0" fontId="1" fillId="0" borderId="0" xfId="11"/>
    <xf numFmtId="0" fontId="65" fillId="0" borderId="0" xfId="11" applyFont="1"/>
    <xf numFmtId="0" fontId="0" fillId="0" borderId="0" xfId="0" applyAlignment="1"/>
    <xf numFmtId="164" fontId="1" fillId="0" borderId="0" xfId="11" applyNumberFormat="1"/>
    <xf numFmtId="0" fontId="48" fillId="0" borderId="1" xfId="0" applyFont="1" applyBorder="1" applyAlignment="1">
      <alignment vertical="center"/>
    </xf>
    <xf numFmtId="0" fontId="1" fillId="0" borderId="0" xfId="11" applyFont="1"/>
    <xf numFmtId="0" fontId="10" fillId="0" borderId="1" xfId="0" applyFont="1" applyFill="1" applyBorder="1" applyAlignment="1">
      <alignment vertical="center"/>
    </xf>
    <xf numFmtId="164" fontId="1" fillId="0" borderId="0" xfId="11" applyNumberFormat="1" applyFont="1"/>
    <xf numFmtId="44" fontId="38" fillId="0" borderId="1" xfId="2" applyFont="1" applyFill="1" applyBorder="1" applyAlignment="1">
      <alignment horizontal="left" vertical="center"/>
    </xf>
    <xf numFmtId="44" fontId="60" fillId="0" borderId="0" xfId="2" applyFont="1" applyAlignment="1">
      <alignment vertical="top"/>
    </xf>
    <xf numFmtId="44" fontId="6" fillId="0" borderId="0" xfId="2" applyFont="1" applyAlignment="1">
      <alignment vertical="center"/>
    </xf>
    <xf numFmtId="44" fontId="38" fillId="0" borderId="1" xfId="2" applyFont="1" applyBorder="1" applyAlignment="1">
      <alignment vertical="center"/>
    </xf>
    <xf numFmtId="164" fontId="38" fillId="0" borderId="1" xfId="7" applyNumberFormat="1" applyFont="1" applyFill="1" applyBorder="1" applyAlignment="1">
      <alignment horizontal="left" vertical="center"/>
    </xf>
    <xf numFmtId="164" fontId="38" fillId="0" borderId="11" xfId="8" applyNumberFormat="1" applyFont="1" applyFill="1" applyBorder="1" applyAlignment="1">
      <alignment horizontal="right" vertical="center"/>
    </xf>
    <xf numFmtId="0" fontId="68" fillId="37" borderId="0" xfId="11" applyFont="1" applyFill="1"/>
    <xf numFmtId="0" fontId="66" fillId="37" borderId="0" xfId="11" applyFont="1" applyFill="1"/>
    <xf numFmtId="0" fontId="69" fillId="0" borderId="0" xfId="11" applyFont="1"/>
    <xf numFmtId="44" fontId="38" fillId="0" borderId="1" xfId="2" applyFont="1" applyBorder="1" applyAlignment="1">
      <alignment horizontal="left" vertical="center"/>
    </xf>
    <xf numFmtId="0" fontId="66" fillId="37" borderId="0" xfId="11" applyFont="1" applyFill="1" applyAlignment="1">
      <alignment vertical="center"/>
    </xf>
    <xf numFmtId="0" fontId="33" fillId="0" borderId="33" xfId="11" applyFont="1" applyBorder="1" applyAlignment="1">
      <alignment vertical="center"/>
    </xf>
    <xf numFmtId="44" fontId="8" fillId="0" borderId="33" xfId="12" applyFont="1" applyBorder="1" applyAlignment="1">
      <alignment vertical="center"/>
    </xf>
    <xf numFmtId="0" fontId="68" fillId="37" borderId="0" xfId="11" applyFont="1" applyFill="1" applyAlignment="1">
      <alignment vertical="center"/>
    </xf>
    <xf numFmtId="0" fontId="71" fillId="0" borderId="0" xfId="11" applyFont="1"/>
    <xf numFmtId="0" fontId="72" fillId="37" borderId="0" xfId="11" applyFont="1" applyFill="1" applyAlignment="1">
      <alignment vertical="center"/>
    </xf>
    <xf numFmtId="0" fontId="73" fillId="37" borderId="0" xfId="11" applyFont="1" applyFill="1" applyAlignment="1">
      <alignment vertical="center"/>
    </xf>
    <xf numFmtId="0" fontId="68" fillId="37" borderId="0" xfId="11" applyNumberFormat="1" applyFont="1" applyFill="1" applyAlignment="1">
      <alignment vertical="center"/>
    </xf>
    <xf numFmtId="164" fontId="38" fillId="0" borderId="0" xfId="11" applyNumberFormat="1" applyFont="1" applyAlignment="1">
      <alignment vertical="center"/>
    </xf>
    <xf numFmtId="0" fontId="33" fillId="0" borderId="33" xfId="11" applyFont="1" applyBorder="1" applyAlignment="1">
      <alignment vertical="center" wrapText="1"/>
    </xf>
    <xf numFmtId="44" fontId="38" fillId="0" borderId="0" xfId="2" applyFont="1" applyAlignment="1">
      <alignment vertical="center"/>
    </xf>
    <xf numFmtId="164" fontId="38" fillId="0" borderId="0" xfId="0" applyNumberFormat="1" applyFont="1" applyAlignment="1">
      <alignment vertical="center"/>
    </xf>
    <xf numFmtId="0" fontId="1" fillId="0" borderId="0" xfId="11" applyAlignment="1">
      <alignment wrapText="1"/>
    </xf>
    <xf numFmtId="0" fontId="68" fillId="37" borderId="0" xfId="11" applyFont="1" applyFill="1" applyAlignment="1">
      <alignment vertical="center" wrapText="1"/>
    </xf>
    <xf numFmtId="164" fontId="38" fillId="0" borderId="1" xfId="8" applyNumberFormat="1" applyFont="1" applyFill="1" applyBorder="1" applyAlignment="1">
      <alignment horizontal="left" vertical="center"/>
    </xf>
    <xf numFmtId="0" fontId="38" fillId="0" borderId="2" xfId="7" applyFont="1" applyBorder="1" applyAlignment="1">
      <alignment vertical="center"/>
    </xf>
    <xf numFmtId="0" fontId="38" fillId="0" borderId="0" xfId="7" applyFont="1" applyAlignment="1">
      <alignment vertical="center"/>
    </xf>
    <xf numFmtId="0" fontId="6" fillId="0" borderId="0" xfId="7" applyAlignment="1">
      <alignment vertical="center"/>
    </xf>
    <xf numFmtId="7" fontId="38" fillId="0" borderId="1" xfId="7" applyNumberFormat="1" applyFont="1" applyBorder="1" applyAlignment="1">
      <alignment vertical="center"/>
    </xf>
    <xf numFmtId="44" fontId="38" fillId="0" borderId="1" xfId="8" applyFont="1" applyBorder="1" applyAlignment="1">
      <alignment vertical="center"/>
    </xf>
    <xf numFmtId="7" fontId="38" fillId="0" borderId="1" xfId="7" applyNumberFormat="1" applyFont="1" applyFill="1" applyBorder="1" applyAlignment="1">
      <alignment vertical="center"/>
    </xf>
    <xf numFmtId="44" fontId="38" fillId="0" borderId="1" xfId="8" applyFont="1" applyFill="1" applyBorder="1" applyAlignment="1">
      <alignment vertical="center"/>
    </xf>
    <xf numFmtId="0" fontId="6" fillId="0" borderId="0" xfId="7" applyFill="1" applyAlignment="1">
      <alignment vertical="center"/>
    </xf>
    <xf numFmtId="0" fontId="6" fillId="0" borderId="0" xfId="7" applyFill="1" applyAlignment="1">
      <alignment horizontal="center" vertical="center"/>
    </xf>
    <xf numFmtId="164" fontId="38" fillId="0" borderId="0" xfId="7" applyNumberFormat="1" applyFont="1" applyAlignment="1">
      <alignment vertical="center"/>
    </xf>
    <xf numFmtId="164" fontId="6" fillId="0" borderId="0" xfId="7" applyNumberFormat="1" applyAlignment="1">
      <alignment vertical="center"/>
    </xf>
    <xf numFmtId="0" fontId="5" fillId="0" borderId="0" xfId="7" applyFont="1" applyBorder="1" applyAlignment="1">
      <alignment vertical="center"/>
    </xf>
    <xf numFmtId="0" fontId="5" fillId="0" borderId="32" xfId="7" applyFont="1" applyBorder="1" applyAlignment="1">
      <alignment vertical="center"/>
    </xf>
    <xf numFmtId="164" fontId="60" fillId="0" borderId="0" xfId="7" applyNumberFormat="1" applyFont="1" applyAlignment="1">
      <alignment vertical="center"/>
    </xf>
    <xf numFmtId="0" fontId="46" fillId="0" borderId="0" xfId="7" applyFont="1" applyAlignment="1">
      <alignment vertical="center"/>
    </xf>
    <xf numFmtId="0" fontId="44" fillId="0" borderId="0" xfId="7" applyFont="1" applyAlignment="1">
      <alignment vertical="center"/>
    </xf>
    <xf numFmtId="164" fontId="38" fillId="0" borderId="1" xfId="5" applyNumberFormat="1" applyFont="1" applyFill="1" applyBorder="1" applyAlignment="1">
      <alignment horizontal="left" vertical="center"/>
    </xf>
    <xf numFmtId="0" fontId="38" fillId="0" borderId="9" xfId="7" applyFont="1" applyFill="1" applyBorder="1" applyAlignment="1">
      <alignment vertical="center"/>
    </xf>
    <xf numFmtId="7" fontId="38" fillId="0" borderId="11" xfId="8" applyNumberFormat="1" applyFont="1" applyFill="1" applyBorder="1" applyAlignment="1">
      <alignment horizontal="right" vertical="center"/>
    </xf>
    <xf numFmtId="7" fontId="38" fillId="0" borderId="31" xfId="8" applyNumberFormat="1" applyFont="1" applyFill="1" applyBorder="1" applyAlignment="1">
      <alignment horizontal="right" vertical="center"/>
    </xf>
    <xf numFmtId="0" fontId="38" fillId="0" borderId="30" xfId="7" applyFont="1" applyFill="1" applyBorder="1" applyAlignment="1">
      <alignment vertical="center"/>
    </xf>
    <xf numFmtId="165" fontId="38" fillId="0" borderId="1" xfId="7" applyNumberFormat="1" applyFont="1" applyBorder="1">
      <alignment vertical="top"/>
    </xf>
    <xf numFmtId="165" fontId="38" fillId="0" borderId="1" xfId="7" applyNumberFormat="1" applyFont="1" applyFill="1" applyBorder="1">
      <alignment vertical="top"/>
    </xf>
    <xf numFmtId="164" fontId="38" fillId="0" borderId="1" xfId="1" applyNumberFormat="1" applyFont="1" applyBorder="1" applyAlignment="1">
      <alignment horizontal="center" vertical="center"/>
    </xf>
    <xf numFmtId="164" fontId="0" fillId="0" borderId="0" xfId="1" applyNumberFormat="1" applyFont="1" applyAlignment="1">
      <alignment vertical="center"/>
    </xf>
    <xf numFmtId="0" fontId="38" fillId="0" borderId="0" xfId="7" applyFont="1" applyAlignment="1">
      <alignment horizontal="center" vertical="center"/>
    </xf>
    <xf numFmtId="165" fontId="38" fillId="0" borderId="0" xfId="7" applyNumberFormat="1" applyFont="1" applyAlignment="1">
      <alignment vertical="center"/>
    </xf>
    <xf numFmtId="0" fontId="70" fillId="0" borderId="0" xfId="0" applyFont="1" applyAlignment="1">
      <alignment horizontal="centerContinuous"/>
    </xf>
    <xf numFmtId="0" fontId="74" fillId="0" borderId="0" xfId="0" applyFont="1" applyAlignment="1">
      <alignment horizontal="centerContinuous"/>
    </xf>
    <xf numFmtId="44" fontId="75" fillId="0" borderId="0" xfId="6" applyFont="1" applyBorder="1" applyAlignment="1">
      <alignment horizontal="centerContinuous"/>
    </xf>
    <xf numFmtId="0" fontId="75" fillId="0" borderId="0" xfId="0" applyFont="1" applyBorder="1" applyAlignment="1">
      <alignment horizontal="centerContinuous"/>
    </xf>
    <xf numFmtId="0" fontId="10" fillId="0" borderId="0" xfId="0" applyFont="1" applyBorder="1" applyAlignment="1"/>
    <xf numFmtId="172" fontId="10" fillId="0" borderId="0" xfId="10" applyNumberFormat="1" applyFont="1" applyBorder="1"/>
    <xf numFmtId="173" fontId="10" fillId="0" borderId="0" xfId="0" applyNumberFormat="1" applyFont="1" applyBorder="1" applyAlignment="1"/>
    <xf numFmtId="173" fontId="22" fillId="0" borderId="0" xfId="0" applyNumberFormat="1" applyFont="1" applyAlignment="1"/>
    <xf numFmtId="0" fontId="76" fillId="0" borderId="34" xfId="0" applyFont="1" applyBorder="1" applyAlignment="1">
      <alignment horizontal="center" vertical="center"/>
    </xf>
    <xf numFmtId="0" fontId="76" fillId="0" borderId="35" xfId="0" applyFont="1" applyBorder="1" applyAlignment="1">
      <alignment horizontal="center" vertical="center"/>
    </xf>
    <xf numFmtId="0" fontId="76" fillId="0" borderId="36" xfId="0" applyFont="1" applyBorder="1" applyAlignment="1">
      <alignment horizontal="center" vertical="center"/>
    </xf>
    <xf numFmtId="0" fontId="76" fillId="0" borderId="37" xfId="0" applyFont="1" applyBorder="1" applyAlignment="1">
      <alignment horizontal="center" vertical="center"/>
    </xf>
    <xf numFmtId="0" fontId="76" fillId="0" borderId="30" xfId="0" applyFont="1" applyBorder="1" applyAlignment="1">
      <alignment horizontal="center" vertical="center"/>
    </xf>
    <xf numFmtId="0" fontId="77" fillId="0" borderId="4" xfId="0" applyFont="1" applyBorder="1" applyAlignment="1">
      <alignment horizontal="center" vertical="center"/>
    </xf>
    <xf numFmtId="0" fontId="76" fillId="0" borderId="4" xfId="0" applyFont="1" applyBorder="1" applyAlignment="1">
      <alignment horizontal="center" vertical="center"/>
    </xf>
    <xf numFmtId="0" fontId="76" fillId="0" borderId="38" xfId="0" applyFont="1" applyBorder="1" applyAlignment="1">
      <alignment horizontal="center" vertical="center"/>
    </xf>
    <xf numFmtId="0" fontId="76" fillId="0" borderId="39" xfId="0" applyFont="1" applyBorder="1" applyAlignment="1">
      <alignment horizontal="center" vertical="center"/>
    </xf>
    <xf numFmtId="0" fontId="76" fillId="0" borderId="40" xfId="0" applyFont="1" applyBorder="1" applyAlignment="1">
      <alignment horizontal="center" vertical="center"/>
    </xf>
    <xf numFmtId="0" fontId="48" fillId="0" borderId="0" xfId="0" applyFont="1" applyAlignment="1">
      <alignment horizontal="left" vertical="center"/>
    </xf>
    <xf numFmtId="0" fontId="48" fillId="0" borderId="0" xfId="0" applyFont="1" applyAlignment="1">
      <alignment horizontal="center" vertical="center"/>
    </xf>
    <xf numFmtId="10" fontId="48" fillId="0" borderId="1" xfId="0" applyNumberFormat="1" applyFont="1" applyBorder="1" applyAlignment="1">
      <alignment horizontal="center" vertical="center"/>
    </xf>
    <xf numFmtId="10" fontId="61" fillId="0" borderId="1" xfId="0" applyNumberFormat="1" applyFont="1" applyBorder="1" applyAlignment="1">
      <alignment horizontal="center" vertical="center"/>
    </xf>
    <xf numFmtId="0" fontId="48" fillId="34" borderId="1" xfId="0" applyFont="1" applyFill="1" applyBorder="1" applyAlignment="1">
      <alignment vertical="center"/>
    </xf>
    <xf numFmtId="10" fontId="61" fillId="34" borderId="1" xfId="0" applyNumberFormat="1" applyFont="1" applyFill="1" applyBorder="1" applyAlignment="1">
      <alignment horizontal="center" vertical="center"/>
    </xf>
    <xf numFmtId="0" fontId="48" fillId="0" borderId="1" xfId="0" applyFont="1" applyBorder="1" applyAlignment="1">
      <alignment horizontal="left" vertical="center"/>
    </xf>
    <xf numFmtId="44" fontId="48" fillId="0" borderId="1" xfId="2" applyFont="1" applyBorder="1" applyAlignment="1">
      <alignment vertical="center"/>
    </xf>
    <xf numFmtId="44" fontId="48" fillId="0" borderId="1" xfId="2" applyFont="1" applyBorder="1" applyAlignment="1">
      <alignment horizontal="center" vertical="center"/>
    </xf>
    <xf numFmtId="44" fontId="48" fillId="34" borderId="1" xfId="2" applyFont="1" applyFill="1" applyBorder="1" applyAlignment="1">
      <alignment vertical="center"/>
    </xf>
    <xf numFmtId="44" fontId="48" fillId="34" borderId="1" xfId="2" applyFont="1" applyFill="1" applyBorder="1" applyAlignment="1">
      <alignment horizontal="center" vertical="center"/>
    </xf>
    <xf numFmtId="44" fontId="48" fillId="0" borderId="1" xfId="2" applyFont="1" applyFill="1" applyBorder="1" applyAlignment="1">
      <alignment vertical="center"/>
    </xf>
    <xf numFmtId="44" fontId="48" fillId="0" borderId="1" xfId="2" applyFont="1" applyBorder="1" applyAlignment="1">
      <alignment horizontal="right" vertical="center"/>
    </xf>
    <xf numFmtId="44" fontId="48" fillId="0" borderId="1" xfId="2" applyFont="1" applyBorder="1" applyAlignment="1">
      <alignment horizontal="left" vertical="center"/>
    </xf>
    <xf numFmtId="0" fontId="48" fillId="0" borderId="1" xfId="0" applyFont="1" applyBorder="1" applyAlignment="1">
      <alignment vertical="center" wrapText="1"/>
    </xf>
    <xf numFmtId="0" fontId="0" fillId="0" borderId="0" xfId="0" applyAlignment="1">
      <alignment vertical="center"/>
    </xf>
    <xf numFmtId="0" fontId="67" fillId="6" borderId="15" xfId="0" applyFont="1" applyFill="1" applyBorder="1" applyAlignment="1">
      <alignment vertical="center"/>
    </xf>
    <xf numFmtId="44" fontId="67" fillId="6" borderId="15" xfId="2" applyFont="1" applyFill="1" applyBorder="1" applyAlignment="1">
      <alignment vertical="center"/>
    </xf>
    <xf numFmtId="44" fontId="67" fillId="6" borderId="15" xfId="2" applyFont="1" applyFill="1" applyBorder="1" applyAlignment="1">
      <alignment horizontal="center" vertical="center"/>
    </xf>
    <xf numFmtId="0" fontId="76" fillId="0" borderId="41" xfId="0" applyFont="1" applyFill="1" applyBorder="1" applyAlignment="1">
      <alignment vertical="center"/>
    </xf>
    <xf numFmtId="0" fontId="76" fillId="34" borderId="44" xfId="0" applyFont="1" applyFill="1" applyBorder="1" applyAlignment="1">
      <alignment vertical="center"/>
    </xf>
    <xf numFmtId="0" fontId="76" fillId="0" borderId="12" xfId="0" applyFont="1" applyBorder="1" applyAlignment="1">
      <alignment vertical="center"/>
    </xf>
    <xf numFmtId="0" fontId="78" fillId="0" borderId="0" xfId="0" applyFont="1" applyBorder="1" applyAlignment="1">
      <alignment vertical="center"/>
    </xf>
    <xf numFmtId="169" fontId="76" fillId="0" borderId="0" xfId="0" applyNumberFormat="1" applyFont="1" applyBorder="1" applyAlignment="1">
      <alignment vertical="center"/>
    </xf>
    <xf numFmtId="174" fontId="78" fillId="0" borderId="0" xfId="1" applyNumberFormat="1" applyFont="1" applyBorder="1" applyAlignment="1">
      <alignment vertical="center"/>
    </xf>
    <xf numFmtId="0" fontId="48" fillId="0" borderId="0" xfId="0" applyFont="1" applyAlignment="1">
      <alignment vertical="center"/>
    </xf>
    <xf numFmtId="44" fontId="48" fillId="0" borderId="42" xfId="2" applyFont="1" applyBorder="1" applyAlignment="1">
      <alignment horizontal="center" vertical="center"/>
    </xf>
    <xf numFmtId="44" fontId="48" fillId="0" borderId="15" xfId="2" applyFont="1" applyBorder="1" applyAlignment="1">
      <alignment vertical="center"/>
    </xf>
    <xf numFmtId="44" fontId="48" fillId="0" borderId="15" xfId="2" applyFont="1" applyBorder="1" applyAlignment="1">
      <alignment horizontal="center" vertical="center"/>
    </xf>
    <xf numFmtId="0" fontId="36" fillId="0" borderId="0" xfId="5" applyFont="1" applyAlignment="1">
      <alignment horizontal="left" wrapText="1"/>
    </xf>
    <xf numFmtId="0" fontId="36" fillId="0" borderId="0" xfId="5" applyFont="1" applyFill="1" applyAlignment="1">
      <alignment horizontal="center" wrapText="1"/>
    </xf>
    <xf numFmtId="164" fontId="36" fillId="0" borderId="0" xfId="5" applyNumberFormat="1" applyFont="1" applyAlignment="1">
      <alignment horizontal="left" wrapText="1"/>
    </xf>
    <xf numFmtId="0" fontId="36" fillId="0" borderId="0" xfId="5" applyFont="1" applyBorder="1" applyAlignment="1">
      <alignment horizontal="left" wrapText="1"/>
    </xf>
    <xf numFmtId="164" fontId="36" fillId="0" borderId="0" xfId="5" applyNumberFormat="1" applyFont="1" applyBorder="1" applyAlignment="1">
      <alignment horizontal="left" wrapText="1"/>
    </xf>
    <xf numFmtId="164" fontId="41" fillId="0" borderId="0" xfId="5" applyNumberFormat="1" applyFont="1" applyBorder="1" applyAlignment="1">
      <alignment horizontal="left" wrapText="1"/>
    </xf>
    <xf numFmtId="164" fontId="36" fillId="0" borderId="0" xfId="5" applyNumberFormat="1" applyFont="1" applyBorder="1" applyAlignment="1">
      <alignment horizontal="left"/>
    </xf>
    <xf numFmtId="0" fontId="79" fillId="0" borderId="46" xfId="5" applyFont="1" applyBorder="1" applyAlignment="1">
      <alignment horizontal="left" vertical="center" wrapText="1"/>
    </xf>
    <xf numFmtId="0" fontId="33" fillId="0" borderId="3" xfId="5" applyFont="1" applyBorder="1" applyAlignment="1">
      <alignment horizontal="left" vertical="center"/>
    </xf>
    <xf numFmtId="0" fontId="76" fillId="0" borderId="39" xfId="0" applyFont="1" applyBorder="1" applyAlignment="1">
      <alignment horizontal="center"/>
    </xf>
    <xf numFmtId="0" fontId="48" fillId="0" borderId="0" xfId="0" applyFont="1" applyAlignment="1">
      <alignment horizontal="center"/>
    </xf>
    <xf numFmtId="164" fontId="48" fillId="0" borderId="1" xfId="0" applyNumberFormat="1" applyFont="1" applyBorder="1" applyAlignment="1">
      <alignment vertical="center"/>
    </xf>
    <xf numFmtId="164" fontId="48" fillId="34" borderId="1" xfId="0" applyNumberFormat="1" applyFont="1" applyFill="1" applyBorder="1" applyAlignment="1">
      <alignment vertical="center"/>
    </xf>
    <xf numFmtId="173" fontId="48" fillId="0" borderId="1" xfId="0" applyNumberFormat="1" applyFont="1" applyBorder="1" applyAlignment="1">
      <alignment horizontal="center" vertical="center"/>
    </xf>
    <xf numFmtId="173" fontId="48" fillId="34" borderId="1" xfId="0" applyNumberFormat="1" applyFont="1" applyFill="1" applyBorder="1" applyAlignment="1">
      <alignment horizontal="center" vertical="center"/>
    </xf>
    <xf numFmtId="173" fontId="76" fillId="0" borderId="15" xfId="0" applyNumberFormat="1" applyFont="1" applyBorder="1" applyAlignment="1">
      <alignment horizontal="center" vertical="center"/>
    </xf>
    <xf numFmtId="10" fontId="77" fillId="0" borderId="15" xfId="6" applyNumberFormat="1" applyFont="1" applyBorder="1" applyAlignment="1">
      <alignment horizontal="center" vertical="center"/>
    </xf>
    <xf numFmtId="173" fontId="76" fillId="0" borderId="42" xfId="0" applyNumberFormat="1" applyFont="1" applyBorder="1" applyAlignment="1">
      <alignment horizontal="right" vertical="center"/>
    </xf>
    <xf numFmtId="10" fontId="77" fillId="0" borderId="43" xfId="0" applyNumberFormat="1" applyFont="1" applyBorder="1" applyAlignment="1">
      <alignment horizontal="right" vertical="center"/>
    </xf>
    <xf numFmtId="173" fontId="76" fillId="34" borderId="1" xfId="0" applyNumberFormat="1" applyFont="1" applyFill="1" applyBorder="1" applyAlignment="1">
      <alignment horizontal="right" vertical="center"/>
    </xf>
    <xf numFmtId="10" fontId="77" fillId="34" borderId="11" xfId="0" applyNumberFormat="1" applyFont="1" applyFill="1" applyBorder="1" applyAlignment="1">
      <alignment horizontal="right" vertical="center"/>
    </xf>
    <xf numFmtId="173" fontId="76" fillId="0" borderId="15" xfId="0" applyNumberFormat="1" applyFont="1" applyBorder="1" applyAlignment="1">
      <alignment horizontal="right" vertical="center"/>
    </xf>
    <xf numFmtId="10" fontId="77" fillId="0" borderId="20" xfId="6" applyNumberFormat="1" applyFont="1" applyBorder="1" applyAlignment="1">
      <alignment horizontal="right" vertical="center"/>
    </xf>
    <xf numFmtId="174" fontId="78" fillId="0" borderId="0" xfId="1" applyNumberFormat="1" applyFont="1" applyBorder="1" applyAlignment="1">
      <alignment horizontal="right" vertical="center"/>
    </xf>
    <xf numFmtId="10" fontId="77" fillId="0" borderId="0" xfId="6" applyNumberFormat="1" applyFont="1" applyBorder="1" applyAlignment="1">
      <alignment horizontal="right" vertical="center"/>
    </xf>
    <xf numFmtId="0" fontId="48" fillId="0" borderId="0" xfId="0" applyFont="1" applyAlignment="1">
      <alignment horizontal="right" vertical="center"/>
    </xf>
    <xf numFmtId="164" fontId="48" fillId="0" borderId="42" xfId="0" applyNumberFormat="1" applyFont="1" applyBorder="1" applyAlignment="1">
      <alignment horizontal="right" vertical="center"/>
    </xf>
    <xf numFmtId="164" fontId="48" fillId="34" borderId="1" xfId="0" applyNumberFormat="1" applyFont="1" applyFill="1" applyBorder="1" applyAlignment="1">
      <alignment horizontal="right" vertical="center"/>
    </xf>
    <xf numFmtId="164" fontId="48" fillId="0" borderId="15" xfId="10" applyNumberFormat="1" applyFont="1" applyBorder="1" applyAlignment="1">
      <alignment horizontal="right" vertical="center"/>
    </xf>
    <xf numFmtId="164" fontId="76" fillId="6" borderId="15" xfId="10" applyNumberFormat="1" applyFont="1" applyFill="1" applyBorder="1" applyAlignment="1">
      <alignment vertical="center"/>
    </xf>
    <xf numFmtId="0" fontId="0" fillId="0" borderId="0" xfId="0" applyAlignment="1">
      <alignment wrapText="1"/>
    </xf>
    <xf numFmtId="164" fontId="0" fillId="0" borderId="0" xfId="0" applyNumberFormat="1" applyAlignment="1"/>
    <xf numFmtId="0" fontId="66" fillId="38" borderId="47" xfId="0" applyFont="1" applyFill="1" applyBorder="1" applyAlignment="1">
      <alignment vertical="center"/>
    </xf>
    <xf numFmtId="0" fontId="66" fillId="38" borderId="47" xfId="0" applyFont="1" applyFill="1" applyBorder="1" applyAlignment="1">
      <alignment vertical="center" wrapText="1"/>
    </xf>
    <xf numFmtId="0" fontId="36" fillId="0" borderId="47" xfId="0" applyFont="1" applyBorder="1" applyAlignment="1">
      <alignment vertical="center"/>
    </xf>
    <xf numFmtId="0" fontId="36" fillId="0" borderId="47" xfId="0" applyFont="1" applyBorder="1" applyAlignment="1">
      <alignment vertical="center" wrapText="1"/>
    </xf>
    <xf numFmtId="0" fontId="36" fillId="39" borderId="47" xfId="0" applyFont="1" applyFill="1" applyBorder="1" applyAlignment="1">
      <alignment vertical="center"/>
    </xf>
    <xf numFmtId="164" fontId="30" fillId="0" borderId="0" xfId="0" applyNumberFormat="1" applyFont="1" applyAlignment="1"/>
    <xf numFmtId="0" fontId="36" fillId="0" borderId="47" xfId="0" applyFont="1" applyBorder="1" applyAlignment="1">
      <alignment horizontal="left" vertical="center"/>
    </xf>
    <xf numFmtId="0" fontId="36" fillId="0" borderId="47" xfId="0" quotePrefix="1" applyFont="1" applyBorder="1" applyAlignment="1">
      <alignment vertical="center"/>
    </xf>
    <xf numFmtId="0" fontId="33" fillId="0" borderId="3" xfId="5" quotePrefix="1" applyFont="1" applyFill="1" applyBorder="1" applyAlignment="1">
      <alignment horizontal="center" vertical="center"/>
    </xf>
    <xf numFmtId="164" fontId="8" fillId="0" borderId="48" xfId="0" applyNumberFormat="1" applyFont="1" applyBorder="1" applyAlignment="1">
      <alignment vertical="center"/>
    </xf>
    <xf numFmtId="0" fontId="80" fillId="0" borderId="0" xfId="0" applyNumberFormat="1" applyFont="1" applyAlignment="1"/>
    <xf numFmtId="164" fontId="8" fillId="6" borderId="47" xfId="0" applyNumberFormat="1" applyFont="1" applyFill="1" applyBorder="1" applyAlignment="1">
      <alignment vertical="center"/>
    </xf>
    <xf numFmtId="164" fontId="30" fillId="6" borderId="0" xfId="0" applyNumberFormat="1" applyFont="1" applyFill="1" applyAlignment="1"/>
    <xf numFmtId="164" fontId="30" fillId="0" borderId="0" xfId="0" applyNumberFormat="1" applyFont="1" applyBorder="1" applyAlignment="1"/>
    <xf numFmtId="0" fontId="79" fillId="0" borderId="0" xfId="5" applyFont="1" applyBorder="1" applyAlignment="1">
      <alignment horizontal="left" vertical="center" wrapText="1"/>
    </xf>
    <xf numFmtId="164" fontId="81" fillId="0" borderId="1" xfId="5" applyNumberFormat="1" applyFont="1" applyBorder="1" applyAlignment="1">
      <alignment horizontal="left" vertical="center"/>
    </xf>
    <xf numFmtId="0" fontId="30" fillId="6" borderId="0" xfId="5" applyFont="1" applyFill="1" applyAlignment="1">
      <alignment horizontal="left" vertical="center" wrapText="1"/>
    </xf>
    <xf numFmtId="0" fontId="33" fillId="6" borderId="0" xfId="5" applyFont="1" applyFill="1" applyAlignment="1">
      <alignment horizontal="left" vertical="center" wrapText="1"/>
    </xf>
    <xf numFmtId="0" fontId="8" fillId="0" borderId="13" xfId="7" applyFont="1" applyBorder="1" applyAlignment="1">
      <alignment horizontal="left" vertical="center"/>
    </xf>
    <xf numFmtId="0" fontId="82" fillId="0" borderId="47" xfId="0" applyFont="1" applyBorder="1" applyAlignment="1">
      <alignment horizontal="left" vertical="center"/>
    </xf>
    <xf numFmtId="0" fontId="0" fillId="0" borderId="0" xfId="0" applyAlignment="1">
      <alignment horizontal="left" indent="1"/>
    </xf>
    <xf numFmtId="0" fontId="82" fillId="0" borderId="0" xfId="0" applyFont="1" applyAlignment="1">
      <alignment horizontal="left" vertical="center"/>
    </xf>
    <xf numFmtId="0" fontId="82" fillId="0" borderId="47" xfId="0" applyFont="1" applyBorder="1" applyAlignment="1">
      <alignment horizontal="left" vertical="center" wrapText="1"/>
    </xf>
    <xf numFmtId="0" fontId="33" fillId="0" borderId="1" xfId="5" applyFont="1" applyBorder="1" applyAlignment="1">
      <alignment horizontal="center" vertical="center"/>
    </xf>
    <xf numFmtId="164" fontId="8" fillId="0" borderId="26" xfId="5" applyNumberFormat="1" applyFont="1" applyBorder="1" applyAlignment="1">
      <alignment vertical="center"/>
    </xf>
    <xf numFmtId="164" fontId="8" fillId="6" borderId="50" xfId="0" applyNumberFormat="1" applyFont="1" applyFill="1" applyBorder="1" applyAlignment="1">
      <alignment vertical="center"/>
    </xf>
    <xf numFmtId="164" fontId="8" fillId="0" borderId="1" xfId="5" applyNumberFormat="1" applyFont="1" applyBorder="1" applyAlignment="1">
      <alignment vertical="center"/>
    </xf>
    <xf numFmtId="0" fontId="36" fillId="30" borderId="1" xfId="3" applyFont="1" applyFill="1" applyBorder="1" applyAlignment="1">
      <alignment horizontal="left"/>
    </xf>
    <xf numFmtId="0" fontId="36" fillId="30" borderId="1" xfId="3" applyFont="1" applyFill="1" applyBorder="1" applyAlignment="1">
      <alignment vertical="top"/>
    </xf>
    <xf numFmtId="0" fontId="36" fillId="0" borderId="1" xfId="3" applyFont="1" applyBorder="1" applyAlignment="1">
      <alignment horizontal="left"/>
    </xf>
    <xf numFmtId="0" fontId="36" fillId="0" borderId="1" xfId="3" applyFont="1" applyBorder="1" applyAlignment="1">
      <alignment vertical="top"/>
    </xf>
    <xf numFmtId="164" fontId="36" fillId="0" borderId="1" xfId="3" applyNumberFormat="1" applyFont="1" applyBorder="1" applyAlignment="1">
      <alignment vertical="top"/>
    </xf>
    <xf numFmtId="164" fontId="36" fillId="0" borderId="0" xfId="3" applyNumberFormat="1" applyFont="1"/>
    <xf numFmtId="164" fontId="36" fillId="6" borderId="0" xfId="3" applyNumberFormat="1" applyFont="1" applyFill="1"/>
    <xf numFmtId="0" fontId="36" fillId="0" borderId="0" xfId="3" applyFont="1" applyAlignment="1">
      <alignment horizontal="left"/>
    </xf>
    <xf numFmtId="0" fontId="36" fillId="28" borderId="1" xfId="3" applyFont="1" applyFill="1" applyBorder="1" applyAlignment="1">
      <alignment horizontal="left"/>
    </xf>
    <xf numFmtId="0" fontId="36" fillId="28" borderId="1" xfId="3" applyFont="1" applyFill="1" applyBorder="1" applyAlignment="1">
      <alignment vertical="top"/>
    </xf>
    <xf numFmtId="0" fontId="46" fillId="0" borderId="1" xfId="3" applyFont="1" applyBorder="1" applyAlignment="1">
      <alignment vertical="top"/>
    </xf>
    <xf numFmtId="0" fontId="83" fillId="0" borderId="2" xfId="5" applyFont="1" applyBorder="1" applyAlignment="1">
      <alignment vertical="center"/>
    </xf>
    <xf numFmtId="0" fontId="66" fillId="38" borderId="53" xfId="0" applyFont="1" applyFill="1" applyBorder="1" applyAlignment="1">
      <alignment vertical="center"/>
    </xf>
    <xf numFmtId="0" fontId="66" fillId="38" borderId="53" xfId="0" applyFont="1" applyFill="1" applyBorder="1" applyAlignment="1">
      <alignment vertical="center" wrapText="1"/>
    </xf>
    <xf numFmtId="0" fontId="77" fillId="0" borderId="47" xfId="0" applyFont="1" applyBorder="1" applyAlignment="1">
      <alignment horizontal="left" vertical="center" wrapText="1"/>
    </xf>
    <xf numFmtId="0" fontId="82" fillId="0" borderId="48" xfId="0" applyFont="1" applyBorder="1" applyAlignment="1">
      <alignment horizontal="left" vertical="center" wrapText="1"/>
    </xf>
    <xf numFmtId="164" fontId="8" fillId="6" borderId="1" xfId="0" applyNumberFormat="1" applyFont="1" applyFill="1" applyBorder="1" applyAlignment="1">
      <alignment vertical="center"/>
    </xf>
    <xf numFmtId="0" fontId="82" fillId="39" borderId="47" xfId="0" applyFont="1" applyFill="1" applyBorder="1" applyAlignment="1">
      <alignment horizontal="left" vertical="center" wrapText="1"/>
    </xf>
    <xf numFmtId="0" fontId="82" fillId="12" borderId="47" xfId="0" applyFont="1" applyFill="1" applyBorder="1" applyAlignment="1">
      <alignment horizontal="left" vertical="center" wrapText="1"/>
    </xf>
    <xf numFmtId="164" fontId="84" fillId="37" borderId="0" xfId="0" applyNumberFormat="1" applyFont="1" applyFill="1" applyAlignment="1">
      <alignment wrapText="1"/>
    </xf>
    <xf numFmtId="164" fontId="36" fillId="0" borderId="0" xfId="0" applyNumberFormat="1" applyFont="1" applyAlignment="1">
      <alignment vertical="center" wrapText="1"/>
    </xf>
    <xf numFmtId="0" fontId="36" fillId="0" borderId="0" xfId="0" applyFont="1" applyAlignment="1">
      <alignment vertical="center" wrapText="1"/>
    </xf>
    <xf numFmtId="164" fontId="36" fillId="6" borderId="0" xfId="0" applyNumberFormat="1" applyFont="1" applyFill="1" applyAlignment="1">
      <alignment vertical="center" wrapText="1"/>
    </xf>
    <xf numFmtId="164" fontId="8" fillId="0" borderId="1" xfId="0" applyNumberFormat="1" applyFont="1" applyFill="1" applyBorder="1" applyAlignment="1">
      <alignment horizontal="left" vertical="center"/>
    </xf>
    <xf numFmtId="0" fontId="14" fillId="0" borderId="44" xfId="3" applyBorder="1"/>
    <xf numFmtId="0" fontId="14" fillId="0" borderId="0" xfId="3"/>
    <xf numFmtId="164" fontId="14" fillId="0" borderId="0" xfId="3" applyNumberFormat="1"/>
    <xf numFmtId="164" fontId="14" fillId="0" borderId="1" xfId="3" applyNumberFormat="1" applyBorder="1" applyAlignment="1">
      <alignment horizontal="right"/>
    </xf>
    <xf numFmtId="0" fontId="60" fillId="0" borderId="0" xfId="7" applyFont="1" applyFill="1">
      <alignment vertical="top"/>
    </xf>
    <xf numFmtId="168" fontId="36" fillId="0" borderId="47" xfId="0" applyNumberFormat="1" applyFont="1" applyBorder="1" applyAlignment="1">
      <alignment vertical="center" wrapText="1"/>
    </xf>
    <xf numFmtId="164" fontId="0" fillId="0" borderId="0" xfId="0" applyNumberFormat="1" applyAlignment="1">
      <alignment wrapText="1"/>
    </xf>
    <xf numFmtId="0" fontId="0" fillId="37" borderId="0" xfId="0" applyFill="1" applyAlignment="1"/>
    <xf numFmtId="164" fontId="69" fillId="0" borderId="0" xfId="11" applyNumberFormat="1" applyFont="1"/>
    <xf numFmtId="164" fontId="38" fillId="0" borderId="1" xfId="2" applyNumberFormat="1" applyFont="1" applyBorder="1" applyAlignment="1">
      <alignment horizontal="left" vertical="center"/>
    </xf>
    <xf numFmtId="0" fontId="1" fillId="0" borderId="0" xfId="11" applyFill="1"/>
    <xf numFmtId="0" fontId="69" fillId="0" borderId="0" xfId="11" applyFont="1" applyFill="1"/>
    <xf numFmtId="0" fontId="33" fillId="0" borderId="33" xfId="11" applyFont="1" applyBorder="1" applyAlignment="1">
      <alignment horizontal="left" vertical="center"/>
    </xf>
    <xf numFmtId="164" fontId="38" fillId="0" borderId="33" xfId="12" applyNumberFormat="1" applyFont="1" applyBorder="1" applyAlignment="1">
      <alignment vertical="center"/>
    </xf>
    <xf numFmtId="164" fontId="38" fillId="0" borderId="33" xfId="11" applyNumberFormat="1" applyFont="1" applyBorder="1" applyAlignment="1">
      <alignment vertical="center"/>
    </xf>
    <xf numFmtId="44" fontId="9" fillId="0" borderId="33" xfId="12" applyFont="1" applyBorder="1" applyAlignment="1">
      <alignment vertical="center"/>
    </xf>
    <xf numFmtId="164" fontId="9" fillId="0" borderId="1" xfId="2" applyNumberFormat="1" applyFont="1" applyFill="1" applyBorder="1" applyAlignment="1">
      <alignment vertical="center"/>
    </xf>
    <xf numFmtId="164" fontId="85" fillId="0" borderId="1" xfId="0" applyNumberFormat="1" applyFont="1" applyFill="1" applyBorder="1" applyAlignment="1">
      <alignment vertical="center"/>
    </xf>
    <xf numFmtId="0" fontId="0" fillId="0" borderId="0" xfId="0" applyAlignment="1">
      <alignment horizontal="left" vertical="center"/>
    </xf>
    <xf numFmtId="0" fontId="1" fillId="0" borderId="0" xfId="11" applyAlignment="1">
      <alignment vertical="center"/>
    </xf>
    <xf numFmtId="44" fontId="9" fillId="0" borderId="0" xfId="2" applyFont="1" applyAlignment="1">
      <alignment vertical="center"/>
    </xf>
    <xf numFmtId="0" fontId="1" fillId="0" borderId="0" xfId="11" applyAlignment="1">
      <alignment horizontal="left" vertical="center"/>
    </xf>
    <xf numFmtId="0" fontId="72" fillId="37" borderId="0" xfId="11" applyFont="1" applyFill="1" applyAlignment="1">
      <alignment horizontal="left" vertical="center"/>
    </xf>
    <xf numFmtId="0" fontId="33" fillId="0" borderId="33" xfId="11" quotePrefix="1" applyFont="1" applyBorder="1" applyAlignment="1">
      <alignment vertical="center"/>
    </xf>
    <xf numFmtId="0" fontId="86" fillId="0" borderId="47" xfId="0" applyFont="1" applyBorder="1" applyAlignment="1">
      <alignment horizontal="left" vertical="center" wrapText="1"/>
    </xf>
    <xf numFmtId="0" fontId="66" fillId="0" borderId="47" xfId="0" applyFont="1" applyBorder="1" applyAlignment="1">
      <alignment horizontal="left" vertical="center"/>
    </xf>
    <xf numFmtId="0" fontId="86" fillId="0" borderId="47" xfId="0" applyFont="1" applyBorder="1" applyAlignment="1">
      <alignment vertical="center" wrapText="1"/>
    </xf>
    <xf numFmtId="0" fontId="82" fillId="12" borderId="49" xfId="0" applyFont="1" applyFill="1" applyBorder="1" applyAlignment="1">
      <alignment horizontal="left" vertical="center"/>
    </xf>
    <xf numFmtId="0" fontId="0" fillId="12" borderId="0" xfId="0" applyFill="1" applyAlignment="1">
      <alignment vertical="center"/>
    </xf>
    <xf numFmtId="0" fontId="82" fillId="12" borderId="49" xfId="0" applyFont="1" applyFill="1" applyBorder="1" applyAlignment="1">
      <alignment horizontal="left" vertical="center" wrapText="1"/>
    </xf>
    <xf numFmtId="0" fontId="86" fillId="12" borderId="47" xfId="0" applyFont="1" applyFill="1" applyBorder="1" applyAlignment="1">
      <alignment horizontal="left" vertical="center" wrapText="1"/>
    </xf>
    <xf numFmtId="0" fontId="82" fillId="12" borderId="47" xfId="0" applyFont="1" applyFill="1" applyBorder="1" applyAlignment="1">
      <alignment horizontal="left" vertical="center"/>
    </xf>
    <xf numFmtId="0" fontId="86" fillId="12" borderId="47" xfId="0" applyFont="1" applyFill="1" applyBorder="1" applyAlignment="1">
      <alignment vertical="center" wrapText="1"/>
    </xf>
    <xf numFmtId="0" fontId="36" fillId="12" borderId="47" xfId="0" applyFont="1" applyFill="1" applyBorder="1" applyAlignment="1">
      <alignment vertical="center"/>
    </xf>
    <xf numFmtId="164" fontId="9" fillId="0" borderId="1" xfId="5" applyNumberFormat="1" applyFont="1" applyBorder="1" applyAlignment="1">
      <alignment horizontal="left" vertical="center"/>
    </xf>
    <xf numFmtId="44" fontId="9" fillId="0" borderId="1" xfId="2" applyFont="1" applyBorder="1" applyAlignment="1">
      <alignment vertical="center"/>
    </xf>
    <xf numFmtId="0" fontId="79" fillId="0" borderId="45" xfId="5" applyFont="1" applyBorder="1" applyAlignment="1">
      <alignment horizontal="center" vertical="center" wrapText="1"/>
    </xf>
    <xf numFmtId="0" fontId="79" fillId="0" borderId="46" xfId="5" applyFont="1" applyBorder="1" applyAlignment="1">
      <alignment horizontal="center" vertical="center" wrapText="1"/>
    </xf>
    <xf numFmtId="164" fontId="8" fillId="0" borderId="47" xfId="0" applyNumberFormat="1" applyFont="1" applyFill="1" applyBorder="1" applyAlignment="1">
      <alignment vertical="center"/>
    </xf>
    <xf numFmtId="0" fontId="40" fillId="0" borderId="2" xfId="7" quotePrefix="1" applyFont="1" applyBorder="1" applyAlignment="1">
      <alignment vertical="center"/>
    </xf>
    <xf numFmtId="0" fontId="87" fillId="0" borderId="0" xfId="5" applyFont="1" applyBorder="1" applyAlignment="1">
      <alignment vertical="center"/>
    </xf>
    <xf numFmtId="0" fontId="87" fillId="0" borderId="2" xfId="5" quotePrefix="1" applyFont="1" applyBorder="1" applyAlignment="1">
      <alignment vertical="center"/>
    </xf>
    <xf numFmtId="0" fontId="40" fillId="0" borderId="0" xfId="7" applyFont="1" applyAlignment="1">
      <alignment vertical="center"/>
    </xf>
    <xf numFmtId="0" fontId="40" fillId="0" borderId="2" xfId="7" applyFont="1" applyBorder="1" applyAlignment="1">
      <alignment vertical="center"/>
    </xf>
    <xf numFmtId="0" fontId="40" fillId="0" borderId="0" xfId="7" quotePrefix="1" applyFont="1" applyBorder="1" applyAlignment="1">
      <alignment vertical="center"/>
    </xf>
    <xf numFmtId="0" fontId="40" fillId="0" borderId="2" xfId="0" applyFont="1" applyBorder="1" applyAlignment="1">
      <alignment vertical="center"/>
    </xf>
    <xf numFmtId="0" fontId="38" fillId="0" borderId="0" xfId="5" applyFont="1"/>
    <xf numFmtId="164" fontId="14" fillId="0" borderId="0" xfId="3" applyNumberFormat="1" applyFill="1"/>
    <xf numFmtId="164" fontId="36" fillId="0" borderId="0" xfId="0" applyNumberFormat="1" applyFont="1" applyFill="1" applyAlignment="1">
      <alignment vertical="center" wrapText="1"/>
    </xf>
    <xf numFmtId="164" fontId="0" fillId="0" borderId="0" xfId="0" applyNumberFormat="1" applyFill="1" applyAlignment="1">
      <alignment wrapText="1"/>
    </xf>
    <xf numFmtId="164" fontId="84" fillId="0" borderId="0" xfId="0" applyNumberFormat="1" applyFont="1" applyFill="1" applyAlignment="1">
      <alignment wrapText="1"/>
    </xf>
    <xf numFmtId="164" fontId="39" fillId="6" borderId="47" xfId="0" applyNumberFormat="1" applyFont="1" applyFill="1" applyBorder="1" applyAlignment="1">
      <alignment vertical="center"/>
    </xf>
    <xf numFmtId="0" fontId="33" fillId="0" borderId="1" xfId="5" quotePrefix="1" applyFont="1" applyFill="1" applyBorder="1" applyAlignment="1">
      <alignment horizontal="center" vertical="center"/>
    </xf>
    <xf numFmtId="164" fontId="38" fillId="0" borderId="13" xfId="5" applyNumberFormat="1" applyFont="1" applyBorder="1" applyAlignment="1">
      <alignment horizontal="left" vertical="center"/>
    </xf>
    <xf numFmtId="164" fontId="38" fillId="0" borderId="3" xfId="5" applyNumberFormat="1" applyFont="1" applyFill="1" applyBorder="1" applyAlignment="1">
      <alignment horizontal="left" vertical="center"/>
    </xf>
    <xf numFmtId="164" fontId="38" fillId="0" borderId="3" xfId="5" applyNumberFormat="1" applyFont="1" applyBorder="1" applyAlignment="1">
      <alignment horizontal="left" vertical="center"/>
    </xf>
    <xf numFmtId="0" fontId="79" fillId="0" borderId="45" xfId="5" applyFont="1" applyBorder="1" applyAlignment="1">
      <alignment horizontal="center" vertical="center" wrapText="1"/>
    </xf>
    <xf numFmtId="0" fontId="79" fillId="0" borderId="46" xfId="5" applyFont="1" applyBorder="1" applyAlignment="1">
      <alignment horizontal="center" vertical="center" wrapText="1"/>
    </xf>
    <xf numFmtId="164" fontId="38" fillId="0" borderId="13" xfId="5" applyNumberFormat="1" applyFont="1" applyBorder="1" applyAlignment="1">
      <alignment horizontal="center" vertical="center"/>
    </xf>
    <xf numFmtId="164" fontId="38" fillId="0" borderId="3" xfId="5" applyNumberFormat="1" applyFont="1" applyBorder="1" applyAlignment="1">
      <alignment horizontal="center" vertical="center"/>
    </xf>
    <xf numFmtId="164" fontId="33" fillId="0" borderId="13" xfId="5" applyNumberFormat="1" applyFont="1" applyBorder="1" applyAlignment="1">
      <alignment horizontal="center" vertical="center"/>
    </xf>
    <xf numFmtId="164" fontId="33" fillId="0" borderId="3" xfId="5" applyNumberFormat="1" applyFont="1" applyBorder="1" applyAlignment="1">
      <alignment horizontal="center" vertical="center"/>
    </xf>
    <xf numFmtId="0" fontId="33" fillId="28" borderId="13" xfId="5" applyFont="1" applyFill="1" applyBorder="1" applyAlignment="1">
      <alignment horizontal="left" vertical="center"/>
    </xf>
    <xf numFmtId="0" fontId="33" fillId="28" borderId="3" xfId="5" applyFont="1" applyFill="1" applyBorder="1" applyAlignment="1">
      <alignment horizontal="left" vertical="center"/>
    </xf>
    <xf numFmtId="164" fontId="81" fillId="0" borderId="13" xfId="5" applyNumberFormat="1" applyFont="1" applyBorder="1" applyAlignment="1">
      <alignment horizontal="center" vertical="center"/>
    </xf>
    <xf numFmtId="164" fontId="81" fillId="0" borderId="3" xfId="5" applyNumberFormat="1" applyFont="1" applyBorder="1" applyAlignment="1">
      <alignment horizontal="center" vertical="center"/>
    </xf>
    <xf numFmtId="0" fontId="33" fillId="0" borderId="13" xfId="5" applyFont="1" applyBorder="1" applyAlignment="1">
      <alignment horizontal="left" vertical="center"/>
    </xf>
    <xf numFmtId="0" fontId="33" fillId="0" borderId="3" xfId="5" applyFont="1" applyBorder="1" applyAlignment="1">
      <alignment horizontal="left" vertical="center"/>
    </xf>
    <xf numFmtId="0" fontId="33" fillId="0" borderId="26" xfId="5" applyFont="1" applyBorder="1" applyAlignment="1">
      <alignment horizontal="left" vertical="center"/>
    </xf>
    <xf numFmtId="0" fontId="33" fillId="0" borderId="28" xfId="5" applyFont="1" applyBorder="1" applyAlignment="1">
      <alignment horizontal="left" vertical="center"/>
    </xf>
    <xf numFmtId="164" fontId="8" fillId="0" borderId="1" xfId="0" applyNumberFormat="1" applyFont="1" applyBorder="1" applyAlignment="1">
      <alignment horizontal="center" vertical="center"/>
    </xf>
    <xf numFmtId="164" fontId="38" fillId="0" borderId="13" xfId="5" applyNumberFormat="1" applyFont="1" applyFill="1" applyBorder="1" applyAlignment="1">
      <alignment horizontal="center" vertical="center"/>
    </xf>
    <xf numFmtId="164" fontId="38" fillId="0" borderId="3" xfId="5" applyNumberFormat="1" applyFont="1" applyFill="1" applyBorder="1" applyAlignment="1">
      <alignment horizontal="center" vertical="center"/>
    </xf>
    <xf numFmtId="0" fontId="10" fillId="28" borderId="13" xfId="7" applyFont="1" applyFill="1" applyBorder="1" applyAlignment="1">
      <alignment horizontal="left" vertical="center"/>
    </xf>
    <xf numFmtId="0" fontId="10" fillId="28" borderId="3" xfId="7" applyFont="1" applyFill="1" applyBorder="1" applyAlignment="1">
      <alignment horizontal="left" vertical="center"/>
    </xf>
    <xf numFmtId="0" fontId="10" fillId="28" borderId="13" xfId="7" applyFont="1" applyFill="1" applyBorder="1" applyAlignment="1">
      <alignment horizontal="left" vertical="center" wrapText="1"/>
    </xf>
    <xf numFmtId="0" fontId="10" fillId="28" borderId="3" xfId="7" applyFont="1" applyFill="1" applyBorder="1" applyAlignment="1">
      <alignment horizontal="left" vertical="center" wrapText="1"/>
    </xf>
    <xf numFmtId="164" fontId="9" fillId="28" borderId="13" xfId="1" applyNumberFormat="1" applyFont="1" applyFill="1" applyBorder="1" applyAlignment="1">
      <alignment horizontal="center" vertical="center"/>
    </xf>
    <xf numFmtId="164" fontId="9" fillId="28" borderId="3" xfId="1" applyNumberFormat="1" applyFont="1" applyFill="1" applyBorder="1" applyAlignment="1">
      <alignment horizontal="center" vertical="center"/>
    </xf>
    <xf numFmtId="0" fontId="8" fillId="0" borderId="13" xfId="7" applyFont="1" applyBorder="1" applyAlignment="1">
      <alignment horizontal="left" vertical="center"/>
    </xf>
    <xf numFmtId="0" fontId="8" fillId="0" borderId="3" xfId="7" applyFont="1" applyBorder="1" applyAlignment="1">
      <alignment horizontal="left" vertical="center"/>
    </xf>
    <xf numFmtId="0" fontId="10" fillId="0" borderId="26" xfId="7" applyFont="1" applyBorder="1" applyAlignment="1">
      <alignment horizontal="left" vertical="center"/>
    </xf>
    <xf numFmtId="0" fontId="10" fillId="0" borderId="28" xfId="7" applyFont="1" applyBorder="1" applyAlignment="1">
      <alignment horizontal="left" vertical="center"/>
    </xf>
    <xf numFmtId="0" fontId="8" fillId="0" borderId="13" xfId="7" applyFont="1" applyBorder="1" applyAlignment="1">
      <alignment horizontal="left" vertical="center" wrapText="1"/>
    </xf>
    <xf numFmtId="0" fontId="8" fillId="0" borderId="3" xfId="7" applyFont="1" applyBorder="1" applyAlignment="1">
      <alignment horizontal="left" vertical="center" wrapText="1"/>
    </xf>
    <xf numFmtId="164" fontId="9" fillId="0" borderId="13" xfId="5" applyNumberFormat="1" applyFont="1" applyBorder="1" applyAlignment="1">
      <alignment horizontal="center" vertical="center"/>
    </xf>
    <xf numFmtId="164" fontId="9" fillId="0" borderId="3" xfId="5" applyNumberFormat="1" applyFont="1" applyBorder="1" applyAlignment="1">
      <alignment horizontal="center" vertical="center"/>
    </xf>
    <xf numFmtId="164" fontId="9" fillId="0" borderId="13" xfId="7" applyNumberFormat="1" applyFont="1" applyBorder="1" applyAlignment="1">
      <alignment horizontal="center" vertical="center"/>
    </xf>
    <xf numFmtId="164" fontId="9" fillId="0" borderId="3" xfId="7" applyNumberFormat="1" applyFont="1" applyBorder="1" applyAlignment="1">
      <alignment horizontal="center" vertical="center"/>
    </xf>
    <xf numFmtId="164" fontId="8" fillId="0" borderId="13" xfId="5" applyNumberFormat="1" applyFont="1" applyBorder="1" applyAlignment="1">
      <alignment horizontal="center" vertical="center"/>
    </xf>
    <xf numFmtId="164" fontId="8" fillId="0" borderId="3" xfId="5" applyNumberFormat="1" applyFont="1" applyBorder="1" applyAlignment="1">
      <alignment horizontal="center" vertical="center"/>
    </xf>
    <xf numFmtId="164" fontId="38" fillId="0" borderId="4" xfId="5" applyNumberFormat="1" applyFont="1" applyBorder="1" applyAlignment="1">
      <alignment horizontal="center" vertical="center"/>
    </xf>
    <xf numFmtId="0" fontId="8" fillId="0" borderId="13" xfId="5" applyFont="1" applyBorder="1" applyAlignment="1">
      <alignment horizontal="left" vertical="center"/>
    </xf>
    <xf numFmtId="0" fontId="8" fillId="0" borderId="3" xfId="5" applyFont="1" applyBorder="1" applyAlignment="1">
      <alignment horizontal="left" vertical="center"/>
    </xf>
    <xf numFmtId="164" fontId="8" fillId="0" borderId="4" xfId="5" applyNumberFormat="1" applyFont="1" applyBorder="1" applyAlignment="1">
      <alignment horizontal="center" vertical="center"/>
    </xf>
    <xf numFmtId="164" fontId="38" fillId="0" borderId="13" xfId="7" applyNumberFormat="1" applyFont="1" applyFill="1" applyBorder="1" applyAlignment="1">
      <alignment horizontal="center" vertical="center"/>
    </xf>
    <xf numFmtId="164" fontId="38" fillId="0" borderId="3" xfId="7" applyNumberFormat="1" applyFont="1" applyFill="1" applyBorder="1" applyAlignment="1">
      <alignment horizontal="center" vertical="center"/>
    </xf>
    <xf numFmtId="164" fontId="8" fillId="0" borderId="51" xfId="0" applyNumberFormat="1" applyFont="1" applyFill="1" applyBorder="1" applyAlignment="1">
      <alignment horizontal="center" vertical="center"/>
    </xf>
    <xf numFmtId="164" fontId="8" fillId="0" borderId="52" xfId="0" applyNumberFormat="1" applyFont="1" applyFill="1" applyBorder="1" applyAlignment="1">
      <alignment horizontal="center" vertical="center"/>
    </xf>
    <xf numFmtId="0" fontId="30" fillId="6" borderId="0" xfId="5" applyFont="1" applyFill="1" applyAlignment="1">
      <alignment horizontal="center" vertical="center" wrapText="1"/>
    </xf>
    <xf numFmtId="164" fontId="8" fillId="0" borderId="13" xfId="0" applyNumberFormat="1" applyFont="1" applyFill="1" applyBorder="1" applyAlignment="1">
      <alignment horizontal="center" vertical="center"/>
    </xf>
    <xf numFmtId="164" fontId="8" fillId="0" borderId="3" xfId="0" applyNumberFormat="1" applyFont="1" applyFill="1" applyBorder="1" applyAlignment="1">
      <alignment horizontal="center" vertical="center"/>
    </xf>
    <xf numFmtId="164" fontId="38" fillId="0" borderId="13" xfId="8" applyNumberFormat="1" applyFont="1" applyFill="1" applyBorder="1" applyAlignment="1">
      <alignment horizontal="center" vertical="center"/>
    </xf>
    <xf numFmtId="164" fontId="38" fillId="0" borderId="3" xfId="8" applyNumberFormat="1" applyFont="1" applyFill="1" applyBorder="1" applyAlignment="1">
      <alignment horizontal="center" vertical="center"/>
    </xf>
    <xf numFmtId="164" fontId="38" fillId="0" borderId="13" xfId="7" applyNumberFormat="1" applyFont="1" applyBorder="1" applyAlignment="1">
      <alignment horizontal="center" vertical="center"/>
    </xf>
    <xf numFmtId="164" fontId="38" fillId="0" borderId="3" xfId="7" applyNumberFormat="1" applyFont="1" applyBorder="1" applyAlignment="1">
      <alignment horizontal="center" vertical="center"/>
    </xf>
    <xf numFmtId="164" fontId="38" fillId="0" borderId="4" xfId="7" applyNumberFormat="1" applyFont="1" applyBorder="1" applyAlignment="1">
      <alignment horizontal="center" vertical="center"/>
    </xf>
    <xf numFmtId="0" fontId="8" fillId="0" borderId="4" xfId="7" applyFont="1" applyBorder="1" applyAlignment="1">
      <alignment horizontal="left" vertical="center" wrapText="1"/>
    </xf>
    <xf numFmtId="0" fontId="8" fillId="0" borderId="26" xfId="7" applyFont="1" applyBorder="1" applyAlignment="1">
      <alignment horizontal="left" vertical="center"/>
    </xf>
    <xf numFmtId="0" fontId="8" fillId="0" borderId="28" xfId="7" applyFont="1" applyBorder="1" applyAlignment="1">
      <alignment horizontal="left" vertical="center"/>
    </xf>
    <xf numFmtId="164" fontId="38" fillId="0" borderId="4" xfId="5" applyNumberFormat="1" applyFont="1" applyFill="1" applyBorder="1" applyAlignment="1">
      <alignment horizontal="center" vertical="center"/>
    </xf>
    <xf numFmtId="164" fontId="38" fillId="0" borderId="4" xfId="7" applyNumberFormat="1" applyFont="1" applyFill="1" applyBorder="1" applyAlignment="1">
      <alignment horizontal="center" vertical="center"/>
    </xf>
    <xf numFmtId="0" fontId="8" fillId="0" borderId="26" xfId="7" applyFont="1" applyBorder="1" applyAlignment="1">
      <alignment horizontal="left" vertical="center" wrapText="1"/>
    </xf>
    <xf numFmtId="0" fontId="8" fillId="22" borderId="29" xfId="7" applyFont="1" applyFill="1" applyBorder="1" applyAlignment="1">
      <alignment horizontal="left" vertical="center" wrapText="1"/>
    </xf>
    <xf numFmtId="0" fontId="8" fillId="0" borderId="28" xfId="7" applyFont="1" applyBorder="1" applyAlignment="1">
      <alignment horizontal="left" vertical="center" wrapText="1"/>
    </xf>
    <xf numFmtId="164" fontId="38" fillId="0" borderId="13" xfId="1" applyNumberFormat="1" applyFont="1" applyBorder="1" applyAlignment="1">
      <alignment horizontal="center" vertical="center"/>
    </xf>
    <xf numFmtId="164" fontId="38" fillId="0" borderId="3" xfId="1" applyNumberFormat="1" applyFont="1" applyBorder="1" applyAlignment="1">
      <alignment horizontal="center" vertical="center"/>
    </xf>
    <xf numFmtId="0" fontId="8" fillId="0" borderId="13" xfId="0" applyFont="1" applyBorder="1" applyAlignment="1">
      <alignment horizontal="left" vertical="center"/>
    </xf>
    <xf numFmtId="0" fontId="8" fillId="0" borderId="3" xfId="0" applyFont="1" applyBorder="1" applyAlignment="1">
      <alignment horizontal="left" vertical="center"/>
    </xf>
    <xf numFmtId="0" fontId="8" fillId="0" borderId="13" xfId="0" applyFont="1" applyBorder="1" applyAlignment="1">
      <alignment horizontal="left" vertical="center" wrapText="1"/>
    </xf>
    <xf numFmtId="0" fontId="10" fillId="0" borderId="13" xfId="0" applyFont="1" applyBorder="1" applyAlignment="1">
      <alignment horizontal="left" vertical="center"/>
    </xf>
    <xf numFmtId="0" fontId="10" fillId="0" borderId="4" xfId="0" applyFont="1" applyBorder="1" applyAlignment="1">
      <alignment horizontal="left" vertical="center"/>
    </xf>
    <xf numFmtId="0" fontId="10" fillId="0" borderId="3" xfId="0" applyFont="1" applyBorder="1" applyAlignment="1">
      <alignment horizontal="left" vertical="center"/>
    </xf>
    <xf numFmtId="0" fontId="8" fillId="0" borderId="26" xfId="0" applyFont="1" applyBorder="1" applyAlignment="1">
      <alignment horizontal="left" vertical="center"/>
    </xf>
    <xf numFmtId="0" fontId="8" fillId="0" borderId="28" xfId="0" applyFont="1" applyBorder="1" applyAlignment="1">
      <alignment horizontal="left" vertical="center"/>
    </xf>
  </cellXfs>
  <cellStyles count="20">
    <cellStyle name="Comma" xfId="10" builtinId="3"/>
    <cellStyle name="Comma [0] 2" xfId="17" xr:uid="{00000000-0005-0000-0000-000001000000}"/>
    <cellStyle name="Comma 2" xfId="4" xr:uid="{00000000-0005-0000-0000-000002000000}"/>
    <cellStyle name="Comma 3" xfId="9" xr:uid="{00000000-0005-0000-0000-000003000000}"/>
    <cellStyle name="Comma 4" xfId="16" xr:uid="{00000000-0005-0000-0000-000004000000}"/>
    <cellStyle name="Comma 5" xfId="19" xr:uid="{00000000-0005-0000-0000-000005000000}"/>
    <cellStyle name="Currency" xfId="2" builtinId="4"/>
    <cellStyle name="Currency [0] 2" xfId="15" xr:uid="{00000000-0005-0000-0000-000007000000}"/>
    <cellStyle name="Currency 2" xfId="6" xr:uid="{00000000-0005-0000-0000-000008000000}"/>
    <cellStyle name="Currency 3" xfId="8" xr:uid="{00000000-0005-0000-0000-000009000000}"/>
    <cellStyle name="Currency 4" xfId="12" xr:uid="{00000000-0005-0000-0000-00000A000000}"/>
    <cellStyle name="Currency 5" xfId="14" xr:uid="{00000000-0005-0000-0000-00000B000000}"/>
    <cellStyle name="Currency 6" xfId="18" xr:uid="{00000000-0005-0000-0000-00000C000000}"/>
    <cellStyle name="Normal" xfId="0" builtinId="0"/>
    <cellStyle name="Normal 2" xfId="3" xr:uid="{00000000-0005-0000-0000-00000E000000}"/>
    <cellStyle name="Normal 3" xfId="5" xr:uid="{00000000-0005-0000-0000-00000F000000}"/>
    <cellStyle name="Normal 4" xfId="7" xr:uid="{00000000-0005-0000-0000-000010000000}"/>
    <cellStyle name="Normal 5" xfId="11" xr:uid="{00000000-0005-0000-0000-000011000000}"/>
    <cellStyle name="Percent" xfId="1" builtinId="5"/>
    <cellStyle name="Percent 2" xfId="13" xr:uid="{00000000-0005-0000-0000-000013000000}"/>
  </cellStyles>
  <dxfs count="123">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color indexed="9"/>
      </font>
    </dxf>
    <dxf>
      <font>
        <strike val="0"/>
        <condense val="0"/>
        <extend val="0"/>
        <color indexed="9"/>
      </font>
    </dxf>
    <dxf>
      <font>
        <strike val="0"/>
        <condense val="0"/>
        <extend val="0"/>
        <color indexed="9"/>
      </font>
    </dxf>
    <dxf>
      <font>
        <color rgb="FF006100"/>
      </font>
      <fill>
        <patternFill>
          <bgColor rgb="FFC6EFCE"/>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4" formatCode="#,##0.00"/>
    </dxf>
    <dxf>
      <numFmt numFmtId="4" formatCode="#,##0.00"/>
    </dxf>
    <dxf>
      <font>
        <color rgb="FF9C0006"/>
      </font>
      <fill>
        <patternFill>
          <bgColor rgb="FFFFC7CE"/>
        </patternFill>
      </fill>
    </dxf>
    <dxf>
      <font>
        <strike val="0"/>
        <condense val="0"/>
        <extend val="0"/>
        <color indexed="9"/>
      </font>
    </dxf>
    <dxf>
      <font>
        <strike val="0"/>
        <condense val="0"/>
        <extend val="0"/>
        <color indexed="9"/>
      </font>
    </dxf>
    <dxf>
      <font>
        <strike val="0"/>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ndense val="0"/>
        <extend val="0"/>
        <color indexed="9"/>
      </font>
    </dxf>
    <dxf>
      <font>
        <strike val="0"/>
        <condense val="0"/>
        <extend val="0"/>
        <color indexed="9"/>
      </font>
    </dxf>
    <dxf>
      <font>
        <strike val="0"/>
        <condense val="0"/>
        <extend val="0"/>
        <color indexed="9"/>
      </font>
    </dxf>
    <dxf>
      <font>
        <strike val="0"/>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microsoft.com/office/2017/10/relationships/person" Target="persons/perso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435292223154835E-2"/>
          <c:y val="5.2163436590483496E-2"/>
          <c:w val="0.90256469134359263"/>
          <c:h val="0.8326195683872849"/>
        </c:manualLayout>
      </c:layout>
      <c:lineChart>
        <c:grouping val="standard"/>
        <c:varyColors val="0"/>
        <c:ser>
          <c:idx val="0"/>
          <c:order val="0"/>
          <c:tx>
            <c:strRef>
              <c:f>Overview!$A$33</c:f>
              <c:strCache>
                <c:ptCount val="1"/>
                <c:pt idx="0">
                  <c:v>Southern Diocese</c:v>
                </c:pt>
              </c:strCache>
            </c:strRef>
          </c:tx>
          <c:marker>
            <c:symbol val="diamond"/>
            <c:size val="4"/>
          </c:marker>
          <c:cat>
            <c:numLit>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Lit>
          </c:cat>
          <c:val>
            <c:numRef>
              <c:f>Overview!$B$33:$M$33</c:f>
              <c:numCache>
                <c:formatCode>_("£"* #,##0.00_);_("£"* \(#,##0.00\);_("£"* "-"??_);_(@_)</c:formatCode>
                <c:ptCount val="12"/>
                <c:pt idx="0">
                  <c:v>2073932.1700000002</c:v>
                </c:pt>
                <c:pt idx="1">
                  <c:v>1863190</c:v>
                </c:pt>
                <c:pt idx="2">
                  <c:v>1826628</c:v>
                </c:pt>
                <c:pt idx="3">
                  <c:v>1784811</c:v>
                </c:pt>
                <c:pt idx="4">
                  <c:v>1799069</c:v>
                </c:pt>
                <c:pt idx="5">
                  <c:v>1806102</c:v>
                </c:pt>
                <c:pt idx="6">
                  <c:v>1805933</c:v>
                </c:pt>
                <c:pt idx="7">
                  <c:v>1865370</c:v>
                </c:pt>
                <c:pt idx="8">
                  <c:v>1900530</c:v>
                </c:pt>
                <c:pt idx="9">
                  <c:v>1814013</c:v>
                </c:pt>
                <c:pt idx="10">
                  <c:v>1819062</c:v>
                </c:pt>
                <c:pt idx="11" formatCode="_-[$£-809]* #,##0.00_-;\-[$£-809]* #,##0.00_-;_-[$£-809]* &quot;-&quot;??_-;_-@_-">
                  <c:v>1333664</c:v>
                </c:pt>
              </c:numCache>
            </c:numRef>
          </c:val>
          <c:smooth val="0"/>
          <c:extLst>
            <c:ext xmlns:c16="http://schemas.microsoft.com/office/drawing/2014/chart" uri="{C3380CC4-5D6E-409C-BE32-E72D297353CC}">
              <c16:uniqueId val="{00000000-8CF4-493D-BFAD-807CD2763CB1}"/>
            </c:ext>
          </c:extLst>
        </c:ser>
        <c:ser>
          <c:idx val="1"/>
          <c:order val="1"/>
          <c:tx>
            <c:strRef>
              <c:f>Overview!$A$34</c:f>
              <c:strCache>
                <c:ptCount val="1"/>
                <c:pt idx="0">
                  <c:v>Northern Diocese</c:v>
                </c:pt>
              </c:strCache>
            </c:strRef>
          </c:tx>
          <c:marker>
            <c:symbol val="square"/>
            <c:size val="4"/>
          </c:marker>
          <c:cat>
            <c:numLit>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Lit>
          </c:cat>
          <c:val>
            <c:numRef>
              <c:f>Overview!$B$34:$M$34</c:f>
              <c:numCache>
                <c:formatCode>_("£"* #,##0.00_);_("£"* \(#,##0.00\);_("£"* "-"??_);_(@_)</c:formatCode>
                <c:ptCount val="12"/>
                <c:pt idx="0">
                  <c:v>1333348.1000000001</c:v>
                </c:pt>
                <c:pt idx="1">
                  <c:v>1267775</c:v>
                </c:pt>
                <c:pt idx="2">
                  <c:v>1298659</c:v>
                </c:pt>
                <c:pt idx="3">
                  <c:v>1267873.98</c:v>
                </c:pt>
                <c:pt idx="4">
                  <c:v>1193484.1600000001</c:v>
                </c:pt>
                <c:pt idx="5">
                  <c:v>1209206</c:v>
                </c:pt>
                <c:pt idx="6">
                  <c:v>1188883</c:v>
                </c:pt>
                <c:pt idx="7">
                  <c:v>1174161</c:v>
                </c:pt>
                <c:pt idx="8">
                  <c:v>1128104</c:v>
                </c:pt>
                <c:pt idx="9">
                  <c:v>1079683</c:v>
                </c:pt>
                <c:pt idx="10">
                  <c:v>1049342</c:v>
                </c:pt>
                <c:pt idx="11" formatCode="_-[$£-809]* #,##0.00_-;\-[$£-809]* #,##0.00_-;_-[$£-809]* &quot;-&quot;??_-;_-@_-">
                  <c:v>592763</c:v>
                </c:pt>
              </c:numCache>
            </c:numRef>
          </c:val>
          <c:smooth val="0"/>
          <c:extLst>
            <c:ext xmlns:c16="http://schemas.microsoft.com/office/drawing/2014/chart" uri="{C3380CC4-5D6E-409C-BE32-E72D297353CC}">
              <c16:uniqueId val="{00000001-8CF4-493D-BFAD-807CD2763CB1}"/>
            </c:ext>
          </c:extLst>
        </c:ser>
        <c:dLbls>
          <c:showLegendKey val="0"/>
          <c:showVal val="0"/>
          <c:showCatName val="0"/>
          <c:showSerName val="0"/>
          <c:showPercent val="0"/>
          <c:showBubbleSize val="0"/>
        </c:dLbls>
        <c:marker val="1"/>
        <c:smooth val="0"/>
        <c:axId val="221504256"/>
        <c:axId val="221506176"/>
      </c:lineChart>
      <c:catAx>
        <c:axId val="221504256"/>
        <c:scaling>
          <c:orientation val="minMax"/>
        </c:scaling>
        <c:delete val="0"/>
        <c:axPos val="b"/>
        <c:numFmt formatCode="General" sourceLinked="1"/>
        <c:majorTickMark val="out"/>
        <c:minorTickMark val="none"/>
        <c:tickLblPos val="nextTo"/>
        <c:crossAx val="221506176"/>
        <c:crossesAt val="0"/>
        <c:auto val="1"/>
        <c:lblAlgn val="ctr"/>
        <c:lblOffset val="100"/>
        <c:noMultiLvlLbl val="0"/>
      </c:catAx>
      <c:valAx>
        <c:axId val="221506176"/>
        <c:scaling>
          <c:orientation val="minMax"/>
        </c:scaling>
        <c:delete val="0"/>
        <c:axPos val="l"/>
        <c:majorGridlines/>
        <c:numFmt formatCode="_(&quot;£&quot;* #,##0.00_);_(&quot;£&quot;* \(#,##0.00\);_(&quot;£&quot;* &quot;-&quot;??_);_(@_)" sourceLinked="1"/>
        <c:majorTickMark val="out"/>
        <c:minorTickMark val="none"/>
        <c:tickLblPos val="nextTo"/>
        <c:crossAx val="221504256"/>
        <c:crosses val="autoZero"/>
        <c:crossBetween val="between"/>
        <c:dispUnits>
          <c:builtInUnit val="thousands"/>
          <c:dispUnitsLbl>
            <c:layout>
              <c:manualLayout>
                <c:xMode val="edge"/>
                <c:yMode val="edge"/>
                <c:x val="1.6652887139107612E-2"/>
                <c:y val="0.26576254135309252"/>
              </c:manualLayout>
            </c:layout>
          </c:dispUnitsLbl>
        </c:dispUnits>
      </c:valAx>
    </c:plotArea>
    <c:legend>
      <c:legendPos val="r"/>
      <c:layout>
        <c:manualLayout>
          <c:xMode val="edge"/>
          <c:yMode val="edge"/>
          <c:x val="0.36379342609970838"/>
          <c:y val="0.52307425038918842"/>
          <c:w val="0.23929095555202926"/>
          <c:h val="0.20969563712765016"/>
        </c:manualLayout>
      </c:layout>
      <c:overlay val="0"/>
      <c:txPr>
        <a:bodyPr/>
        <a:lstStyle/>
        <a:p>
          <a:pPr>
            <a:defRPr sz="1200" baseline="0"/>
          </a:pPr>
          <a:endParaRPr lang="en-US"/>
        </a:p>
      </c:txPr>
    </c:legend>
    <c:plotVisOnly val="1"/>
    <c:dispBlanksAs val="gap"/>
    <c:showDLblsOverMax val="0"/>
  </c:chart>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39</xdr:row>
      <xdr:rowOff>0</xdr:rowOff>
    </xdr:from>
    <xdr:to>
      <xdr:col>15</xdr:col>
      <xdr:colOff>11205</xdr:colOff>
      <xdr:row>52</xdr:row>
      <xdr:rowOff>111125</xdr:rowOff>
    </xdr:to>
    <xdr:graphicFrame macro="">
      <xdr:nvGraphicFramePr>
        <xdr:cNvPr id="2" name="Chart 1">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Missio.Guest3@MISSIO.LOCAL" id="{B3CEC88F-0CE6-4471-892B-EBDF65F7C8DC}" userId="S-1-5-21-1095477046-3903268620-2518103776-1122" providerId="AD"/>
  <person displayName="Yvonne Ho" id="{63078F72-1346-4228-BA1C-6C35F6A46012}" userId="S::yvonne@missio.org.uk::b0235bfc-dab0-4b90-a398-ff97b2b94bcc"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ssio.Guest3" refreshedDate="43900.655032291666" createdVersion="6" refreshedVersion="6" minRefreshableVersion="3" recordCount="2087" xr:uid="{00000000-000A-0000-FFFF-FFFF00000000}">
  <cacheSource type="worksheet">
    <worksheetSource ref="A1:O1048576" sheet="Master Table"/>
  </cacheSource>
  <cacheFields count="15">
    <cacheField name="Diocese" numFmtId="0">
      <sharedItems containsBlank="1" count="18">
        <s v="ARU"/>
        <s v="BIR"/>
        <s v="BRE"/>
        <s v="CAR"/>
        <s v="CLF"/>
        <s v="EAS"/>
        <s v="MEN"/>
        <s v="NOR"/>
        <s v="NOT"/>
        <s v="PLY"/>
        <s v="POR"/>
        <s v="SHR"/>
        <s v="SOU"/>
        <s v="WES"/>
        <s v="WRX"/>
        <m/>
        <s v="Totals"/>
        <s v="Missing from download:"/>
      </sharedItems>
    </cacheField>
    <cacheField name="Combined Parish" numFmtId="0">
      <sharedItems containsBlank="1"/>
    </cacheField>
    <cacheField name="Parish Centre Number" numFmtId="0">
      <sharedItems containsBlank="1"/>
    </cacheField>
    <cacheField name="Serial No" numFmtId="0">
      <sharedItems containsBlank="1" containsMixedTypes="1" containsNumber="1" containsInteger="1" minValue="633" maxValue="443350"/>
    </cacheField>
    <cacheField name="Full Name" numFmtId="0">
      <sharedItems containsBlank="1"/>
    </cacheField>
    <cacheField name="Preferred Town" numFmtId="0">
      <sharedItems containsBlank="1"/>
    </cacheField>
    <cacheField name="Form Returned Y/N" numFmtId="0">
      <sharedItems containsBlank="1"/>
    </cacheField>
    <cacheField name="Amount paid into Diocesan Bank Account" numFmtId="0">
      <sharedItems containsString="0" containsBlank="1" containsNumber="1" minValue="0" maxValue="991309.37999999966"/>
    </cacheField>
    <cacheField name="Amount paid to Eccleston Square" numFmtId="43">
      <sharedItems containsBlank="1" containsMixedTypes="1" containsNumber="1" minValue="0" maxValue="66221.87000000001"/>
    </cacheField>
    <cacheField name="Extra Column (not used in Pivot)" numFmtId="43">
      <sharedItems containsBlank="1"/>
    </cacheField>
    <cacheField name="Remark" numFmtId="0">
      <sharedItems containsBlank="1"/>
    </cacheField>
    <cacheField name="Diff to agree to banking" numFmtId="0">
      <sharedItems containsString="0" containsBlank="1" containsNumber="1" minValue="-1026.6400000000001" maxValue="134957.21999999991"/>
    </cacheField>
    <cacheField name="Revised banking total into Diocesan Bank account (excl Ecc Sq)" numFmtId="0">
      <sharedItems containsString="0" containsBlank="1" containsNumber="1" minValue="-111.08" maxValue="1126266.6000000001"/>
    </cacheField>
    <cacheField name="Add direct donations in Eccleston Square (from Finance)" numFmtId="0">
      <sharedItems containsString="0" containsBlank="1" containsNumber="1" minValue="0" maxValue="633063.19000000029"/>
    </cacheField>
    <cacheField name="Total for each parish (current year)" numFmtId="171">
      <sharedItems containsString="0" containsBlank="1" containsNumber="1" minValue="-111.08" maxValue="1759329.7900000005"/>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87">
  <r>
    <x v="0"/>
    <s v="No"/>
    <s v="ARU001"/>
    <s v="1674"/>
    <s v="Cathedral Parish of Our Lady &amp; St Philip Howard"/>
    <s v="ARUNDEL"/>
    <s v="Y"/>
    <n v="904.06"/>
    <m/>
    <s v="1"/>
    <m/>
    <m/>
    <n v="904.06"/>
    <n v="325"/>
    <n v="1229.06"/>
  </r>
  <r>
    <x v="0"/>
    <s v="No"/>
    <s v="ARU001S"/>
    <s v="0479420"/>
    <s v="Chapel of Our Lady Help of Christians"/>
    <s v="ARUNDEL"/>
    <m/>
    <m/>
    <m/>
    <s v=" "/>
    <m/>
    <m/>
    <n v="0"/>
    <m/>
    <n v="0"/>
  </r>
  <r>
    <x v="0"/>
    <s v="No"/>
    <s v="ARU002"/>
    <s v="1675"/>
    <s v="The Holy Family RC Church"/>
    <s v="ADDLESTONE"/>
    <m/>
    <m/>
    <m/>
    <s v=" "/>
    <s v="banking per DD"/>
    <n v="397.72"/>
    <n v="397.72"/>
    <n v="213"/>
    <n v="610.72"/>
  </r>
  <r>
    <x v="0"/>
    <s v="No"/>
    <s v="ARU003"/>
    <s v="1676"/>
    <s v="Our Lady Star of the Sea"/>
    <s v="LITTLEHAMPTON"/>
    <s v="Y"/>
    <n v="1615.3899999999999"/>
    <n v="296.58"/>
    <s v="1"/>
    <m/>
    <m/>
    <n v="1615.3899999999999"/>
    <n v="155"/>
    <n v="1770.3899999999999"/>
  </r>
  <r>
    <x v="0"/>
    <s v="No"/>
    <s v="ARU004"/>
    <s v="1677"/>
    <s v="The Holy Angels RC Church"/>
    <s v="ALDERSHOT"/>
    <s v="Y"/>
    <n v="636.13"/>
    <m/>
    <s v="1"/>
    <m/>
    <m/>
    <n v="636.13"/>
    <n v="100"/>
    <n v="736.13"/>
  </r>
  <r>
    <x v="0"/>
    <s v="No"/>
    <s v="ARU007"/>
    <s v="1678"/>
    <s v="St Richard RC Church"/>
    <s v="BOGNOR REGIS"/>
    <m/>
    <m/>
    <m/>
    <s v=" "/>
    <m/>
    <m/>
    <n v="0"/>
    <n v="50"/>
    <n v="50"/>
  </r>
  <r>
    <x v="0"/>
    <s v="No"/>
    <s v="ARU008"/>
    <s v="1679"/>
    <s v="St Michael RC Church"/>
    <s v="ASHTEAD"/>
    <m/>
    <m/>
    <m/>
    <s v=" "/>
    <s v="banking per DD"/>
    <n v="779.93"/>
    <n v="779.93"/>
    <n v="127"/>
    <n v="906.93"/>
  </r>
  <r>
    <x v="0"/>
    <s v="Yes"/>
    <s v="ARU009"/>
    <s v="1680"/>
    <s v="Christ the King RC Church"/>
    <s v="BAGSHOT                       "/>
    <m/>
    <m/>
    <m/>
    <s v=" "/>
    <m/>
    <m/>
    <n v="0"/>
    <n v="420"/>
    <n v="420"/>
  </r>
  <r>
    <x v="0"/>
    <s v="No"/>
    <s v="ARU010"/>
    <s v="1681"/>
    <s v="St Ann's RC Church"/>
    <s v="BANSTEAD"/>
    <s v="Y"/>
    <n v="516"/>
    <m/>
    <s v="1"/>
    <s v="per DD - it is zero"/>
    <n v="-516"/>
    <n v="0"/>
    <n v="974"/>
    <n v="974"/>
  </r>
  <r>
    <x v="0"/>
    <s v="No"/>
    <s v="ARU011"/>
    <s v="1682"/>
    <s v="Our Lady Immaculate &amp; St Michael RC Church"/>
    <s v="BATTLE"/>
    <s v="Y"/>
    <n v="1037.67"/>
    <m/>
    <s v="1"/>
    <m/>
    <m/>
    <n v="1037.67"/>
    <n v="295"/>
    <n v="1332.67"/>
  </r>
  <r>
    <x v="0"/>
    <s v="Yes"/>
    <s v="ARU012"/>
    <s v="1683"/>
    <s v="St Mary Magdalene RC Church"/>
    <s v="BEXHILL-ON-SEA"/>
    <m/>
    <m/>
    <m/>
    <s v=" "/>
    <s v="banking per DD"/>
    <n v="470.26"/>
    <n v="470.26"/>
    <n v="755"/>
    <n v="1225.26"/>
  </r>
  <r>
    <x v="0"/>
    <s v="Yes"/>
    <s v="ARU012S"/>
    <s v="0479421"/>
    <s v="St Martha (Parish of St Mary Magdalene)"/>
    <s v="LITTLE COMMON"/>
    <m/>
    <m/>
    <m/>
    <s v=" "/>
    <m/>
    <m/>
    <n v="0"/>
    <m/>
    <n v="0"/>
  </r>
  <r>
    <x v="0"/>
    <s v="Yes"/>
    <s v="ARU012S2"/>
    <s v="0479422"/>
    <s v="Our Lady of the Rosary (Parish of St Mary Magdalene)"/>
    <s v="SIDLEY"/>
    <m/>
    <m/>
    <m/>
    <s v=" "/>
    <m/>
    <m/>
    <n v="0"/>
    <m/>
    <n v="0"/>
  </r>
  <r>
    <x v="0"/>
    <s v="No"/>
    <s v="ARU013"/>
    <s v="1684"/>
    <s v="St Gabriel with St Crispin &amp; St Crispinian"/>
    <s v="BILLINGSHURST                 "/>
    <s v="Y"/>
    <n v="520.37"/>
    <m/>
    <s v="1"/>
    <m/>
    <m/>
    <n v="520.37"/>
    <n v="4260"/>
    <n v="4780.37"/>
  </r>
  <r>
    <x v="0"/>
    <s v="No"/>
    <s v="ARU014"/>
    <s v="1685"/>
    <s v="Our Lady of Sorrows"/>
    <s v="BOGNOR REGIS"/>
    <s v="Y"/>
    <n v="1071.06"/>
    <m/>
    <s v="1"/>
    <s v="per DD - it is £1061.06"/>
    <n v="-10"/>
    <n v="1061.06"/>
    <n v="220"/>
    <n v="1281.06"/>
  </r>
  <r>
    <x v="0"/>
    <s v="No"/>
    <s v="ARU014S"/>
    <s v="0479423"/>
    <s v="St Anthony of Viareggio"/>
    <s v="ALDWICK"/>
    <m/>
    <m/>
    <m/>
    <s v=" "/>
    <m/>
    <m/>
    <n v="0"/>
    <m/>
    <n v="0"/>
  </r>
  <r>
    <x v="0"/>
    <s v="No"/>
    <s v="ARU016"/>
    <s v="1687"/>
    <s v="St John the Baptist RC Church"/>
    <s v="BRIGHTON"/>
    <s v="Y"/>
    <n v="1292.25"/>
    <m/>
    <s v="1"/>
    <m/>
    <m/>
    <n v="1292.25"/>
    <n v="90"/>
    <n v="1382.25"/>
  </r>
  <r>
    <x v="0"/>
    <s v="No"/>
    <s v="ARU017"/>
    <s v="1688"/>
    <s v="St Mary Magdalen RC Church"/>
    <s v="BRIGHTON"/>
    <s v="Y"/>
    <n v="523.12"/>
    <m/>
    <s v="1"/>
    <s v="per DD - it is £523.22"/>
    <n v="0.1"/>
    <n v="523.22"/>
    <m/>
    <n v="523.22"/>
  </r>
  <r>
    <x v="0"/>
    <s v="No"/>
    <s v="ARU018"/>
    <s v="1689"/>
    <s v="St Joseph RC Church"/>
    <s v="BRIGHTON"/>
    <s v="Y"/>
    <n v="163.15"/>
    <m/>
    <s v="1"/>
    <m/>
    <m/>
    <n v="163.15"/>
    <n v="194.5"/>
    <n v="357.65"/>
  </r>
  <r>
    <x v="0"/>
    <s v="No"/>
    <s v="ARU019"/>
    <s v="1690"/>
    <s v="St Francis of Assisi RC Church (CLOSED)"/>
    <s v="BRIGHTON"/>
    <m/>
    <m/>
    <m/>
    <s v=" "/>
    <m/>
    <m/>
    <n v="0"/>
    <n v="520"/>
    <n v="520"/>
  </r>
  <r>
    <x v="0"/>
    <s v="No"/>
    <s v="ARU020"/>
    <s v="1691"/>
    <s v="St Mary's Church"/>
    <s v="BRIGHTON"/>
    <m/>
    <m/>
    <m/>
    <s v=" "/>
    <m/>
    <m/>
    <n v="0"/>
    <n v="315.25"/>
    <n v="315.25"/>
  </r>
  <r>
    <x v="0"/>
    <s v="No"/>
    <s v="ARU022"/>
    <s v="1692"/>
    <s v="St Thomas More RC Church"/>
    <s v="BRIGHTON"/>
    <s v="Y"/>
    <m/>
    <n v="397"/>
    <s v="1"/>
    <m/>
    <m/>
    <n v="0"/>
    <n v="323"/>
    <n v="323"/>
  </r>
  <r>
    <x v="0"/>
    <s v="No"/>
    <s v="ARU024"/>
    <s v="1695"/>
    <s v="Church of Christ the Lord"/>
    <s v="CRAWLEY"/>
    <m/>
    <m/>
    <m/>
    <s v=" "/>
    <m/>
    <m/>
    <n v="0"/>
    <n v="125"/>
    <n v="125"/>
  </r>
  <r>
    <x v="0"/>
    <s v="No"/>
    <s v="ARU025"/>
    <s v="1696"/>
    <s v="St Wilfrid RC Church"/>
    <s v="BURGESS HILL"/>
    <m/>
    <m/>
    <m/>
    <s v=" "/>
    <m/>
    <m/>
    <n v="0"/>
    <n v="305"/>
    <n v="305"/>
  </r>
  <r>
    <x v="0"/>
    <s v="Yes"/>
    <s v="ARU026"/>
    <s v="147969"/>
    <s v="Christ the King RC Church"/>
    <s v="ETCHINGHAM                    "/>
    <s v="Y"/>
    <m/>
    <n v="1696.1399999999999"/>
    <s v="1"/>
    <s v="2xchq banked in Ecc Sq included ARU063/1736 (£165.20+142.31)"/>
    <m/>
    <n v="0"/>
    <n v="1696.1399999999999"/>
    <n v="1696.1399999999999"/>
  </r>
  <r>
    <x v="0"/>
    <s v="Yes"/>
    <s v="ARU027"/>
    <s v="1697"/>
    <s v="St Tarcisius RC Church"/>
    <s v="CAMBERLEY"/>
    <s v="Y"/>
    <n v="1406"/>
    <m/>
    <s v="1"/>
    <m/>
    <m/>
    <n v="1406"/>
    <n v="525"/>
    <n v="1931"/>
  </r>
  <r>
    <x v="0"/>
    <s v="Yes"/>
    <s v="ARU028"/>
    <s v="1698"/>
    <s v="St Peter &amp; St John RC Church"/>
    <s v="CAMBERLEY"/>
    <s v="Y"/>
    <n v="75.75"/>
    <m/>
    <s v="1"/>
    <m/>
    <m/>
    <n v="75.75"/>
    <n v="1012"/>
    <n v="1087.75"/>
  </r>
  <r>
    <x v="0"/>
    <s v="No"/>
    <s v="ARU029"/>
    <s v="1699"/>
    <s v="Sacred Heart RC Church"/>
    <s v="CATERHAM"/>
    <s v="Y"/>
    <m/>
    <n v="1102.77"/>
    <s v="1"/>
    <m/>
    <m/>
    <n v="0"/>
    <n v="2392.77"/>
    <n v="2392.77"/>
  </r>
  <r>
    <x v="0"/>
    <s v="No"/>
    <s v="ARU030"/>
    <s v="1700"/>
    <s v="St Anne RC Church"/>
    <s v="CHERTSEY"/>
    <m/>
    <m/>
    <m/>
    <s v=" "/>
    <s v="banking per DD"/>
    <n v="1656.05"/>
    <n v="1656.05"/>
    <n v="732"/>
    <n v="2388.0500000000002"/>
  </r>
  <r>
    <x v="0"/>
    <s v="No"/>
    <s v="ARU031"/>
    <s v="1701"/>
    <s v="St Richard RC Church"/>
    <s v="CHICHESTER"/>
    <s v="Y"/>
    <n v="1075.78"/>
    <m/>
    <s v="1"/>
    <s v="long list of banking"/>
    <m/>
    <n v="1075.78"/>
    <n v="967"/>
    <n v="2042.78"/>
  </r>
  <r>
    <x v="0"/>
    <s v="No"/>
    <s v="ARU031S"/>
    <s v="0479424"/>
    <s v="Our Lady of the Assumption"/>
    <s v="BOSHAM"/>
    <m/>
    <m/>
    <m/>
    <s v=" "/>
    <m/>
    <m/>
    <n v="0"/>
    <m/>
    <n v="0"/>
  </r>
  <r>
    <x v="0"/>
    <s v="No"/>
    <s v="ARU032"/>
    <s v="0479425"/>
    <s v="The Holy Ghost RC Church"/>
    <s v="GUILDFORD"/>
    <m/>
    <m/>
    <m/>
    <s v=" "/>
    <m/>
    <m/>
    <n v="0"/>
    <m/>
    <n v="0"/>
  </r>
  <r>
    <x v="0"/>
    <s v="No"/>
    <s v="ARU033"/>
    <s v="1703"/>
    <s v="Sacred Heart RC Church"/>
    <s v="COBHAM"/>
    <s v="Y"/>
    <n v="434.68000000000006"/>
    <m/>
    <s v="1"/>
    <m/>
    <m/>
    <n v="434.68000000000006"/>
    <n v="700"/>
    <n v="1134.68"/>
  </r>
  <r>
    <x v="0"/>
    <s v="No"/>
    <s v="ARU034"/>
    <s v="1704"/>
    <s v="Christ the Redeemer of Mankind &amp; St Thomas More"/>
    <s v="CRANLEIGH"/>
    <s v="Y"/>
    <n v="1417.9499999999998"/>
    <m/>
    <s v="1"/>
    <m/>
    <m/>
    <n v="1417.9499999999998"/>
    <n v="169"/>
    <n v="1586.9499999999998"/>
  </r>
  <r>
    <x v="0"/>
    <s v="No"/>
    <s v="ARU034S"/>
    <s v="0479426"/>
    <s v="St Thomas More"/>
    <s v="BRAMLEY"/>
    <m/>
    <m/>
    <m/>
    <s v=" "/>
    <m/>
    <m/>
    <n v="0"/>
    <m/>
    <n v="0"/>
  </r>
  <r>
    <x v="0"/>
    <s v="No"/>
    <s v="ARU035"/>
    <s v="1705"/>
    <s v="St Francis &amp; St Anthony RC Church"/>
    <s v="CRAWLEY"/>
    <s v="Y"/>
    <n v="1500"/>
    <m/>
    <s v="1"/>
    <m/>
    <m/>
    <n v="1500"/>
    <n v="905"/>
    <n v="2405"/>
  </r>
  <r>
    <x v="0"/>
    <s v="No"/>
    <s v="ARU035L2"/>
    <s v="0479428"/>
    <s v="St Theodore of Canterbury"/>
    <s v="GOSSOPS GREEN"/>
    <m/>
    <m/>
    <m/>
    <s v=" "/>
    <m/>
    <m/>
    <n v="0"/>
    <m/>
    <n v="0"/>
  </r>
  <r>
    <x v="0"/>
    <s v="No"/>
    <s v="ARU036"/>
    <s v="1706"/>
    <s v="St Mary Mother of Christ"/>
    <s v="CROWBOROUGH"/>
    <s v="Y"/>
    <n v="561.34"/>
    <m/>
    <s v="1"/>
    <m/>
    <m/>
    <n v="561.34"/>
    <n v="217"/>
    <n v="778.34"/>
  </r>
  <r>
    <x v="0"/>
    <s v="No"/>
    <s v="ARU037"/>
    <s v="1707"/>
    <s v="St Joseph RC Church"/>
    <s v="DORKING"/>
    <s v="Y"/>
    <n v="1117.17"/>
    <m/>
    <s v="1"/>
    <s v="per DD - it is £882.32"/>
    <n v="-234.85"/>
    <n v="882.32"/>
    <n v="430"/>
    <n v="1312.3200000000002"/>
  </r>
  <r>
    <x v="0"/>
    <s v="No"/>
    <s v="ARU038"/>
    <s v="1708"/>
    <s v="Our Lady of Ransom RC Church"/>
    <s v="EASTBOURNE"/>
    <m/>
    <m/>
    <m/>
    <s v=" "/>
    <m/>
    <n v="3310.7"/>
    <n v="3310.7"/>
    <n v="830.7"/>
    <n v="4141.3999999999996"/>
  </r>
  <r>
    <x v="0"/>
    <s v="No"/>
    <s v="ARU038S"/>
    <s v="0479429"/>
    <s v="St Gregory"/>
    <s v="EASTBOURNE"/>
    <m/>
    <m/>
    <m/>
    <s v=" "/>
    <m/>
    <m/>
    <n v="0"/>
    <m/>
    <n v="0"/>
  </r>
  <r>
    <x v="0"/>
    <s v="No"/>
    <s v="ARU039"/>
    <s v="1709"/>
    <s v="St Agnes RC Church"/>
    <s v="EASTBOURNE"/>
    <m/>
    <m/>
    <m/>
    <s v=" "/>
    <m/>
    <m/>
    <n v="0"/>
    <n v="250"/>
    <n v="250"/>
  </r>
  <r>
    <x v="0"/>
    <s v="No"/>
    <s v="ARU039X"/>
    <s v="1710"/>
    <s v="Christ the King RC Church"/>
    <s v="EASTBOURNE"/>
    <m/>
    <m/>
    <m/>
    <s v=" "/>
    <m/>
    <m/>
    <n v="0"/>
    <n v="145"/>
    <n v="145"/>
  </r>
  <r>
    <x v="0"/>
    <s v="No"/>
    <s v="ARU040"/>
    <s v="1711"/>
    <s v="Our Lady &amp; St Peter RC Church"/>
    <s v="EAST GRINSTEAD"/>
    <s v="Y"/>
    <n v="1867.5"/>
    <m/>
    <s v="1"/>
    <m/>
    <m/>
    <n v="1867.5"/>
    <n v="792"/>
    <n v="2659.5"/>
  </r>
  <r>
    <x v="0"/>
    <s v="Yes"/>
    <s v="ARU041"/>
    <s v="1712"/>
    <s v="Our Lady of Sorrows RC Church"/>
    <s v="LEATHERHEAD"/>
    <s v="Y"/>
    <n v="1352.51"/>
    <m/>
    <s v="1"/>
    <m/>
    <m/>
    <n v="1352.51"/>
    <n v="1403.84"/>
    <n v="2756.35"/>
  </r>
  <r>
    <x v="0"/>
    <s v="No"/>
    <s v="ARU042"/>
    <s v="1714"/>
    <s v="Parish of St Cuthbert (St John Rochester)"/>
    <s v="STAINES-UPON-THAMES"/>
    <s v="Y"/>
    <n v="1541.13"/>
    <m/>
    <s v="1"/>
    <s v="per DD - it is £1642.44"/>
    <n v="101.31"/>
    <n v="1642.44"/>
    <n v="226.84"/>
    <n v="1869.28"/>
  </r>
  <r>
    <x v="0"/>
    <s v="No"/>
    <s v="ARU043"/>
    <s v="0479430"/>
    <s v="Parish of St Cuthbert (The Assumption of Our Lady)"/>
    <s v="ENGLEFIELD GREEN"/>
    <m/>
    <m/>
    <m/>
    <s v=" "/>
    <m/>
    <m/>
    <n v="0"/>
    <m/>
    <n v="0"/>
  </r>
  <r>
    <x v="0"/>
    <s v="No"/>
    <s v="ARU044"/>
    <s v="1717"/>
    <s v="St Joseph RC Church"/>
    <s v="EPSOM"/>
    <s v="Y"/>
    <n v="5059.8900000000003"/>
    <m/>
    <s v="1"/>
    <m/>
    <m/>
    <n v="5059.8900000000003"/>
    <n v="1189"/>
    <n v="6248.89"/>
  </r>
  <r>
    <x v="0"/>
    <s v="No"/>
    <s v="ARU045"/>
    <s v="1718"/>
    <s v="The Holy Name RC Church"/>
    <s v="ESHER"/>
    <s v="Y"/>
    <n v="824.69"/>
    <m/>
    <s v="1"/>
    <m/>
    <m/>
    <n v="824.69"/>
    <n v="895"/>
    <n v="1719.69"/>
  </r>
  <r>
    <x v="0"/>
    <s v="No"/>
    <s v="ARU046"/>
    <s v="1719"/>
    <s v="St Clement RC Parish"/>
    <s v="EWELL"/>
    <s v="Y"/>
    <m/>
    <n v="627.66999999999996"/>
    <s v="1"/>
    <m/>
    <m/>
    <n v="0"/>
    <n v="883.67"/>
    <n v="883.67"/>
  </r>
  <r>
    <x v="0"/>
    <s v="No"/>
    <s v="ARU047"/>
    <s v="1720"/>
    <s v="St Joan of Arc RC Church"/>
    <s v="FARNHAM"/>
    <s v="Y"/>
    <n v="1391.26"/>
    <m/>
    <s v="1"/>
    <s v="per DD - it is £1427.26"/>
    <n v="36"/>
    <n v="1427.26"/>
    <n v="1282"/>
    <n v="2709.26"/>
  </r>
  <r>
    <x v="0"/>
    <s v="No"/>
    <s v="ARU048"/>
    <s v="1721"/>
    <s v="Holy Family RC Church"/>
    <s v="FARNHAM"/>
    <s v="Y"/>
    <n v="528.4"/>
    <n v="110"/>
    <s v="1"/>
    <s v="Annual return has £4 from A Whitworth included in total but it is for WMS, so it is not included in Ecc Sq banking"/>
    <m/>
    <n v="528.4"/>
    <n v="155"/>
    <n v="683.4"/>
  </r>
  <r>
    <x v="0"/>
    <s v="Yes"/>
    <s v="ARU049"/>
    <s v="1722"/>
    <s v="The Holy Spirit Parish"/>
    <s v="LEATHERHEAD"/>
    <s v="Y"/>
    <n v="619"/>
    <m/>
    <s v="1"/>
    <m/>
    <m/>
    <n v="619"/>
    <n v="155"/>
    <n v="774"/>
  </r>
  <r>
    <x v="0"/>
    <s v="No"/>
    <s v="ARU051"/>
    <s v="1724"/>
    <s v="Our Lady Queen of Heaven"/>
    <s v="CAMBERLEY                     "/>
    <s v="Y"/>
    <n v="1359"/>
    <m/>
    <s v="1"/>
    <m/>
    <m/>
    <n v="1359"/>
    <n v="1130"/>
    <n v="2489"/>
  </r>
  <r>
    <x v="0"/>
    <s v="No"/>
    <s v="ARU053"/>
    <s v="1726"/>
    <s v="St Edmund, King &amp; Martyr RC Church"/>
    <s v="GODALMING"/>
    <s v="Y"/>
    <n v="1746.21"/>
    <m/>
    <s v="1"/>
    <s v="per DD - it is £1806.42"/>
    <n v="60.21"/>
    <n v="1806.42"/>
    <n v="236"/>
    <n v="2042.42"/>
  </r>
  <r>
    <x v="0"/>
    <s v="No"/>
    <s v="ARU053S"/>
    <s v="0479431"/>
    <s v="St Joseph"/>
    <m/>
    <m/>
    <m/>
    <m/>
    <s v=" "/>
    <m/>
    <m/>
    <n v="0"/>
    <m/>
    <n v="0"/>
  </r>
  <r>
    <x v="0"/>
    <s v="No"/>
    <s v="ARU053S1"/>
    <s v="0479432"/>
    <s v="St John the Evangelist Anglican Church"/>
    <s v="GODALMING"/>
    <m/>
    <m/>
    <m/>
    <s v=" "/>
    <m/>
    <m/>
    <n v="0"/>
    <m/>
    <n v="0"/>
  </r>
  <r>
    <x v="0"/>
    <s v="No"/>
    <s v="ARU054"/>
    <s v="1727"/>
    <s v="English Martyrs RC Church"/>
    <s v="WORTHING"/>
    <m/>
    <m/>
    <m/>
    <s v=" "/>
    <s v="banking per DD"/>
    <n v="620.37"/>
    <n v="620.37"/>
    <n v="457"/>
    <n v="1077.3699999999999"/>
  </r>
  <r>
    <x v="0"/>
    <s v="No"/>
    <s v="ARU055"/>
    <s v="1728"/>
    <s v="St Joseph RC Church"/>
    <s v="GUILDFORD"/>
    <m/>
    <m/>
    <m/>
    <s v=" "/>
    <s v="banking per DD"/>
    <n v="75.64"/>
    <n v="75.64"/>
    <n v="300"/>
    <n v="375.64"/>
  </r>
  <r>
    <x v="0"/>
    <s v="No"/>
    <s v="ARU056"/>
    <s v="1729"/>
    <s v="St Mary RC Church"/>
    <s v="GUILDFORD"/>
    <s v="Y"/>
    <n v="337.37"/>
    <m/>
    <s v="1"/>
    <m/>
    <m/>
    <n v="337.37"/>
    <n v="506"/>
    <n v="843.37"/>
  </r>
  <r>
    <x v="0"/>
    <s v="No"/>
    <s v="ARU058"/>
    <s v="1731"/>
    <s v="St Wilfrid RC Church"/>
    <s v="HAILSHAM"/>
    <s v="Y"/>
    <n v="968.91"/>
    <m/>
    <s v="1"/>
    <m/>
    <m/>
    <n v="968.91"/>
    <n v="140"/>
    <n v="1108.9099999999999"/>
  </r>
  <r>
    <x v="0"/>
    <s v="No"/>
    <s v="ARU059"/>
    <s v="1732"/>
    <s v="St Joachim RC Church"/>
    <s v="EASTBOURNE"/>
    <s v="Y"/>
    <n v="303.83000000000004"/>
    <m/>
    <s v="1"/>
    <s v="per DD - it is £393.18  (Diff £89.35: Grand total stated in form is £393.18)"/>
    <n v="89.35"/>
    <n v="393.18000000000006"/>
    <n v="40"/>
    <n v="433.18000000000006"/>
  </r>
  <r>
    <x v="0"/>
    <s v="No"/>
    <s v="ARU060"/>
    <s v="1733"/>
    <s v="Our Lady of Lourdes RC Church"/>
    <s v="HASLEMERE"/>
    <s v="Y"/>
    <n v="923"/>
    <m/>
    <s v="1"/>
    <s v="per DD - it is £553"/>
    <n v="-370"/>
    <n v="553"/>
    <n v="650.5"/>
    <n v="1203.5"/>
  </r>
  <r>
    <x v="0"/>
    <s v="No"/>
    <s v="ARU060S"/>
    <s v="0479433"/>
    <s v="St Teresa of Avila"/>
    <s v="CHIDDINGFOLD"/>
    <m/>
    <m/>
    <m/>
    <s v=" "/>
    <m/>
    <m/>
    <n v="0"/>
    <m/>
    <n v="0"/>
  </r>
  <r>
    <x v="0"/>
    <s v="No"/>
    <s v="ARU061"/>
    <s v="1734"/>
    <s v="St Mary Star of the Sea"/>
    <s v="HASTINGS"/>
    <m/>
    <m/>
    <m/>
    <s v=" "/>
    <m/>
    <m/>
    <n v="0"/>
    <n v="427"/>
    <n v="427"/>
  </r>
  <r>
    <x v="0"/>
    <s v="No"/>
    <s v="ARU062"/>
    <s v="1735"/>
    <s v="St Paul RC Church"/>
    <s v="HAYWARDS HEATH"/>
    <s v="Y"/>
    <n v="4758.4500000000007"/>
    <m/>
    <s v="1"/>
    <m/>
    <m/>
    <n v="4758.4500000000007"/>
    <n v="580"/>
    <n v="5338.4500000000007"/>
  </r>
  <r>
    <x v="0"/>
    <s v="Yes"/>
    <s v="ARU063"/>
    <s v="1736"/>
    <s v="Holy Cross Chapel"/>
    <s v="HEATHFIELD"/>
    <s v="Y"/>
    <m/>
    <n v="307.51"/>
    <s v="1"/>
    <s v="2xchq banked in Ecc Sq included ARU026/147969 (£940.04+756.10)"/>
    <m/>
    <n v="0"/>
    <n v="822.51"/>
    <n v="822.51"/>
  </r>
  <r>
    <x v="0"/>
    <s v="No"/>
    <s v="ARU064"/>
    <s v="1737"/>
    <s v="Corpus Christi RC Church"/>
    <s v="HENFIELD"/>
    <s v="Y"/>
    <n v="282.90000000000003"/>
    <m/>
    <s v="1"/>
    <m/>
    <m/>
    <n v="282.90000000000003"/>
    <n v="50"/>
    <n v="332.90000000000003"/>
  </r>
  <r>
    <x v="0"/>
    <s v="Yes"/>
    <s v="ARU065"/>
    <s v="1738"/>
    <s v="St John the Evangelist"/>
    <s v="UCKFIELD"/>
    <m/>
    <m/>
    <m/>
    <s v=" "/>
    <m/>
    <m/>
    <n v="0"/>
    <m/>
    <n v="0"/>
  </r>
  <r>
    <x v="0"/>
    <s v="No"/>
    <s v="ARU066"/>
    <s v="1739"/>
    <s v="All Saints RC Church"/>
    <s v="HERSHAM "/>
    <s v="Y"/>
    <n v="1692.4900000000002"/>
    <m/>
    <s v="1"/>
    <m/>
    <m/>
    <n v="1692.4900000000002"/>
    <n v="945"/>
    <n v="2637.4900000000002"/>
  </r>
  <r>
    <x v="0"/>
    <s v="No"/>
    <s v="ARU067"/>
    <s v="1740"/>
    <s v="St Anselm RC Church"/>
    <s v="HINDHEAD"/>
    <m/>
    <m/>
    <m/>
    <s v=" "/>
    <s v="banking per DD"/>
    <n v="370"/>
    <n v="370"/>
    <n v="170"/>
    <n v="540"/>
  </r>
  <r>
    <x v="0"/>
    <s v="No"/>
    <s v="ARU068"/>
    <s v="1741"/>
    <s v="Holy Redeemer RC Church"/>
    <s v="ST. LEONARDS-ON-SEA           "/>
    <s v="Y"/>
    <n v="1038.43"/>
    <m/>
    <s v="1"/>
    <m/>
    <m/>
    <n v="1038.43"/>
    <n v="510"/>
    <n v="1548.43"/>
  </r>
  <r>
    <x v="0"/>
    <s v="No"/>
    <s v="ARU069"/>
    <s v="1742"/>
    <s v="English Martyrs RC Church"/>
    <s v="HORLEY"/>
    <m/>
    <m/>
    <m/>
    <s v=" "/>
    <s v="banking per DD"/>
    <n v="543.54999999999995"/>
    <n v="543.54999999999995"/>
    <n v="386.13"/>
    <n v="929.68"/>
  </r>
  <r>
    <x v="0"/>
    <s v="No"/>
    <s v="ARU070"/>
    <s v="1743"/>
    <s v="St John the Evangelist"/>
    <s v="HORSHAM                       "/>
    <s v="Y"/>
    <m/>
    <n v="1925.48"/>
    <s v="1"/>
    <m/>
    <m/>
    <n v="0"/>
    <n v="2690.48"/>
    <n v="2690.48"/>
  </r>
  <r>
    <x v="0"/>
    <s v="No"/>
    <s v="ARU071"/>
    <s v="1744"/>
    <s v="Sacred Heart RC Church"/>
    <s v="HOVE"/>
    <m/>
    <m/>
    <m/>
    <s v=" "/>
    <s v="banking per DD"/>
    <n v="388.36"/>
    <n v="388.36"/>
    <n v="489"/>
    <n v="877.36"/>
  </r>
  <r>
    <x v="0"/>
    <s v="No"/>
    <s v="ARU072"/>
    <s v="1745"/>
    <s v="St Peter's RC Church"/>
    <s v="HOVE"/>
    <s v="Y"/>
    <n v="653.5"/>
    <m/>
    <s v="1"/>
    <m/>
    <m/>
    <n v="653.5"/>
    <n v="545"/>
    <n v="1198.5"/>
  </r>
  <r>
    <x v="0"/>
    <s v="No"/>
    <s v="ARU073"/>
    <s v="1746"/>
    <s v="St George RC Church"/>
    <s v="BRIGHTON                      "/>
    <s v="Y"/>
    <n v="575.82000000000005"/>
    <m/>
    <s v="1"/>
    <m/>
    <m/>
    <n v="575.82000000000005"/>
    <n v="125"/>
    <n v="700.82"/>
  </r>
  <r>
    <x v="0"/>
    <s v="Yes"/>
    <s v="ARU074"/>
    <s v="1747"/>
    <s v="St Luke &amp; St Edward the Confessor"/>
    <s v="HASSOCKS "/>
    <s v="Y"/>
    <n v="775.33"/>
    <m/>
    <s v="1"/>
    <m/>
    <m/>
    <n v="775.33"/>
    <n v="700"/>
    <n v="1475.33"/>
  </r>
  <r>
    <x v="0"/>
    <s v="Yes"/>
    <s v="ARU074S"/>
    <s v="0479434"/>
    <s v="St Luke"/>
    <s v="HURSTPIERPOINT"/>
    <m/>
    <m/>
    <m/>
    <s v=" "/>
    <m/>
    <m/>
    <n v="0"/>
    <m/>
    <n v="0"/>
  </r>
  <r>
    <x v="0"/>
    <s v="No"/>
    <s v="ARU075"/>
    <s v="1748"/>
    <s v="St Hugh of Lincoln RC Church"/>
    <s v="WOKING"/>
    <m/>
    <m/>
    <m/>
    <s v=" "/>
    <s v="banking per DD"/>
    <n v="290"/>
    <n v="290"/>
    <n v="815"/>
    <n v="1105"/>
  </r>
  <r>
    <x v="0"/>
    <s v="No"/>
    <s v="ARU076"/>
    <s v="1749"/>
    <s v="The Holy Family RC Church"/>
    <s v="LANCING"/>
    <s v="Y"/>
    <n v="594.63"/>
    <m/>
    <s v="1"/>
    <s v="combined with ARU130-1800"/>
    <m/>
    <n v="594.63"/>
    <n v="430"/>
    <n v="1024.6300000000001"/>
  </r>
  <r>
    <x v="0"/>
    <s v="No"/>
    <s v="ARU077"/>
    <s v="1750"/>
    <s v="Our Lady's &amp; St Theodore's"/>
    <s v="CRAWLEY"/>
    <s v="Y"/>
    <n v="2133.8500000000004"/>
    <m/>
    <s v="1"/>
    <m/>
    <m/>
    <n v="2133.8500000000004"/>
    <n v="117"/>
    <n v="2250.8500000000004"/>
  </r>
  <r>
    <x v="0"/>
    <s v="No"/>
    <s v="ARU078"/>
    <s v="1751"/>
    <s v="Our Lady &amp; St Peter RC Church"/>
    <s v="LEATHERHEAD"/>
    <s v="Y"/>
    <n v="575"/>
    <m/>
    <s v="1"/>
    <m/>
    <m/>
    <n v="575"/>
    <n v="885"/>
    <n v="1460"/>
  </r>
  <r>
    <x v="0"/>
    <s v="No"/>
    <s v="ARU079"/>
    <s v="1752"/>
    <s v="St Pancras RC Church"/>
    <s v="LEWES"/>
    <s v="Y"/>
    <n v="1139.52"/>
    <m/>
    <s v="1"/>
    <s v="per DD - it is £1040.02"/>
    <n v="-99.5"/>
    <n v="1040.02"/>
    <n v="235"/>
    <n v="1275.02"/>
  </r>
  <r>
    <x v="0"/>
    <s v="No"/>
    <s v="ARU080"/>
    <s v="1753"/>
    <s v="St Bernard RC Church"/>
    <s v="LINGFIELD"/>
    <s v="Y"/>
    <n v="521.91"/>
    <m/>
    <s v="1"/>
    <m/>
    <m/>
    <n v="521.91"/>
    <n v="255"/>
    <n v="776.91"/>
  </r>
  <r>
    <x v="0"/>
    <s v="No"/>
    <s v="ARU081"/>
    <s v="1754"/>
    <s v="St Catherine RC Church"/>
    <s v="LITTLEHAMPTON"/>
    <s v="Y"/>
    <n v="498.25"/>
    <m/>
    <s v="1"/>
    <m/>
    <m/>
    <n v="498.25"/>
    <n v="218"/>
    <n v="716.25"/>
  </r>
  <r>
    <x v="0"/>
    <s v="No"/>
    <s v="ARU083"/>
    <s v="1756"/>
    <s v="St Thomas of Canterbury"/>
    <s v="MAYFIELD"/>
    <m/>
    <m/>
    <m/>
    <s v=" "/>
    <m/>
    <m/>
    <n v="0"/>
    <n v="678.3"/>
    <n v="678.3"/>
  </r>
  <r>
    <x v="0"/>
    <s v="No"/>
    <s v="ARU084"/>
    <s v="1757"/>
    <s v="St Pius X RC Church"/>
    <s v="GUILDFORD"/>
    <m/>
    <m/>
    <m/>
    <s v=" "/>
    <m/>
    <m/>
    <n v="0"/>
    <n v="516"/>
    <n v="516"/>
  </r>
  <r>
    <x v="0"/>
    <s v="No"/>
    <s v="ARU085"/>
    <s v="1758"/>
    <s v="Parish of the Nativity of the Lord"/>
    <s v="REDHILL"/>
    <s v="Y"/>
    <m/>
    <n v="753.66"/>
    <s v="1"/>
    <s v="combined with ARU098-1771"/>
    <m/>
    <n v="0"/>
    <n v="1058.6599999999999"/>
    <n v="1058.6599999999999"/>
  </r>
  <r>
    <x v="0"/>
    <s v="No"/>
    <s v="ARU086"/>
    <s v="1759"/>
    <s v="The Divine Motherhood &amp; St Francis"/>
    <s v="MIDHURST"/>
    <s v="Y"/>
    <n v="867.66"/>
    <m/>
    <s v="1"/>
    <m/>
    <m/>
    <n v="867.66"/>
    <n v="228"/>
    <n v="1095.6599999999999"/>
  </r>
  <r>
    <x v="0"/>
    <s v="No"/>
    <s v="ARU087"/>
    <s v="1760"/>
    <s v="St Barnabas RC Church"/>
    <s v="EAST MOLESEY"/>
    <m/>
    <m/>
    <m/>
    <s v=" "/>
    <s v="banking per DD"/>
    <n v="156.13999999999999"/>
    <n v="156.13999999999999"/>
    <n v="694"/>
    <n v="850.14"/>
  </r>
  <r>
    <x v="0"/>
    <s v="No"/>
    <s v="ARU088"/>
    <s v="1761"/>
    <s v="The Sacred Heart RC Church"/>
    <s v="NEWHAVEN "/>
    <s v="Y"/>
    <n v="66.260000000000005"/>
    <m/>
    <s v="1"/>
    <m/>
    <m/>
    <n v="66.260000000000005"/>
    <n v="45"/>
    <n v="111.26"/>
  </r>
  <r>
    <x v="0"/>
    <s v="No"/>
    <s v="ARU089"/>
    <s v="1762"/>
    <s v="St Teresa of Lisieux"/>
    <s v="RYE"/>
    <m/>
    <m/>
    <m/>
    <s v=" "/>
    <s v="banking per DD"/>
    <n v="288.63"/>
    <n v="288.63"/>
    <n v="240"/>
    <n v="528.63"/>
  </r>
  <r>
    <x v="0"/>
    <s v="No"/>
    <s v="ARU090"/>
    <s v="1763"/>
    <s v="All Saints RC Church"/>
    <s v="OXTED                         "/>
    <m/>
    <m/>
    <m/>
    <s v=" "/>
    <m/>
    <m/>
    <n v="0"/>
    <n v="223.25"/>
    <n v="223.25"/>
  </r>
  <r>
    <x v="0"/>
    <s v="No"/>
    <s v="ARU091"/>
    <s v="1764"/>
    <s v="St Hugh's Charterhouse Church"/>
    <s v="HORSHAM"/>
    <m/>
    <m/>
    <m/>
    <s v=" "/>
    <m/>
    <m/>
    <n v="0"/>
    <m/>
    <n v="0"/>
  </r>
  <r>
    <x v="0"/>
    <s v="No"/>
    <s v="ARU092"/>
    <s v="1765"/>
    <s v="Immaculate Conception of Our Lady"/>
    <s v="PEACEHAVEN"/>
    <s v="Y"/>
    <n v="1522"/>
    <m/>
    <s v="1"/>
    <m/>
    <m/>
    <n v="1522"/>
    <n v="190"/>
    <n v="1712"/>
  </r>
  <r>
    <x v="0"/>
    <s v="No"/>
    <s v="ARU093"/>
    <s v="1766"/>
    <s v="The Sacred Heart RC Church"/>
    <s v="PETWORTH"/>
    <s v="Y"/>
    <n v="358.07"/>
    <m/>
    <s v="1"/>
    <m/>
    <m/>
    <n v="358.07"/>
    <n v="530"/>
    <n v="888.06999999999994"/>
  </r>
  <r>
    <x v="0"/>
    <s v="No"/>
    <s v="ARU093S"/>
    <s v="0479435"/>
    <s v="SS Anthony &amp; George"/>
    <s v="DUNCTON"/>
    <m/>
    <m/>
    <m/>
    <s v=" "/>
    <m/>
    <m/>
    <n v="0"/>
    <m/>
    <n v="0"/>
  </r>
  <r>
    <x v="0"/>
    <s v="No"/>
    <s v="ARU094"/>
    <s v="1767"/>
    <s v="St George RC Church"/>
    <s v="POLEGATE"/>
    <m/>
    <m/>
    <m/>
    <s v=" "/>
    <s v="banking per DD"/>
    <n v="349.97"/>
    <n v="349.97"/>
    <n v="177"/>
    <n v="526.97"/>
  </r>
  <r>
    <x v="0"/>
    <s v="No"/>
    <s v="ARU096"/>
    <s v="1769"/>
    <s v="St Edward the Confessor"/>
    <s v="CRAWLEY"/>
    <s v="Y"/>
    <n v="2025.94"/>
    <m/>
    <s v="1"/>
    <m/>
    <m/>
    <n v="2025.94"/>
    <m/>
    <n v="2025.94"/>
  </r>
  <r>
    <x v="0"/>
    <s v="No"/>
    <s v="ARU097"/>
    <s v="1770"/>
    <s v="St Crispin &amp; St Crispinian"/>
    <s v="PULBOROUGH"/>
    <m/>
    <m/>
    <m/>
    <s v=" "/>
    <m/>
    <m/>
    <n v="0"/>
    <m/>
    <n v="0"/>
  </r>
  <r>
    <x v="0"/>
    <s v="No"/>
    <s v="ARU098"/>
    <s v="1771"/>
    <s v="Parish of the Nativity of the Lord - St Joseph's RC Church"/>
    <s v="REDHILL"/>
    <s v="Y"/>
    <n v="0"/>
    <n v="0"/>
    <s v="1"/>
    <s v="combined with ARU085-1758"/>
    <m/>
    <n v="0"/>
    <n v="2725"/>
    <n v="2725"/>
  </r>
  <r>
    <x v="0"/>
    <s v="Yes"/>
    <s v="ARU098S"/>
    <s v="0554619"/>
    <s v="Parish of the Nativity of the Lord - St Teresa's"/>
    <s v="REDHILL"/>
    <m/>
    <m/>
    <m/>
    <s v=" "/>
    <m/>
    <m/>
    <n v="0"/>
    <m/>
    <n v="0"/>
  </r>
  <r>
    <x v="0"/>
    <s v="Yes"/>
    <s v="ARU099"/>
    <s v="1772"/>
    <s v="Parish of the Nativity of the Lord - Holy Family"/>
    <s v="REIGATE"/>
    <s v="Y"/>
    <n v="234.62"/>
    <m/>
    <s v="1"/>
    <m/>
    <m/>
    <n v="234.62"/>
    <n v="184"/>
    <n v="418.62"/>
  </r>
  <r>
    <x v="0"/>
    <s v="No"/>
    <s v="ARU100"/>
    <s v="1773"/>
    <s v="Our Lady of Lourdes, Queen of Peace"/>
    <s v="BRIGHTON"/>
    <s v="Y"/>
    <n v="922.44999999999993"/>
    <m/>
    <s v="1"/>
    <s v="in Ecc  Sq column, it has £236.02 for WMS collection "/>
    <m/>
    <n v="922.44999999999993"/>
    <n v="275"/>
    <n v="1197.4499999999998"/>
  </r>
  <r>
    <x v="0"/>
    <s v="No"/>
    <s v="ARU101"/>
    <s v="1774"/>
    <s v="St Joseph's RC Church"/>
    <s v="RUSTINGTON"/>
    <s v="Y"/>
    <n v="488"/>
    <m/>
    <s v="1"/>
    <m/>
    <m/>
    <n v="488"/>
    <n v="185"/>
    <n v="673"/>
  </r>
  <r>
    <x v="0"/>
    <s v="No"/>
    <s v="ARU102"/>
    <s v="1775"/>
    <s v="St Anthony of Padua RC Church"/>
    <s v="RYE  "/>
    <m/>
    <m/>
    <m/>
    <s v=" "/>
    <m/>
    <m/>
    <n v="0"/>
    <n v="212.75"/>
    <n v="212.75"/>
  </r>
  <r>
    <x v="0"/>
    <s v="No"/>
    <s v="ARU103"/>
    <s v="1776"/>
    <s v="St Thomas of Canterbury &amp; English Martyrs"/>
    <s v="ST. LEONARDS-ON-SEA"/>
    <m/>
    <m/>
    <m/>
    <s v=" "/>
    <m/>
    <m/>
    <n v="0"/>
    <n v="135"/>
    <n v="135"/>
  </r>
  <r>
    <x v="0"/>
    <s v="No"/>
    <s v="ARU104"/>
    <s v="1777"/>
    <s v="St Thomas More RC Church"/>
    <s v="SEAFORD"/>
    <m/>
    <m/>
    <m/>
    <s v=" "/>
    <m/>
    <m/>
    <n v="0"/>
    <n v="905"/>
    <n v="905"/>
  </r>
  <r>
    <x v="0"/>
    <s v="No"/>
    <s v="ARU105"/>
    <s v="1778"/>
    <s v="Our Lady of Mount Carmel &amp; St Wilfrid RC Church"/>
    <s v="SELSEY"/>
    <m/>
    <m/>
    <m/>
    <s v=" "/>
    <m/>
    <m/>
    <n v="0"/>
    <n v="404.19"/>
    <n v="404.19"/>
  </r>
  <r>
    <x v="0"/>
    <s v="No"/>
    <s v="ARU105A"/>
    <s v="1779"/>
    <s v="St Peter RC Church"/>
    <s v="CHICHESTER"/>
    <s v="Y"/>
    <n v="444.90999999999997"/>
    <m/>
    <s v="1"/>
    <s v="per DD - it is £449.91"/>
    <n v="5"/>
    <n v="449.90999999999997"/>
    <m/>
    <n v="449.90999999999997"/>
  </r>
  <r>
    <x v="0"/>
    <s v="No"/>
    <s v="ARU107"/>
    <s v="1781"/>
    <s v="Our Lady Queen of Peace - St Peter"/>
    <s v="SHOREHAM-BY-SEA"/>
    <s v="Y"/>
    <n v="1600.5"/>
    <m/>
    <s v="1"/>
    <m/>
    <m/>
    <n v="1600.5"/>
    <n v="220"/>
    <n v="1820.5"/>
  </r>
  <r>
    <x v="0"/>
    <s v="No"/>
    <s v="ARU109"/>
    <s v="1782"/>
    <s v="St Theresa of Lisieux RC Church"/>
    <s v="SOUTHWICK "/>
    <s v="Y"/>
    <n v="1263.32"/>
    <m/>
    <s v="1"/>
    <s v="per DD - it is £1223.34   (return by email &amp; excel file)"/>
    <n v="-39.979999999999997"/>
    <n v="1223.3399999999999"/>
    <n v="225"/>
    <n v="1448.34"/>
  </r>
  <r>
    <x v="0"/>
    <s v="No"/>
    <s v="ARU109S"/>
    <s v="0479436"/>
    <s v="Our Lady, Star of the Sea"/>
    <s v="PORTSLADE"/>
    <m/>
    <m/>
    <m/>
    <s v=" "/>
    <m/>
    <m/>
    <n v="0"/>
    <m/>
    <n v="0"/>
  </r>
  <r>
    <x v="0"/>
    <s v="No"/>
    <s v="ARU110"/>
    <s v="1783"/>
    <s v="Our Lady of Fatima"/>
    <s v="HAYWARDS HEATH"/>
    <s v="Y"/>
    <n v="250.72"/>
    <m/>
    <s v="1"/>
    <m/>
    <m/>
    <n v="250.72"/>
    <n v="75"/>
    <n v="325.72000000000003"/>
  </r>
  <r>
    <x v="0"/>
    <s v="No"/>
    <s v="ARU111"/>
    <s v="1784"/>
    <s v="Our Lady Queen of Peace - Christ the King"/>
    <s v="STEYNING"/>
    <m/>
    <m/>
    <m/>
    <s v=" "/>
    <s v="banking per DD"/>
    <n v="365"/>
    <n v="365"/>
    <n v="270"/>
    <n v="635"/>
  </r>
  <r>
    <x v="0"/>
    <s v="No"/>
    <s v="ARU112"/>
    <s v="1785"/>
    <s v="Our Lady of England"/>
    <s v="PULBOROUGH  "/>
    <s v="Y"/>
    <n v="1785.33"/>
    <m/>
    <s v="1"/>
    <m/>
    <m/>
    <n v="1785.33"/>
    <n v="995"/>
    <n v="2780.33"/>
  </r>
  <r>
    <x v="0"/>
    <s v="No"/>
    <s v="ARU113"/>
    <s v="1786"/>
    <s v="St Edward the Confessor RC Church"/>
    <s v="GUILDFORD  "/>
    <s v="Y"/>
    <n v="226.12"/>
    <m/>
    <s v="1"/>
    <m/>
    <m/>
    <n v="226.12"/>
    <n v="25"/>
    <n v="251.12"/>
  </r>
  <r>
    <x v="0"/>
    <s v="No"/>
    <s v="ARU114"/>
    <s v="1787"/>
    <s v="St John the Evangelist RC Church"/>
    <s v="TADWORTH"/>
    <s v="Y"/>
    <n v="1974.81"/>
    <m/>
    <s v="1"/>
    <s v="per DD - it is £1974.78"/>
    <n v="-0.03"/>
    <n v="1974.78"/>
    <n v="460"/>
    <n v="2434.7799999999997"/>
  </r>
  <r>
    <x v="0"/>
    <s v="No"/>
    <s v="ARU115"/>
    <s v="1788"/>
    <s v="Our Lady of Lourdes RC Church"/>
    <s v="THAMES DITTON "/>
    <s v="Y"/>
    <n v="993.81"/>
    <m/>
    <s v="1"/>
    <s v="per DD - it is £1627.68"/>
    <n v="633.87"/>
    <n v="1627.6799999999998"/>
    <n v="810"/>
    <n v="2437.6799999999998"/>
  </r>
  <r>
    <x v="0"/>
    <s v="Yes"/>
    <s v="ARU117"/>
    <s v="1789"/>
    <s v="Our Lady Immaculate &amp; St Philip Neri"/>
    <s v="UCKFIELD"/>
    <m/>
    <m/>
    <m/>
    <s v=" "/>
    <s v="banking per DD"/>
    <n v="1036"/>
    <n v="1036"/>
    <n v="629.37"/>
    <n v="1665.37"/>
  </r>
  <r>
    <x v="0"/>
    <s v="No"/>
    <s v="ARU118"/>
    <s v="1790"/>
    <s v="The Sacred Heart Catholic Church"/>
    <s v="WADHURST  "/>
    <s v="Y"/>
    <n v="887.64"/>
    <m/>
    <s v="1"/>
    <m/>
    <m/>
    <n v="887.64"/>
    <n v="256"/>
    <n v="1143.6399999999999"/>
  </r>
  <r>
    <x v="0"/>
    <s v="No"/>
    <s v="ARU118S"/>
    <s v="0479437"/>
    <s v="St Peter, Prince of Apostles"/>
    <s v="ROTHERFIELD"/>
    <m/>
    <m/>
    <m/>
    <s v=" "/>
    <m/>
    <m/>
    <n v="0"/>
    <m/>
    <n v="0"/>
  </r>
  <r>
    <x v="0"/>
    <s v="No"/>
    <s v="ARU119"/>
    <s v="1791"/>
    <s v="St Erconwald RC Church"/>
    <s v="WALTON-ON-THAMES"/>
    <s v="Y"/>
    <n v="334"/>
    <m/>
    <s v="1"/>
    <m/>
    <m/>
    <n v="334"/>
    <n v="900"/>
    <n v="1234"/>
  </r>
  <r>
    <x v="0"/>
    <s v="No"/>
    <s v="ARU120"/>
    <s v="1792"/>
    <s v="Parish of Oxted &amp; Warlingham (St Ambrose RC Church)"/>
    <s v="WARLINGHAM"/>
    <s v="Y"/>
    <n v="1175.4999999999998"/>
    <m/>
    <s v="1"/>
    <m/>
    <m/>
    <n v="1175.4999999999998"/>
    <n v="440.86"/>
    <n v="1616.3599999999997"/>
  </r>
  <r>
    <x v="0"/>
    <s v="No"/>
    <s v="ARU121"/>
    <s v="1793"/>
    <s v="Our Lady Help of Christians"/>
    <s v="WEST BYFLEET"/>
    <s v="Y"/>
    <n v="1971.12"/>
    <m/>
    <s v="1"/>
    <s v="per DD - it is £1971.16"/>
    <n v="0.04"/>
    <n v="1971.1599999999999"/>
    <n v="1815"/>
    <n v="3786.16"/>
  </r>
  <r>
    <x v="0"/>
    <s v="No"/>
    <s v="ARU122"/>
    <s v="1794"/>
    <s v="Our Lady of Consolation &amp; St Francis"/>
    <s v="WEST GRINSTEAD"/>
    <s v="Y"/>
    <n v="745.49"/>
    <m/>
    <s v="1"/>
    <m/>
    <m/>
    <n v="745.49"/>
    <n v="240"/>
    <n v="985.49"/>
  </r>
  <r>
    <x v="0"/>
    <s v="No"/>
    <s v="ARU123"/>
    <s v="1795"/>
    <s v="Christ the Prince of Peace"/>
    <s v="WEYBRIDGE"/>
    <s v="Y"/>
    <n v="3618.3"/>
    <m/>
    <s v="1"/>
    <m/>
    <m/>
    <n v="3618.3"/>
    <n v="3645"/>
    <n v="7263.3"/>
  </r>
  <r>
    <x v="0"/>
    <s v="No"/>
    <s v="ARU126"/>
    <s v="1796"/>
    <s v="St Dunstan RC Church"/>
    <s v="WOKING                        "/>
    <s v="Y"/>
    <n v="7950.1"/>
    <m/>
    <s v="1"/>
    <s v="per DD - it is £7950.26"/>
    <n v="0.16"/>
    <n v="7950.26"/>
    <n v="1547.01"/>
    <n v="9497.27"/>
  </r>
  <r>
    <x v="0"/>
    <s v="No"/>
    <s v="ARU127"/>
    <s v="1797"/>
    <s v="St Patrick RC Church"/>
    <s v="BRIGHTON"/>
    <s v="Y"/>
    <n v="471.05"/>
    <m/>
    <s v="1"/>
    <s v="per DD - it is £482.05"/>
    <n v="11"/>
    <n v="482.05"/>
    <n v="195"/>
    <n v="677.05"/>
  </r>
  <r>
    <x v="0"/>
    <s v="No"/>
    <s v="ARU128"/>
    <s v="1798"/>
    <s v="The Abbey of Our Lady Help of Christians"/>
    <s v="CRAWLEY"/>
    <m/>
    <m/>
    <m/>
    <s v=" "/>
    <m/>
    <m/>
    <n v="0"/>
    <n v="70"/>
    <n v="70"/>
  </r>
  <r>
    <x v="0"/>
    <s v="No"/>
    <s v="ARU128D"/>
    <s v="147920"/>
    <s v="St Dunstan RC Church"/>
    <s v="EAST GRINSTEAD"/>
    <m/>
    <m/>
    <m/>
    <s v=" "/>
    <m/>
    <m/>
    <n v="0"/>
    <m/>
    <n v="0"/>
  </r>
  <r>
    <x v="0"/>
    <s v="Yes"/>
    <s v="ARU129"/>
    <s v="1799"/>
    <s v="St Mary of the Angels RC Church"/>
    <s v="WORTHING"/>
    <m/>
    <m/>
    <m/>
    <s v=" "/>
    <s v="banking per DD"/>
    <n v="183.4"/>
    <n v="183.4"/>
    <n v="420"/>
    <n v="603.4"/>
  </r>
  <r>
    <x v="0"/>
    <s v="Yes"/>
    <s v="ARU130"/>
    <s v="1800"/>
    <s v="St Charles Borromeo"/>
    <s v="WORTHING"/>
    <s v="Y"/>
    <n v="0"/>
    <n v="0"/>
    <s v="1"/>
    <s v="combined with ARU076-1749"/>
    <m/>
    <n v="0"/>
    <n v="200"/>
    <n v="200"/>
  </r>
  <r>
    <x v="0"/>
    <s v="No"/>
    <s v="ARU131"/>
    <s v="1801"/>
    <s v="St Michael RC Church"/>
    <s v="WORTHING"/>
    <s v="Y"/>
    <n v="446.81999999999994"/>
    <m/>
    <s v="1"/>
    <m/>
    <m/>
    <n v="446.81999999999994"/>
    <n v="300"/>
    <n v="746.81999999999994"/>
  </r>
  <r>
    <x v="0"/>
    <s v="No"/>
    <s v="ARU132"/>
    <s v="84516"/>
    <s v="The Sacred Heart RC Church"/>
    <s v="ASCOT"/>
    <m/>
    <m/>
    <m/>
    <s v=" "/>
    <m/>
    <m/>
    <n v="0"/>
    <m/>
    <n v="0"/>
  </r>
  <r>
    <x v="0"/>
    <s v="No"/>
    <s v="ARU133"/>
    <s v="254259"/>
    <s v="St Mary's Church"/>
    <s v="CAMBERLEY"/>
    <m/>
    <m/>
    <m/>
    <s v=" "/>
    <m/>
    <m/>
    <n v="0"/>
    <m/>
    <n v="0"/>
  </r>
  <r>
    <x v="0"/>
    <s v="No"/>
    <s v="ARU136"/>
    <s v="254884"/>
    <s v="St Bernadette RC Church"/>
    <s v="CRAWLEY                       "/>
    <m/>
    <m/>
    <m/>
    <s v=" "/>
    <m/>
    <m/>
    <n v="0"/>
    <m/>
    <n v="0"/>
  </r>
  <r>
    <x v="0"/>
    <s v="No"/>
    <s v="ARU999"/>
    <s v="1804"/>
    <s v="Arundel &amp; Brighton Diocese Various"/>
    <m/>
    <m/>
    <m/>
    <m/>
    <s v=" "/>
    <s v="unidentified items in DD's return"/>
    <n v="0"/>
    <n v="0"/>
    <n v="120"/>
    <n v="120"/>
  </r>
  <r>
    <x v="1"/>
    <s v="No"/>
    <s v="BIR001"/>
    <s v="1806"/>
    <s v="St Chad's Cathedral"/>
    <s v="BIRMINGHAM"/>
    <s v="Y"/>
    <m/>
    <n v="323.76"/>
    <s v="1"/>
    <m/>
    <m/>
    <n v="0"/>
    <n v="1429.08"/>
    <n v="1429.08"/>
  </r>
  <r>
    <x v="1"/>
    <s v="No"/>
    <s v="BIR002"/>
    <s v="1807"/>
    <s v="Holy Souls (Sacred Heart &amp; Holy Souls)"/>
    <s v="BIRMINGHAM - ACOCKS GREEN"/>
    <s v="Y"/>
    <n v="9377.57"/>
    <m/>
    <s v="1"/>
    <m/>
    <m/>
    <n v="9377.57"/>
    <n v="115"/>
    <n v="9492.57"/>
  </r>
  <r>
    <x v="1"/>
    <s v="No"/>
    <s v="BIR003"/>
    <s v="1808"/>
    <s v="St Anne"/>
    <s v="BIRMINGHAM - ALCESTER STREET"/>
    <m/>
    <m/>
    <m/>
    <s v=" "/>
    <m/>
    <m/>
    <n v="0"/>
    <n v="75"/>
    <n v="75"/>
  </r>
  <r>
    <x v="1"/>
    <s v="No"/>
    <s v="BIR004"/>
    <s v="1809"/>
    <s v="St Vincent de Paul"/>
    <s v="BIRMINGHAM - ASHTED &amp; VAUXHALL"/>
    <m/>
    <m/>
    <m/>
    <s v=" "/>
    <s v="Based on counterfoil records kept by Trevor Cooksey"/>
    <n v="444.22"/>
    <n v="444.22"/>
    <n v="50"/>
    <n v="494.22"/>
  </r>
  <r>
    <x v="1"/>
    <s v="No"/>
    <s v="BIR005"/>
    <s v="1810"/>
    <s v="Sacred Heart &amp; St Margaret Mary"/>
    <s v="BIRMINGHAM - ASTON"/>
    <m/>
    <m/>
    <m/>
    <s v=" "/>
    <s v="Based on counterfoil records kept by Trevor Cooksey"/>
    <n v="379.17"/>
    <n v="379.17"/>
    <n v="46"/>
    <n v="425.17"/>
  </r>
  <r>
    <x v="1"/>
    <s v="No"/>
    <s v="BIR006"/>
    <s v="1811"/>
    <s v="St John the Evangelist &amp; St Martin"/>
    <s v="BIRMINGHAM - BALSALL HEATH"/>
    <s v="Y"/>
    <m/>
    <n v="42.84"/>
    <s v="1"/>
    <m/>
    <m/>
    <n v="0"/>
    <n v="42.84"/>
    <n v="42.84"/>
  </r>
  <r>
    <x v="1"/>
    <s v="No"/>
    <s v="BIR007"/>
    <s v="1812"/>
    <s v="St Peter RC Church"/>
    <s v="BIRMINGHAM - BARTLEY GREEN"/>
    <m/>
    <m/>
    <m/>
    <s v=" "/>
    <s v="Based on counterfoil records kept by Trevor Cooksey"/>
    <n v="567.91"/>
    <n v="567.91"/>
    <n v="10"/>
    <n v="577.91"/>
  </r>
  <r>
    <x v="1"/>
    <s v="No"/>
    <s v="BIR008"/>
    <s v="1814"/>
    <s v="St Catherine of Siena RC Church"/>
    <s v="BIRMINGHAM - BRISTOL STREET"/>
    <m/>
    <m/>
    <m/>
    <s v=" "/>
    <s v="Based on counterfoil records kept by Trevor Cooksey"/>
    <n v="7.1"/>
    <n v="7.1"/>
    <n v="141.94999999999999"/>
    <n v="149.04999999999998"/>
  </r>
  <r>
    <x v="1"/>
    <s v="Yes"/>
    <s v="BIR009"/>
    <s v="1815"/>
    <s v="The Mother of God &amp; Guardian Angels RC Church"/>
    <s v="BIRMINGHAM"/>
    <s v="Y"/>
    <n v="1500"/>
    <m/>
    <s v="1"/>
    <m/>
    <m/>
    <n v="1500"/>
    <n v="325"/>
    <n v="1825"/>
  </r>
  <r>
    <x v="1"/>
    <s v="No"/>
    <s v="BIR010"/>
    <s v="1817"/>
    <s v="St Wilfrid RC Church"/>
    <s v="BIRMINGHAM - CASTLE BROMWICH"/>
    <s v="Y"/>
    <n v="253.23"/>
    <m/>
    <s v="1"/>
    <m/>
    <m/>
    <n v="253.23"/>
    <n v="55"/>
    <n v="308.23"/>
  </r>
  <r>
    <x v="1"/>
    <s v="No"/>
    <s v="BIR011"/>
    <s v="1818"/>
    <s v="St Gerard RC Church"/>
    <s v="BIRMINGHAM - CASTLE VALE"/>
    <s v="Y"/>
    <n v="730.51"/>
    <m/>
    <s v="1"/>
    <s v="exclude £201.10 banked on 13-12-2018 per return"/>
    <m/>
    <n v="730.51"/>
    <n v="12"/>
    <n v="742.51"/>
  </r>
  <r>
    <x v="1"/>
    <s v="No"/>
    <s v="BIR012"/>
    <s v="1819"/>
    <s v="St Anne"/>
    <s v="BIRMINGHAM - CHELMSLEY WOOD"/>
    <m/>
    <m/>
    <m/>
    <s v=" "/>
    <m/>
    <m/>
    <n v="0"/>
    <n v="140"/>
    <n v="140"/>
  </r>
  <r>
    <x v="1"/>
    <s v="No"/>
    <s v="BIR014"/>
    <s v="1820"/>
    <s v="St Patrick RC Church"/>
    <s v="BIRMINGHAM - DUDLEY ROAD"/>
    <m/>
    <m/>
    <m/>
    <s v=" "/>
    <m/>
    <m/>
    <n v="0"/>
    <m/>
    <n v="0"/>
  </r>
  <r>
    <x v="1"/>
    <s v="No"/>
    <s v="BIR015"/>
    <s v="1821"/>
    <s v="The Oratory of St Philip Neri"/>
    <s v="BIRMINGHAM - THE ORATORY"/>
    <s v="Y"/>
    <m/>
    <n v="6735"/>
    <s v="1"/>
    <m/>
    <m/>
    <n v="0"/>
    <n v="7096"/>
    <n v="7096"/>
  </r>
  <r>
    <x v="1"/>
    <s v="No"/>
    <s v="BIR016"/>
    <s v="1823"/>
    <s v="St Thomas &amp; St Edmund of Canterbury RC Church"/>
    <s v="BIRMINGHAM - ERDINGTON"/>
    <s v="Y"/>
    <n v="5421.77"/>
    <m/>
    <s v="1"/>
    <s v="£54 transposition error: should be £206 not £260 as stated in return"/>
    <n v="-54"/>
    <n v="5367.77"/>
    <n v="419"/>
    <n v="5786.77"/>
  </r>
  <r>
    <x v="1"/>
    <s v="No"/>
    <s v="BIR017"/>
    <s v="1824"/>
    <s v="St Mary &amp; St John RC Church"/>
    <s v="BIRMINGHAM - GRAVELLY HILL"/>
    <s v="Y"/>
    <n v="1350"/>
    <m/>
    <s v="1"/>
    <s v="pay in slip 48350 : £250 on 02-04-19 "/>
    <m/>
    <n v="1350"/>
    <n v="514.63"/>
    <n v="1864.63"/>
  </r>
  <r>
    <x v="1"/>
    <s v="No"/>
    <s v="BIR018"/>
    <s v="1825"/>
    <s v="St Ambrose Barlow RC Church"/>
    <s v="BIRMINGHAM - HALL GREEN"/>
    <m/>
    <m/>
    <m/>
    <s v=" "/>
    <s v="Based on counterfoil records kept by Trevor Cooksey"/>
    <n v="894.35"/>
    <n v="894.35"/>
    <n v="695"/>
    <n v="1589.35"/>
  </r>
  <r>
    <x v="1"/>
    <s v="No"/>
    <s v="BIR019"/>
    <s v="1826"/>
    <s v="St Francis of Assisi"/>
    <s v="BIRMINGHAM - HANDSWORTH"/>
    <m/>
    <m/>
    <m/>
    <s v=" "/>
    <m/>
    <m/>
    <n v="0"/>
    <n v="744.08"/>
    <n v="744.08"/>
  </r>
  <r>
    <x v="1"/>
    <s v="No"/>
    <s v="BIR020"/>
    <s v="1827"/>
    <s v="St Augustine of England RC Church"/>
    <s v="BIRMINGHAM - HANDSWORTH"/>
    <s v="Y"/>
    <n v="1266.4999999999998"/>
    <m/>
    <s v="1"/>
    <s v=" 10p diff in £53.87"/>
    <n v="0.1"/>
    <n v="1266.5999999999997"/>
    <m/>
    <n v="1266.5999999999997"/>
  </r>
  <r>
    <x v="1"/>
    <s v="No"/>
    <s v="BIR021"/>
    <s v="1828"/>
    <s v="St Mary RC Church"/>
    <s v="BIRMINGHAM - HARBORNE"/>
    <m/>
    <m/>
    <m/>
    <s v=" "/>
    <m/>
    <m/>
    <n v="0"/>
    <n v="110"/>
    <n v="110"/>
  </r>
  <r>
    <x v="1"/>
    <s v="No"/>
    <s v="BIR022"/>
    <s v="1829"/>
    <s v="St Dunstan RC Church"/>
    <s v="BIRMINGHAM - KINGS HEATH"/>
    <s v="Y"/>
    <n v="3775.09"/>
    <m/>
    <s v="1"/>
    <m/>
    <m/>
    <n v="3775.09"/>
    <n v="276.75"/>
    <n v="4051.84"/>
  </r>
  <r>
    <x v="1"/>
    <s v="No"/>
    <s v="BIR023"/>
    <s v="1830"/>
    <s v="St Joseph &amp; St Helen RC Church"/>
    <s v="BIRMINGHAM - KINGS NORTON"/>
    <s v="Y"/>
    <n v="3269.36"/>
    <m/>
    <s v="1"/>
    <m/>
    <m/>
    <n v="3269.36"/>
    <n v="130"/>
    <n v="3399.36"/>
  </r>
  <r>
    <x v="1"/>
    <s v="No"/>
    <s v="BIR024"/>
    <s v="1831"/>
    <s v="St Paul RC Church"/>
    <s v="BIRMINGHAM - KINGS NORTON"/>
    <m/>
    <m/>
    <m/>
    <s v=" "/>
    <s v="Based on counterfoil records kept by Trevor Cooksey"/>
    <n v="220.34"/>
    <n v="220.34"/>
    <m/>
    <n v="220.34"/>
  </r>
  <r>
    <x v="1"/>
    <s v="No"/>
    <s v="BIR025"/>
    <s v="1832"/>
    <s v="Christ the King"/>
    <s v="BIRMINGHAM - KINGSTANDING"/>
    <m/>
    <m/>
    <m/>
    <s v=" "/>
    <s v="Based on counterfoil records kept by Trevor Cooksey"/>
    <n v="351.04"/>
    <n v="351.04"/>
    <n v="412.25"/>
    <n v="763.29"/>
  </r>
  <r>
    <x v="1"/>
    <s v="No"/>
    <s v="BIR026"/>
    <s v="1833"/>
    <s v="Our Lady of the Assumption"/>
    <s v="BIRMINGHAM - MARYVALE"/>
    <s v="Y"/>
    <n v="1750"/>
    <m/>
    <s v="1"/>
    <m/>
    <m/>
    <n v="1750"/>
    <n v="1011"/>
    <n v="2761"/>
  </r>
  <r>
    <x v="1"/>
    <s v="No"/>
    <s v="BIR027"/>
    <s v="1834"/>
    <s v="St Michael RC Church"/>
    <s v="BIRMINGHAM - MOOR STREET"/>
    <m/>
    <m/>
    <m/>
    <s v=" "/>
    <m/>
    <m/>
    <n v="0"/>
    <m/>
    <n v="0"/>
  </r>
  <r>
    <x v="1"/>
    <s v="No"/>
    <s v="BIR028"/>
    <s v="1835"/>
    <s v="St Joseph"/>
    <s v="BIRMINGHAM - NECHELLS"/>
    <m/>
    <m/>
    <m/>
    <s v=" "/>
    <m/>
    <m/>
    <n v="0"/>
    <m/>
    <n v="0"/>
  </r>
  <r>
    <x v="1"/>
    <s v="No"/>
    <s v="BIR029"/>
    <s v="1836"/>
    <s v="Our Lady &amp; St Brigid"/>
    <s v="BIRMINGHAM - NORTHFIELD"/>
    <s v="Y"/>
    <n v="1086.6400000000001"/>
    <m/>
    <s v="1"/>
    <s v="excl £119.84 (2018 banking) + casting error 80p"/>
    <n v="-119.04"/>
    <n v="967.60000000000014"/>
    <n v="196"/>
    <n v="1163.6000000000001"/>
  </r>
  <r>
    <x v="1"/>
    <s v="No"/>
    <s v="BIR031"/>
    <s v="1837"/>
    <s v="St Teresa of the Child Jesus"/>
    <s v="BIRMINGHAM - PERRY BARR"/>
    <m/>
    <m/>
    <m/>
    <s v=" "/>
    <m/>
    <m/>
    <n v="0"/>
    <n v="40"/>
    <n v="40"/>
  </r>
  <r>
    <x v="1"/>
    <s v="No"/>
    <s v="BIR032"/>
    <s v="1839"/>
    <s v="St Margaret Mary"/>
    <s v="BIRMINGHAM - PERRY COMMON"/>
    <s v="Y"/>
    <n v="1049.02"/>
    <m/>
    <s v="1"/>
    <m/>
    <m/>
    <n v="1049.02"/>
    <n v="65"/>
    <n v="1114.02"/>
  </r>
  <r>
    <x v="1"/>
    <s v="No"/>
    <s v="BIR033"/>
    <s v="1840"/>
    <s v="St Peter &amp; St Paul"/>
    <s v="BIRMINGHAM - PYPE HAYES"/>
    <s v="Y"/>
    <n v="1417"/>
    <m/>
    <s v="1"/>
    <m/>
    <m/>
    <n v="1417"/>
    <n v="222.1"/>
    <n v="1639.1"/>
  </r>
  <r>
    <x v="1"/>
    <s v="No"/>
    <s v="BIR034"/>
    <s v="1841"/>
    <s v="Our Lady of Fatima"/>
    <s v="BIRMINGHAM - QUINTON"/>
    <s v="Y"/>
    <n v="1715.21"/>
    <m/>
    <s v="1"/>
    <s v="add £5 based on banking total. Now agree to banking"/>
    <n v="5"/>
    <n v="1720.21"/>
    <n v="20"/>
    <n v="1740.21"/>
  </r>
  <r>
    <x v="1"/>
    <s v="No"/>
    <s v="BIR035"/>
    <s v="1842"/>
    <s v="Our Lady of  Perpetual Succour RC Church"/>
    <s v="BIRMINGHAM - REDNAL"/>
    <s v="Y"/>
    <n v="1347.56"/>
    <m/>
    <s v="1"/>
    <s v="should be £553.47 not £554.47"/>
    <n v="-1.02"/>
    <n v="1346.54"/>
    <n v="20"/>
    <n v="1366.54"/>
  </r>
  <r>
    <x v="1"/>
    <s v="No"/>
    <s v="BIR036"/>
    <s v="1843"/>
    <s v="Our Lady of the Rosary &amp; St Therese Of Lisieux"/>
    <s v="BIRMINGHAM - SALTLEY"/>
    <m/>
    <m/>
    <m/>
    <s v=" "/>
    <m/>
    <m/>
    <n v="0"/>
    <n v="366.77"/>
    <n v="366.77"/>
  </r>
  <r>
    <x v="1"/>
    <s v="No"/>
    <s v="BIR037"/>
    <s v="1844"/>
    <s v="St Edward RC Church"/>
    <s v="BIRMINGHAM - SELLY PARK"/>
    <s v="Y"/>
    <n v="4569.7"/>
    <m/>
    <s v="1"/>
    <m/>
    <m/>
    <n v="4569.7"/>
    <n v="219"/>
    <n v="4788.7"/>
  </r>
  <r>
    <x v="1"/>
    <s v="No"/>
    <s v="BIR038"/>
    <s v="1845"/>
    <s v="St Thomas More RC Church"/>
    <s v="BIRMINGHAM - SHELDON"/>
    <s v="Y"/>
    <n v="1120.24"/>
    <m/>
    <s v="1"/>
    <s v="060119: £60.51 should be £160.51 per bank statement"/>
    <n v="100"/>
    <n v="1220.24"/>
    <n v="66"/>
    <n v="1286.24"/>
  </r>
  <r>
    <x v="1"/>
    <s v="No"/>
    <s v="BIR039"/>
    <s v="1846"/>
    <s v="Holy Family RC Church"/>
    <s v="BIRMINGHAM - SMALL HEATH"/>
    <m/>
    <m/>
    <m/>
    <s v=" "/>
    <s v="Based on counterfoil records kept by Trevor Cooksey"/>
    <n v="4348.45"/>
    <n v="4348.45"/>
    <n v="70"/>
    <n v="4418.45"/>
  </r>
  <r>
    <x v="1"/>
    <s v="No"/>
    <s v="BIR040"/>
    <s v="1847"/>
    <s v="English Martyrs RC Church"/>
    <s v="BIRMINGHAM - SPARKHILL"/>
    <s v="Y"/>
    <m/>
    <n v="271.97000000000003"/>
    <s v="1"/>
    <s v="cheque came with letter"/>
    <m/>
    <n v="0"/>
    <n v="516.37"/>
    <n v="516.37"/>
  </r>
  <r>
    <x v="1"/>
    <s v="No"/>
    <s v="BIR041"/>
    <s v="1848"/>
    <s v="Corpus Christi RC Church"/>
    <s v="BIRMINGHAM - STECHFORD"/>
    <m/>
    <m/>
    <m/>
    <s v=" "/>
    <s v="Based on counterfoil records kept by Trevor Cooksey"/>
    <n v="4234.47"/>
    <n v="4234.47"/>
    <n v="315"/>
    <n v="4549.47"/>
  </r>
  <r>
    <x v="1"/>
    <s v="No"/>
    <s v="BIR042"/>
    <s v="1849"/>
    <s v="Our Lady Help of Christians RC Church"/>
    <s v="BIRMINGHAM - KITTS GREEN"/>
    <s v="Y"/>
    <n v="926.28"/>
    <m/>
    <s v="1"/>
    <m/>
    <m/>
    <n v="926.28"/>
    <n v="16.97"/>
    <n v="943.25"/>
  </r>
  <r>
    <x v="1"/>
    <s v="No"/>
    <s v="BIR043"/>
    <s v="1850"/>
    <s v="St Jude RC Church"/>
    <s v="BIRMINGHAM - MAYPOLE"/>
    <s v="Y"/>
    <n v="1368.55"/>
    <m/>
    <s v="1"/>
    <m/>
    <m/>
    <n v="1368.55"/>
    <m/>
    <n v="1368.55"/>
  </r>
  <r>
    <x v="1"/>
    <s v="No"/>
    <s v="BIR044"/>
    <s v="1851"/>
    <s v="Our Lady &amp; St Rose of Lima"/>
    <s v="BIRMINGHAM - WEOLEY CASTLE"/>
    <s v="Y"/>
    <n v="676"/>
    <m/>
    <s v="1"/>
    <m/>
    <m/>
    <n v="676"/>
    <n v="20"/>
    <n v="696"/>
  </r>
  <r>
    <x v="1"/>
    <s v="No"/>
    <s v="BIR045"/>
    <s v="1852"/>
    <s v="St John Fisher RC Church"/>
    <s v="BIRMINGHAM - WEST HEATH"/>
    <s v="Y"/>
    <n v="2248.5200000000004"/>
    <m/>
    <s v="1"/>
    <s v="£645.25 should be £648.28 per bank statement"/>
    <n v="3.03"/>
    <n v="2251.5500000000006"/>
    <n v="170"/>
    <n v="2421.5500000000006"/>
  </r>
  <r>
    <x v="1"/>
    <s v="No"/>
    <s v="BIR046"/>
    <s v="1853"/>
    <s v="Our Lady of Lourdes RC Church"/>
    <s v="BIRMINGHAM - YARDLEY WOOD"/>
    <s v="Y"/>
    <n v="3701.51"/>
    <m/>
    <s v="1"/>
    <m/>
    <m/>
    <n v="3701.51"/>
    <n v="325"/>
    <n v="4026.51"/>
  </r>
  <r>
    <x v="1"/>
    <s v="No"/>
    <s v="BIR047"/>
    <s v="1854"/>
    <s v="Our Lady &amp; St Joseph RC Church"/>
    <s v="ALCESTER"/>
    <m/>
    <m/>
    <m/>
    <s v=" "/>
    <m/>
    <m/>
    <n v="0"/>
    <n v="40"/>
    <n v="40"/>
  </r>
  <r>
    <x v="1"/>
    <s v="No"/>
    <s v="BIR047S"/>
    <s v="0444406"/>
    <s v="SS Peter, Paul &amp; Elizabeth"/>
    <s v="COUGHTON"/>
    <m/>
    <m/>
    <m/>
    <s v=" "/>
    <m/>
    <m/>
    <n v="0"/>
    <m/>
    <n v="0"/>
  </r>
  <r>
    <x v="1"/>
    <s v="No"/>
    <s v="BIR048"/>
    <s v="1855"/>
    <s v="St Mary of the Angels"/>
    <s v="ALDRIDGE"/>
    <s v="Y"/>
    <n v="848.57"/>
    <m/>
    <s v="1"/>
    <m/>
    <m/>
    <n v="848.57"/>
    <n v="600"/>
    <n v="1448.5700000000002"/>
  </r>
  <r>
    <x v="1"/>
    <s v="No"/>
    <s v="BIR049"/>
    <s v="1856"/>
    <s v="St John the Baptist"/>
    <s v="ALTON"/>
    <s v="Y"/>
    <n v="538.12"/>
    <m/>
    <s v="1"/>
    <m/>
    <m/>
    <n v="538.12"/>
    <n v="60"/>
    <n v="598.12"/>
  </r>
  <r>
    <x v="1"/>
    <s v="No"/>
    <s v="BIR050"/>
    <s v="1857"/>
    <s v="Our Blessed Lady &amp; St John the Baptist"/>
    <s v="ASHLEY"/>
    <m/>
    <m/>
    <m/>
    <s v=" "/>
    <m/>
    <m/>
    <n v="0"/>
    <n v="125"/>
    <n v="125"/>
  </r>
  <r>
    <x v="1"/>
    <s v="No"/>
    <s v="BIR051"/>
    <s v="1859"/>
    <s v="St Benedict RC Church"/>
    <s v="ATHERSTONE"/>
    <m/>
    <m/>
    <m/>
    <s v=" "/>
    <s v="Based on counterfoil records kept by Trevor Cooksey"/>
    <n v="57"/>
    <n v="57"/>
    <n v="5"/>
    <n v="62"/>
  </r>
  <r>
    <x v="1"/>
    <s v="No"/>
    <s v="BIR052"/>
    <s v="1860"/>
    <s v="St Francis of Assisi"/>
    <s v="BADDESLEY CLINTON"/>
    <s v="Y"/>
    <m/>
    <n v="285.92"/>
    <s v="1"/>
    <m/>
    <m/>
    <n v="0"/>
    <n v="295.92"/>
    <n v="295.92"/>
  </r>
  <r>
    <x v="1"/>
    <s v="No"/>
    <s v="BIR053"/>
    <s v="1861"/>
    <s v="St John the Evangelist RC Church"/>
    <s v="BANBURY"/>
    <s v="Y"/>
    <n v="1434.36"/>
    <m/>
    <s v="1"/>
    <s v="add banking on 06/01/20"/>
    <n v="4.95"/>
    <n v="1439.31"/>
    <n v="180"/>
    <n v="1619.31"/>
  </r>
  <r>
    <x v="1"/>
    <s v="No"/>
    <s v="BIR054"/>
    <s v="1862"/>
    <s v="St Joseph the Worker"/>
    <s v="BANBURY"/>
    <s v="Y"/>
    <n v="711.98"/>
    <m/>
    <s v="1"/>
    <m/>
    <m/>
    <n v="711.98"/>
    <n v="209"/>
    <n v="920.98"/>
  </r>
  <r>
    <x v="1"/>
    <s v="No"/>
    <s v="BIR054S"/>
    <s v="0444416"/>
    <s v="St Thomas of Canterbury"/>
    <s v="WROXTON"/>
    <m/>
    <m/>
    <m/>
    <s v=" "/>
    <m/>
    <m/>
    <n v="0"/>
    <m/>
    <n v="0"/>
  </r>
  <r>
    <x v="1"/>
    <s v="No"/>
    <s v="BIR055"/>
    <s v="1863"/>
    <s v="Our Lady of Perpetual Succour"/>
    <s v="BARTON-UNDER-NEEDWOOD"/>
    <m/>
    <m/>
    <m/>
    <s v=" "/>
    <s v="Based on counterfoil records kept by Trevor Cooksey"/>
    <n v="81.319999999999993"/>
    <n v="81.319999999999993"/>
    <n v="280"/>
    <n v="361.32"/>
  </r>
  <r>
    <x v="1"/>
    <s v="No"/>
    <s v="BIR056"/>
    <s v="1864"/>
    <s v="Our Lady of Good Counsel &amp; St Gregory the Great"/>
    <s v="BEARWOOD"/>
    <s v="Y"/>
    <n v="3009"/>
    <n v="50"/>
    <s v="1"/>
    <s v="to exclude 2018 banking £146 &amp; £136"/>
    <n v="-146"/>
    <n v="2863"/>
    <n v="189"/>
    <n v="3052"/>
  </r>
  <r>
    <x v="1"/>
    <s v="No"/>
    <s v="BIR057"/>
    <s v="1865"/>
    <s v="St Francis of Assisi RC Church"/>
    <s v="BEDWORTH"/>
    <s v="Y"/>
    <n v="969.5"/>
    <m/>
    <s v="1"/>
    <m/>
    <m/>
    <n v="969.5"/>
    <n v="385"/>
    <n v="1354.5"/>
  </r>
  <r>
    <x v="1"/>
    <s v="No"/>
    <s v="BIR059"/>
    <s v="1867"/>
    <s v="The Immaculate Conception"/>
    <s v="BICESTER"/>
    <s v="Y"/>
    <n v="1157.1400000000001"/>
    <m/>
    <s v="1"/>
    <m/>
    <m/>
    <n v="1157.1400000000001"/>
    <n v="145"/>
    <n v="1302.1400000000001"/>
  </r>
  <r>
    <x v="1"/>
    <s v="No"/>
    <s v="BIR060"/>
    <s v="1868"/>
    <s v="English Martyrs"/>
    <s v="BIDDULPH"/>
    <s v="Y"/>
    <n v="2050"/>
    <m/>
    <s v="1"/>
    <m/>
    <m/>
    <n v="2050"/>
    <m/>
    <n v="2050"/>
  </r>
  <r>
    <x v="1"/>
    <s v="No"/>
    <s v="BIR061"/>
    <s v="1869"/>
    <s v="St Joseph the Worker"/>
    <s v="BIDFORD-ON-AVON"/>
    <m/>
    <m/>
    <m/>
    <s v=" "/>
    <m/>
    <m/>
    <n v="0"/>
    <n v="34.65"/>
    <n v="34.65"/>
  </r>
  <r>
    <x v="1"/>
    <s v="No"/>
    <s v="BIR062"/>
    <s v="1870"/>
    <s v="Holy Trinity RC Church"/>
    <s v="BILSTON"/>
    <m/>
    <m/>
    <m/>
    <s v=" "/>
    <s v="Based on counterfoil records kept by Trevor Cooksey"/>
    <n v="536.79"/>
    <n v="536.79"/>
    <n v="145"/>
    <n v="681.79"/>
  </r>
  <r>
    <x v="1"/>
    <s v="No"/>
    <s v="BIR062S"/>
    <s v="0444414"/>
    <s v="St John Fisher (CLOSED)"/>
    <s v="COSELEY"/>
    <m/>
    <m/>
    <m/>
    <s v=" "/>
    <m/>
    <m/>
    <n v="0"/>
    <m/>
    <n v="0"/>
  </r>
  <r>
    <x v="1"/>
    <s v="No"/>
    <s v="BIR063"/>
    <s v="0444462"/>
    <s v="English Martyrs"/>
    <s v="BLACKHEATH"/>
    <m/>
    <m/>
    <m/>
    <s v=" "/>
    <m/>
    <m/>
    <n v="0"/>
    <m/>
    <n v="0"/>
  </r>
  <r>
    <x v="1"/>
    <s v="No"/>
    <s v="BIR065"/>
    <s v="1873"/>
    <s v="St Peter"/>
    <s v="BLOXWICH"/>
    <s v="Y"/>
    <n v="330"/>
    <n v="416.4"/>
    <s v="1"/>
    <m/>
    <m/>
    <n v="330"/>
    <n v="416.4"/>
    <n v="746.4"/>
  </r>
  <r>
    <x v="1"/>
    <s v="No"/>
    <s v="BIR066"/>
    <s v="1874"/>
    <s v="St Mary RC Church"/>
    <s v="BREWOOD"/>
    <s v="Y"/>
    <n v="1000"/>
    <m/>
    <s v="1"/>
    <s v="£510 in return vs £515 in bank statement"/>
    <n v="5"/>
    <n v="1005"/>
    <n v="25"/>
    <n v="1030"/>
  </r>
  <r>
    <x v="1"/>
    <s v="No"/>
    <s v="BIR067"/>
    <s v="1875"/>
    <s v="St Mary RC Church"/>
    <s v="BRIERLEY HILL"/>
    <s v="Y"/>
    <n v="349.76"/>
    <m/>
    <s v="1"/>
    <m/>
    <m/>
    <n v="349.76"/>
    <m/>
    <n v="349.76"/>
  </r>
  <r>
    <x v="1"/>
    <s v="No"/>
    <s v="BIR068"/>
    <s v="1876"/>
    <s v="St Saviour"/>
    <s v="BROADWAY"/>
    <s v="Y"/>
    <n v="930.25"/>
    <m/>
    <s v="1"/>
    <m/>
    <m/>
    <n v="930.25"/>
    <n v="152"/>
    <n v="1082.25"/>
  </r>
  <r>
    <x v="1"/>
    <s v="No"/>
    <s v="BIR069"/>
    <s v="1877"/>
    <s v="St Peter RC Church"/>
    <s v="BROMSGROVE"/>
    <s v="Y"/>
    <n v="2723.5400000000004"/>
    <m/>
    <s v="1"/>
    <s v="exclude £41 (2018 banking)"/>
    <n v="-41"/>
    <n v="2682.5400000000004"/>
    <n v="920"/>
    <n v="3602.5400000000004"/>
  </r>
  <r>
    <x v="1"/>
    <s v="No"/>
    <s v="BIR070"/>
    <s v="1878"/>
    <s v="St Bernadette RC Church"/>
    <s v="BROWNHILLS"/>
    <s v="Y"/>
    <n v="785.81"/>
    <m/>
    <s v="1"/>
    <m/>
    <m/>
    <n v="785.81"/>
    <n v="70"/>
    <n v="855.81"/>
  </r>
  <r>
    <x v="1"/>
    <s v="No"/>
    <s v="BIR071"/>
    <s v="1879"/>
    <s v="St John Fisher &amp; St Thomas More"/>
    <s v="BURFORD"/>
    <s v="Y"/>
    <n v="293.81"/>
    <m/>
    <s v="1"/>
    <m/>
    <m/>
    <n v="293.81"/>
    <n v="140"/>
    <n v="433.81"/>
  </r>
  <r>
    <x v="1"/>
    <s v="No"/>
    <s v="BIR072"/>
    <s v="1880"/>
    <s v="St Mary &amp; St Modwen RC Church"/>
    <s v="BURTON-ON-TRENT"/>
    <s v="Y"/>
    <n v="1028.43"/>
    <m/>
    <s v="1"/>
    <s v="include BIR233-0444441 St Christopher's "/>
    <m/>
    <n v="1028.43"/>
    <n v="290"/>
    <n v="1318.43"/>
  </r>
  <r>
    <x v="1"/>
    <s v="No"/>
    <s v="BIR073"/>
    <s v="1881"/>
    <s v="St Mary &amp; St Thomas More"/>
    <s v="CANNOCK"/>
    <s v="Y"/>
    <n v="2102.9"/>
    <m/>
    <s v="1"/>
    <m/>
    <m/>
    <n v="2102.9"/>
    <n v="57"/>
    <n v="2159.9"/>
  </r>
  <r>
    <x v="1"/>
    <s v="No"/>
    <s v="BIR074"/>
    <s v="1882"/>
    <s v="St Joseph"/>
    <s v="CARTERTON"/>
    <m/>
    <m/>
    <m/>
    <s v=" "/>
    <s v="Based on counterfoil records kept by Trevor Cooksey"/>
    <n v="1043"/>
    <n v="1043"/>
    <n v="1242.74"/>
    <n v="2285.7399999999998"/>
  </r>
  <r>
    <x v="1"/>
    <s v="No"/>
    <s v="BIR074S"/>
    <s v="0444411"/>
    <s v="St Mary the Virgin"/>
    <s v="BAMPTON"/>
    <m/>
    <m/>
    <m/>
    <s v=" "/>
    <m/>
    <m/>
    <n v="0"/>
    <m/>
    <n v="0"/>
  </r>
  <r>
    <x v="1"/>
    <s v="No"/>
    <s v="BIR075"/>
    <s v="1883"/>
    <s v="Our Lady &amp; St Anne RC Church"/>
    <s v="CAVERSHAM"/>
    <s v="Y"/>
    <m/>
    <n v="46.31"/>
    <s v="1"/>
    <m/>
    <m/>
    <n v="0"/>
    <n v="468.31"/>
    <n v="468.31"/>
  </r>
  <r>
    <x v="1"/>
    <s v="No"/>
    <s v="BIR076"/>
    <s v="1884"/>
    <s v="St Filumena RC Church"/>
    <s v="CAVERSWALL"/>
    <s v="Y"/>
    <n v="3080"/>
    <m/>
    <s v="1"/>
    <m/>
    <m/>
    <n v="3080"/>
    <m/>
    <n v="3080"/>
  </r>
  <r>
    <x v="1"/>
    <s v="No"/>
    <s v="BIR077"/>
    <s v="1885"/>
    <s v="St Teresa of Lisieux RC Church"/>
    <s v="CHIPPING NORTON"/>
    <s v="Y"/>
    <m/>
    <n v="50.42"/>
    <s v="1"/>
    <s v="No breakdown in columns"/>
    <m/>
    <n v="0"/>
    <n v="55"/>
    <n v="55"/>
  </r>
  <r>
    <x v="1"/>
    <s v="No"/>
    <s v="BIR077S"/>
    <s v="0444420"/>
    <s v="St Kenelm"/>
    <s v="ENSTONE"/>
    <m/>
    <m/>
    <m/>
    <s v=" "/>
    <m/>
    <m/>
    <n v="0"/>
    <m/>
    <n v="0"/>
  </r>
  <r>
    <x v="1"/>
    <s v="No"/>
    <s v="BIR078"/>
    <s v="1886"/>
    <s v="St Joseph"/>
    <s v="BURNTWOOD"/>
    <s v="Y"/>
    <n v="1305"/>
    <m/>
    <s v="1"/>
    <m/>
    <m/>
    <n v="1305"/>
    <n v="626.5"/>
    <n v="1931.5"/>
  </r>
  <r>
    <x v="1"/>
    <s v="No"/>
    <s v="BIR079"/>
    <s v="1887"/>
    <s v="St Giles RC Church"/>
    <s v="CHEADLE"/>
    <s v="Y"/>
    <n v="918"/>
    <m/>
    <s v="1"/>
    <s v="£29 should be £39per bank statement on 13 Dec"/>
    <n v="10"/>
    <n v="928"/>
    <m/>
    <n v="928"/>
  </r>
  <r>
    <x v="1"/>
    <s v="No"/>
    <s v="BIR080"/>
    <s v="1888"/>
    <s v="St John the Evangelist"/>
    <s v="CHESTERTON"/>
    <s v="Y"/>
    <n v="395.73"/>
    <m/>
    <s v="1"/>
    <s v="£2 diff in return &amp; include £3.05 on 03 Jan 2020 banking"/>
    <n v="1.0499999999999998"/>
    <n v="396.78000000000003"/>
    <m/>
    <n v="396.78000000000003"/>
  </r>
  <r>
    <x v="1"/>
    <s v="No"/>
    <s v="BIR081"/>
    <s v="1889"/>
    <s v="Holy Trinity RC Church"/>
    <s v="CHIPPING NORTON"/>
    <s v="Y"/>
    <n v="887.71"/>
    <m/>
    <s v="1"/>
    <s v="exclude £121.60 for World Mission Sunday in Ecc Sq column"/>
    <m/>
    <n v="887.71"/>
    <n v="25"/>
    <n v="912.71"/>
  </r>
  <r>
    <x v="1"/>
    <s v="No"/>
    <s v="BIR082"/>
    <s v="1890"/>
    <s v="Our Lady &amp; St Werburgh RC Church"/>
    <s v="CLAYTON"/>
    <s v="Y"/>
    <n v="566.76"/>
    <m/>
    <s v="1"/>
    <m/>
    <m/>
    <n v="566.76"/>
    <n v="664.06"/>
    <n v="1230.82"/>
  </r>
  <r>
    <x v="1"/>
    <s v="No"/>
    <s v="BIR083"/>
    <s v="1891"/>
    <s v="St Christopher RC Church"/>
    <s v="CODSALL"/>
    <m/>
    <m/>
    <m/>
    <s v=" "/>
    <s v="per statement analysis it should be £862.66"/>
    <n v="862.66"/>
    <n v="862.66"/>
    <m/>
    <n v="862.66"/>
  </r>
  <r>
    <x v="1"/>
    <s v="No"/>
    <s v="BIR084"/>
    <s v="1892"/>
    <s v="Sacred Heart &amp; St Teresa RC Church"/>
    <s v="COLESHILL"/>
    <s v="Y"/>
    <n v="908"/>
    <m/>
    <s v="1"/>
    <m/>
    <m/>
    <n v="908"/>
    <n v="65"/>
    <n v="973"/>
  </r>
  <r>
    <x v="1"/>
    <s v="No"/>
    <s v="BIR086"/>
    <s v="1894"/>
    <s v="All Souls (Precious Blood of Our Lord &amp; All Souls)"/>
    <s v="COVENTRY"/>
    <s v="Y"/>
    <n v="2218.6999999999998"/>
    <m/>
    <s v="1"/>
    <s v="per statement analysis it should be £2829.42   (Diff £10: Grand total states £2208.70)"/>
    <n v="610.72"/>
    <n v="2829.42"/>
    <n v="187.5"/>
    <n v="3016.92"/>
  </r>
  <r>
    <x v="1"/>
    <s v="No"/>
    <s v="BIR087"/>
    <s v="1895"/>
    <s v="Christ the King &amp; Our Lady of Lourdes"/>
    <s v="COVENTRY"/>
    <m/>
    <m/>
    <m/>
    <s v=" "/>
    <m/>
    <m/>
    <n v="0"/>
    <n v="936.6"/>
    <n v="936.6"/>
  </r>
  <r>
    <x v="1"/>
    <s v="No"/>
    <s v="BIR087S"/>
    <s v="0444432"/>
    <s v="St Augustine"/>
    <s v="COVENTRY"/>
    <m/>
    <m/>
    <m/>
    <s v=" "/>
    <m/>
    <m/>
    <n v="0"/>
    <m/>
    <n v="0"/>
  </r>
  <r>
    <x v="1"/>
    <s v="No"/>
    <s v="BIR088"/>
    <s v="1896"/>
    <s v="Corpus Christi RC Church"/>
    <s v="COVENTRY"/>
    <s v="Y"/>
    <n v="1194.3200000000002"/>
    <m/>
    <s v="1"/>
    <m/>
    <m/>
    <n v="1194.3200000000002"/>
    <n v="100"/>
    <n v="1294.3200000000002"/>
  </r>
  <r>
    <x v="1"/>
    <s v="No"/>
    <s v="BIR089"/>
    <s v="1897"/>
    <s v="Holy Family"/>
    <s v="COVENTRY"/>
    <s v="Y"/>
    <n v="1296.83"/>
    <m/>
    <s v="1"/>
    <m/>
    <m/>
    <n v="1296.83"/>
    <n v="210"/>
    <n v="1506.83"/>
  </r>
  <r>
    <x v="1"/>
    <s v="No"/>
    <s v="BIR090"/>
    <s v="1898"/>
    <s v="Our Lady of the Assumption"/>
    <s v="COVENTRY"/>
    <m/>
    <m/>
    <m/>
    <s v=" "/>
    <m/>
    <m/>
    <n v="0"/>
    <n v="1000"/>
    <n v="1000"/>
  </r>
  <r>
    <x v="1"/>
    <s v="No"/>
    <s v="BIR091"/>
    <s v="1899"/>
    <s v="Sacred Heart RC Church"/>
    <s v="COVENTRY"/>
    <m/>
    <m/>
    <m/>
    <s v=" "/>
    <s v="Based on counterfoil records kept by Trevor Cooksey"/>
    <n v="457.82"/>
    <n v="457.82"/>
    <n v="125"/>
    <n v="582.81999999999994"/>
  </r>
  <r>
    <x v="1"/>
    <s v="No"/>
    <s v="BIR092"/>
    <s v="1900"/>
    <s v="St Anne RC Church"/>
    <s v="COVENTRY"/>
    <s v="Y"/>
    <n v="409.83"/>
    <m/>
    <s v="1"/>
    <m/>
    <m/>
    <n v="409.83"/>
    <n v="195.25"/>
    <n v="605.07999999999993"/>
  </r>
  <r>
    <x v="1"/>
    <s v="No"/>
    <s v="BIR093"/>
    <s v="1901"/>
    <s v="St Elizabeth RC Church"/>
    <s v="COVENTRY"/>
    <s v="Y"/>
    <n v="1005"/>
    <m/>
    <s v="1"/>
    <m/>
    <m/>
    <n v="1005"/>
    <n v="345"/>
    <n v="1350"/>
  </r>
  <r>
    <x v="1"/>
    <s v="No"/>
    <s v="BIR094"/>
    <s v="1903"/>
    <s v="St John Fisher RC Church"/>
    <s v="COVENTRY"/>
    <s v="Y"/>
    <m/>
    <n v="1552.8600000000001"/>
    <s v="1"/>
    <s v="Annual return has £840.43 relating to Oct 2018 but may be banked in Feb 2019 - check bank statement"/>
    <m/>
    <n v="0"/>
    <n v="1622.8600000000001"/>
    <n v="1622.8600000000001"/>
  </r>
  <r>
    <x v="1"/>
    <s v="No"/>
    <s v="BIR095"/>
    <s v="1904"/>
    <s v="St John Vianney RC Church"/>
    <s v="COVENTRY"/>
    <s v="Y"/>
    <n v="262.49"/>
    <m/>
    <s v="1"/>
    <m/>
    <m/>
    <n v="262.49"/>
    <n v="220"/>
    <n v="482.49"/>
  </r>
  <r>
    <x v="1"/>
    <s v="No"/>
    <s v="BIR096"/>
    <s v="1905"/>
    <s v="St Joseph the Worker RC Church"/>
    <s v="COVENTRY"/>
    <s v="Y"/>
    <n v="530.78"/>
    <m/>
    <s v="1"/>
    <m/>
    <m/>
    <n v="530.78"/>
    <n v="170"/>
    <n v="700.78"/>
  </r>
  <r>
    <x v="1"/>
    <s v="No"/>
    <s v="BIR097"/>
    <s v="1906"/>
    <s v="St Mary &amp; St Benedict"/>
    <s v="COVENTRY"/>
    <s v="Y"/>
    <m/>
    <n v="291.85000000000002"/>
    <s v="1"/>
    <s v="assuming direct banking"/>
    <m/>
    <n v="0"/>
    <n v="514.53"/>
    <n v="514.53"/>
  </r>
  <r>
    <x v="1"/>
    <s v="No"/>
    <s v="BIR098"/>
    <s v="1907"/>
    <s v="St Osburg (The Most Holy Sacrement &amp; St Osburg)"/>
    <s v="COVENTRY"/>
    <m/>
    <m/>
    <m/>
    <s v=" "/>
    <s v="Based on counterfoil records kept by Trevor Cooksey"/>
    <n v="406.75"/>
    <n v="406.75"/>
    <n v="100"/>
    <n v="506.75"/>
  </r>
  <r>
    <x v="1"/>
    <s v="No"/>
    <s v="BIR099"/>
    <s v="1908"/>
    <s v="St Patrick RC Church"/>
    <s v="COVENTRY"/>
    <s v="Y"/>
    <n v="1043.9100000000001"/>
    <m/>
    <s v="1"/>
    <m/>
    <m/>
    <n v="1043.9100000000001"/>
    <n v="90"/>
    <n v="1133.9100000000001"/>
  </r>
  <r>
    <x v="1"/>
    <s v="No"/>
    <s v="BIR099A"/>
    <s v="1909"/>
    <s v="St Stanislaus Kostka"/>
    <s v="COVENTRY"/>
    <m/>
    <m/>
    <m/>
    <s v=" "/>
    <m/>
    <m/>
    <n v="0"/>
    <m/>
    <n v="0"/>
  </r>
  <r>
    <x v="1"/>
    <s v="No"/>
    <s v="BIR100"/>
    <s v="1910"/>
    <s v="St Thomas More"/>
    <s v="COVENTRY"/>
    <s v="Y"/>
    <n v="2403.5100000000002"/>
    <m/>
    <s v="1"/>
    <m/>
    <m/>
    <n v="2403.5100000000002"/>
    <n v="165"/>
    <n v="2568.5100000000002"/>
  </r>
  <r>
    <x v="1"/>
    <s v="No"/>
    <s v="BIR100U"/>
    <s v="1911"/>
    <s v="University of Warwick"/>
    <s v="COVENTRY"/>
    <m/>
    <m/>
    <m/>
    <s v=" "/>
    <m/>
    <m/>
    <n v="0"/>
    <m/>
    <n v="0"/>
  </r>
  <r>
    <x v="1"/>
    <s v="No"/>
    <s v="BIR101"/>
    <s v="1912"/>
    <s v="Our Lady of Lourdes"/>
    <s v="CRADLEY HEATH"/>
    <s v="Y"/>
    <n v="349.27"/>
    <m/>
    <s v="1"/>
    <m/>
    <m/>
    <n v="349.27"/>
    <m/>
    <n v="349.27"/>
  </r>
  <r>
    <x v="1"/>
    <s v="No"/>
    <s v="BIR102"/>
    <s v="1913"/>
    <s v="St Joseph RC Church"/>
    <s v="DARLASTON"/>
    <s v="Y"/>
    <n v="688.9"/>
    <m/>
    <s v="1"/>
    <m/>
    <m/>
    <n v="688.9"/>
    <m/>
    <n v="688.9"/>
  </r>
  <r>
    <x v="1"/>
    <s v="No"/>
    <s v="BIR103"/>
    <s v="1914"/>
    <s v="St Birinus"/>
    <s v="DORCHESTER ON THAMES"/>
    <s v="Y"/>
    <n v="540.44000000000005"/>
    <m/>
    <s v="1"/>
    <m/>
    <m/>
    <n v="540.44000000000005"/>
    <n v="55"/>
    <n v="595.44000000000005"/>
  </r>
  <r>
    <x v="1"/>
    <s v="No"/>
    <s v="BIR103S"/>
    <s v="0444399"/>
    <s v="St Mary &amp; St Berin Anglican Church"/>
    <s v="BERINSFIELD"/>
    <m/>
    <m/>
    <m/>
    <s v=" "/>
    <m/>
    <m/>
    <n v="0"/>
    <m/>
    <n v="0"/>
  </r>
  <r>
    <x v="1"/>
    <s v="No"/>
    <s v="BIR104"/>
    <s v="1915"/>
    <s v="St George &amp; St Teresa of the Child Jesus"/>
    <s v="DORRIDGE"/>
    <s v="Y"/>
    <n v="11878.95"/>
    <m/>
    <s v="1"/>
    <m/>
    <m/>
    <n v="11878.95"/>
    <n v="345"/>
    <n v="12223.95"/>
  </r>
  <r>
    <x v="1"/>
    <s v="No"/>
    <s v="BIR104A"/>
    <s v="1916"/>
    <s v="Blessed Robert Grissold, St Philomena"/>
    <s v="BALSALL COMMON"/>
    <m/>
    <m/>
    <m/>
    <s v=" "/>
    <m/>
    <m/>
    <n v="0"/>
    <m/>
    <n v="0"/>
  </r>
  <r>
    <x v="1"/>
    <s v="No"/>
    <s v="BIR105"/>
    <s v="1917"/>
    <s v="Sacred Heart &amp; St Catherine of Alexandria"/>
    <s v="DROITWICH"/>
    <m/>
    <m/>
    <m/>
    <s v=" "/>
    <s v="Based on counterfoil records kept by Trevor Cooksey"/>
    <n v="403.87"/>
    <n v="403.87"/>
    <n v="35"/>
    <n v="438.87"/>
  </r>
  <r>
    <x v="1"/>
    <s v="No"/>
    <s v="BIR106"/>
    <s v="1918"/>
    <s v="Our Blessed Lady &amp; St Thomas of Canterbury"/>
    <s v="DUDLEY"/>
    <s v="Y"/>
    <n v="705.41"/>
    <m/>
    <s v="1"/>
    <m/>
    <m/>
    <n v="705.41"/>
    <n v="140"/>
    <n v="845.41"/>
  </r>
  <r>
    <x v="1"/>
    <s v="No"/>
    <s v="BIR107"/>
    <s v="1919"/>
    <s v="Sacred Heart"/>
    <s v="ECCLESHALL"/>
    <s v="Y"/>
    <n v="254.18"/>
    <m/>
    <s v="1"/>
    <m/>
    <m/>
    <n v="254.18"/>
    <n v="40"/>
    <n v="294.18"/>
  </r>
  <r>
    <x v="1"/>
    <s v="No"/>
    <s v="BIR108"/>
    <s v="1920"/>
    <s v="St Mary &amp; St Egwin RC Church"/>
    <s v="EVESHAM"/>
    <s v="Y"/>
    <n v="218"/>
    <m/>
    <s v="1"/>
    <m/>
    <m/>
    <n v="218"/>
    <n v="180"/>
    <n v="398"/>
  </r>
  <r>
    <x v="1"/>
    <s v="No"/>
    <s v="BIR109"/>
    <s v="1921"/>
    <s v="St Peter RC Church"/>
    <s v="EYNSHAM"/>
    <s v="Y"/>
    <m/>
    <n v="205.14"/>
    <s v="1"/>
    <m/>
    <m/>
    <n v="0"/>
    <n v="225.14"/>
    <n v="225.14"/>
  </r>
  <r>
    <x v="1"/>
    <s v="No"/>
    <s v="BIR110"/>
    <s v="1923"/>
    <s v="Our Lady &amp; St John"/>
    <s v="GORING-ON-THAMES"/>
    <m/>
    <m/>
    <m/>
    <s v=" "/>
    <m/>
    <m/>
    <n v="0"/>
    <n v="30"/>
    <n v="30"/>
  </r>
  <r>
    <x v="1"/>
    <s v="No"/>
    <s v="BIR110A"/>
    <s v="147925"/>
    <s v="Christ the King"/>
    <s v="WOODCOTE"/>
    <s v="Y"/>
    <n v="359.75"/>
    <m/>
    <s v="1"/>
    <m/>
    <m/>
    <n v="359.75"/>
    <n v="140"/>
    <n v="499.75"/>
  </r>
  <r>
    <x v="1"/>
    <s v="No"/>
    <s v="BIR111"/>
    <s v="1924"/>
    <s v="The Holy Name of Jesus"/>
    <s v="GREAT BARR"/>
    <m/>
    <m/>
    <m/>
    <s v=" "/>
    <s v="Based on counterfoil records kept by Trevor Cooksey"/>
    <n v="1115.55"/>
    <n v="1115.55"/>
    <m/>
    <n v="1115.55"/>
  </r>
  <r>
    <x v="1"/>
    <s v="No"/>
    <s v="BIR112"/>
    <s v="1925"/>
    <s v="St John Baptist"/>
    <s v="GREAT HAYWOOD"/>
    <s v="Y"/>
    <n v="292.55"/>
    <m/>
    <s v="1"/>
    <m/>
    <m/>
    <n v="292.55"/>
    <n v="250"/>
    <n v="542.54999999999995"/>
  </r>
  <r>
    <x v="1"/>
    <s v="No"/>
    <s v="BIR113"/>
    <s v="1926"/>
    <s v="St Joseph RC Church"/>
    <s v="MALVERN"/>
    <s v="Y"/>
    <n v="1663.3000000000002"/>
    <m/>
    <s v="1"/>
    <m/>
    <m/>
    <n v="1663.3000000000002"/>
    <n v="465"/>
    <n v="2128.3000000000002"/>
  </r>
  <r>
    <x v="1"/>
    <s v="No"/>
    <s v="BIR113X"/>
    <s v="1927"/>
    <s v="Our Lady &amp; St Pius X (CLOSED)"/>
    <s v="KIDDERMINSTER"/>
    <s v="Y"/>
    <n v="695.58999999999992"/>
    <m/>
    <s v="1"/>
    <m/>
    <m/>
    <n v="695.58999999999992"/>
    <n v="136"/>
    <n v="831.58999999999992"/>
  </r>
  <r>
    <x v="1"/>
    <s v="No"/>
    <s v="BIR114"/>
    <s v="1928"/>
    <s v="Our Lady &amp; St Kenelm"/>
    <s v="HALESOWEN"/>
    <m/>
    <m/>
    <m/>
    <s v=" "/>
    <s v="Based on counterfoil records kept by Trevor Cooksey"/>
    <n v="1878.66"/>
    <n v="1878.66"/>
    <n v="400"/>
    <n v="2278.66"/>
  </r>
  <r>
    <x v="1"/>
    <s v="No"/>
    <s v="BIR115"/>
    <s v="1929"/>
    <s v="St Charles Borromeo"/>
    <s v="HAMPTON-O-HILL"/>
    <s v="Y"/>
    <n v="246.33"/>
    <m/>
    <s v="1"/>
    <s v="Form received 04-03-2020 and also Based on counterfoil records kept by Trevor Cooksey"/>
    <m/>
    <n v="246.33"/>
    <n v="130"/>
    <n v="376.33000000000004"/>
  </r>
  <r>
    <x v="1"/>
    <s v="No"/>
    <s v="BIR116"/>
    <s v="1930"/>
    <s v="St Mary's Catholic Church"/>
    <s v="HARVINGTON"/>
    <s v="Y"/>
    <n v="417.47"/>
    <m/>
    <s v="1"/>
    <m/>
    <m/>
    <n v="417.47"/>
    <n v="146"/>
    <n v="563.47"/>
  </r>
  <r>
    <x v="1"/>
    <s v="No"/>
    <s v="BIR117"/>
    <s v="1931"/>
    <s v="St Michael and St James"/>
    <s v="HAUNTON"/>
    <m/>
    <m/>
    <m/>
    <s v=" "/>
    <m/>
    <m/>
    <n v="0"/>
    <m/>
    <n v="0"/>
  </r>
  <r>
    <x v="1"/>
    <s v="No"/>
    <s v="BIR118"/>
    <s v="1932"/>
    <s v="Our Lady of Lourdes RC Church"/>
    <s v="HEDNESFORD"/>
    <m/>
    <m/>
    <m/>
    <s v=" "/>
    <m/>
    <m/>
    <n v="0"/>
    <m/>
    <n v="0"/>
  </r>
  <r>
    <x v="1"/>
    <s v="No"/>
    <s v="BIR119"/>
    <s v="1933"/>
    <s v="The Sacred Heart"/>
    <s v="HENLEY-ON-THAMES"/>
    <m/>
    <m/>
    <m/>
    <s v=" "/>
    <m/>
    <m/>
    <n v="0"/>
    <n v="370"/>
    <n v="370"/>
  </r>
  <r>
    <x v="1"/>
    <s v="No"/>
    <s v="BIR120"/>
    <s v="1934"/>
    <s v="The Holy Trinity"/>
    <s v="HETHE"/>
    <m/>
    <m/>
    <m/>
    <s v=" "/>
    <m/>
    <m/>
    <n v="0"/>
    <m/>
    <n v="0"/>
  </r>
  <r>
    <x v="1"/>
    <s v="No"/>
    <s v="BIR121"/>
    <s v="1935"/>
    <s v="St Augustine"/>
    <s v="KENILWORTH"/>
    <m/>
    <m/>
    <m/>
    <s v=" "/>
    <m/>
    <m/>
    <n v="0"/>
    <m/>
    <n v="0"/>
  </r>
  <r>
    <x v="1"/>
    <s v="No"/>
    <s v="BIR122"/>
    <s v="1936"/>
    <s v="St Francis of Assisi (Catholic Parish of Kenilworth)"/>
    <s v="KENILWORTH"/>
    <s v="Y"/>
    <n v="1423.04"/>
    <m/>
    <s v="1"/>
    <m/>
    <m/>
    <n v="1423.04"/>
    <n v="449"/>
    <n v="1872.04"/>
  </r>
  <r>
    <x v="1"/>
    <s v="No"/>
    <s v="BIR123"/>
    <s v="1937"/>
    <s v="St Ambrose RC Church"/>
    <s v="KIDDERMINSTER"/>
    <s v="Y"/>
    <n v="2913.48"/>
    <m/>
    <s v="1"/>
    <m/>
    <m/>
    <n v="2913.48"/>
    <n v="60"/>
    <n v="2973.48"/>
  </r>
  <r>
    <x v="1"/>
    <s v="No"/>
    <s v="BIR123A"/>
    <s v="1938"/>
    <s v="Our Lady of Ostra Brama"/>
    <s v="KIDDERMINSTER"/>
    <m/>
    <m/>
    <m/>
    <s v=" "/>
    <m/>
    <m/>
    <n v="0"/>
    <m/>
    <n v="0"/>
  </r>
  <r>
    <x v="1"/>
    <s v="No"/>
    <s v="BIR124"/>
    <s v="1939"/>
    <s v="Parish of Kidlington &amp; Woodstock (St Thomas More RC Church)"/>
    <s v="KIDLINGTON"/>
    <s v="Y"/>
    <n v="1193.1299999999999"/>
    <m/>
    <s v="1"/>
    <m/>
    <m/>
    <n v="1193.1299999999999"/>
    <n v="342.94"/>
    <n v="1536.07"/>
  </r>
  <r>
    <x v="1"/>
    <s v="No"/>
    <s v="BIR124S"/>
    <s v="0444434"/>
    <s v="Parish of Kidlington &amp; Woodstock (St Hugh of Lincoln)"/>
    <s v="WOODSTOCK"/>
    <m/>
    <m/>
    <m/>
    <s v=" "/>
    <m/>
    <m/>
    <n v="0"/>
    <m/>
    <n v="0"/>
  </r>
  <r>
    <x v="1"/>
    <s v="No"/>
    <s v="BIR125"/>
    <s v="1940"/>
    <s v="St  John the Evangelist"/>
    <s v="KIDSGROVE"/>
    <m/>
    <m/>
    <m/>
    <s v=" "/>
    <m/>
    <m/>
    <n v="0"/>
    <n v="305"/>
    <n v="305"/>
  </r>
  <r>
    <x v="1"/>
    <s v="No"/>
    <s v="BIR126"/>
    <s v="1941"/>
    <s v="St Francis of Assisi"/>
    <s v="KINETON"/>
    <m/>
    <m/>
    <m/>
    <s v=" "/>
    <s v="Based on counterfoil records kept by Trevor Cooksey"/>
    <n v="821.25"/>
    <n v="821.25"/>
    <n v="100"/>
    <n v="921.25"/>
  </r>
  <r>
    <x v="1"/>
    <s v="No"/>
    <s v="BIR126S"/>
    <s v="0444400"/>
    <s v="St Joseph RC Church"/>
    <s v="AVON DASSETT"/>
    <m/>
    <m/>
    <m/>
    <s v=" "/>
    <m/>
    <m/>
    <n v="0"/>
    <m/>
    <n v="0"/>
  </r>
  <r>
    <x v="1"/>
    <s v="No"/>
    <s v="BIR126S2"/>
    <s v="0444459"/>
    <s v="St Peter's Anglican Church"/>
    <s v="COVENTRY"/>
    <m/>
    <m/>
    <m/>
    <s v=" "/>
    <m/>
    <m/>
    <n v="0"/>
    <m/>
    <n v="0"/>
  </r>
  <r>
    <x v="1"/>
    <s v="No"/>
    <s v="BIR127"/>
    <s v="1943"/>
    <s v="St John RC Church"/>
    <s v="KINGSHURST"/>
    <s v="Y"/>
    <n v="667.86"/>
    <m/>
    <s v="1"/>
    <s v="to add £65.10 banked on 02-01-2020"/>
    <n v="65.099999999999994"/>
    <n v="732.96"/>
    <m/>
    <n v="732.96"/>
  </r>
  <r>
    <x v="1"/>
    <s v="No"/>
    <s v="BIR127S"/>
    <s v="0444435"/>
    <s v="St Anthony - Lady Chapel"/>
    <s v="KINGSHURST"/>
    <m/>
    <m/>
    <m/>
    <s v=" "/>
    <m/>
    <m/>
    <n v="0"/>
    <m/>
    <n v="0"/>
  </r>
  <r>
    <x v="1"/>
    <s v="No"/>
    <s v="BIR128"/>
    <s v="1944"/>
    <s v="Our Lady of Lourdes"/>
    <s v="KINGSWINFORD"/>
    <s v="Y"/>
    <n v="996.55"/>
    <m/>
    <s v="1"/>
    <s v="include 2 more pay in slips after return submitted &amp; £38.23 extra banking identified"/>
    <n v="80.329999999999984"/>
    <n v="1076.8799999999999"/>
    <n v="131"/>
    <n v="1207.8799999999999"/>
  </r>
  <r>
    <x v="1"/>
    <s v="No"/>
    <s v="BIR129"/>
    <s v="1945"/>
    <s v="Our Lady of Sorrows (CLOSED)"/>
    <s v="KNUTTON"/>
    <m/>
    <m/>
    <m/>
    <s v=" "/>
    <m/>
    <m/>
    <n v="0"/>
    <m/>
    <n v="0"/>
  </r>
  <r>
    <x v="1"/>
    <s v="No"/>
    <s v="BIR130"/>
    <s v="1946"/>
    <s v="St Peter Apostle"/>
    <s v="LEAMINGTON SPA"/>
    <m/>
    <m/>
    <m/>
    <s v=" "/>
    <m/>
    <m/>
    <n v="0"/>
    <n v="1114.49"/>
    <n v="1114.49"/>
  </r>
  <r>
    <x v="1"/>
    <s v="No"/>
    <s v="BIR131"/>
    <s v="1947"/>
    <s v="St Mary"/>
    <s v="LEEK"/>
    <s v="Y"/>
    <n v="815.55"/>
    <m/>
    <s v="1"/>
    <s v="£72.50 should be £77.50 per bank statement"/>
    <n v="5"/>
    <n v="820.55"/>
    <n v="325"/>
    <n v="1145.55"/>
  </r>
  <r>
    <x v="1"/>
    <s v="No"/>
    <s v="BIR132"/>
    <s v="1948"/>
    <s v="Holy Cross"/>
    <s v="LICHFIELD"/>
    <s v="Y"/>
    <n v="1999.9"/>
    <m/>
    <s v="1"/>
    <m/>
    <m/>
    <n v="1999.9"/>
    <n v="913"/>
    <n v="2912.9"/>
  </r>
  <r>
    <x v="1"/>
    <s v="No"/>
    <s v="BIR132S"/>
    <s v="0444452"/>
    <s v="SS Peter &amp; Paul"/>
    <s v="LICHFIELD"/>
    <m/>
    <m/>
    <m/>
    <s v=" "/>
    <m/>
    <m/>
    <n v="0"/>
    <n v="25"/>
    <n v="25"/>
  </r>
  <r>
    <x v="1"/>
    <s v="No"/>
    <s v="BIR133"/>
    <s v="1949"/>
    <s v="Our Lady"/>
    <s v="LILLINGTON"/>
    <m/>
    <m/>
    <m/>
    <s v=" "/>
    <m/>
    <m/>
    <n v="0"/>
    <n v="40"/>
    <n v="40"/>
  </r>
  <r>
    <x v="1"/>
    <s v="No"/>
    <s v="BIR134"/>
    <s v="1950"/>
    <s v="St Wulstan RC Church"/>
    <s v="MALVERN"/>
    <s v="Y"/>
    <n v="108.98"/>
    <m/>
    <s v="1"/>
    <m/>
    <m/>
    <n v="108.98"/>
    <n v="120"/>
    <n v="228.98000000000002"/>
  </r>
  <r>
    <x v="1"/>
    <s v="No"/>
    <s v="BIR135"/>
    <s v="1951"/>
    <s v="St Peter &amp; The English Martyrs"/>
    <s v="LOWER GORNAL"/>
    <s v="Y"/>
    <n v="631.74"/>
    <m/>
    <s v="1"/>
    <m/>
    <m/>
    <n v="631.74"/>
    <m/>
    <n v="631.74"/>
  </r>
  <r>
    <x v="1"/>
    <s v="No"/>
    <s v="BIR137"/>
    <s v="1953"/>
    <s v="St  Joseph"/>
    <s v="MONKS KIRBY"/>
    <m/>
    <m/>
    <m/>
    <s v=" "/>
    <s v="per statement analysis it should be £186.95"/>
    <n v="186.95"/>
    <n v="186.95"/>
    <n v="90"/>
    <n v="276.95"/>
  </r>
  <r>
    <x v="1"/>
    <s v="No"/>
    <s v="BIR138"/>
    <s v="1954"/>
    <s v="Holy Trinity"/>
    <s v="NEWCASTLE-UNDER-LYME"/>
    <s v="Y"/>
    <n v="1093.1199999999999"/>
    <m/>
    <s v="1"/>
    <s v="£165.83 per bank statement (not £165)"/>
    <n v="0.83"/>
    <n v="1093.9499999999998"/>
    <n v="450"/>
    <n v="1543.9499999999998"/>
  </r>
  <r>
    <x v="1"/>
    <s v="No"/>
    <s v="BIR139"/>
    <s v="1957"/>
    <s v="Our Lady of the Angels"/>
    <s v="NUNEATON"/>
    <s v="Y"/>
    <n v="1136.52"/>
    <m/>
    <s v="1"/>
    <m/>
    <m/>
    <n v="1136.52"/>
    <n v="244.5"/>
    <n v="1381.02"/>
  </r>
  <r>
    <x v="1"/>
    <s v="No"/>
    <s v="BIR140"/>
    <s v="1958"/>
    <s v="St Anne"/>
    <s v="NUNEATON"/>
    <s v="Y"/>
    <n v="892.40000000000009"/>
    <m/>
    <s v="1"/>
    <s v="add counterfoil 523002 £38.36 on 24-06-19 bank statement"/>
    <n v="38.36"/>
    <n v="930.7600000000001"/>
    <n v="39"/>
    <n v="969.7600000000001"/>
  </r>
  <r>
    <x v="1"/>
    <s v="No"/>
    <s v="BIR140S"/>
    <s v="0444421"/>
    <s v="St Joseph"/>
    <s v="ARLEY"/>
    <m/>
    <m/>
    <m/>
    <s v=" "/>
    <m/>
    <m/>
    <n v="0"/>
    <m/>
    <n v="0"/>
  </r>
  <r>
    <x v="1"/>
    <s v="No"/>
    <s v="BIR141"/>
    <s v="1959"/>
    <s v="St Francis Xavier"/>
    <s v="OLDBURY"/>
    <m/>
    <m/>
    <m/>
    <s v=" "/>
    <m/>
    <m/>
    <n v="0"/>
    <n v="120"/>
    <n v="120"/>
  </r>
  <r>
    <x v="1"/>
    <s v="No"/>
    <s v="BIR142"/>
    <s v="1960"/>
    <s v="Olton Frairy (The Holy Ghost &amp; Mary Immaculate)"/>
    <s v="OLTON"/>
    <m/>
    <m/>
    <m/>
    <s v=" "/>
    <s v="Based on counterfoil records kept by Trevor Cooksey"/>
    <n v="581.5"/>
    <n v="581.5"/>
    <n v="150"/>
    <n v="731.5"/>
  </r>
  <r>
    <x v="1"/>
    <s v="No"/>
    <s v="BIR143"/>
    <s v="1961"/>
    <s v="Corpus Christi RC Church"/>
    <s v="OXFORD"/>
    <m/>
    <m/>
    <m/>
    <s v=" "/>
    <s v="per statement analysis it should be £20.69"/>
    <n v="20.69"/>
    <n v="20.69"/>
    <m/>
    <n v="20.69"/>
  </r>
  <r>
    <x v="1"/>
    <s v="No"/>
    <s v="BIR143S"/>
    <s v="0444415"/>
    <s v="Our Lady of Lourdes"/>
    <s v="WHEATLEY"/>
    <m/>
    <m/>
    <m/>
    <s v=" "/>
    <m/>
    <m/>
    <n v="0"/>
    <m/>
    <n v="0"/>
  </r>
  <r>
    <x v="1"/>
    <s v="No"/>
    <s v="BIR144"/>
    <s v="1962"/>
    <s v="Our Lady Help of Christians RC Church"/>
    <s v="OXFORD"/>
    <s v="Y"/>
    <n v="1332.31"/>
    <m/>
    <s v="1"/>
    <m/>
    <m/>
    <n v="1332.31"/>
    <n v="56.97"/>
    <n v="1389.28"/>
  </r>
  <r>
    <x v="1"/>
    <s v="No"/>
    <s v="BIR145"/>
    <s v="1963"/>
    <s v="Sacred Heart"/>
    <s v="OXFORD"/>
    <s v="Y"/>
    <n v="366.01"/>
    <m/>
    <s v="1"/>
    <s v="to add £78 banked on 03-01-2020"/>
    <n v="78"/>
    <n v="444.01"/>
    <n v="59"/>
    <n v="503.01"/>
  </r>
  <r>
    <x v="1"/>
    <s v="No"/>
    <s v="BIR146"/>
    <s v="1964"/>
    <s v="St Aloysius Gonzaga RC Church"/>
    <s v="OXFORD"/>
    <m/>
    <m/>
    <m/>
    <s v=" "/>
    <m/>
    <m/>
    <n v="0"/>
    <n v="525"/>
    <n v="525"/>
  </r>
  <r>
    <x v="1"/>
    <s v="No"/>
    <s v="BIR147"/>
    <s v="1965"/>
    <s v="St Anthony of Padua"/>
    <s v="OXFORD"/>
    <m/>
    <m/>
    <m/>
    <s v=" "/>
    <m/>
    <m/>
    <n v="0"/>
    <n v="202.22"/>
    <n v="202.22"/>
  </r>
  <r>
    <x v="1"/>
    <s v="No"/>
    <s v="BIR148"/>
    <s v="1966"/>
    <s v="Blessed Dominic Barberi"/>
    <s v="OXFORD"/>
    <m/>
    <m/>
    <m/>
    <s v=" "/>
    <s v="Based on counterfoil records kept by Trevor Cooksey"/>
    <n v="234.86"/>
    <n v="234.86"/>
    <n v="10"/>
    <n v="244.86"/>
  </r>
  <r>
    <x v="1"/>
    <s v="No"/>
    <s v="BIR149"/>
    <s v="1967"/>
    <s v="St Edmund of Abingdon and St Frideswide"/>
    <s v="OXFORD"/>
    <m/>
    <m/>
    <m/>
    <s v=" "/>
    <m/>
    <m/>
    <n v="0"/>
    <n v="5"/>
    <n v="5"/>
  </r>
  <r>
    <x v="1"/>
    <s v="No"/>
    <s v="BIR150"/>
    <s v="1968"/>
    <s v="St Gregory &amp; St Augustine"/>
    <s v="OXFORD"/>
    <m/>
    <m/>
    <m/>
    <s v=" "/>
    <m/>
    <m/>
    <n v="0"/>
    <n v="154"/>
    <n v="154"/>
  </r>
  <r>
    <x v="1"/>
    <s v="No"/>
    <s v="BIR151"/>
    <s v="1970"/>
    <s v="Holy Redeemer, St Wulstan &amp; St Eadburga"/>
    <s v="PERSHORE"/>
    <s v="Y"/>
    <n v="1381.05"/>
    <m/>
    <s v="1"/>
    <m/>
    <m/>
    <n v="1381.05"/>
    <m/>
    <n v="1381.05"/>
  </r>
  <r>
    <x v="1"/>
    <s v="No"/>
    <s v="BIR152"/>
    <s v="1971"/>
    <s v="Our Lady of Mount Carmel RC Church"/>
    <s v="REDDITCH"/>
    <s v="Y"/>
    <n v="170"/>
    <m/>
    <s v="1"/>
    <m/>
    <m/>
    <n v="170"/>
    <n v="415"/>
    <n v="585"/>
  </r>
  <r>
    <x v="1"/>
    <s v="No"/>
    <s v="BIR152S"/>
    <s v="0444401"/>
    <s v="St Mary"/>
    <s v="ALVECHURCH"/>
    <m/>
    <m/>
    <m/>
    <s v=" "/>
    <m/>
    <m/>
    <n v="0"/>
    <m/>
    <n v="0"/>
  </r>
  <r>
    <x v="1"/>
    <s v="No"/>
    <s v="BIR152S2"/>
    <s v="0444402"/>
    <s v="St John Fisher &amp; St Thomas More"/>
    <s v="FECKENHAM"/>
    <m/>
    <m/>
    <m/>
    <s v=" "/>
    <m/>
    <m/>
    <n v="0"/>
    <m/>
    <n v="0"/>
  </r>
  <r>
    <x v="1"/>
    <s v="No"/>
    <s v="BIR152S3"/>
    <s v="0444403"/>
    <s v="St Richard &amp; St Hubert"/>
    <s v="HADZOR"/>
    <m/>
    <m/>
    <m/>
    <s v=" "/>
    <m/>
    <m/>
    <n v="0"/>
    <m/>
    <n v="0"/>
  </r>
  <r>
    <x v="1"/>
    <s v="No"/>
    <s v="BIR153"/>
    <s v="1972"/>
    <s v="English Martyrs RC Church"/>
    <s v="RUGBY"/>
    <s v="Y"/>
    <n v="891.43000000000006"/>
    <m/>
    <s v="1"/>
    <m/>
    <m/>
    <n v="891.43000000000006"/>
    <n v="235"/>
    <n v="1126.43"/>
  </r>
  <r>
    <x v="1"/>
    <s v="No"/>
    <s v="BIR154"/>
    <s v="1973"/>
    <s v="Rev Sacred Heart RC Church"/>
    <s v="RUGBY"/>
    <s v="Y"/>
    <n v="840.74"/>
    <m/>
    <s v="1"/>
    <m/>
    <m/>
    <n v="840.74"/>
    <n v="480"/>
    <n v="1320.74"/>
  </r>
  <r>
    <x v="1"/>
    <s v="No"/>
    <s v="BIR155"/>
    <s v="1974"/>
    <s v="St Marie RC Church"/>
    <s v="RUGBY"/>
    <s v="Y"/>
    <n v="3686.09"/>
    <m/>
    <s v="1"/>
    <s v="per statement analysis it should be £3259.55  (add 5p banking diff)"/>
    <n v="-426.53999999999996"/>
    <n v="3259.55"/>
    <n v="220"/>
    <n v="3479.55"/>
  </r>
  <r>
    <x v="1"/>
    <s v="No"/>
    <s v="BIR156"/>
    <s v="1975"/>
    <s v="St Joseph &amp; St Etheldreda"/>
    <s v="RUGELEY"/>
    <s v="Y"/>
    <n v="1399"/>
    <m/>
    <s v="1"/>
    <s v="add 90p banking difference"/>
    <n v="0.9"/>
    <n v="1399.9"/>
    <n v="30"/>
    <n v="1429.9"/>
  </r>
  <r>
    <x v="1"/>
    <s v="No"/>
    <s v="BIR157"/>
    <s v="1976"/>
    <s v="St Chad &amp; All Saints RC Church"/>
    <s v="SEDGLEY"/>
    <s v="Y"/>
    <n v="1095.68"/>
    <m/>
    <s v="1"/>
    <m/>
    <m/>
    <n v="1095.68"/>
    <n v="189.89"/>
    <n v="1285.5700000000002"/>
  </r>
  <r>
    <x v="1"/>
    <s v="No"/>
    <s v="BIR158"/>
    <s v="1977"/>
    <s v="St Francis of Assisi"/>
    <s v="SHELFIELD"/>
    <s v="Y"/>
    <n v="711.27"/>
    <m/>
    <s v="1"/>
    <s v="add £236.20 banked 31-12/2019"/>
    <n v="236.2"/>
    <n v="947.47"/>
    <m/>
    <n v="947.47"/>
  </r>
  <r>
    <x v="1"/>
    <s v="No"/>
    <s v="BIR159"/>
    <s v="1978"/>
    <s v="Our Lady &amp; The Apostles"/>
    <s v="SHIPSTON-ON-STOUR"/>
    <s v="Y"/>
    <n v="412.1"/>
    <m/>
    <s v="1"/>
    <m/>
    <m/>
    <n v="412.1"/>
    <n v="180"/>
    <n v="592.1"/>
  </r>
  <r>
    <x v="1"/>
    <s v="No"/>
    <s v="BIR159L"/>
    <s v="0444404"/>
    <s v="St Peter &amp; St Paul"/>
    <s v="LOWER BRAILES"/>
    <m/>
    <m/>
    <m/>
    <s v=" "/>
    <m/>
    <m/>
    <n v="0"/>
    <m/>
    <n v="0"/>
  </r>
  <r>
    <x v="1"/>
    <s v="No"/>
    <s v="BIR160"/>
    <s v="1979"/>
    <s v="Our Lady of Wayside"/>
    <s v="SHIRLEY"/>
    <s v="Y"/>
    <n v="1818.51"/>
    <m/>
    <s v="1"/>
    <s v="less £100 (Lloyds chq 000181 Mrs R Hughes) - direct banking?"/>
    <n v="-100"/>
    <n v="1718.51"/>
    <n v="290"/>
    <n v="2008.51"/>
  </r>
  <r>
    <x v="1"/>
    <s v="No"/>
    <s v="BIR161"/>
    <s v="1980"/>
    <s v="Sacred Heart"/>
    <s v="SILVERDALE-MADELEY"/>
    <m/>
    <m/>
    <m/>
    <s v=" "/>
    <m/>
    <m/>
    <n v="0"/>
    <n v="65"/>
    <n v="65"/>
  </r>
  <r>
    <x v="1"/>
    <s v="No"/>
    <s v="BIR162"/>
    <s v="1981"/>
    <s v="St Philip Neri RC Church"/>
    <s v="SMETHWICK"/>
    <m/>
    <m/>
    <m/>
    <s v=" "/>
    <m/>
    <m/>
    <n v="0"/>
    <n v="35"/>
    <n v="35"/>
  </r>
  <r>
    <x v="1"/>
    <s v="No"/>
    <s v="BIR162A"/>
    <s v="0444447"/>
    <s v="Our Lady of the Caribbean"/>
    <s v="SMETHWICK"/>
    <m/>
    <m/>
    <m/>
    <s v=" "/>
    <m/>
    <m/>
    <n v="0"/>
    <m/>
    <n v="0"/>
  </r>
  <r>
    <x v="1"/>
    <s v="No"/>
    <s v="BIR163"/>
    <s v="1982"/>
    <s v="St Augustine of England"/>
    <s v="SOLIHULL"/>
    <s v="Y"/>
    <n v="6058.33"/>
    <n v="55"/>
    <s v="1"/>
    <s v="to add 60p banking didd"/>
    <n v="0.6"/>
    <n v="6058.93"/>
    <n v="480"/>
    <n v="6538.93"/>
  </r>
  <r>
    <x v="1"/>
    <s v="No"/>
    <s v="BIR164"/>
    <s v="1983"/>
    <s v="St Michael"/>
    <s v="SONNING COMMON"/>
    <s v="Y"/>
    <n v="755.76"/>
    <m/>
    <s v="1"/>
    <s v="less 2p diff in banking"/>
    <n v="-0.02"/>
    <n v="755.74"/>
    <n v="660"/>
    <n v="1415.74"/>
  </r>
  <r>
    <x v="1"/>
    <s v="No"/>
    <s v="BIR165"/>
    <s v="1984"/>
    <s v="Our Lady &amp; St Wulstan RC Church"/>
    <s v="SOUTHAM"/>
    <s v="Y"/>
    <n v="543.89"/>
    <m/>
    <s v="1"/>
    <m/>
    <m/>
    <n v="543.89"/>
    <n v="100"/>
    <n v="643.89"/>
  </r>
  <r>
    <x v="1"/>
    <s v="No"/>
    <s v="BIR165X"/>
    <s v="1985"/>
    <s v="St John the Baptist"/>
    <s v="SPETCHLEY PARK"/>
    <m/>
    <m/>
    <m/>
    <s v=" "/>
    <m/>
    <m/>
    <n v="0"/>
    <m/>
    <n v="0"/>
  </r>
  <r>
    <x v="1"/>
    <s v="No"/>
    <s v="BIR166"/>
    <s v="1986"/>
    <s v="St Anne RC Church"/>
    <s v="STAFFORD"/>
    <s v="Y"/>
    <n v="1322.11"/>
    <m/>
    <s v="1"/>
    <s v="per statement analysis it should be £1322.11"/>
    <m/>
    <n v="1322.11"/>
    <n v="30"/>
    <n v="1352.11"/>
  </r>
  <r>
    <x v="1"/>
    <s v="No"/>
    <s v="BIR167"/>
    <s v="1987"/>
    <s v="St Austin"/>
    <s v="STAFFORD"/>
    <s v="Y"/>
    <n v="1867.46"/>
    <m/>
    <s v="1"/>
    <m/>
    <m/>
    <n v="1867.46"/>
    <n v="406"/>
    <n v="2273.46"/>
  </r>
  <r>
    <x v="1"/>
    <s v="No"/>
    <s v="BIR168"/>
    <s v="1988"/>
    <s v="St Patrick RC Church"/>
    <s v="STAFFORD"/>
    <s v="Y"/>
    <n v="332.65999999999997"/>
    <n v="22.5"/>
    <s v="1"/>
    <s v="add £80 banked on 18 Dec 2019 -Loc Sec said he would put it on 2020 Annual Return"/>
    <m/>
    <n v="332.65999999999997"/>
    <n v="57.5"/>
    <n v="390.15999999999997"/>
  </r>
  <r>
    <x v="1"/>
    <s v="No"/>
    <s v="BIR169"/>
    <s v="1989"/>
    <s v="Our Lady of the Angels &amp; St Peter in Chains"/>
    <s v="STOKE-ON-TRENT"/>
    <s v="Y"/>
    <n v="665"/>
    <m/>
    <s v="1"/>
    <m/>
    <m/>
    <n v="665"/>
    <n v="50"/>
    <n v="715"/>
  </r>
  <r>
    <x v="1"/>
    <s v="No"/>
    <s v="BIR170"/>
    <s v="1990"/>
    <s v="Our Lady and St Benedict"/>
    <s v="ABBEY HULTON"/>
    <m/>
    <m/>
    <m/>
    <s v=" "/>
    <s v="Based on counterfoil records kept by Trevor Cooksey"/>
    <n v="268.74"/>
    <n v="268.74"/>
    <n v="100"/>
    <n v="368.74"/>
  </r>
  <r>
    <x v="1"/>
    <s v="No"/>
    <s v="BIR171"/>
    <s v="1991"/>
    <s v="St George &amp; St Martin"/>
    <s v="STOKE-ON-TRENT"/>
    <m/>
    <m/>
    <m/>
    <s v=" "/>
    <s v="Based on counterfoil records kept by Trevor Cooksey"/>
    <n v="1736.76"/>
    <n v="1736.76"/>
    <n v="35"/>
    <n v="1771.76"/>
  </r>
  <r>
    <x v="1"/>
    <s v="No"/>
    <s v="BIR173"/>
    <s v="1993"/>
    <s v="St Maria Goretti"/>
    <s v="STOKE ON TRENT"/>
    <s v="Y"/>
    <n v="105.39"/>
    <m/>
    <s v="1"/>
    <s v="Diff £0.08  : Grand Total stated £105.31"/>
    <m/>
    <n v="105.39"/>
    <m/>
    <n v="105.39"/>
  </r>
  <r>
    <x v="1"/>
    <s v="No"/>
    <s v="BIR174"/>
    <s v="1994"/>
    <s v="St Joseph RC Church"/>
    <s v="BURSLEM"/>
    <s v="Y"/>
    <n v="1153.8899999999999"/>
    <m/>
    <s v="1"/>
    <m/>
    <m/>
    <n v="1153.8899999999999"/>
    <m/>
    <n v="1153.8899999999999"/>
  </r>
  <r>
    <x v="1"/>
    <s v="No"/>
    <s v="BIR175"/>
    <s v="1995"/>
    <s v="St Peter RC Church"/>
    <s v="STOKE ON TRENT"/>
    <m/>
    <m/>
    <m/>
    <s v=" "/>
    <s v="Based on counterfoil records kept by Trevor Cooksey"/>
    <n v="489.89"/>
    <n v="489.89"/>
    <m/>
    <n v="489.89"/>
  </r>
  <r>
    <x v="1"/>
    <s v="No"/>
    <s v="BIR176"/>
    <s v="1996"/>
    <s v="St Patrick"/>
    <s v="STOKE-ON-TRENT"/>
    <m/>
    <m/>
    <m/>
    <s v=" "/>
    <m/>
    <m/>
    <n v="0"/>
    <m/>
    <n v="0"/>
  </r>
  <r>
    <x v="1"/>
    <s v="No"/>
    <s v="BIR177"/>
    <s v="1997"/>
    <s v="Our Lady of Perpetual Succour"/>
    <s v="STOKE ON TRENT"/>
    <s v="Y"/>
    <n v="536.68000000000006"/>
    <m/>
    <s v="1"/>
    <m/>
    <m/>
    <n v="536.68000000000006"/>
    <m/>
    <n v="536.68000000000006"/>
  </r>
  <r>
    <x v="1"/>
    <s v="No"/>
    <s v="BIR178"/>
    <s v="1998"/>
    <s v="St Joseph RC Church"/>
    <s v="GOLDENHILL"/>
    <s v="Y"/>
    <n v="647.91999999999996"/>
    <m/>
    <s v="1"/>
    <s v="£187.45 should be £188.07 per bank statement"/>
    <n v="0.62000000000000455"/>
    <n v="648.54"/>
    <n v="20"/>
    <n v="668.54"/>
  </r>
  <r>
    <x v="1"/>
    <s v="No"/>
    <s v="BIR179"/>
    <s v="1999"/>
    <s v="Sacred Heart RC Church"/>
    <s v="STOKE ON TRENT"/>
    <s v="Y"/>
    <n v="1402.54"/>
    <m/>
    <s v="1"/>
    <s v="£55 Banking on 25/09 is not in statement"/>
    <n v="-54.8"/>
    <n v="1347.74"/>
    <n v="55"/>
    <n v="1402.74"/>
  </r>
  <r>
    <x v="1"/>
    <s v="No"/>
    <s v="BIR180"/>
    <s v="2000"/>
    <s v="St Gregory RC Church"/>
    <s v="STOKE-ON-TRENT"/>
    <s v="Y"/>
    <n v="761.72"/>
    <m/>
    <s v="1"/>
    <m/>
    <m/>
    <n v="761.72"/>
    <n v="30"/>
    <n v="791.72"/>
  </r>
  <r>
    <x v="1"/>
    <s v="No"/>
    <s v="BIR181"/>
    <s v="2001"/>
    <s v="St Augustine of Canterbury"/>
    <s v="MEIR"/>
    <s v="Y"/>
    <n v="1530.66"/>
    <m/>
    <s v="1"/>
    <s v="£189.07 should be £199.07 per bank statement"/>
    <n v="10"/>
    <n v="1540.66"/>
    <n v="50"/>
    <n v="1590.66"/>
  </r>
  <r>
    <x v="1"/>
    <s v="No"/>
    <s v="BIR181S"/>
    <s v="0444443"/>
    <s v="St Mary"/>
    <s v="CRESSWELL"/>
    <m/>
    <m/>
    <m/>
    <s v=" "/>
    <m/>
    <m/>
    <n v="0"/>
    <m/>
    <n v="0"/>
  </r>
  <r>
    <x v="1"/>
    <s v="No"/>
    <s v="BIR182"/>
    <s v="2002"/>
    <s v="St Mary RC Church"/>
    <s v="STOKE ON TRENT"/>
    <s v="Y"/>
    <n v="328.06"/>
    <m/>
    <s v="1"/>
    <s v="£17 should be £77 per bank statement"/>
    <n v="60"/>
    <n v="388.06"/>
    <n v="10"/>
    <n v="398.06"/>
  </r>
  <r>
    <x v="1"/>
    <s v="No"/>
    <s v="BIR183"/>
    <s v="2003"/>
    <s v="St Teresa of the Child Jesus"/>
    <s v="STOKE ON TRENT"/>
    <s v="Y"/>
    <n v="1114.8000000000002"/>
    <m/>
    <s v="1"/>
    <s v="add £185.50 late banking on 02-01-2020"/>
    <n v="185.5"/>
    <n v="1300.3000000000002"/>
    <m/>
    <n v="1300.3000000000002"/>
  </r>
  <r>
    <x v="1"/>
    <s v="No"/>
    <s v="BIR184"/>
    <s v="2004"/>
    <s v="Sacred Heart"/>
    <s v="STOKE ON TRENT"/>
    <s v="Y"/>
    <n v="497.19"/>
    <m/>
    <s v="1"/>
    <s v="transposition error - should be £479.19"/>
    <n v="-18.02"/>
    <n v="479.17"/>
    <n v="20"/>
    <n v="499.17"/>
  </r>
  <r>
    <x v="1"/>
    <s v="No"/>
    <s v="BIR184S"/>
    <s v="0444433"/>
    <s v="St Bernadette (CLOSED)"/>
    <s v="STOKE-ON-TRENT"/>
    <m/>
    <m/>
    <m/>
    <s v=" "/>
    <m/>
    <m/>
    <n v="0"/>
    <m/>
    <n v="0"/>
  </r>
  <r>
    <x v="1"/>
    <s v="No"/>
    <s v="BIR185"/>
    <s v="2005"/>
    <s v="The Immaculate Conception &amp; St Dominic"/>
    <s v="STONE"/>
    <s v="Y"/>
    <n v="1464.33"/>
    <m/>
    <s v="1"/>
    <s v="per statement analysis it should be £1833.72    (add £30 (banked different amount) + £287.84 (banked 02-01-2020) + 90p casting error)"/>
    <n v="369.39"/>
    <n v="1833.7199999999998"/>
    <n v="20"/>
    <n v="1853.7199999999998"/>
  </r>
  <r>
    <x v="1"/>
    <s v="No"/>
    <s v="BIR185S"/>
    <s v="0444407"/>
    <s v="Holy Michael Archangel"/>
    <s v="ASTON-BY-STONE"/>
    <m/>
    <m/>
    <m/>
    <s v=" "/>
    <m/>
    <m/>
    <n v="0"/>
    <m/>
    <n v="0"/>
  </r>
  <r>
    <x v="1"/>
    <s v="No"/>
    <s v="BIR186"/>
    <s v="2006"/>
    <s v="Our Lady &amp; All Saints RC Church"/>
    <s v="STOURBRIDGE"/>
    <s v="Y"/>
    <n v="4228.1000000000004"/>
    <m/>
    <s v="1"/>
    <m/>
    <m/>
    <n v="4228.1000000000004"/>
    <n v="1060"/>
    <n v="5288.1"/>
  </r>
  <r>
    <x v="1"/>
    <s v="No"/>
    <s v="BIR187"/>
    <s v="2007"/>
    <s v="St Wulstan &amp; St Thomas of Canterbury"/>
    <s v="STOURPORT-ON-SEVERN"/>
    <s v="Y"/>
    <n v="871"/>
    <m/>
    <s v="1"/>
    <s v="add £29.45 (banked 18/12/2019) + £226.58 (24-12-2019) + extra banking identified"/>
    <n v="278.76000000000005"/>
    <n v="1149.76"/>
    <n v="240"/>
    <n v="1389.76"/>
  </r>
  <r>
    <x v="1"/>
    <s v="No"/>
    <s v="BIR187A"/>
    <s v="2008"/>
    <s v="The Holy Family"/>
    <s v="BEWDLEY"/>
    <m/>
    <m/>
    <m/>
    <s v=" "/>
    <m/>
    <m/>
    <n v="0"/>
    <m/>
    <n v="0"/>
  </r>
  <r>
    <x v="1"/>
    <s v="No"/>
    <s v="BIR188"/>
    <s v="2009"/>
    <s v="St Gregory the Great"/>
    <s v="STRATFORD-ON-AVON"/>
    <s v="Y"/>
    <n v="2281.1599999999994"/>
    <m/>
    <s v="1"/>
    <m/>
    <m/>
    <n v="2281.1599999999994"/>
    <n v="760"/>
    <n v="3041.1599999999994"/>
  </r>
  <r>
    <x v="1"/>
    <s v="No"/>
    <s v="BIR188S"/>
    <s v="0444424"/>
    <s v="Our Lady of Peace and Blessed Robert Dibdale"/>
    <s v="SHOTTERY"/>
    <m/>
    <m/>
    <m/>
    <s v=" "/>
    <m/>
    <m/>
    <n v="0"/>
    <m/>
    <n v="0"/>
  </r>
  <r>
    <x v="1"/>
    <s v="No"/>
    <s v="BIR189"/>
    <s v="2010"/>
    <s v="St Anne RC Church"/>
    <s v="STREETLY"/>
    <s v="Y"/>
    <n v="1763.44"/>
    <m/>
    <s v="1"/>
    <m/>
    <m/>
    <n v="1763.44"/>
    <n v="465.37"/>
    <n v="2228.81"/>
  </r>
  <r>
    <x v="1"/>
    <s v="No"/>
    <s v="BIR190"/>
    <s v="2011"/>
    <s v="St Mary RC Church"/>
    <s v="STUDLEY"/>
    <s v="Y"/>
    <n v="645.19000000000005"/>
    <m/>
    <s v="1"/>
    <m/>
    <m/>
    <n v="645.19000000000005"/>
    <n v="55"/>
    <n v="700.19"/>
  </r>
  <r>
    <x v="1"/>
    <s v="No"/>
    <s v="BIR191"/>
    <s v="2012"/>
    <s v="Holy Trinity RC Church"/>
    <s v="SUTTON COLDFIELD"/>
    <s v="Y"/>
    <n v="4514.93"/>
    <m/>
    <s v="1"/>
    <s v="less 5p diff in banking"/>
    <n v="-0.05"/>
    <n v="4514.88"/>
    <n v="295"/>
    <n v="4809.88"/>
  </r>
  <r>
    <x v="1"/>
    <s v="No"/>
    <s v="BIR192"/>
    <s v="2013"/>
    <s v="St Nicholas RC Church"/>
    <s v="SUTTON COLDFIELD"/>
    <s v="Y"/>
    <n v="0"/>
    <n v="0"/>
    <s v="1"/>
    <s v="chq £62 received 08-01-2020   Account for in 2020"/>
    <m/>
    <n v="0"/>
    <n v="162"/>
    <n v="162"/>
  </r>
  <r>
    <x v="1"/>
    <s v="No"/>
    <s v="BIR193"/>
    <s v="2014"/>
    <s v="Sacred Heart RC Church"/>
    <s v="SUTTON COLDFIELD"/>
    <s v="Y"/>
    <n v="1021.06"/>
    <m/>
    <s v="1"/>
    <m/>
    <m/>
    <n v="1021.06"/>
    <n v="175"/>
    <n v="1196.06"/>
  </r>
  <r>
    <x v="1"/>
    <s v="No"/>
    <s v="BIR194"/>
    <s v="2015"/>
    <s v="Holy Cross &amp; St Francis RC Church"/>
    <s v="SUTTON COLDFIELD"/>
    <s v="Y"/>
    <n v="522.66999999999996"/>
    <m/>
    <s v="1"/>
    <m/>
    <m/>
    <n v="522.66999999999996"/>
    <n v="249"/>
    <n v="771.67"/>
  </r>
  <r>
    <x v="1"/>
    <s v="No"/>
    <s v="BIR195"/>
    <s v="2016"/>
    <s v="Our Lady of the Assumption"/>
    <s v="SWYNNERTON"/>
    <s v="Y"/>
    <n v="507.49"/>
    <m/>
    <s v="1"/>
    <m/>
    <m/>
    <n v="507.49"/>
    <n v="180"/>
    <n v="687.49"/>
  </r>
  <r>
    <x v="1"/>
    <s v="No"/>
    <s v="BIR196"/>
    <s v="2017"/>
    <s v="St John the Baptist"/>
    <s v="TAMWORTH"/>
    <s v="Y"/>
    <n v="1345.2"/>
    <m/>
    <s v="1"/>
    <m/>
    <m/>
    <n v="1345.2"/>
    <n v="275"/>
    <n v="1620.2"/>
  </r>
  <r>
    <x v="1"/>
    <s v="No"/>
    <s v="BIR196X"/>
    <s v="2018"/>
    <s v="Sacred Heart RC Church"/>
    <s v="TAMWORTH (GLASCOTE HEATH)"/>
    <m/>
    <m/>
    <m/>
    <s v=" "/>
    <s v="Based on counterfoil records kept by Trevor Cooksey"/>
    <n v="274.87"/>
    <n v="274.87"/>
    <m/>
    <n v="274.87"/>
  </r>
  <r>
    <x v="1"/>
    <s v="No"/>
    <s v="BIR197"/>
    <s v="2019"/>
    <s v="St Thomas of Canterbury"/>
    <s v="TEAN"/>
    <m/>
    <m/>
    <m/>
    <s v=" "/>
    <m/>
    <m/>
    <n v="0"/>
    <m/>
    <n v="0"/>
  </r>
  <r>
    <x v="1"/>
    <s v="No"/>
    <s v="BIR198"/>
    <s v="148025"/>
    <s v="The Sacred Heart &amp; Our Lady"/>
    <s v="TENBURY WELLS"/>
    <s v="Y"/>
    <n v="290.94"/>
    <m/>
    <s v="1"/>
    <m/>
    <m/>
    <n v="290.94"/>
    <m/>
    <n v="290.94"/>
  </r>
  <r>
    <x v="1"/>
    <s v="No"/>
    <s v="BIR199"/>
    <s v="2020"/>
    <s v="St Joseph RC Church"/>
    <s v="THAME"/>
    <s v="Y"/>
    <n v="416.07"/>
    <m/>
    <s v="1"/>
    <m/>
    <m/>
    <n v="416.07"/>
    <n v="455"/>
    <n v="871.06999999999994"/>
  </r>
  <r>
    <x v="1"/>
    <s v="No"/>
    <s v="BIR200"/>
    <s v="2021"/>
    <s v="Sacred Heart &amp; Holy Souls"/>
    <s v="TIPTON"/>
    <s v="Y"/>
    <n v="901.13000000000011"/>
    <m/>
    <s v="1"/>
    <m/>
    <m/>
    <n v="901.13000000000011"/>
    <n v="80"/>
    <n v="981.13000000000011"/>
  </r>
  <r>
    <x v="1"/>
    <s v="No"/>
    <s v="BIR200X"/>
    <s v="2022"/>
    <s v="St Joseph RC Church"/>
    <s v="UPTON-ON-SEVERN"/>
    <s v="Y"/>
    <n v="776.64"/>
    <m/>
    <s v="1"/>
    <s v="Diff £1  : Grand Total stated £775.94"/>
    <m/>
    <n v="776.64"/>
    <m/>
    <n v="776.64"/>
  </r>
  <r>
    <x v="1"/>
    <s v="No"/>
    <s v="BIR200XS"/>
    <s v="0444439"/>
    <s v="Our Blessed Lady &amp; St Alphonsus"/>
    <s v="BLACKMORE PARK"/>
    <m/>
    <m/>
    <m/>
    <s v=" "/>
    <m/>
    <m/>
    <n v="0"/>
    <m/>
    <n v="0"/>
  </r>
  <r>
    <x v="1"/>
    <s v="No"/>
    <s v="BIR201"/>
    <s v="2023"/>
    <s v="St Mary RC Church"/>
    <s v="UTTOXETER"/>
    <s v="Y"/>
    <n v="768.18"/>
    <m/>
    <s v="1"/>
    <m/>
    <m/>
    <n v="768.18"/>
    <n v="342"/>
    <n v="1110.1799999999998"/>
  </r>
  <r>
    <x v="1"/>
    <s v="No"/>
    <s v="BIR201S"/>
    <s v="0444405"/>
    <s v="Sacred Heart (CLOSED)"/>
    <s v="ABBOTS BROMLEY"/>
    <m/>
    <m/>
    <m/>
    <s v=" "/>
    <m/>
    <m/>
    <n v="0"/>
    <m/>
    <n v="0"/>
  </r>
  <r>
    <x v="1"/>
    <s v="No"/>
    <s v="BIR202"/>
    <s v="2024"/>
    <s v="St Mary"/>
    <s v="WALSALL"/>
    <s v="Y"/>
    <n v="760.69"/>
    <m/>
    <s v="1"/>
    <m/>
    <m/>
    <n v="760.69"/>
    <n v="542.81999999999994"/>
    <n v="1303.51"/>
  </r>
  <r>
    <x v="1"/>
    <s v="No"/>
    <s v="BIR203"/>
    <s v="2025"/>
    <s v="St Patrick RC Church"/>
    <s v="WALSALL"/>
    <s v="Y"/>
    <n v="620.46"/>
    <m/>
    <s v="1"/>
    <m/>
    <m/>
    <n v="620.46"/>
    <n v="195.7"/>
    <n v="816.16000000000008"/>
  </r>
  <r>
    <x v="1"/>
    <s v="No"/>
    <s v="BIR204"/>
    <s v="2026"/>
    <s v="St Thomas of Canterbury"/>
    <s v="WALSALL"/>
    <s v="Y"/>
    <m/>
    <n v="262.18"/>
    <s v="1"/>
    <m/>
    <m/>
    <n v="0"/>
    <n v="372.18"/>
    <n v="372.18"/>
  </r>
  <r>
    <x v="1"/>
    <s v="No"/>
    <s v="BIR205"/>
    <s v="2027"/>
    <s v="St Anne RC Church"/>
    <s v="WAPPENBURY"/>
    <s v="Y"/>
    <n v="480.34"/>
    <m/>
    <s v="1"/>
    <m/>
    <m/>
    <n v="480.34"/>
    <n v="25"/>
    <n v="505.34"/>
  </r>
  <r>
    <x v="1"/>
    <s v="No"/>
    <s v="BIR205S"/>
    <s v="0444417"/>
    <s v="Our Lady of the Angels"/>
    <s v="PRINCETHORPE"/>
    <m/>
    <m/>
    <m/>
    <s v=" "/>
    <m/>
    <m/>
    <n v="0"/>
    <m/>
    <n v="0"/>
  </r>
  <r>
    <x v="1"/>
    <s v="No"/>
    <s v="BIR206"/>
    <s v="2028"/>
    <s v="Our Lady &amp; St Hubert RC Church"/>
    <s v="WARLEY"/>
    <m/>
    <m/>
    <m/>
    <s v=" "/>
    <m/>
    <m/>
    <n v="0"/>
    <n v="834.27"/>
    <n v="834.27"/>
  </r>
  <r>
    <x v="1"/>
    <s v="No"/>
    <s v="BIR207"/>
    <s v="2029"/>
    <s v="St Mary Immaculate"/>
    <s v="WARWICK"/>
    <s v="Y"/>
    <n v="1508.82"/>
    <m/>
    <s v="1"/>
    <s v="£551.65 - should be £551.68: banking difference 3p"/>
    <n v="0.03"/>
    <n v="1508.85"/>
    <n v="196"/>
    <n v="1704.85"/>
  </r>
  <r>
    <x v="1"/>
    <s v="No"/>
    <s v="BIR208"/>
    <s v="2030"/>
    <s v="St Edmund Campion"/>
    <s v="WATLINGTON"/>
    <m/>
    <m/>
    <m/>
    <s v=" "/>
    <m/>
    <m/>
    <n v="0"/>
    <m/>
    <n v="0"/>
  </r>
  <r>
    <x v="1"/>
    <s v="No"/>
    <s v="BIR208S"/>
    <s v="0444418"/>
    <s v="Chapel of The Blessed Trinity"/>
    <s v="STONOR"/>
    <m/>
    <m/>
    <m/>
    <s v=" "/>
    <m/>
    <m/>
    <n v="0"/>
    <m/>
    <n v="0"/>
  </r>
  <r>
    <x v="1"/>
    <s v="No"/>
    <s v="BIR209"/>
    <s v="2031"/>
    <s v="St Mary on the Hill"/>
    <s v="WEDNESBURY"/>
    <s v="Y"/>
    <n v="471.16"/>
    <m/>
    <s v="1"/>
    <s v="add £53.94 banked 03-01-2020 + casting error 36p"/>
    <n v="54.3"/>
    <n v="525.46"/>
    <m/>
    <n v="525.46"/>
  </r>
  <r>
    <x v="1"/>
    <s v="No"/>
    <s v="BIR210"/>
    <s v="2032"/>
    <s v="St Michael &amp; the Holy Angels"/>
    <s v="WEST BROMWICH"/>
    <s v="Y"/>
    <n v="1062.92"/>
    <m/>
    <s v="1"/>
    <m/>
    <m/>
    <n v="1062.92"/>
    <m/>
    <n v="1062.92"/>
  </r>
  <r>
    <x v="1"/>
    <s v="No"/>
    <s v="BIR211"/>
    <s v="2033"/>
    <s v="Holy Cross"/>
    <s v="WEST BROMWICH"/>
    <s v="Y"/>
    <n v="1175"/>
    <m/>
    <s v="1"/>
    <m/>
    <m/>
    <n v="1175"/>
    <m/>
    <n v="1175"/>
  </r>
  <r>
    <x v="1"/>
    <s v="No"/>
    <s v="BIR211S"/>
    <s v="0444450"/>
    <s v="St Joseph"/>
    <s v="WEST BROMWICH"/>
    <m/>
    <m/>
    <m/>
    <s v=" "/>
    <m/>
    <m/>
    <n v="0"/>
    <m/>
    <n v="0"/>
  </r>
  <r>
    <x v="1"/>
    <s v="No"/>
    <s v="BIR212"/>
    <s v="2034"/>
    <s v="Our Lady of the Sacred Heart"/>
    <s v="BULKINGTON"/>
    <s v="Y"/>
    <n v="2708.68"/>
    <m/>
    <s v="1"/>
    <s v="add late banking 99p (23/12/19) &amp; difference"/>
    <n v="-0.99"/>
    <n v="2707.69"/>
    <n v="300"/>
    <n v="3007.69"/>
  </r>
  <r>
    <x v="1"/>
    <s v="No"/>
    <s v="BIR213"/>
    <s v="2035"/>
    <s v="St  Joseph RC Church"/>
    <s v="WHITNASH"/>
    <s v="Y"/>
    <n v="1271.3800000000001"/>
    <m/>
    <s v="1"/>
    <m/>
    <m/>
    <n v="1271.3800000000001"/>
    <n v="470"/>
    <n v="1741.38"/>
  </r>
  <r>
    <x v="1"/>
    <s v="No"/>
    <s v="BIR214"/>
    <s v="2036"/>
    <s v="St Mary"/>
    <s v="WILLENHALL"/>
    <m/>
    <m/>
    <m/>
    <s v=" "/>
    <m/>
    <m/>
    <n v="0"/>
    <n v="695"/>
    <n v="695"/>
  </r>
  <r>
    <x v="1"/>
    <s v="No"/>
    <s v="BIR215"/>
    <s v="2038"/>
    <s v="Our Lady &amp; St Hugh"/>
    <s v="WITNEY"/>
    <m/>
    <m/>
    <m/>
    <s v=" "/>
    <s v="Based on counterfoil records kept by Trevor Cooksey"/>
    <n v="786.96"/>
    <n v="786.96"/>
    <n v="90"/>
    <n v="876.96"/>
  </r>
  <r>
    <x v="1"/>
    <s v="No"/>
    <s v="BIR216"/>
    <s v="2039"/>
    <s v="St Wulstan RC Church"/>
    <s v="WOLSTANTON"/>
    <m/>
    <m/>
    <m/>
    <s v=" "/>
    <m/>
    <m/>
    <n v="0"/>
    <n v="25"/>
    <n v="25"/>
  </r>
  <r>
    <x v="1"/>
    <s v="No"/>
    <s v="BIR217"/>
    <s v="2040"/>
    <s v="Corpus Christi RC Church"/>
    <s v="WOLVERHAMPTON"/>
    <m/>
    <m/>
    <m/>
    <s v=" "/>
    <m/>
    <m/>
    <n v="0"/>
    <n v="700.26"/>
    <n v="700.26"/>
  </r>
  <r>
    <x v="1"/>
    <s v="No"/>
    <s v="BIR218"/>
    <s v="2041"/>
    <s v="Our Lady of Perpetual Succour"/>
    <s v="WOLVERHAMPTON"/>
    <s v="Y"/>
    <n v="2866.88"/>
    <m/>
    <s v="1"/>
    <s v="Total less £270 which was banked on 20-12-2019"/>
    <m/>
    <n v="2866.88"/>
    <n v="116.97"/>
    <n v="2983.85"/>
  </r>
  <r>
    <x v="1"/>
    <s v="No"/>
    <s v="BIR219"/>
    <s v="2042"/>
    <s v="St Anthony of Padua"/>
    <s v="WOLVERHAMPTON"/>
    <s v="Y"/>
    <m/>
    <n v="520"/>
    <s v="1"/>
    <m/>
    <m/>
    <n v="0"/>
    <n v="570"/>
    <n v="570"/>
  </r>
  <r>
    <x v="1"/>
    <s v="No"/>
    <s v="BIR220"/>
    <s v="2043"/>
    <s v="St Joseph RC Church"/>
    <s v="WOLVERHAMPTON"/>
    <m/>
    <m/>
    <m/>
    <s v=" "/>
    <s v="Based on counterfoil records kept by Trevor Cooksey"/>
    <n v="440.19"/>
    <n v="440.19"/>
    <n v="20"/>
    <n v="460.19"/>
  </r>
  <r>
    <x v="1"/>
    <s v="No"/>
    <s v="BIR221"/>
    <s v="2045"/>
    <s v="St Mary &amp; St John"/>
    <s v="WOLVERHAMPTON"/>
    <s v="Y"/>
    <n v="446.77"/>
    <m/>
    <s v="1"/>
    <m/>
    <m/>
    <n v="446.77"/>
    <n v="434"/>
    <n v="880.77"/>
  </r>
  <r>
    <x v="1"/>
    <s v="No"/>
    <s v="BIR222"/>
    <s v="2046"/>
    <s v="St Michael RC Church"/>
    <s v="WOLVERHAMPTON"/>
    <s v="Y"/>
    <n v="1728.66"/>
    <m/>
    <s v="1"/>
    <m/>
    <m/>
    <n v="1728.66"/>
    <n v="452"/>
    <n v="2180.66"/>
  </r>
  <r>
    <x v="1"/>
    <s v="No"/>
    <s v="BIR223"/>
    <s v="2047"/>
    <s v="St Patrick RC Church"/>
    <s v="WOLVERHAMPTON"/>
    <s v="Y"/>
    <n v="208.91000000000003"/>
    <m/>
    <s v="1"/>
    <m/>
    <m/>
    <n v="208.91000000000003"/>
    <n v="64"/>
    <n v="272.91000000000003"/>
  </r>
  <r>
    <x v="1"/>
    <s v="No"/>
    <s v="BIR224"/>
    <s v="2048"/>
    <s v="St Peter &amp; St Paul RC Church"/>
    <s v="WOLVERHAMPTON"/>
    <s v="Y"/>
    <n v="189"/>
    <n v="257.27999999999997"/>
    <s v="1"/>
    <m/>
    <m/>
    <n v="189"/>
    <n v="584.87"/>
    <n v="773.87"/>
  </r>
  <r>
    <x v="1"/>
    <s v="No"/>
    <s v="BIR225"/>
    <s v="2050"/>
    <s v="St Teresa of the Infant Jesus"/>
    <s v="WOLVERHAMPTON"/>
    <s v="Y"/>
    <n v="780.15"/>
    <m/>
    <s v="1"/>
    <m/>
    <m/>
    <n v="780.15"/>
    <m/>
    <n v="780.15"/>
  </r>
  <r>
    <x v="1"/>
    <s v="No"/>
    <s v="BIR226"/>
    <s v="2051"/>
    <s v="St Thomas of Canterbury"/>
    <s v="TETTENHALL"/>
    <m/>
    <m/>
    <m/>
    <s v=" "/>
    <m/>
    <m/>
    <n v="0"/>
    <n v="107.5"/>
    <n v="107.5"/>
  </r>
  <r>
    <x v="1"/>
    <s v="No"/>
    <s v="BIR227"/>
    <s v="2053"/>
    <s v="St Bernadette RC Church"/>
    <s v="WOMBOURNE"/>
    <s v="Y"/>
    <n v="1029.3"/>
    <m/>
    <s v="1"/>
    <m/>
    <m/>
    <n v="1029.3"/>
    <n v="61"/>
    <n v="1090.3"/>
  </r>
  <r>
    <x v="1"/>
    <s v="No"/>
    <s v="BIR228"/>
    <s v="2054"/>
    <s v="Our Lady &amp; St Benedict"/>
    <s v="WOOTON WAWEN"/>
    <m/>
    <m/>
    <m/>
    <s v=" "/>
    <m/>
    <m/>
    <n v="0"/>
    <m/>
    <n v="0"/>
  </r>
  <r>
    <x v="1"/>
    <s v="No"/>
    <s v="BIR228S"/>
    <s v="0444427"/>
    <s v="St Nicholas Anglican Church"/>
    <s v="HENLEY-IN-ARDEN"/>
    <m/>
    <m/>
    <m/>
    <s v=" "/>
    <m/>
    <m/>
    <n v="0"/>
    <m/>
    <n v="0"/>
  </r>
  <r>
    <x v="1"/>
    <s v="No"/>
    <s v="BIR229"/>
    <s v="2055"/>
    <s v="Our Lady of Queen of Peace"/>
    <s v="WORCESTER"/>
    <s v="Y"/>
    <n v="783.15"/>
    <m/>
    <s v="1"/>
    <m/>
    <m/>
    <n v="783.15"/>
    <n v="65"/>
    <n v="848.15"/>
  </r>
  <r>
    <x v="1"/>
    <s v="No"/>
    <s v="BIR230"/>
    <s v="2056"/>
    <s v="St George RC Church"/>
    <s v="WORCESTER"/>
    <m/>
    <m/>
    <m/>
    <s v=" "/>
    <s v="per statement analysis it should be £"/>
    <n v="80.38"/>
    <n v="80.38"/>
    <n v="739"/>
    <n v="819.38"/>
  </r>
  <r>
    <x v="1"/>
    <s v="No"/>
    <s v="BIR231"/>
    <s v="2057"/>
    <s v="St Joseph RC Church"/>
    <s v="WORCESTER"/>
    <m/>
    <m/>
    <m/>
    <s v=" "/>
    <m/>
    <m/>
    <n v="0"/>
    <n v="1203.81"/>
    <n v="1203.81"/>
  </r>
  <r>
    <x v="1"/>
    <s v="No"/>
    <s v="BIR232"/>
    <s v="0444625"/>
    <s v="West Indian Chaplaincy"/>
    <s v="BIRMINGHAM"/>
    <m/>
    <m/>
    <m/>
    <s v=" "/>
    <m/>
    <m/>
    <n v="0"/>
    <m/>
    <n v="0"/>
  </r>
  <r>
    <x v="1"/>
    <s v="No"/>
    <s v="BIR233"/>
    <s v="0444441"/>
    <s v="St Christopher"/>
    <s v="TUTBURY"/>
    <s v="N"/>
    <m/>
    <m/>
    <s v=" "/>
    <s v="included in BIR072-1880"/>
    <m/>
    <n v="0"/>
    <m/>
    <n v="0"/>
  </r>
  <r>
    <x v="1"/>
    <s v="No"/>
    <s v="BIR233"/>
    <s v="235525"/>
    <s v="St Christopher RC Church"/>
    <s v="BURTON-ON-TRENT"/>
    <s v="N"/>
    <m/>
    <m/>
    <s v=" "/>
    <s v="duplicate record of BIR233-0444441?"/>
    <m/>
    <n v="0"/>
    <m/>
    <n v="0"/>
  </r>
  <r>
    <x v="1"/>
    <s v="No"/>
    <s v="BIR234"/>
    <s v="0444442"/>
    <s v="St Francis de Sales"/>
    <s v="WOODLANE"/>
    <m/>
    <m/>
    <m/>
    <s v=" "/>
    <s v="Based on counterfoil records kept by Trevor Cooksey"/>
    <n v="251.69"/>
    <n v="251.69"/>
    <m/>
    <n v="251.69"/>
  </r>
  <r>
    <x v="1"/>
    <s v="No"/>
    <s v="BIR999"/>
    <s v="2061"/>
    <s v="Birmingham Miscellaneous Donations"/>
    <m/>
    <m/>
    <m/>
    <m/>
    <s v=" "/>
    <s v="unidentified items in bank statements &amp; add £840.43 DIOC banking on 12/02/2019 per Vangie"/>
    <n v="884.15"/>
    <n v="884.15"/>
    <n v="172"/>
    <n v="1056.1500000000001"/>
  </r>
  <r>
    <x v="2"/>
    <s v="No"/>
    <s v="BRE001"/>
    <s v="2063"/>
    <s v="Cathedral Church of St Mary &amp; St Helen"/>
    <s v="BRENTWOOD"/>
    <m/>
    <m/>
    <m/>
    <s v=" "/>
    <s v="banking per DD"/>
    <n v="2643.92"/>
    <n v="2643.92"/>
    <n v="736"/>
    <n v="3379.92"/>
  </r>
  <r>
    <x v="2"/>
    <s v="No"/>
    <s v="BRE002"/>
    <s v="2064"/>
    <s v="Holy Cross RC Church"/>
    <s v="SOUTH OCKENDON"/>
    <s v="Y"/>
    <n v="356"/>
    <m/>
    <s v="1"/>
    <m/>
    <m/>
    <n v="356"/>
    <n v="45"/>
    <n v="401"/>
  </r>
  <r>
    <x v="2"/>
    <s v="No"/>
    <s v="BRE003"/>
    <s v="2065"/>
    <s v="Parish of St Mary &amp; St Ethelburga with St Erconwald (St Mary &amp; St Ethelburga)"/>
    <s v="BARKING"/>
    <s v="Y"/>
    <n v="792.82999999999993"/>
    <m/>
    <s v="1"/>
    <m/>
    <m/>
    <n v="792.82999999999993"/>
    <n v="276"/>
    <n v="1068.83"/>
  </r>
  <r>
    <x v="2"/>
    <s v="Yes"/>
    <s v="BRE004"/>
    <s v="2066"/>
    <s v="St Thomas More RC Church"/>
    <s v="BARKING"/>
    <s v="Y"/>
    <n v="951.76"/>
    <m/>
    <s v="1"/>
    <s v="per DD - it is £942.80  (less banking on 07-01-2020 and 24-01-2020)"/>
    <n v="-8.9600000000000364"/>
    <n v="942.8"/>
    <n v="186.97"/>
    <n v="1129.77"/>
  </r>
  <r>
    <x v="2"/>
    <s v="Yes"/>
    <s v="BRE004S"/>
    <s v="0443584"/>
    <s v="St Thomas More (St Anne)"/>
    <s v="BARKING"/>
    <m/>
    <m/>
    <m/>
    <s v=" "/>
    <m/>
    <m/>
    <n v="0"/>
    <m/>
    <n v="0"/>
  </r>
  <r>
    <x v="2"/>
    <s v="No"/>
    <s v="BRE005"/>
    <s v="2068"/>
    <s v="St Augustine of Canterbury RC Church"/>
    <s v="ILFORD  "/>
    <s v="Y"/>
    <n v="3932"/>
    <n v="70"/>
    <s v="1"/>
    <s v="per DD - it is £4002"/>
    <n v="70"/>
    <n v="4002"/>
    <n v="854"/>
    <n v="4856"/>
  </r>
  <r>
    <x v="2"/>
    <s v="Yes"/>
    <s v="BRE006"/>
    <s v="2069"/>
    <s v="Our Lady &amp; All Saints (St Basil the Great)"/>
    <s v="BASILDON"/>
    <s v="Y"/>
    <n v="1100"/>
    <m/>
    <s v="1"/>
    <m/>
    <m/>
    <n v="1100"/>
    <n v="275"/>
    <n v="1375"/>
  </r>
  <r>
    <x v="2"/>
    <s v="Yes"/>
    <s v="BRE007"/>
    <s v="2070"/>
    <s v="Our Lady &amp; All Saints (The Most Holy Trinity)"/>
    <s v="BASILDON"/>
    <s v="Y"/>
    <n v="622.72"/>
    <m/>
    <s v="1"/>
    <s v="Diff 20p: Grand Total stated £622.97"/>
    <m/>
    <n v="622.72"/>
    <n v="123"/>
    <n v="745.72"/>
  </r>
  <r>
    <x v="2"/>
    <s v="No"/>
    <s v="BRE008"/>
    <s v="2071"/>
    <s v="St Vincent de Paul RC Church"/>
    <s v="DAGENHAM"/>
    <s v="Y"/>
    <n v="319.77999999999997"/>
    <m/>
    <s v="1"/>
    <m/>
    <m/>
    <n v="319.77999999999997"/>
    <n v="20"/>
    <n v="339.78"/>
  </r>
  <r>
    <x v="2"/>
    <s v="No"/>
    <s v="BRE009"/>
    <s v="2072"/>
    <s v="Holy Family RC Church"/>
    <s v="BENFLEET"/>
    <m/>
    <m/>
    <m/>
    <s v=" "/>
    <m/>
    <m/>
    <n v="0"/>
    <n v="574.9"/>
    <n v="574.9"/>
  </r>
  <r>
    <x v="2"/>
    <s v="No"/>
    <s v="BRE009S"/>
    <s v="0443586"/>
    <s v="Holy Family (St Thomas More)"/>
    <s v="BENFLEET"/>
    <m/>
    <m/>
    <m/>
    <s v=" "/>
    <m/>
    <m/>
    <n v="0"/>
    <m/>
    <n v="0"/>
  </r>
  <r>
    <x v="2"/>
    <s v="No"/>
    <s v="BRE010"/>
    <s v="2073"/>
    <s v="The Most Holy Redeemer RC Church"/>
    <s v="BILLERICAY"/>
    <s v="Y"/>
    <n v="2382.2999999999997"/>
    <m/>
    <s v="1"/>
    <m/>
    <m/>
    <n v="2382.2999999999997"/>
    <n v="467.97"/>
    <n v="2850.2699999999995"/>
  </r>
  <r>
    <x v="2"/>
    <s v="No"/>
    <s v="BRE011"/>
    <s v="2074"/>
    <s v="Our Lady Queen of Peace"/>
    <s v="BRAINTREE"/>
    <s v="Y"/>
    <n v="790.77"/>
    <m/>
    <s v="1"/>
    <m/>
    <m/>
    <n v="790.77"/>
    <n v="67.5"/>
    <n v="858.27"/>
  </r>
  <r>
    <x v="2"/>
    <s v="No"/>
    <s v="BRE013"/>
    <s v="2077"/>
    <s v="Parish of Assumption of Our Lady &amp; St Cuthbert (St Cuthbert RC Church)"/>
    <s v="MALDON"/>
    <m/>
    <m/>
    <m/>
    <s v=" "/>
    <s v="banking per DD"/>
    <n v="1329"/>
    <n v="1329"/>
    <n v="42"/>
    <n v="1371"/>
  </r>
  <r>
    <x v="2"/>
    <s v="Yes"/>
    <s v="BRE014"/>
    <s v="2078"/>
    <s v="St Margaret &amp; All Saints RC Church"/>
    <s v="LONDON"/>
    <s v="Y"/>
    <n v="565.92999999999995"/>
    <m/>
    <s v="1"/>
    <s v="per DD - it is zero"/>
    <n v="-565.92999999999995"/>
    <n v="0"/>
    <n v="784.59999999999991"/>
    <n v="784.59999999999991"/>
  </r>
  <r>
    <x v="2"/>
    <s v="No"/>
    <s v="BRE014S"/>
    <s v="0479438"/>
    <s v="St Margaret's Convent Chapel"/>
    <s v="CANNING TOWN"/>
    <m/>
    <m/>
    <m/>
    <s v=" "/>
    <m/>
    <m/>
    <n v="0"/>
    <m/>
    <n v="0"/>
  </r>
  <r>
    <x v="2"/>
    <s v="No"/>
    <s v="BRE016"/>
    <s v="2079"/>
    <s v="Our Lady of Canvey &amp; The English Martyrs RC Church"/>
    <s v="CANVEY ISLAND"/>
    <m/>
    <m/>
    <m/>
    <s v=" "/>
    <m/>
    <m/>
    <n v="0"/>
    <n v="528.86"/>
    <n v="528.86"/>
  </r>
  <r>
    <x v="2"/>
    <s v="No"/>
    <s v="BRE017"/>
    <s v="2080"/>
    <s v="St Bede RC Church"/>
    <s v="ROMFORD"/>
    <m/>
    <m/>
    <m/>
    <s v=" "/>
    <m/>
    <m/>
    <n v="0"/>
    <n v="790"/>
    <n v="790"/>
  </r>
  <r>
    <x v="2"/>
    <s v="??"/>
    <s v="BRE019"/>
    <n v="2081"/>
    <s v=" Parish of Our Lady Immaculate &amp; Holy Name ( Our Lady Immaculate Church)"/>
    <m/>
    <s v="Y"/>
    <n v="1095.43"/>
    <m/>
    <m/>
    <s v="per DD - it is £1088.81"/>
    <n v="-6.62"/>
    <n v="1088.8100000000002"/>
    <m/>
    <n v="1088.8100000000002"/>
  </r>
  <r>
    <x v="2"/>
    <s v="No"/>
    <s v="BRE020"/>
    <s v="2082"/>
    <s v="The Blessed Sacrament RC Church"/>
    <s v="CHELMSFORD"/>
    <s v="Y"/>
    <n v="1106"/>
    <m/>
    <s v="1"/>
    <s v="per DD - it is £1011"/>
    <n v="-95"/>
    <n v="1011"/>
    <n v="466.14"/>
    <n v="1477.1399999999999"/>
  </r>
  <r>
    <x v="2"/>
    <s v="No"/>
    <s v="BRE021"/>
    <n v="2083"/>
    <s v="Parish of Our Lady Immaculate &amp; Holy Name (The Holy Name RC Church)"/>
    <s v="CHELMSFORD                    "/>
    <s v="Y"/>
    <n v="507.22"/>
    <m/>
    <s v="1"/>
    <s v="per DD - it is £507.27"/>
    <n v="0.05"/>
    <n v="507.27000000000004"/>
    <n v="190"/>
    <n v="697.27"/>
  </r>
  <r>
    <x v="2"/>
    <s v="No"/>
    <s v="BRE022"/>
    <s v="2084"/>
    <s v="Our Lady of Grace &amp; St Teresa of Avila RC Church"/>
    <s v="LONDON"/>
    <m/>
    <m/>
    <m/>
    <s v=" "/>
    <s v="banking per DD"/>
    <n v="862"/>
    <n v="862"/>
    <n v="520"/>
    <n v="1382"/>
  </r>
  <r>
    <x v="2"/>
    <s v="No"/>
    <s v="BRE023"/>
    <s v="2086"/>
    <s v="Our Lady of Light &amp; St Osyth RC Church"/>
    <s v="CLACTON-ON-SEA"/>
    <s v="Y"/>
    <n v="1837.83"/>
    <m/>
    <s v="1"/>
    <m/>
    <m/>
    <n v="1837.83"/>
    <n v="35"/>
    <n v="1872.83"/>
  </r>
  <r>
    <x v="2"/>
    <s v="No"/>
    <s v="BRE023A"/>
    <s v="0479439"/>
    <s v="All Souls"/>
    <s v="HOLLAND-ON-SEA"/>
    <m/>
    <m/>
    <m/>
    <s v=" "/>
    <m/>
    <m/>
    <n v="0"/>
    <m/>
    <n v="0"/>
  </r>
  <r>
    <x v="2"/>
    <s v="No"/>
    <s v="BRE023S"/>
    <s v="0479440"/>
    <s v="All Saints"/>
    <s v="JAYWICK"/>
    <m/>
    <m/>
    <m/>
    <s v=" "/>
    <m/>
    <m/>
    <n v="0"/>
    <m/>
    <n v="0"/>
  </r>
  <r>
    <x v="2"/>
    <s v="No"/>
    <s v="BRE024"/>
    <s v="2087"/>
    <s v="St John Vianney RC Church"/>
    <s v="ILFORD"/>
    <s v="Y"/>
    <m/>
    <n v="323.45999999999998"/>
    <s v="1"/>
    <m/>
    <m/>
    <n v="0"/>
    <n v="538.46"/>
    <n v="538.46"/>
  </r>
  <r>
    <x v="2"/>
    <s v="Yes"/>
    <s v="BRE025"/>
    <s v="2088"/>
    <s v="St James the Less &amp; St Helen RC Church"/>
    <s v="COLCHESTER"/>
    <m/>
    <m/>
    <m/>
    <s v=" "/>
    <s v="banking per DD"/>
    <n v="978.42"/>
    <n v="978.42"/>
    <n v="1090"/>
    <n v="2068.42"/>
  </r>
  <r>
    <x v="2"/>
    <s v="Yes"/>
    <s v="BRE025S"/>
    <s v="0443632"/>
    <s v="St James the Less &amp; St Helen RC Church (St Joseph)"/>
    <s v="COLCHESTER"/>
    <m/>
    <m/>
    <m/>
    <s v=" "/>
    <m/>
    <m/>
    <n v="0"/>
    <m/>
    <n v="0"/>
  </r>
  <r>
    <x v="2"/>
    <s v="Yes"/>
    <s v="BRE025S2"/>
    <s v="0443633"/>
    <s v="St James the Less &amp; St Helen RC Church (St Cedd &amp; St Gregory)"/>
    <s v="COLCHESTER"/>
    <m/>
    <m/>
    <m/>
    <s v=" "/>
    <m/>
    <m/>
    <n v="0"/>
    <m/>
    <n v="0"/>
  </r>
  <r>
    <x v="2"/>
    <s v="Yes"/>
    <s v="BRE025S3"/>
    <s v="0443634"/>
    <s v="St James the Less &amp; St Helen RC Church (St Theodore of Canterbury)"/>
    <s v="COLCHESTER"/>
    <m/>
    <m/>
    <m/>
    <s v=" "/>
    <m/>
    <m/>
    <n v="0"/>
    <m/>
    <n v="0"/>
  </r>
  <r>
    <x v="2"/>
    <s v="No"/>
    <s v="BRE026"/>
    <s v="2089"/>
    <s v="Corpus Christi RC Church"/>
    <s v="ROMFORD"/>
    <s v="Y"/>
    <n v="1106.6300000000001"/>
    <m/>
    <s v="1"/>
    <s v="per DD - it is £1105.93"/>
    <n v="-0.7"/>
    <n v="1105.93"/>
    <n v="45"/>
    <n v="1150.93"/>
  </r>
  <r>
    <x v="2"/>
    <s v="No"/>
    <s v="BRE027"/>
    <s v="2090"/>
    <s v="Parish of Our Lady of Walsingham (St Anne RC Church)"/>
    <s v="LONDON"/>
    <s v="Y"/>
    <n v="538.95000000000005"/>
    <m/>
    <s v="1"/>
    <m/>
    <m/>
    <n v="538.95000000000005"/>
    <n v="100"/>
    <n v="638.95000000000005"/>
  </r>
  <r>
    <x v="2"/>
    <s v="No"/>
    <s v="BRE027L"/>
    <s v="0444023"/>
    <s v="Parish of Our Lady of Walsingham (St Mary &amp; St Edward with St John)"/>
    <s v="LONDON"/>
    <m/>
    <m/>
    <m/>
    <s v=" "/>
    <m/>
    <m/>
    <n v="0"/>
    <m/>
    <n v="0"/>
  </r>
  <r>
    <x v="2"/>
    <s v="No"/>
    <s v="BRE028"/>
    <s v="2091"/>
    <s v="St Peter RC Church"/>
    <s v="DAGENHAM"/>
    <s v="Y"/>
    <m/>
    <n v="367.42"/>
    <s v="1"/>
    <m/>
    <m/>
    <n v="0"/>
    <n v="710.01"/>
    <n v="710.01"/>
  </r>
  <r>
    <x v="2"/>
    <s v="No"/>
    <s v="BRE029"/>
    <s v="2092"/>
    <s v="Holy Family RC Church"/>
    <s v="DAGENHAM"/>
    <s v="Y"/>
    <n v="931.15000000000009"/>
    <m/>
    <s v="1"/>
    <m/>
    <m/>
    <n v="931.15000000000009"/>
    <n v="375"/>
    <n v="1306.1500000000001"/>
  </r>
  <r>
    <x v="2"/>
    <s v="Yes"/>
    <s v="BRE030"/>
    <s v="2093"/>
    <s v="Parish of English Martyrs and Holy Trinity (English Martyrs RC Church)"/>
    <s v="CHELMSFORD  "/>
    <m/>
    <m/>
    <m/>
    <s v=" "/>
    <m/>
    <m/>
    <n v="0"/>
    <n v="340.17"/>
    <n v="340.17"/>
  </r>
  <r>
    <x v="2"/>
    <s v="Yes"/>
    <s v="BRE030S"/>
    <s v="0444031"/>
    <s v="Parish of English Martyrs and Holy Trinity (Holy Trinity SWF RC Church)"/>
    <s v="CHELMSFORD"/>
    <m/>
    <m/>
    <m/>
    <s v=" "/>
    <m/>
    <m/>
    <n v="0"/>
    <m/>
    <n v="0"/>
  </r>
  <r>
    <x v="2"/>
    <s v="No"/>
    <s v="BRE031"/>
    <s v="0479441"/>
    <s v="St  Thomas More RC Church"/>
    <s v="DEBDEN"/>
    <m/>
    <m/>
    <m/>
    <s v=" "/>
    <m/>
    <m/>
    <n v="0"/>
    <m/>
    <n v="0"/>
  </r>
  <r>
    <x v="2"/>
    <s v="No"/>
    <s v="BRE032"/>
    <s v="2095"/>
    <s v="Our Lady &amp; St Anne Line RC Church"/>
    <s v="DUNMOW "/>
    <s v="Y"/>
    <n v="414.3"/>
    <m/>
    <s v="1"/>
    <s v="per DD - it is £561.58"/>
    <n v="147.28"/>
    <n v="561.58000000000004"/>
    <n v="56"/>
    <n v="617.58000000000004"/>
  </r>
  <r>
    <x v="2"/>
    <s v="No"/>
    <s v="BRE032S"/>
    <s v="0443641"/>
    <s v="Our Lady &amp; St Anne Line RC Church (Our Lady of Lourdes)"/>
    <s v="DUNMOW"/>
    <m/>
    <m/>
    <m/>
    <s v=" "/>
    <m/>
    <m/>
    <n v="0"/>
    <m/>
    <n v="0"/>
  </r>
  <r>
    <x v="2"/>
    <s v="No"/>
    <s v="BRE033"/>
    <s v="2097"/>
    <s v="St Michael RC Church"/>
    <s v="LONDON"/>
    <m/>
    <m/>
    <m/>
    <s v=" "/>
    <s v="banking per DD"/>
    <n v="316.33999999999997"/>
    <n v="316.33999999999997"/>
    <n v="499.6"/>
    <n v="815.94"/>
  </r>
  <r>
    <x v="2"/>
    <s v="No"/>
    <s v="BRE033A"/>
    <s v="2098"/>
    <s v="Parish of Our Lady of Walsingham (St Mark's Church &amp; Community Centre)"/>
    <s v="LONDON"/>
    <m/>
    <m/>
    <m/>
    <s v=" "/>
    <m/>
    <m/>
    <n v="0"/>
    <m/>
    <n v="0"/>
  </r>
  <r>
    <x v="2"/>
    <s v="No"/>
    <s v="BRE034"/>
    <s v="2099"/>
    <s v="St Peter's RC Church"/>
    <s v="LEIGH-ON-SEA"/>
    <s v="Y"/>
    <n v="1827.71"/>
    <m/>
    <s v="1"/>
    <m/>
    <m/>
    <n v="1827.71"/>
    <n v="160"/>
    <n v="1987.71"/>
  </r>
  <r>
    <x v="2"/>
    <s v="No"/>
    <s v="BRE035"/>
    <s v="2100"/>
    <s v="St Alban RC Church"/>
    <s v="HORNCHURCH  "/>
    <m/>
    <m/>
    <m/>
    <s v=" "/>
    <s v="banking per DD"/>
    <n v="180"/>
    <n v="180"/>
    <n v="580"/>
    <n v="760"/>
  </r>
  <r>
    <x v="2"/>
    <s v="No"/>
    <s v="BRE036"/>
    <s v="2101"/>
    <s v="Immaculate Conception RC Church"/>
    <s v="EPPING  "/>
    <m/>
    <m/>
    <m/>
    <s v=" "/>
    <s v="banking per DD"/>
    <n v="854"/>
    <n v="854"/>
    <n v="197.1"/>
    <n v="1051.0999999999999"/>
  </r>
  <r>
    <x v="2"/>
    <s v="No"/>
    <s v="BRE037"/>
    <s v="2102"/>
    <s v="St Anthony of Padua RC Church"/>
    <s v="LONDON"/>
    <m/>
    <m/>
    <m/>
    <s v=" "/>
    <m/>
    <m/>
    <n v="0"/>
    <n v="198.45999999999998"/>
    <n v="198.45999999999998"/>
  </r>
  <r>
    <x v="2"/>
    <s v="No"/>
    <s v="BRE037S"/>
    <s v="0479442"/>
    <s v="Durning Hall Community Centre"/>
    <s v="FOREST GATE"/>
    <m/>
    <m/>
    <m/>
    <s v=" "/>
    <m/>
    <m/>
    <n v="0"/>
    <m/>
    <n v="0"/>
  </r>
  <r>
    <x v="2"/>
    <s v="No"/>
    <s v="BRE038"/>
    <s v="2103"/>
    <s v="Sacred Heart &amp; St Francis RC Church"/>
    <s v="FRINTON-ON-SEA"/>
    <s v="Y"/>
    <n v="812.01"/>
    <m/>
    <s v="1"/>
    <m/>
    <m/>
    <n v="812.01"/>
    <n v="180"/>
    <n v="992.01"/>
  </r>
  <r>
    <x v="2"/>
    <s v="No"/>
    <s v="BRE039"/>
    <s v="2104"/>
    <s v="Christ the Eternal High Priest RC Church"/>
    <s v="ROMFORD"/>
    <s v="Y"/>
    <n v="2888.05"/>
    <m/>
    <s v="1"/>
    <m/>
    <m/>
    <n v="2888.05"/>
    <n v="181"/>
    <n v="3069.05"/>
  </r>
  <r>
    <x v="2"/>
    <s v="No"/>
    <s v="BRE040"/>
    <s v="2105"/>
    <s v="St Cedd RC Church"/>
    <s v="ILFORD"/>
    <m/>
    <m/>
    <m/>
    <s v=" "/>
    <m/>
    <m/>
    <n v="0"/>
    <m/>
    <n v="0"/>
  </r>
  <r>
    <x v="2"/>
    <s v="No"/>
    <s v="BRE041"/>
    <s v="2106"/>
    <s v="St Thomas of Canterbury"/>
    <s v="GRAYS"/>
    <m/>
    <m/>
    <m/>
    <s v=" "/>
    <s v="banking per DD"/>
    <n v="2301"/>
    <n v="2301"/>
    <n v="644"/>
    <n v="2945"/>
  </r>
  <r>
    <x v="2"/>
    <s v="No"/>
    <s v="BRE041S"/>
    <s v="0444036"/>
    <s v="St Thomas of Canterbury (St Peter)"/>
    <s v="GRAYS"/>
    <m/>
    <m/>
    <m/>
    <s v=" "/>
    <m/>
    <m/>
    <n v="0"/>
    <m/>
    <n v="0"/>
  </r>
  <r>
    <x v="2"/>
    <s v="No"/>
    <s v="BRE041X"/>
    <s v="2107"/>
    <s v="The Holy Spirit RC Church"/>
    <s v="BRAINTREE"/>
    <m/>
    <m/>
    <m/>
    <s v=" "/>
    <m/>
    <m/>
    <n v="0"/>
    <n v="321.73"/>
    <n v="321.73"/>
  </r>
  <r>
    <x v="2"/>
    <s v="No"/>
    <s v="BRE041XS"/>
    <s v="0479443"/>
    <s v="The English Martyrs"/>
    <s v="THAXTED"/>
    <m/>
    <m/>
    <m/>
    <s v=" "/>
    <m/>
    <m/>
    <n v="0"/>
    <m/>
    <n v="0"/>
  </r>
  <r>
    <x v="2"/>
    <s v="No"/>
    <s v="BRE041Y"/>
    <s v="2108"/>
    <s v="St John Payne RC Church"/>
    <s v="COLCHESTER"/>
    <m/>
    <m/>
    <m/>
    <s v=" "/>
    <m/>
    <m/>
    <n v="0"/>
    <n v="696.85"/>
    <n v="696.85"/>
  </r>
  <r>
    <x v="2"/>
    <s v="No"/>
    <s v="BRE041YS"/>
    <s v="0443994"/>
    <s v="St John Payne (St Mary the Virgin C of E Church)"/>
    <s v="COLCHESTER"/>
    <m/>
    <m/>
    <m/>
    <s v=" "/>
    <m/>
    <m/>
    <n v="0"/>
    <m/>
    <n v="0"/>
  </r>
  <r>
    <x v="2"/>
    <s v="No"/>
    <s v="BRE041YS2"/>
    <s v="0443995"/>
    <s v="St John Payne (St Mary &amp; St Michael C of E Church)"/>
    <s v="COLCHESTER"/>
    <m/>
    <m/>
    <m/>
    <s v=" "/>
    <m/>
    <m/>
    <n v="0"/>
    <m/>
    <n v="0"/>
  </r>
  <r>
    <x v="2"/>
    <s v="No"/>
    <s v="BRE042"/>
    <s v="2109"/>
    <s v="The Assumption RC Church"/>
    <s v="CHIGWELL "/>
    <s v="Y"/>
    <n v="932.46"/>
    <m/>
    <s v="1"/>
    <m/>
    <m/>
    <n v="932.46"/>
    <n v="100"/>
    <n v="1032.46"/>
  </r>
  <r>
    <x v="2"/>
    <s v="No"/>
    <s v="BRE043"/>
    <s v="2110"/>
    <s v="St  Francis of Assisi RC Church"/>
    <s v="HALSTEAD"/>
    <s v="Y"/>
    <m/>
    <n v="636.01"/>
    <s v="1"/>
    <m/>
    <m/>
    <n v="0"/>
    <n v="736.01"/>
    <n v="736.01"/>
  </r>
  <r>
    <x v="2"/>
    <s v="No"/>
    <s v="BRE043S"/>
    <s v="0443998"/>
    <s v="St  Francis of Assisi (St Peter's C of E Church)"/>
    <s v="HALSTEAD"/>
    <m/>
    <m/>
    <m/>
    <s v=" "/>
    <m/>
    <m/>
    <n v="0"/>
    <m/>
    <n v="0"/>
  </r>
  <r>
    <x v="2"/>
    <s v="No"/>
    <s v="BRE044"/>
    <s v="2111"/>
    <s v="Parish of Our Lady of Fatima &amp; St Thomas More (Our Lady of Fatima RC Church)"/>
    <s v="HARLOW"/>
    <m/>
    <m/>
    <m/>
    <s v=" "/>
    <m/>
    <m/>
    <n v="0"/>
    <n v="100"/>
    <n v="100"/>
  </r>
  <r>
    <x v="2"/>
    <s v="No"/>
    <s v="BRE044S"/>
    <s v="0479444"/>
    <s v="Parish of Our Lady of Fatima &amp; St Thomas More (St Thomas More RC Church)"/>
    <s v="HARLOW"/>
    <m/>
    <m/>
    <m/>
    <s v=" "/>
    <m/>
    <m/>
    <n v="0"/>
    <m/>
    <n v="0"/>
  </r>
  <r>
    <x v="2"/>
    <s v="No"/>
    <s v="BRE045"/>
    <s v="2112"/>
    <s v="Church of the Assumption RC Church"/>
    <s v="HARLOW"/>
    <s v="Y"/>
    <n v="364.29999999999995"/>
    <m/>
    <s v="1"/>
    <s v="per DD - it is £334.62"/>
    <n v="-29.68"/>
    <n v="334.61999999999995"/>
    <m/>
    <n v="334.61999999999995"/>
  </r>
  <r>
    <x v="2"/>
    <s v="Yes"/>
    <s v="BRE046"/>
    <s v="2113"/>
    <s v="Parish of St Luke's &amp; Holy Cross (St Luke's Church)"/>
    <s v="HARLOW"/>
    <m/>
    <m/>
    <m/>
    <s v=" "/>
    <m/>
    <m/>
    <n v="0"/>
    <n v="360"/>
    <n v="360"/>
  </r>
  <r>
    <x v="2"/>
    <s v="Yes"/>
    <s v="BRE046S"/>
    <s v="0444003"/>
    <s v="Parish of St Luke's &amp; Holy Cross (Holy Cross Church)"/>
    <s v="HARLOW"/>
    <m/>
    <m/>
    <m/>
    <s v=" "/>
    <m/>
    <m/>
    <n v="0"/>
    <m/>
    <n v="0"/>
  </r>
  <r>
    <x v="2"/>
    <s v="No"/>
    <s v="BRE049"/>
    <s v="2116"/>
    <s v="Most Holy Redeemer RC Church"/>
    <s v="ROMFORD                       "/>
    <m/>
    <m/>
    <m/>
    <s v=" "/>
    <m/>
    <m/>
    <n v="0"/>
    <n v="20"/>
    <n v="20"/>
  </r>
  <r>
    <x v="2"/>
    <s v="No"/>
    <s v="BRE050"/>
    <s v="2117"/>
    <s v="Most Holy Redeemer (St Dominic RC Church)"/>
    <s v="ROMFORD"/>
    <m/>
    <m/>
    <m/>
    <s v=" "/>
    <m/>
    <m/>
    <n v="0"/>
    <n v="76.5"/>
    <n v="76.5"/>
  </r>
  <r>
    <x v="2"/>
    <s v="No"/>
    <s v="BRE051"/>
    <s v="2118"/>
    <s v="Our Lady Queen of Heaven RC Church"/>
    <s v="HARWICH"/>
    <s v="Y"/>
    <n v="748.8"/>
    <m/>
    <s v="1"/>
    <s v="Diff £10: Grand Total stated £648"/>
    <m/>
    <n v="748.8"/>
    <n v="100"/>
    <n v="848.8"/>
  </r>
  <r>
    <x v="2"/>
    <s v="No"/>
    <s v="BRE052"/>
    <s v="2119"/>
    <s v="St Mary, Mother of God RC Church"/>
    <s v="HORNCHURCH"/>
    <m/>
    <m/>
    <m/>
    <s v=" "/>
    <s v="banking per DD"/>
    <n v="539"/>
    <n v="539"/>
    <n v="170"/>
    <n v="709"/>
  </r>
  <r>
    <x v="2"/>
    <s v="No"/>
    <s v="BRE053"/>
    <s v="2120"/>
    <s v="English Martyrs RC Church"/>
    <s v="HORNCHURCH"/>
    <s v="Y"/>
    <n v="759"/>
    <m/>
    <s v="1"/>
    <m/>
    <m/>
    <n v="759"/>
    <n v="51.97"/>
    <n v="810.97"/>
  </r>
  <r>
    <x v="2"/>
    <s v="No"/>
    <s v="BRE054"/>
    <s v="2121"/>
    <s v="St Joseph the Worker RC Church"/>
    <s v="BRENTWOOD"/>
    <s v="Y"/>
    <n v="356.13"/>
    <m/>
    <s v="1"/>
    <m/>
    <m/>
    <n v="356.13"/>
    <n v="125"/>
    <n v="481.13"/>
  </r>
  <r>
    <x v="2"/>
    <s v="No"/>
    <s v="BRE055"/>
    <s v="2122"/>
    <s v="St Peter &amp; St Paul RC Church"/>
    <s v="ILFORD"/>
    <s v="Y"/>
    <m/>
    <n v="799.68"/>
    <s v="1"/>
    <m/>
    <m/>
    <n v="0"/>
    <n v="1145.6799999999998"/>
    <n v="1145.6799999999998"/>
  </r>
  <r>
    <x v="2"/>
    <s v="No"/>
    <s v="BRE056"/>
    <s v="2123"/>
    <s v="St John The Baptist RC Church"/>
    <s v="ILFORD"/>
    <m/>
    <m/>
    <m/>
    <s v=" "/>
    <m/>
    <m/>
    <n v="0"/>
    <n v="20"/>
    <n v="20"/>
  </r>
  <r>
    <x v="2"/>
    <s v="No"/>
    <s v="BRE057"/>
    <s v="2124"/>
    <s v="Parish of St Mary &amp; St Ethelburga with St Erconwald (St Mary &amp; St Erconwald RC Church)"/>
    <s v="BARKING"/>
    <s v="Y"/>
    <n v="1056.95"/>
    <m/>
    <s v="1"/>
    <m/>
    <m/>
    <n v="1056.95"/>
    <n v="140"/>
    <n v="1196.95"/>
  </r>
  <r>
    <x v="2"/>
    <s v="No"/>
    <s v="BRE058"/>
    <s v="2125"/>
    <s v="St John the Evangelist &amp; St Erconwald RC Church"/>
    <s v="INGATESTONE"/>
    <s v="Y"/>
    <n v="261.47000000000003"/>
    <m/>
    <s v="1"/>
    <m/>
    <m/>
    <n v="261.47000000000003"/>
    <m/>
    <n v="261.47000000000003"/>
  </r>
  <r>
    <x v="2"/>
    <s v="No"/>
    <s v="BRE059"/>
    <s v="2126"/>
    <s v="Parish of St Mary Immaculate &amp; The Holy Archangels (St Mary Immaculate &amp; The Holy Archangels Church)"/>
    <s v="COLCHESTER"/>
    <s v="Y"/>
    <n v="362.52"/>
    <m/>
    <s v="1"/>
    <m/>
    <m/>
    <n v="362.52"/>
    <n v="40"/>
    <n v="402.52"/>
  </r>
  <r>
    <x v="2"/>
    <s v="No"/>
    <s v="BRE059S"/>
    <s v="0443627"/>
    <s v="Parish of St Mary Immaculate &amp; The Holy Archangels (St Bernard RC Church)"/>
    <s v="COLCHESTER"/>
    <m/>
    <m/>
    <m/>
    <s v=" "/>
    <m/>
    <m/>
    <n v="0"/>
    <m/>
    <n v="0"/>
  </r>
  <r>
    <x v="2"/>
    <s v="Yes"/>
    <s v="BRE060"/>
    <s v="2127"/>
    <s v="Our Lady &amp; All Saints (St Teresa of Lisieux)"/>
    <s v="BASILDON"/>
    <s v="Y"/>
    <n v="1046.7"/>
    <m/>
    <s v="1"/>
    <s v="per DD - it is £1047.2"/>
    <n v="0.5"/>
    <n v="1047.2"/>
    <n v="305"/>
    <n v="1352.2"/>
  </r>
  <r>
    <x v="2"/>
    <s v="No"/>
    <s v="BRE061"/>
    <s v="2128"/>
    <s v="Our  Lady of Lourdes &amp; St  Joseph RC Church"/>
    <s v="LEIGH-ON-SEA"/>
    <s v="Y"/>
    <n v="1570.9999999999995"/>
    <m/>
    <s v="1"/>
    <s v="per DD - it is £1606.35"/>
    <n v="35.35"/>
    <n v="1606.3499999999995"/>
    <n v="2533.61"/>
    <n v="4139.9599999999991"/>
  </r>
  <r>
    <x v="2"/>
    <s v="No"/>
    <s v="BRE062"/>
    <s v="2129"/>
    <s v="St Teresa of Lisieux RC Church"/>
    <s v="COLCHESTER"/>
    <s v="Y"/>
    <n v="1855.87"/>
    <m/>
    <s v="1"/>
    <m/>
    <m/>
    <n v="1855.87"/>
    <n v="3711.9700000000003"/>
    <n v="5567.84"/>
  </r>
  <r>
    <x v="2"/>
    <s v="No"/>
    <s v="BRE063"/>
    <s v="2130"/>
    <s v="St Joseph RC Church"/>
    <s v="LONDON"/>
    <m/>
    <m/>
    <m/>
    <s v=" "/>
    <m/>
    <m/>
    <n v="0"/>
    <n v="500"/>
    <n v="500"/>
  </r>
  <r>
    <x v="2"/>
    <s v="No"/>
    <s v="BRE064"/>
    <s v="2131"/>
    <s v="Parish of St Edmund of Canterbury &amp; St Thomas More (St  Edmund of Canterbury RC Church)"/>
    <s v="LOUGHTON"/>
    <s v="Y"/>
    <n v="1130.3399999999999"/>
    <m/>
    <s v="1"/>
    <s v="banking per DD"/>
    <m/>
    <n v="1130.3399999999999"/>
    <n v="310"/>
    <n v="1440.34"/>
  </r>
  <r>
    <x v="2"/>
    <s v="No"/>
    <s v="BRE065"/>
    <s v="2132"/>
    <s v="Parish of Assumption of Our Lady &amp; St Cuthbert (Assumption of Our Lady RC Church)"/>
    <s v="MALDON"/>
    <s v="Y"/>
    <m/>
    <n v="570.65"/>
    <s v="1"/>
    <m/>
    <m/>
    <n v="0"/>
    <n v="864.45"/>
    <n v="864.45"/>
  </r>
  <r>
    <x v="2"/>
    <s v="No"/>
    <s v="BRE066"/>
    <s v="2133"/>
    <s v="St Stephen RC Church"/>
    <s v="LONDON"/>
    <m/>
    <m/>
    <m/>
    <s v=" "/>
    <m/>
    <m/>
    <n v="0"/>
    <n v="383.28"/>
    <n v="383.28"/>
  </r>
  <r>
    <x v="2"/>
    <s v="No"/>
    <s v="BRE068"/>
    <s v="2134"/>
    <s v="St Teresa RC Church"/>
    <s v="ILFORD  "/>
    <s v="Y"/>
    <n v="261.02"/>
    <m/>
    <s v="1"/>
    <m/>
    <m/>
    <n v="261.02"/>
    <n v="135"/>
    <n v="396.02"/>
  </r>
  <r>
    <x v="2"/>
    <s v="Yes"/>
    <s v="BRE069"/>
    <s v="2135"/>
    <s v="Parish of St Helen &amp; St Margaret of Scotland (St Helen RC Church)"/>
    <s v="ONGAR"/>
    <s v="Y"/>
    <n v="300"/>
    <m/>
    <s v="1"/>
    <m/>
    <m/>
    <n v="300"/>
    <n v="337"/>
    <n v="637"/>
  </r>
  <r>
    <x v="2"/>
    <s v="Yes"/>
    <s v="BRE070"/>
    <s v="2136"/>
    <s v="Parish of Sacred Heart &amp; St John Fisher (St John Fisher RC Church)"/>
    <s v="SOUTHEND-ON-SEA"/>
    <s v="Y"/>
    <n v="146.18"/>
    <m/>
    <s v="1"/>
    <m/>
    <m/>
    <n v="146.18"/>
    <m/>
    <n v="146.18"/>
  </r>
  <r>
    <x v="2"/>
    <s v="No"/>
    <s v="BRE071"/>
    <s v="2137"/>
    <s v="Our Lady of La Salette RC Church"/>
    <s v="RAINHAM"/>
    <s v="Y"/>
    <n v="721"/>
    <m/>
    <s v="1"/>
    <s v="per DD - it is £912"/>
    <n v="191"/>
    <n v="912"/>
    <n v="40"/>
    <n v="952"/>
  </r>
  <r>
    <x v="2"/>
    <s v="No"/>
    <s v="BRE072"/>
    <s v="2138"/>
    <s v="Our Lady of Ransom RC Church"/>
    <s v="RAYLEIGH"/>
    <s v="Y"/>
    <n v="2329.9"/>
    <m/>
    <s v="1"/>
    <s v="per DD - it is £2336.9"/>
    <n v="7"/>
    <n v="2336.9"/>
    <n v="311.05"/>
    <n v="2647.9500000000003"/>
  </r>
  <r>
    <x v="2"/>
    <s v="No"/>
    <s v="BRE073"/>
    <s v="2139"/>
    <s v="St Teresa of the Child Jesus RC Church"/>
    <s v="ROCHFORD"/>
    <m/>
    <m/>
    <m/>
    <s v=" "/>
    <s v="banking per DD"/>
    <n v="523.45000000000005"/>
    <n v="523.45000000000005"/>
    <n v="70"/>
    <n v="593.45000000000005"/>
  </r>
  <r>
    <x v="2"/>
    <s v="No"/>
    <s v="BRE073A"/>
    <s v="2140"/>
    <s v="St Teresa of the Child Jesus (St Pius X RC Church)"/>
    <s v="ROCHFORD"/>
    <m/>
    <m/>
    <m/>
    <s v=" "/>
    <m/>
    <m/>
    <n v="0"/>
    <n v="169.65"/>
    <n v="169.65"/>
  </r>
  <r>
    <x v="2"/>
    <s v="No"/>
    <s v="BRE074"/>
    <s v="2141"/>
    <s v="St Edward the Confessor RC Church"/>
    <s v="ROMFORD"/>
    <m/>
    <m/>
    <m/>
    <s v=" "/>
    <m/>
    <m/>
    <n v="0"/>
    <n v="692.69"/>
    <n v="692.69"/>
  </r>
  <r>
    <x v="2"/>
    <s v="No"/>
    <s v="BRE075"/>
    <s v="2142"/>
    <s v="Our Lady of Compassion RC Church"/>
    <s v="SAFFRON WALDEN"/>
    <s v="Y"/>
    <n v="210"/>
    <m/>
    <s v="1"/>
    <m/>
    <m/>
    <n v="210"/>
    <n v="351.97"/>
    <n v="561.97"/>
  </r>
  <r>
    <x v="2"/>
    <s v="No"/>
    <s v="BRE076"/>
    <s v="2143"/>
    <s v="St George &amp; The English Martyrs RC Church"/>
    <s v="SOUTHEND-ON-SEA"/>
    <m/>
    <m/>
    <m/>
    <s v=" "/>
    <s v="banking per DD"/>
    <n v="3097.86"/>
    <n v="3097.86"/>
    <n v="278"/>
    <n v="3375.86"/>
  </r>
  <r>
    <x v="2"/>
    <s v="No"/>
    <s v="BRE076S"/>
    <s v="0479445"/>
    <s v="St Gregory's Chapel of Ease"/>
    <s v="THORPE BAY"/>
    <m/>
    <m/>
    <m/>
    <s v=" "/>
    <m/>
    <m/>
    <n v="0"/>
    <m/>
    <n v="0"/>
  </r>
  <r>
    <x v="2"/>
    <s v="Yes"/>
    <s v="BRE078"/>
    <s v="2144"/>
    <s v="Parish of Sacred Heart &amp; St John Fisher (Sacred Heart RC Church)"/>
    <s v="SOUTHEND-ON-SEA"/>
    <m/>
    <m/>
    <m/>
    <s v=" "/>
    <s v="banking per DD"/>
    <n v="118.95"/>
    <n v="118.95"/>
    <n v="145"/>
    <n v="263.95"/>
  </r>
  <r>
    <x v="2"/>
    <s v="No"/>
    <s v="BRE079"/>
    <s v="2145"/>
    <s v="St Anne Line RC Church"/>
    <s v="LONDON"/>
    <m/>
    <m/>
    <m/>
    <s v=" "/>
    <s v="banking per DD"/>
    <n v="98.3"/>
    <n v="98.3"/>
    <n v="100"/>
    <n v="198.3"/>
  </r>
  <r>
    <x v="2"/>
    <s v="No"/>
    <s v="BRE080"/>
    <s v="2146"/>
    <s v="Our Lady &amp; St Joseph RC Church"/>
    <s v="STANFORD-LE-HOPE"/>
    <m/>
    <m/>
    <m/>
    <s v=" "/>
    <s v="banking per DD"/>
    <n v="70.98"/>
    <n v="70.98"/>
    <n v="145"/>
    <n v="215.98000000000002"/>
  </r>
  <r>
    <x v="2"/>
    <s v="No"/>
    <s v="BRE081"/>
    <s v="2147"/>
    <s v="St Theresa of Lisieux RC Church"/>
    <s v="STANSTED"/>
    <s v="Y"/>
    <n v="413.08000000000004"/>
    <m/>
    <s v="1"/>
    <m/>
    <m/>
    <n v="413.08000000000004"/>
    <n v="175"/>
    <n v="588.08000000000004"/>
  </r>
  <r>
    <x v="2"/>
    <s v="No"/>
    <s v="BRE082"/>
    <s v="2148"/>
    <s v="Our Lady &amp; St Joseph RC Church"/>
    <s v="INGATESTONE"/>
    <m/>
    <m/>
    <m/>
    <s v=" "/>
    <s v="banking per DD"/>
    <n v="158.21"/>
    <n v="158.21"/>
    <m/>
    <n v="158.21"/>
  </r>
  <r>
    <x v="2"/>
    <s v="No"/>
    <s v="BRE083"/>
    <s v="2149"/>
    <s v="St  Francis of Assisi RC Church"/>
    <s v="LONDON"/>
    <m/>
    <m/>
    <m/>
    <s v=" "/>
    <m/>
    <m/>
    <n v="0"/>
    <n v="60"/>
    <n v="60"/>
  </r>
  <r>
    <x v="2"/>
    <s v="No"/>
    <s v="BRE084"/>
    <s v="2150"/>
    <s v="Our Lady Star of the Sea RC Church"/>
    <s v="TILBURY  "/>
    <s v="Y"/>
    <n v="740"/>
    <m/>
    <s v="1"/>
    <m/>
    <m/>
    <n v="740"/>
    <n v="45"/>
    <n v="785"/>
  </r>
  <r>
    <x v="2"/>
    <s v="No"/>
    <s v="BRE085"/>
    <s v="2151"/>
    <s v="St Joseph RC Church"/>
    <s v="UPMINSTER"/>
    <m/>
    <m/>
    <m/>
    <s v=" "/>
    <m/>
    <m/>
    <n v="0"/>
    <n v="415.88"/>
    <n v="415.88"/>
  </r>
  <r>
    <x v="2"/>
    <s v="No"/>
    <s v="BRE085S"/>
    <s v="0479446"/>
    <s v="St Peter's Catholic Centre"/>
    <s v="UPMINSTER"/>
    <m/>
    <m/>
    <m/>
    <s v=" "/>
    <m/>
    <m/>
    <n v="0"/>
    <m/>
    <n v="0"/>
  </r>
  <r>
    <x v="2"/>
    <s v="No"/>
    <s v="BRE086"/>
    <s v="2152"/>
    <s v="Our Lady of Compassion RC Church"/>
    <s v="LONDON"/>
    <m/>
    <m/>
    <m/>
    <s v=" "/>
    <m/>
    <m/>
    <n v="0"/>
    <n v="167.59"/>
    <n v="167.59"/>
  </r>
  <r>
    <x v="2"/>
    <s v="No"/>
    <s v="BRE087"/>
    <s v="2153"/>
    <s v="St Thomas More &amp; St Edward RC Church"/>
    <s v="WALTHAM ABBEY"/>
    <m/>
    <m/>
    <m/>
    <s v=" "/>
    <m/>
    <m/>
    <n v="0"/>
    <n v="166"/>
    <n v="166"/>
  </r>
  <r>
    <x v="2"/>
    <s v="No"/>
    <s v="BRE087S"/>
    <s v="0444017"/>
    <s v="St Thomas More &amp; St Edward (St Giles C of E Church Hall)"/>
    <s v="WALTHAM ABBEY"/>
    <m/>
    <m/>
    <m/>
    <s v=" "/>
    <m/>
    <m/>
    <n v="0"/>
    <m/>
    <n v="0"/>
  </r>
  <r>
    <x v="2"/>
    <s v="No"/>
    <s v="BRE088"/>
    <s v="2154"/>
    <s v="Our Lady &amp; St George RC Church"/>
    <s v="LONDON"/>
    <m/>
    <m/>
    <m/>
    <s v=" "/>
    <s v="banking per DD"/>
    <n v="75"/>
    <n v="75"/>
    <n v="407.68"/>
    <n v="482.68"/>
  </r>
  <r>
    <x v="2"/>
    <s v="No"/>
    <s v="BRE089"/>
    <s v="2155"/>
    <s v="Our Lady &amp; St  Patrick RC Church"/>
    <s v="LONDON"/>
    <s v="Y"/>
    <n v="673.09"/>
    <m/>
    <s v="1"/>
    <m/>
    <m/>
    <n v="673.09"/>
    <n v="350"/>
    <n v="1023.09"/>
  </r>
  <r>
    <x v="2"/>
    <s v="No"/>
    <s v="BRE090"/>
    <s v="2156"/>
    <s v="Christ the King RC Church"/>
    <s v="LONDON"/>
    <s v="Y"/>
    <n v="587.15"/>
    <m/>
    <s v="1"/>
    <m/>
    <m/>
    <n v="587.15"/>
    <n v="648.83999999999992"/>
    <n v="1235.9899999999998"/>
  </r>
  <r>
    <x v="2"/>
    <s v="No"/>
    <s v="BRE091"/>
    <s v="2157"/>
    <s v="Our Lady of Lourdes Church"/>
    <s v="LONDON"/>
    <m/>
    <m/>
    <m/>
    <s v=" "/>
    <m/>
    <m/>
    <n v="0"/>
    <n v="1184.5999999999999"/>
    <n v="1184.5999999999999"/>
  </r>
  <r>
    <x v="2"/>
    <s v="No"/>
    <s v="BRE092"/>
    <s v="0441998"/>
    <s v="Cathedral Church of St Mary &amp; St Helen (Holy Cross &amp; All Saints RC Church)"/>
    <s v="BRENTWOOD"/>
    <m/>
    <m/>
    <m/>
    <s v=" "/>
    <m/>
    <m/>
    <n v="0"/>
    <m/>
    <n v="0"/>
  </r>
  <r>
    <x v="2"/>
    <s v="No"/>
    <s v="BRE093"/>
    <s v="2159"/>
    <s v="Our Lady &amp; St  Helen RC Church"/>
    <s v="WESTCLIFF-ON-SEA"/>
    <m/>
    <m/>
    <m/>
    <s v=" "/>
    <s v="banking per DD"/>
    <n v="140.61000000000001"/>
    <n v="140.61000000000001"/>
    <n v="60"/>
    <n v="200.61"/>
  </r>
  <r>
    <x v="2"/>
    <s v="No"/>
    <s v="BRE094"/>
    <s v="2160"/>
    <s v="Our Lady of Good Counsel RC Church"/>
    <s v="WICKFORD"/>
    <m/>
    <m/>
    <m/>
    <s v=" "/>
    <s v="banking per DD"/>
    <n v="738.41"/>
    <n v="738.41"/>
    <n v="310"/>
    <n v="1048.4099999999999"/>
  </r>
  <r>
    <x v="2"/>
    <s v="No"/>
    <s v="BRE095"/>
    <s v="2161"/>
    <s v="The Holy Family &amp; All Saints RC Church"/>
    <s v="WITHAM "/>
    <m/>
    <m/>
    <m/>
    <s v=" "/>
    <s v="banking per DD"/>
    <n v="270.74"/>
    <n v="270.74"/>
    <n v="301"/>
    <n v="571.74"/>
  </r>
  <r>
    <x v="2"/>
    <s v="No"/>
    <s v="BRE095S"/>
    <s v="0444027"/>
    <s v="The Holy Family &amp; All Saints (St Mary)"/>
    <s v="WITHAM"/>
    <m/>
    <m/>
    <m/>
    <s v=" "/>
    <m/>
    <m/>
    <n v="0"/>
    <m/>
    <n v="0"/>
  </r>
  <r>
    <x v="2"/>
    <s v="No"/>
    <s v="BRE096"/>
    <s v="2162"/>
    <s v="St Thomas of Canterbury"/>
    <s v="WOODFORD GREEN"/>
    <m/>
    <m/>
    <m/>
    <s v=" "/>
    <m/>
    <m/>
    <n v="0"/>
    <n v="75"/>
    <n v="75"/>
  </r>
  <r>
    <x v="2"/>
    <s v="Yes"/>
    <s v="BRE097"/>
    <s v="2075"/>
    <s v="Parish of St Sabina &amp; St Monica (St Monica RC Church)"/>
    <s v="COLCHESTER"/>
    <m/>
    <m/>
    <m/>
    <s v=" "/>
    <s v="per DD - it is £65.74"/>
    <n v="65.739999999999995"/>
    <n v="65.739999999999995"/>
    <n v="379"/>
    <n v="444.74"/>
  </r>
  <r>
    <x v="2"/>
    <s v="No"/>
    <s v="BRE099"/>
    <s v="2164"/>
    <s v="St Augustine RC Church"/>
    <s v="CHELMSFORD"/>
    <m/>
    <m/>
    <m/>
    <s v=" "/>
    <m/>
    <m/>
    <n v="0"/>
    <n v="116.56"/>
    <n v="116.56"/>
  </r>
  <r>
    <x v="2"/>
    <s v="No"/>
    <s v="BRE099S"/>
    <s v="0444033"/>
    <s v="St Augustine RC Church (The Church of Our Saviour)"/>
    <s v="CHELMSFORD"/>
    <m/>
    <m/>
    <m/>
    <s v=" "/>
    <m/>
    <m/>
    <n v="0"/>
    <m/>
    <n v="0"/>
  </r>
  <r>
    <x v="2"/>
    <s v="No"/>
    <s v="BRE099S2"/>
    <s v="0479447"/>
    <s v="New Hall School Chapel"/>
    <s v="BOREHAM"/>
    <m/>
    <m/>
    <m/>
    <s v=" "/>
    <m/>
    <m/>
    <n v="0"/>
    <m/>
    <n v="0"/>
  </r>
  <r>
    <x v="2"/>
    <s v="Yes"/>
    <s v="BRE100"/>
    <s v="226187"/>
    <s v="Parish of St Helen &amp; St Margaret of Scotland (St Margaret of Scotland RC Church)"/>
    <s v="ONGAR                         "/>
    <m/>
    <m/>
    <m/>
    <s v=" "/>
    <m/>
    <m/>
    <n v="0"/>
    <m/>
    <n v="0"/>
  </r>
  <r>
    <x v="2"/>
    <s v="No"/>
    <s v="BRE999"/>
    <s v="2168"/>
    <s v="Brentwood Diocese Various"/>
    <m/>
    <m/>
    <m/>
    <m/>
    <s v=" "/>
    <m/>
    <m/>
    <n v="0"/>
    <n v="10"/>
    <n v="10"/>
  </r>
  <r>
    <x v="3"/>
    <s v="No"/>
    <s v="CAR001"/>
    <s v="2169"/>
    <s v="Cathedral Church of St David"/>
    <s v="CARDIFF"/>
    <m/>
    <m/>
    <m/>
    <s v=" "/>
    <m/>
    <m/>
    <n v="0"/>
    <n v="240"/>
    <n v="240"/>
  </r>
  <r>
    <x v="3"/>
    <s v="Yes"/>
    <s v="CAR002"/>
    <s v="2170"/>
    <s v="Blessed Sacrament RC Church"/>
    <s v="CARDIFF"/>
    <s v="Y"/>
    <n v="660.06"/>
    <m/>
    <s v="1"/>
    <m/>
    <m/>
    <n v="660.06"/>
    <n v="730"/>
    <n v="1390.06"/>
  </r>
  <r>
    <x v="3"/>
    <s v="No"/>
    <s v="CAR003"/>
    <s v="0479448"/>
    <s v="Sacred Heart RC Church"/>
    <s v="CARDIFF"/>
    <m/>
    <m/>
    <m/>
    <s v=" "/>
    <m/>
    <m/>
    <n v="0"/>
    <m/>
    <n v="0"/>
  </r>
  <r>
    <x v="3"/>
    <s v="Yes"/>
    <s v="CAR004"/>
    <s v="2172"/>
    <s v="St Teilo's with Our Lady of Lourdes Parish (Our Lady of Lourdes)"/>
    <s v="CARDIFF"/>
    <m/>
    <m/>
    <m/>
    <s v=" "/>
    <m/>
    <m/>
    <n v="0"/>
    <m/>
    <n v="0"/>
  </r>
  <r>
    <x v="3"/>
    <s v="Yes"/>
    <s v="CAR005"/>
    <s v="2173"/>
    <s v="St Brigid with St Paul and Christ the King (Christ the King)"/>
    <s v="CARDIFF"/>
    <s v="Y"/>
    <n v="4056.55"/>
    <m/>
    <s v="1"/>
    <s v="per DD - it is £3936.55"/>
    <n v="-120"/>
    <n v="3936.55"/>
    <n v="460"/>
    <n v="4396.55"/>
  </r>
  <r>
    <x v="3"/>
    <s v="Yes"/>
    <s v="CAR006"/>
    <s v="2174"/>
    <s v="St Mary of the Angels &amp; Holy Family Parish (St Mary of the Angels)"/>
    <s v="CARDIFF"/>
    <s v="Y"/>
    <n v="1010"/>
    <m/>
    <s v="1"/>
    <m/>
    <m/>
    <n v="1010"/>
    <n v="2055"/>
    <n v="3065"/>
  </r>
  <r>
    <x v="3"/>
    <s v="Yes"/>
    <s v="CAR007"/>
    <s v="2175"/>
    <s v="St Mary of the Angels &amp; Holy Family Parish (Holy Family)"/>
    <s v="CARDIFF"/>
    <s v="Y"/>
    <n v="1168.3699999999999"/>
    <m/>
    <s v="1"/>
    <s v="per DD - it is £1186.89"/>
    <n v="18.52"/>
    <n v="1186.8899999999999"/>
    <n v="521"/>
    <n v="1707.8899999999999"/>
  </r>
  <r>
    <x v="3"/>
    <s v="No"/>
    <s v="CAR008"/>
    <s v="2176"/>
    <s v="St Alban-on-the-Moors"/>
    <s v="CARDIFF"/>
    <s v="Y"/>
    <n v="1496.6299999999999"/>
    <m/>
    <s v="1"/>
    <m/>
    <m/>
    <n v="1496.6299999999999"/>
    <n v="140"/>
    <n v="1636.6299999999999"/>
  </r>
  <r>
    <x v="3"/>
    <s v="Yes"/>
    <s v="CAR009"/>
    <s v="2177"/>
    <s v="St Brigid with St Paul and Christ the King (St Brigid)"/>
    <s v="CARDIFF"/>
    <m/>
    <m/>
    <m/>
    <s v=" "/>
    <s v="banking per DD"/>
    <n v="136.46"/>
    <n v="136.46"/>
    <n v="824"/>
    <n v="960.46"/>
  </r>
  <r>
    <x v="3"/>
    <s v="No"/>
    <s v="CAR009S"/>
    <s v="0443178"/>
    <s v="St Brigid with St Paul and Christ the King (St Paul)"/>
    <s v="CARDIFF"/>
    <m/>
    <m/>
    <m/>
    <s v=" "/>
    <m/>
    <m/>
    <n v="0"/>
    <m/>
    <n v="0"/>
  </r>
  <r>
    <x v="3"/>
    <s v="No"/>
    <s v="CAR010"/>
    <s v="2178"/>
    <s v="St Cadoc RC Church"/>
    <s v="CARDIFF"/>
    <s v="Y"/>
    <n v="2265.0500000000002"/>
    <m/>
    <s v="1"/>
    <m/>
    <m/>
    <n v="2265.0500000000002"/>
    <n v="256"/>
    <n v="2521.0500000000002"/>
  </r>
  <r>
    <x v="3"/>
    <s v="No"/>
    <s v="CAR011"/>
    <s v="2179"/>
    <s v="St Clare RC Church"/>
    <s v="CARDIFF"/>
    <m/>
    <m/>
    <m/>
    <s v=" "/>
    <m/>
    <m/>
    <n v="0"/>
    <n v="35"/>
    <n v="35"/>
  </r>
  <r>
    <x v="3"/>
    <s v="No"/>
    <s v="CAR012"/>
    <s v="2180"/>
    <s v="St Cuthbert RC Church"/>
    <s v="CARDIFF"/>
    <m/>
    <m/>
    <m/>
    <s v=" "/>
    <m/>
    <m/>
    <n v="0"/>
    <n v="100"/>
    <n v="100"/>
  </r>
  <r>
    <x v="3"/>
    <s v="No"/>
    <s v="CAR013"/>
    <s v="2181"/>
    <s v="St Francis of Assisi RC  Church"/>
    <s v="CARDIFF"/>
    <s v="Y"/>
    <n v="598"/>
    <m/>
    <s v="1"/>
    <s v="Diff £10: Grand Total stated £608"/>
    <m/>
    <n v="598"/>
    <n v="590"/>
    <n v="1188"/>
  </r>
  <r>
    <x v="3"/>
    <s v="Yes"/>
    <s v="CAR014"/>
    <s v="2182"/>
    <s v="St John Lloyd and Blessed Sacrament RC Church (St John Lloyd)"/>
    <s v="TROWBRIDGE"/>
    <s v="Y"/>
    <n v="305.94"/>
    <m/>
    <s v="1"/>
    <m/>
    <m/>
    <n v="305.94"/>
    <n v="275"/>
    <n v="580.94000000000005"/>
  </r>
  <r>
    <x v="3"/>
    <s v="No"/>
    <s v="CAR015"/>
    <s v="2183"/>
    <s v="St Joseph RC Church"/>
    <s v="CARDIFF"/>
    <s v="Y"/>
    <n v="817.46"/>
    <m/>
    <s v="1"/>
    <s v="per DD - it is £868.35"/>
    <n v="50.89"/>
    <n v="868.35"/>
    <n v="320"/>
    <n v="1188.3499999999999"/>
  </r>
  <r>
    <x v="3"/>
    <s v="No"/>
    <s v="CAR016"/>
    <s v="2184"/>
    <s v="St Patrick RC Church"/>
    <s v="CARDIFF"/>
    <s v="Y"/>
    <n v="1817.5900000000004"/>
    <m/>
    <s v="1"/>
    <m/>
    <m/>
    <n v="1817.5900000000004"/>
    <n v="160"/>
    <n v="1977.5900000000004"/>
  </r>
  <r>
    <x v="3"/>
    <s v="No"/>
    <s v="CAR017"/>
    <s v="2185"/>
    <s v="St Peter RC Church"/>
    <s v="CARDIFF"/>
    <s v="Y"/>
    <n v="2025.14"/>
    <m/>
    <s v="1"/>
    <s v="per DD - it is £1953.67"/>
    <n v="-71.47"/>
    <n v="1953.67"/>
    <n v="300"/>
    <n v="2253.67"/>
  </r>
  <r>
    <x v="3"/>
    <s v="Yes"/>
    <s v="CAR018"/>
    <s v="2186"/>
    <s v="St Teilo with Our Lady of Lourdes Parish (St Teilo)"/>
    <s v="CARDIFF"/>
    <s v="Y"/>
    <n v="1907.7299999999998"/>
    <m/>
    <s v="1"/>
    <m/>
    <m/>
    <n v="1907.7299999999998"/>
    <n v="935"/>
    <n v="2842.7299999999996"/>
  </r>
  <r>
    <x v="3"/>
    <s v="No"/>
    <s v="CAR019"/>
    <s v="2187"/>
    <s v="St Philip Evans RC Church"/>
    <s v="CARDIFF"/>
    <s v="Y"/>
    <n v="635.08000000000004"/>
    <m/>
    <s v="1"/>
    <m/>
    <m/>
    <n v="635.08000000000004"/>
    <n v="530"/>
    <n v="1165.08"/>
  </r>
  <r>
    <x v="3"/>
    <s v="No"/>
    <s v="CAR021"/>
    <s v="2189"/>
    <s v="St Thomas RC Church"/>
    <s v="MOUNTAIN ASH"/>
    <s v="Y"/>
    <m/>
    <n v="842"/>
    <s v="1"/>
    <m/>
    <m/>
    <n v="0"/>
    <n v="842"/>
    <n v="842"/>
  </r>
  <r>
    <x v="3"/>
    <s v="Yes"/>
    <s v="CAR022"/>
    <s v="2190"/>
    <s v="Parish of Mary Immaculate (St Joseph RC Church)"/>
    <s v="ABERDARE"/>
    <m/>
    <m/>
    <m/>
    <s v=" "/>
    <m/>
    <m/>
    <n v="0"/>
    <m/>
    <n v="0"/>
  </r>
  <r>
    <x v="3"/>
    <s v="No"/>
    <s v="CAR023"/>
    <s v="2191"/>
    <s v="Our Lady &amp; St Michael RC Church"/>
    <s v="ABERGAVENNY  "/>
    <s v="Y"/>
    <n v="1239.77"/>
    <m/>
    <s v="1"/>
    <s v="per DD - it is £1239.72    {return received?  - Tariq asked 17-12-19 (received 02-01-2020)}"/>
    <n v="-0.05"/>
    <n v="1239.72"/>
    <n v="335"/>
    <n v="1574.72"/>
  </r>
  <r>
    <x v="3"/>
    <s v="No"/>
    <s v="CAR023S"/>
    <s v="0443192"/>
    <s v="Our Lady &amp; St Michael Parish (St Mary and St Michael)"/>
    <s v="USK"/>
    <m/>
    <m/>
    <m/>
    <s v=" "/>
    <m/>
    <m/>
    <n v="0"/>
    <m/>
    <n v="0"/>
  </r>
  <r>
    <x v="3"/>
    <s v="No"/>
    <s v="CAR024"/>
    <s v="2192"/>
    <s v="St Robert of Newminster RC Church"/>
    <s v="BRIDGEND"/>
    <s v="Y"/>
    <n v="973.17"/>
    <m/>
    <s v="1"/>
    <m/>
    <m/>
    <n v="973.17"/>
    <n v="100"/>
    <n v="1073.17"/>
  </r>
  <r>
    <x v="3"/>
    <s v="Yes"/>
    <s v="CAR026"/>
    <s v="2194"/>
    <s v="St Mary - Abertillery &amp; Brynmawr Parish (Arbertillery)"/>
    <s v="ABERTILLERY"/>
    <s v="Y"/>
    <m/>
    <n v="701.95"/>
    <s v="1"/>
    <m/>
    <m/>
    <n v="0"/>
    <n v="851.95"/>
    <n v="851.95"/>
  </r>
  <r>
    <x v="3"/>
    <s v="No"/>
    <s v="CAR027"/>
    <s v="2195"/>
    <s v="St Peter RC Church"/>
    <s v="BARGOED"/>
    <s v="Y"/>
    <n v="353.87"/>
    <m/>
    <s v="1"/>
    <s v="per DD - it is £353.93"/>
    <n v="0.06"/>
    <n v="353.93"/>
    <n v="5"/>
    <n v="358.93"/>
  </r>
  <r>
    <x v="3"/>
    <s v="No"/>
    <s v="CAR028"/>
    <s v="2196"/>
    <s v="St Helen RC Church"/>
    <s v="BARRY"/>
    <s v="Y"/>
    <n v="2106.63"/>
    <m/>
    <s v="1"/>
    <m/>
    <m/>
    <n v="2106.63"/>
    <n v="427"/>
    <n v="2533.63"/>
  </r>
  <r>
    <x v="3"/>
    <s v="No"/>
    <s v="CAR031"/>
    <s v="2199"/>
    <s v="Belmont Abbey"/>
    <s v="HEREFORD"/>
    <s v="Y"/>
    <n v="675.06"/>
    <m/>
    <s v="1"/>
    <m/>
    <m/>
    <n v="675.06"/>
    <n v="108"/>
    <n v="783.06"/>
  </r>
  <r>
    <x v="3"/>
    <s v="Yes"/>
    <s v="CAR032"/>
    <s v="2200"/>
    <s v="St Mary RC Church"/>
    <s v="BRIDGEND"/>
    <m/>
    <m/>
    <m/>
    <s v=" "/>
    <s v="banking per DD"/>
    <n v="431.95"/>
    <n v="431.95"/>
    <n v="130"/>
    <n v="561.95000000000005"/>
  </r>
  <r>
    <x v="3"/>
    <s v="No"/>
    <s v="CAR034"/>
    <s v="2202"/>
    <s v="St Joseph RC Church"/>
    <s v="BROMYARD"/>
    <s v="Y"/>
    <n v="357.3"/>
    <m/>
    <s v="1"/>
    <s v="per DD - it is £357.79"/>
    <n v="0.49"/>
    <n v="357.79"/>
    <n v="100"/>
    <n v="457.79"/>
  </r>
  <r>
    <x v="3"/>
    <s v="Yes"/>
    <s v="CAR035"/>
    <s v="2203"/>
    <s v="St Mary - Abertillery &amp; Brynmawr Parish (Brynmawr)"/>
    <s v="EBBW VALE"/>
    <m/>
    <m/>
    <m/>
    <s v=" "/>
    <m/>
    <m/>
    <n v="0"/>
    <n v="90"/>
    <n v="90"/>
  </r>
  <r>
    <x v="3"/>
    <s v="No"/>
    <s v="CAR036"/>
    <s v="2204"/>
    <s v="St Julius, Aaron &amp; David"/>
    <s v="NEWPORT"/>
    <s v="Y"/>
    <n v="1080.29"/>
    <n v="79.760000000000005"/>
    <s v="1"/>
    <m/>
    <m/>
    <n v="1080.29"/>
    <n v="85"/>
    <n v="1165.29"/>
  </r>
  <r>
    <x v="3"/>
    <s v="No"/>
    <s v="CAR037"/>
    <s v="2205"/>
    <s v="St Helen RC Church"/>
    <s v="CAERPHILLY"/>
    <m/>
    <m/>
    <m/>
    <s v=" "/>
    <s v="banking per DD"/>
    <n v="1406.58"/>
    <n v="1406.58"/>
    <n v="143.5"/>
    <n v="1550.08"/>
  </r>
  <r>
    <x v="3"/>
    <s v="Yes"/>
    <s v="CAR038"/>
    <s v="2206"/>
    <s v="Catholic Parish of Chepstow, Caldicot and Magor (St Mary)"/>
    <s v="CHEPSTOW"/>
    <s v="Y"/>
    <n v="139.12"/>
    <m/>
    <s v="1"/>
    <m/>
    <m/>
    <n v="139.12"/>
    <n v="203"/>
    <n v="342.12"/>
  </r>
  <r>
    <x v="3"/>
    <s v="Yes"/>
    <s v="CAR038A"/>
    <s v="2207"/>
    <s v="Catholic Parish of Chepstow, Caldicot and Magor (St Paul)"/>
    <s v="CALDICOT"/>
    <m/>
    <m/>
    <m/>
    <s v=" "/>
    <s v="banking per DD"/>
    <n v="490.02"/>
    <n v="490.02"/>
    <n v="70"/>
    <n v="560.02"/>
  </r>
  <r>
    <x v="3"/>
    <s v="Yes"/>
    <s v="CAR041"/>
    <s v="2209"/>
    <s v="Parish of Our Lady &amp; St David, Cwmbran (Our Lady of the Angels)"/>
    <s v="CWMBRAN"/>
    <s v="Y"/>
    <n v="2640.8"/>
    <m/>
    <s v="1"/>
    <m/>
    <m/>
    <n v="2640.8"/>
    <n v="266"/>
    <n v="2906.8"/>
  </r>
  <r>
    <x v="3"/>
    <s v="Yes"/>
    <s v="CAR043"/>
    <s v="2210"/>
    <s v="Parish of Our Lady &amp; St David, Cwmbran (St David)"/>
    <s v="CWMBRAN"/>
    <s v="Y"/>
    <n v="1161.1400000000001"/>
    <m/>
    <s v="1"/>
    <m/>
    <m/>
    <n v="1161.1400000000001"/>
    <n v="120"/>
    <n v="1281.1400000000001"/>
  </r>
  <r>
    <x v="3"/>
    <s v="Yes"/>
    <s v="CAR044"/>
    <s v="2211"/>
    <s v="St Joseph &amp; St Mary's Parish (St Mary's)"/>
    <s v="DINAS POWYS"/>
    <s v="Y"/>
    <n v="0"/>
    <n v="0"/>
    <s v="1"/>
    <s v="Banked with CAR074-2237"/>
    <m/>
    <n v="0"/>
    <n v="25"/>
    <n v="25"/>
  </r>
  <r>
    <x v="3"/>
    <s v="Yes"/>
    <s v="CAR045"/>
    <s v="2212"/>
    <s v="Parish of Merthyr Tydfil (St Illtyd)"/>
    <s v="MERTHYR TYDFIL"/>
    <m/>
    <m/>
    <m/>
    <s v=" "/>
    <s v="banking per DD"/>
    <n v="1220.5"/>
    <n v="1220.5"/>
    <n v="15"/>
    <n v="1235.5"/>
  </r>
  <r>
    <x v="3"/>
    <s v="Yes"/>
    <s v="CAR046"/>
    <s v="2213"/>
    <s v="All Saints RC Church"/>
    <s v="EBBW VALE "/>
    <s v="Y"/>
    <n v="690"/>
    <m/>
    <s v="1"/>
    <m/>
    <m/>
    <n v="690"/>
    <n v="135"/>
    <n v="825"/>
  </r>
  <r>
    <x v="3"/>
    <s v="No"/>
    <s v="CAR050"/>
    <s v="2215"/>
    <s v="St Francis Xavier"/>
    <s v="HEREFORD"/>
    <s v="Y"/>
    <n v="853.55"/>
    <m/>
    <s v="1"/>
    <m/>
    <m/>
    <n v="853.55"/>
    <n v="605"/>
    <n v="1458.55"/>
  </r>
  <r>
    <x v="3"/>
    <s v="No"/>
    <s v="CAR051"/>
    <s v="2216"/>
    <s v="Our Lady, Queen of Martyrs"/>
    <s v="HEREFORD"/>
    <s v="Y"/>
    <n v="611.51"/>
    <m/>
    <s v="1"/>
    <s v="per DD - it is £725.14"/>
    <n v="113.63"/>
    <n v="725.14"/>
    <n v="110"/>
    <n v="835.14"/>
  </r>
  <r>
    <x v="3"/>
    <s v="Yes"/>
    <s v="CAR052"/>
    <s v="2217"/>
    <s v="Parish of Mary Immaculate (St Teresa of Liseux)"/>
    <s v="HIRWAUN             "/>
    <m/>
    <m/>
    <m/>
    <s v=" "/>
    <m/>
    <m/>
    <n v="0"/>
    <m/>
    <n v="0"/>
  </r>
  <r>
    <x v="3"/>
    <s v="No"/>
    <s v="CAR053"/>
    <s v="2218"/>
    <s v="The Most Holy Trinity"/>
    <s v="LEDBURY"/>
    <m/>
    <m/>
    <m/>
    <s v=" "/>
    <s v="banking per DD"/>
    <n v="553.26"/>
    <n v="553.26"/>
    <n v="100"/>
    <n v="653.26"/>
  </r>
  <r>
    <x v="3"/>
    <s v="No"/>
    <s v="CAR054"/>
    <s v="2219"/>
    <s v="St Ethelbert RC Church"/>
    <s v="LEOMINSTER"/>
    <s v="Y"/>
    <n v="1279.8499999999999"/>
    <m/>
    <s v="1"/>
    <m/>
    <m/>
    <n v="1279.8499999999999"/>
    <n v="895"/>
    <n v="2174.85"/>
  </r>
  <r>
    <x v="3"/>
    <s v="No"/>
    <s v="CAR056"/>
    <s v="2220"/>
    <s v="All Hallows RC Church"/>
    <s v="LLANTRISANT"/>
    <s v="Y"/>
    <m/>
    <n v="744.53"/>
    <s v="1"/>
    <m/>
    <m/>
    <n v="0"/>
    <n v="4071.5299999999997"/>
    <n v="4071.5299999999997"/>
  </r>
  <r>
    <x v="3"/>
    <s v="No"/>
    <s v="CAR057"/>
    <s v="2221"/>
    <s v="Our Lady &amp; St Illtyd with St Cadoc RC Church (Our Lady &amp; St Illtyd)"/>
    <s v="LLANTWIT MAJOR"/>
    <s v="Y"/>
    <n v="2731.96"/>
    <m/>
    <s v="1"/>
    <s v="per DD - it is £2731.76"/>
    <n v="-0.2"/>
    <n v="2731.76"/>
    <n v="135"/>
    <n v="2866.76"/>
  </r>
  <r>
    <x v="3"/>
    <s v="No"/>
    <s v="CAR057S"/>
    <s v="0443212"/>
    <s v="Our Lady &amp; St Illtyd with St Cadoc RC Church (St Cadoc)"/>
    <s v="COWBRIDGE"/>
    <m/>
    <m/>
    <m/>
    <s v=" "/>
    <m/>
    <m/>
    <n v="0"/>
    <m/>
    <n v="0"/>
  </r>
  <r>
    <x v="3"/>
    <s v="No"/>
    <s v="CAR059"/>
    <s v="2223"/>
    <s v="Our Lady &amp; St Patrick RC Church"/>
    <s v="MAESTEG  "/>
    <s v="Y"/>
    <n v="2073.85"/>
    <m/>
    <s v="1"/>
    <s v="per DD - it is £2012.85"/>
    <n v="-61"/>
    <n v="2012.85"/>
    <m/>
    <n v="2012.85"/>
  </r>
  <r>
    <x v="3"/>
    <s v="Yes"/>
    <s v="CAR060"/>
    <s v="2224"/>
    <s v="Parish of Merthyr Tydfil (St Mary)"/>
    <s v="MERTHYR TYDFIL"/>
    <m/>
    <m/>
    <m/>
    <s v=" "/>
    <s v="banking per DD"/>
    <n v="1290.05"/>
    <n v="1290.05"/>
    <n v="200"/>
    <n v="1490.05"/>
  </r>
  <r>
    <x v="3"/>
    <s v="Yes"/>
    <s v="CAR061"/>
    <s v="2225"/>
    <s v="Parish of Merthyr Tydfil (St Aloysius)"/>
    <s v="MERTHYR TYDFIL"/>
    <s v="Y"/>
    <n v="937.92000000000007"/>
    <m/>
    <s v="1"/>
    <m/>
    <m/>
    <n v="937.92000000000007"/>
    <n v="9"/>
    <n v="946.92000000000007"/>
  </r>
  <r>
    <x v="3"/>
    <s v="Yes"/>
    <s v="CAR062"/>
    <s v="2226"/>
    <s v="Parish of Merthyr Tydfil (St Benedict)"/>
    <s v="MERTHYR TYDFIL"/>
    <m/>
    <m/>
    <m/>
    <s v=" "/>
    <s v="banking per DD"/>
    <n v="575.57000000000005"/>
    <n v="575.57000000000005"/>
    <n v="601.66999999999996"/>
    <n v="1177.24"/>
  </r>
  <r>
    <x v="3"/>
    <s v="Yes"/>
    <s v="CAR063"/>
    <s v="2227"/>
    <s v="Catholic Parishes of Monmouth and Ross-on-Wye (St Mary's RC Church)"/>
    <s v="MONMOUTH"/>
    <s v="Y"/>
    <n v="855.24"/>
    <m/>
    <s v="1"/>
    <s v="per DD - it is £855.21"/>
    <n v="-0.03"/>
    <n v="855.21"/>
    <n v="115"/>
    <n v="970.21"/>
  </r>
  <r>
    <x v="3"/>
    <s v="Yes"/>
    <s v="CAR064"/>
    <s v="2228"/>
    <s v="Parish of Mary Immaculate (Our Lady of Lourdes)"/>
    <s v="MOUNTAIN ASH"/>
    <s v="Y"/>
    <n v="1421.91"/>
    <m/>
    <s v="1"/>
    <m/>
    <m/>
    <n v="1421.91"/>
    <n v="25"/>
    <n v="1446.91"/>
  </r>
  <r>
    <x v="3"/>
    <s v="Yes"/>
    <s v="CAR066"/>
    <s v="2229"/>
    <s v="Parish of Newbridge (Our Lady of Peace RC Church)"/>
    <s v="NEWBRIDGE"/>
    <s v="Y"/>
    <m/>
    <n v="650.09"/>
    <s v="1"/>
    <s v="combined with CAR076-2238 (?)"/>
    <m/>
    <n v="0"/>
    <n v="850.09"/>
    <n v="850.09"/>
  </r>
  <r>
    <x v="3"/>
    <s v="No"/>
    <s v="CAR067"/>
    <s v="2230"/>
    <s v="All Saints - St David"/>
    <s v="NEWPORT"/>
    <m/>
    <m/>
    <m/>
    <s v=" "/>
    <m/>
    <m/>
    <n v="0"/>
    <n v="216"/>
    <n v="216"/>
  </r>
  <r>
    <x v="3"/>
    <s v="No"/>
    <s v="CAR068"/>
    <s v="2231"/>
    <s v="All Saints - St Anne"/>
    <s v="NEWPORT"/>
    <s v="Y"/>
    <m/>
    <n v="688.95"/>
    <s v="1"/>
    <m/>
    <m/>
    <n v="0"/>
    <n v="748.95"/>
    <n v="748.95"/>
  </r>
  <r>
    <x v="3"/>
    <s v="No"/>
    <s v="CAR069"/>
    <s v="2232"/>
    <s v="All Saints - St David Lewis"/>
    <s v="NEWPORT"/>
    <m/>
    <m/>
    <m/>
    <s v=" "/>
    <s v="banking per DD"/>
    <n v="448.62"/>
    <n v="448.62"/>
    <n v="15"/>
    <n v="463.62"/>
  </r>
  <r>
    <x v="3"/>
    <s v="No"/>
    <s v="CAR070"/>
    <s v="2233"/>
    <s v="All Saints - St Mary"/>
    <s v="NEWPORT"/>
    <s v="Y"/>
    <n v="895.56"/>
    <m/>
    <s v="1"/>
    <s v="per DD - it is £955.56"/>
    <n v="60"/>
    <n v="955.56"/>
    <n v="391"/>
    <n v="1346.56"/>
  </r>
  <r>
    <x v="3"/>
    <s v="No"/>
    <s v="CAR071"/>
    <s v="2234"/>
    <s v="St Gabriel RC Church"/>
    <s v="NEWPORT"/>
    <s v="Y"/>
    <n v="612.09"/>
    <m/>
    <s v="1"/>
    <m/>
    <m/>
    <n v="612.09"/>
    <n v="25"/>
    <n v="637.09"/>
  </r>
  <r>
    <x v="3"/>
    <s v="No"/>
    <s v="CAR071S"/>
    <s v="0479449"/>
    <s v="St Julius the Martyr"/>
    <s v="NEWPORT"/>
    <m/>
    <m/>
    <m/>
    <s v=" "/>
    <m/>
    <m/>
    <n v="0"/>
    <m/>
    <n v="0"/>
  </r>
  <r>
    <x v="3"/>
    <s v="No"/>
    <s v="CAR072"/>
    <s v="2235"/>
    <s v="All Saints - St Michael"/>
    <s v="NEWPORT"/>
    <m/>
    <m/>
    <m/>
    <s v=" "/>
    <m/>
    <m/>
    <n v="0"/>
    <n v="149"/>
    <n v="149"/>
  </r>
  <r>
    <x v="3"/>
    <s v="No"/>
    <s v="CAR073"/>
    <s v="2236"/>
    <s v="St Patrick RC Church"/>
    <s v="NEWPORT"/>
    <s v="Y"/>
    <n v="1591.5"/>
    <m/>
    <s v="1"/>
    <m/>
    <m/>
    <n v="1591.5"/>
    <n v="85"/>
    <n v="1676.5"/>
  </r>
  <r>
    <x v="3"/>
    <s v="Yes"/>
    <s v="CAR074"/>
    <s v="2237"/>
    <s v="St Joseph &amp; St Marys Parish (St Joseph's)"/>
    <s v="PENARTH"/>
    <s v="Y"/>
    <n v="1743.7600000000002"/>
    <m/>
    <s v="1"/>
    <m/>
    <m/>
    <n v="1743.7600000000002"/>
    <n v="584"/>
    <n v="2327.7600000000002"/>
  </r>
  <r>
    <x v="3"/>
    <s v="Yes"/>
    <s v="CAR076"/>
    <s v="2238"/>
    <s v="Parish of Newbridge (The Sacred Heart RC Church)"/>
    <s v="BLACKWOOD"/>
    <s v="Y"/>
    <n v="0"/>
    <n v="0"/>
    <s v="1"/>
    <s v="combined with CAR066-2229 (?)"/>
    <m/>
    <n v="0"/>
    <n v="196"/>
    <n v="196"/>
  </r>
  <r>
    <x v="3"/>
    <s v="No"/>
    <s v="CAR077"/>
    <s v="2239"/>
    <s v="St Alban RC Church"/>
    <s v="PONTYPOOL"/>
    <s v="Y"/>
    <n v="902.6"/>
    <m/>
    <s v="1"/>
    <m/>
    <m/>
    <n v="902.6"/>
    <n v="65"/>
    <n v="967.6"/>
  </r>
  <r>
    <x v="3"/>
    <s v="No"/>
    <s v="CAR077S"/>
    <s v="0443227"/>
    <s v="The Sacred Heart and St Felix"/>
    <s v="PONTYPOOL"/>
    <m/>
    <m/>
    <m/>
    <s v=" "/>
    <m/>
    <m/>
    <n v="0"/>
    <m/>
    <n v="0"/>
  </r>
  <r>
    <x v="3"/>
    <s v="Yes"/>
    <s v="CAR078"/>
    <s v="2240"/>
    <s v="Our Lady Star of the Sea"/>
    <s v="PORTHCAWL"/>
    <m/>
    <m/>
    <m/>
    <s v=" "/>
    <m/>
    <m/>
    <n v="0"/>
    <n v="1167.5"/>
    <n v="1167.5"/>
  </r>
  <r>
    <x v="3"/>
    <s v="No"/>
    <s v="CAR082"/>
    <s v="2241"/>
    <s v="St Joseph of Arimathea"/>
    <s v="PYLE"/>
    <m/>
    <m/>
    <m/>
    <s v=" "/>
    <m/>
    <m/>
    <n v="0"/>
    <n v="10"/>
    <n v="10"/>
  </r>
  <r>
    <x v="3"/>
    <s v="Yes"/>
    <s v="CAR083"/>
    <s v="2242"/>
    <s v="St John RC Church"/>
    <s v="RHYMNEY"/>
    <m/>
    <m/>
    <m/>
    <s v=" "/>
    <m/>
    <m/>
    <n v="0"/>
    <n v="10"/>
    <n v="10"/>
  </r>
  <r>
    <x v="3"/>
    <s v="Yes"/>
    <s v="CAR084"/>
    <s v="2243"/>
    <s v="Parish of Newbridge (St Anthony of Padua &amp; St Clare)"/>
    <s v="NEWPORT"/>
    <s v="Y"/>
    <n v="404.98"/>
    <m/>
    <s v="1"/>
    <m/>
    <m/>
    <n v="404.98"/>
    <m/>
    <n v="404.98"/>
  </r>
  <r>
    <x v="3"/>
    <s v="No"/>
    <s v="CAR085"/>
    <s v="2244"/>
    <s v="All Saints - St Basil &amp; St Gwladys"/>
    <s v="NEWPORT"/>
    <s v="Y"/>
    <n v="1075.95"/>
    <m/>
    <s v="1"/>
    <s v="per DD - it is £1094.01"/>
    <n v="18.059999999999999"/>
    <n v="1094.01"/>
    <n v="5433"/>
    <n v="6527.01"/>
  </r>
  <r>
    <x v="3"/>
    <s v="Yes"/>
    <s v="CAR086"/>
    <s v="2245"/>
    <s v="Catholic Parishes of Monmouth and Ross-on-Wye (St Frances of Rome RC Church)"/>
    <s v="ROSS-ON-WYE"/>
    <s v="Y"/>
    <n v="1156.53"/>
    <m/>
    <s v="1"/>
    <m/>
    <m/>
    <n v="1156.53"/>
    <n v="140"/>
    <n v="1296.53"/>
  </r>
  <r>
    <x v="3"/>
    <s v="No"/>
    <s v="CAR098"/>
    <s v="2247"/>
    <s v="Rhondda Parishes (St Gabriel &amp; St Raphael)"/>
    <s v="TONYPANDY                     "/>
    <s v="Y"/>
    <n v="610.23"/>
    <m/>
    <s v="1"/>
    <m/>
    <m/>
    <n v="610.23"/>
    <n v="157"/>
    <n v="767.23"/>
  </r>
  <r>
    <x v="3"/>
    <s v="Yes"/>
    <s v="CAR099"/>
    <s v="2248"/>
    <s v="The Immaculate Conception"/>
    <s v="TREDEGAR"/>
    <s v="Y"/>
    <n v="128.69999999999999"/>
    <m/>
    <s v="1"/>
    <m/>
    <m/>
    <n v="128.69999999999999"/>
    <n v="130"/>
    <n v="258.7"/>
  </r>
  <r>
    <x v="3"/>
    <s v="No"/>
    <s v="CAR100"/>
    <s v="2249"/>
    <s v="St Dyfrig RC Church"/>
    <s v="PONTYPRIDD"/>
    <s v="Y"/>
    <n v="1160.4000000000001"/>
    <m/>
    <s v="1"/>
    <s v="per DD - it is £1221.33"/>
    <n v="60.93"/>
    <n v="1221.3300000000002"/>
    <n v="94.740000000000009"/>
    <n v="1316.0700000000002"/>
  </r>
  <r>
    <x v="3"/>
    <s v="No"/>
    <s v="CAR102"/>
    <s v="2252"/>
    <s v="St David Lewis &amp; St  Francis Xavier"/>
    <s v="USK"/>
    <s v="Y"/>
    <n v="218.2"/>
    <m/>
    <s v="1"/>
    <s v="per DD - it is £218.78"/>
    <n v="0.57999999999999996"/>
    <n v="218.78"/>
    <n v="450"/>
    <n v="668.78"/>
  </r>
  <r>
    <x v="3"/>
    <s v="Yes"/>
    <s v="CAR103"/>
    <s v="2253"/>
    <s v="St Thomas &amp; St Bede Parish (St Thomas of Hereford)"/>
    <s v="WEOBLEY "/>
    <s v="Y"/>
    <n v="430.58"/>
    <m/>
    <s v="1"/>
    <s v="per DD - it is £430.63"/>
    <n v="0.05"/>
    <n v="430.63"/>
    <n v="110"/>
    <n v="540.63"/>
  </r>
  <r>
    <x v="3"/>
    <s v="Yes"/>
    <s v="CAR103S"/>
    <s v="0443232"/>
    <s v="St Thomas &amp; St Bede Parish (St Bede the Venerable)"/>
    <s v="KINGTON"/>
    <m/>
    <m/>
    <m/>
    <s v=" "/>
    <m/>
    <m/>
    <n v="0"/>
    <m/>
    <n v="0"/>
  </r>
  <r>
    <x v="3"/>
    <s v="No"/>
    <s v="CAR104"/>
    <s v="2254"/>
    <s v="Rhondda Parishes (St Mary Magdalene RC Church)"/>
    <s v="PORTH"/>
    <s v="Y"/>
    <n v="218.95"/>
    <m/>
    <s v="1"/>
    <m/>
    <m/>
    <n v="218.95"/>
    <m/>
    <n v="218.95"/>
  </r>
  <r>
    <x v="3"/>
    <s v="No"/>
    <s v="CAR104S"/>
    <s v="0479450"/>
    <s v="The Community Centre"/>
    <s v="TONYREFAIL"/>
    <m/>
    <m/>
    <m/>
    <s v=" "/>
    <m/>
    <m/>
    <n v="0"/>
    <m/>
    <n v="0"/>
  </r>
  <r>
    <x v="3"/>
    <s v="No"/>
    <s v="CAR106"/>
    <s v="256859"/>
    <s v="St Paul's Church in Wales"/>
    <s v="CARDIFF                       "/>
    <m/>
    <m/>
    <m/>
    <s v=" "/>
    <m/>
    <m/>
    <n v="0"/>
    <m/>
    <n v="0"/>
  </r>
  <r>
    <x v="3"/>
    <s v="No"/>
    <s v="CAR606"/>
    <s v="0479451"/>
    <s v="University of Cardiff Catholic Chaplaincy"/>
    <s v="CARDIFF"/>
    <m/>
    <m/>
    <m/>
    <s v=" "/>
    <m/>
    <m/>
    <n v="0"/>
    <m/>
    <n v="0"/>
  </r>
  <r>
    <x v="3"/>
    <s v="No"/>
    <s v="CAR607"/>
    <s v="0479452"/>
    <s v="University of Glamorgan Ecumenical Chaplaincy"/>
    <s v="PONTYPRIDD"/>
    <m/>
    <m/>
    <m/>
    <s v=" "/>
    <m/>
    <m/>
    <n v="0"/>
    <m/>
    <n v="0"/>
  </r>
  <r>
    <x v="3"/>
    <s v="No"/>
    <s v="CAR900"/>
    <s v="0479453"/>
    <s v="Lady Mary"/>
    <s v="CARDIFF"/>
    <m/>
    <m/>
    <m/>
    <s v=" "/>
    <m/>
    <m/>
    <n v="0"/>
    <m/>
    <n v="0"/>
  </r>
  <r>
    <x v="3"/>
    <s v="No"/>
    <s v="CAR999"/>
    <s v="2257"/>
    <s v="Cardiff Diocese Various"/>
    <m/>
    <m/>
    <m/>
    <m/>
    <s v=" "/>
    <s v="banking per DD"/>
    <n v="457.37"/>
    <n v="457.37"/>
    <n v="70"/>
    <n v="527.37"/>
  </r>
  <r>
    <x v="4"/>
    <s v="No"/>
    <s v="CLF001"/>
    <s v="2259"/>
    <s v="Cathedral of St Peter &amp; St Paul"/>
    <s v="BRISTOL"/>
    <m/>
    <m/>
    <m/>
    <s v=" "/>
    <s v="banking per DD"/>
    <n v="1171"/>
    <n v="1171"/>
    <n v="959"/>
    <n v="2130"/>
  </r>
  <r>
    <x v="4"/>
    <s v="No"/>
    <s v="CLF002"/>
    <s v="2260"/>
    <s v="Christ the King RC Church"/>
    <s v="AMESBURY"/>
    <s v="Y"/>
    <n v="748.09"/>
    <m/>
    <s v="1"/>
    <s v="No breakdown in columns"/>
    <m/>
    <n v="748.09"/>
    <n v="255"/>
    <n v="1003.09"/>
  </r>
  <r>
    <x v="4"/>
    <s v="No"/>
    <s v="CLF004"/>
    <s v="2262"/>
    <s v="St Mary RC Church"/>
    <s v="BATH"/>
    <s v="Y"/>
    <n v="990.55"/>
    <m/>
    <s v="1"/>
    <m/>
    <m/>
    <n v="990.55"/>
    <n v="280"/>
    <n v="1270.55"/>
  </r>
  <r>
    <x v="4"/>
    <s v="No"/>
    <s v="CLF005"/>
    <s v="2263"/>
    <s v="Our Lady  &amp; St Alphege"/>
    <s v="BATH"/>
    <s v="Y"/>
    <n v="1264.92"/>
    <m/>
    <s v="1"/>
    <s v="per DD - it is £1232.39"/>
    <n v="-32.53"/>
    <n v="1232.3900000000001"/>
    <n v="595"/>
    <n v="1827.39"/>
  </r>
  <r>
    <x v="4"/>
    <s v="No"/>
    <s v="CLF005S"/>
    <s v="0444454"/>
    <s v="St Joseph (CLOSED)"/>
    <s v="BATH"/>
    <m/>
    <m/>
    <m/>
    <s v=" "/>
    <m/>
    <m/>
    <n v="0"/>
    <m/>
    <n v="0"/>
  </r>
  <r>
    <x v="4"/>
    <s v="No"/>
    <s v="CLF006"/>
    <s v="2264"/>
    <s v="St  John the Evangelist"/>
    <s v="BATH"/>
    <s v="Y"/>
    <n v="487.6"/>
    <m/>
    <s v="1"/>
    <s v="per DD - it is £550.14"/>
    <n v="62.54"/>
    <n v="550.14"/>
    <n v="110"/>
    <n v="660.14"/>
  </r>
  <r>
    <x v="4"/>
    <s v="No"/>
    <s v="CLF007"/>
    <s v="2265"/>
    <s v="St Peter &amp; St Paul RC Church"/>
    <s v="BATH"/>
    <m/>
    <m/>
    <m/>
    <s v=" "/>
    <s v="banking per DD"/>
    <n v="617.54999999999995"/>
    <n v="617.54999999999995"/>
    <n v="320"/>
    <n v="937.55"/>
  </r>
  <r>
    <x v="4"/>
    <s v="No"/>
    <s v="CLF007S"/>
    <s v="0444455"/>
    <s v="Bath University Chaplaincy Centre"/>
    <s v="BATH"/>
    <m/>
    <m/>
    <m/>
    <s v=" "/>
    <m/>
    <m/>
    <n v="0"/>
    <m/>
    <n v="0"/>
  </r>
  <r>
    <x v="4"/>
    <s v="No"/>
    <s v="CLF009"/>
    <s v="2267"/>
    <s v="The Good Shepherd"/>
    <s v="BATHEASTON"/>
    <m/>
    <m/>
    <m/>
    <s v=" "/>
    <m/>
    <m/>
    <n v="0"/>
    <n v="10"/>
    <n v="10"/>
  </r>
  <r>
    <x v="4"/>
    <s v="No"/>
    <s v="CLF010"/>
    <s v="2268"/>
    <s v="St Michael RC Church"/>
    <s v="BLAISDON"/>
    <m/>
    <m/>
    <m/>
    <s v=" "/>
    <m/>
    <m/>
    <n v="0"/>
    <n v="30"/>
    <n v="30"/>
  </r>
  <r>
    <x v="4"/>
    <s v="No"/>
    <s v="CLF010P"/>
    <s v="148005"/>
    <s v="Our Lady Of Lourdes RC Church"/>
    <s v="NEWENT"/>
    <s v="Y"/>
    <n v="565.36"/>
    <m/>
    <s v="1"/>
    <m/>
    <m/>
    <n v="565.36"/>
    <n v="265"/>
    <n v="830.36"/>
  </r>
  <r>
    <x v="4"/>
    <s v="No"/>
    <s v="CLF011"/>
    <s v="2269"/>
    <s v="St Thomas  More RC Church"/>
    <s v="BRADFORD-ON-AVON"/>
    <s v="Y"/>
    <n v="1220.92"/>
    <m/>
    <s v="1"/>
    <s v="per DD - it is £1270.92"/>
    <n v="50"/>
    <n v="1270.92"/>
    <n v="790"/>
    <n v="2060.92"/>
  </r>
  <r>
    <x v="4"/>
    <s v="No"/>
    <s v="CLF012"/>
    <s v="2270"/>
    <s v="St  Joseph"/>
    <s v="BRIDGWATER"/>
    <m/>
    <m/>
    <m/>
    <s v=" "/>
    <m/>
    <m/>
    <n v="0"/>
    <n v="512.67999999999995"/>
    <n v="512.67999999999995"/>
  </r>
  <r>
    <x v="4"/>
    <s v="No"/>
    <s v="CLF013"/>
    <s v="2271"/>
    <s v="Christ the King RC Church"/>
    <s v="BRISTOL"/>
    <m/>
    <m/>
    <m/>
    <s v=" "/>
    <s v="banking per DD"/>
    <n v="730.64"/>
    <n v="730.64"/>
    <n v="39"/>
    <n v="769.64"/>
  </r>
  <r>
    <x v="4"/>
    <s v="No"/>
    <s v="CLF014"/>
    <s v="2272"/>
    <s v="Sacred Heart RC Church"/>
    <s v="BRISTOL"/>
    <s v="Y"/>
    <n v="2858.85"/>
    <m/>
    <s v="1"/>
    <s v="per DD - it is £3359.75"/>
    <n v="500.9"/>
    <n v="3359.75"/>
    <n v="460"/>
    <n v="3819.75"/>
  </r>
  <r>
    <x v="4"/>
    <s v="No"/>
    <s v="CLF015"/>
    <s v="2273"/>
    <s v="Our Lady of The Rosary"/>
    <s v="BRISTOL"/>
    <m/>
    <m/>
    <m/>
    <s v=" "/>
    <m/>
    <m/>
    <n v="0"/>
    <m/>
    <n v="0"/>
  </r>
  <r>
    <x v="4"/>
    <s v="No"/>
    <s v="CLF016"/>
    <s v="2274"/>
    <s v="Our Lady of Lourdes &amp; St Bernadette RC Church"/>
    <s v="BRISTOL"/>
    <s v="Y"/>
    <n v="639.97"/>
    <m/>
    <s v="1"/>
    <s v="per DD - it is £665.35"/>
    <n v="25.38"/>
    <n v="665.35"/>
    <n v="240"/>
    <n v="905.35"/>
  </r>
  <r>
    <x v="4"/>
    <s v="No"/>
    <s v="CLF017"/>
    <s v="2275"/>
    <s v="Holy Cross RC Church"/>
    <s v="BRISTOL"/>
    <m/>
    <m/>
    <m/>
    <s v=" "/>
    <m/>
    <m/>
    <n v="0"/>
    <m/>
    <n v="0"/>
  </r>
  <r>
    <x v="4"/>
    <s v="No"/>
    <s v="CLF018"/>
    <s v="2276"/>
    <s v="St Antony RC Church"/>
    <s v="BRISTOL"/>
    <m/>
    <m/>
    <m/>
    <s v=" "/>
    <s v="banking per DD"/>
    <n v="625.21"/>
    <n v="625.21"/>
    <m/>
    <n v="625.21"/>
  </r>
  <r>
    <x v="4"/>
    <s v="No"/>
    <s v="CLF019"/>
    <s v="2277"/>
    <s v="St Bernadette RC Church"/>
    <s v="BRISTOL"/>
    <s v="Y"/>
    <n v="1429.6"/>
    <m/>
    <s v="1"/>
    <s v="per DD - it is £1429.57"/>
    <n v="-0.03"/>
    <n v="1429.57"/>
    <n v="485"/>
    <n v="1914.57"/>
  </r>
  <r>
    <x v="4"/>
    <s v="No"/>
    <s v="CLF020"/>
    <s v="2278"/>
    <s v="St Bernard RC Church"/>
    <s v="BRISTOL"/>
    <s v="Y"/>
    <n v="879.33"/>
    <m/>
    <s v="1"/>
    <s v="per DD - it is £688.28"/>
    <n v="-191.05"/>
    <n v="688.28"/>
    <n v="80"/>
    <n v="768.28"/>
  </r>
  <r>
    <x v="4"/>
    <s v="No"/>
    <s v="CLF021"/>
    <s v="2279"/>
    <s v="St Bonaventure RC Church"/>
    <s v="BRISTOL"/>
    <s v="Y"/>
    <n v="486.78"/>
    <m/>
    <s v="1"/>
    <m/>
    <m/>
    <n v="486.78"/>
    <n v="455"/>
    <n v="941.78"/>
  </r>
  <r>
    <x v="4"/>
    <s v="No"/>
    <s v="CLF022"/>
    <s v="2280"/>
    <s v="St Gerard Majella RC Church"/>
    <s v="BRISTOL"/>
    <m/>
    <m/>
    <m/>
    <s v=" "/>
    <s v="banking per DD"/>
    <n v="650.53"/>
    <n v="650.53"/>
    <n v="5"/>
    <n v="655.53"/>
  </r>
  <r>
    <x v="4"/>
    <s v="No"/>
    <s v="CLF023"/>
    <s v="0444446"/>
    <s v="St John Fisher"/>
    <s v="BRISTOL"/>
    <m/>
    <m/>
    <m/>
    <s v=" "/>
    <m/>
    <m/>
    <n v="0"/>
    <m/>
    <n v="0"/>
  </r>
  <r>
    <x v="4"/>
    <s v="No"/>
    <s v="CLF024"/>
    <s v="2282"/>
    <s v="St Joseph RC Church"/>
    <s v="BRISTOL"/>
    <s v="Y"/>
    <n v="785.05"/>
    <m/>
    <s v="1"/>
    <m/>
    <m/>
    <n v="785.05"/>
    <n v="90"/>
    <n v="875.05"/>
  </r>
  <r>
    <x v="4"/>
    <s v="No"/>
    <s v="CLF025"/>
    <s v="2283"/>
    <s v="St Nicholas of Tolentino"/>
    <s v="BRISTOL"/>
    <m/>
    <m/>
    <m/>
    <s v=" "/>
    <m/>
    <m/>
    <n v="0"/>
    <n v="715.34"/>
    <n v="715.34"/>
  </r>
  <r>
    <x v="4"/>
    <s v="No"/>
    <s v="CLF025S"/>
    <s v="0444456"/>
    <s v="St Maximilian Kolbe with St Edith Stein &amp; The Holcaust Martyrs (CLOSED)"/>
    <s v="BRISTOL"/>
    <m/>
    <m/>
    <m/>
    <s v=" "/>
    <m/>
    <m/>
    <n v="0"/>
    <m/>
    <n v="0"/>
  </r>
  <r>
    <x v="4"/>
    <s v="No"/>
    <s v="CLF026"/>
    <s v="2284"/>
    <s v="St Patrick RC Church"/>
    <s v="BRISTOL"/>
    <s v="Y"/>
    <n v="1714.02"/>
    <m/>
    <s v="1"/>
    <s v="per DD - it is £2102.86"/>
    <n v="388.84"/>
    <n v="2102.86"/>
    <n v="80"/>
    <n v="2182.86"/>
  </r>
  <r>
    <x v="4"/>
    <s v="No"/>
    <s v="CLF027"/>
    <s v="2285"/>
    <s v="St Pius X RC Church"/>
    <s v="BRISTOL"/>
    <s v="Y"/>
    <n v="690.58999999999992"/>
    <m/>
    <s v="1"/>
    <s v="per DD - it is £338.71"/>
    <n v="-351.88"/>
    <n v="338.70999999999992"/>
    <n v="356.88"/>
    <n v="695.58999999999992"/>
  </r>
  <r>
    <x v="4"/>
    <s v="No"/>
    <s v="CLF028"/>
    <s v="2286"/>
    <s v="St Teresa of the Child Jesus"/>
    <s v="BRISTOL"/>
    <m/>
    <m/>
    <m/>
    <s v=" "/>
    <m/>
    <m/>
    <n v="0"/>
    <n v="230"/>
    <n v="230"/>
  </r>
  <r>
    <x v="4"/>
    <s v="No"/>
    <s v="CLF029"/>
    <s v="2287"/>
    <s v="St  Vincent de Paul"/>
    <s v="BRISTOL"/>
    <m/>
    <m/>
    <m/>
    <s v=" "/>
    <m/>
    <m/>
    <n v="0"/>
    <n v="160"/>
    <n v="160"/>
  </r>
  <r>
    <x v="4"/>
    <s v="No"/>
    <s v="CLF030U"/>
    <s v="2288"/>
    <s v="University Catholic Chaplaincy"/>
    <s v="BRISTOL"/>
    <m/>
    <m/>
    <m/>
    <s v=" "/>
    <m/>
    <m/>
    <n v="0"/>
    <m/>
    <n v="0"/>
  </r>
  <r>
    <x v="4"/>
    <s v="No"/>
    <s v="CLF031"/>
    <s v="2289"/>
    <s v="Our Lady of Ostrobrama"/>
    <s v="BRISTOL"/>
    <m/>
    <m/>
    <m/>
    <s v=" "/>
    <m/>
    <m/>
    <n v="0"/>
    <n v="90"/>
    <n v="90"/>
  </r>
  <r>
    <x v="4"/>
    <s v="No"/>
    <s v="CLF032"/>
    <s v="2291"/>
    <s v="St  Patrick RC Church"/>
    <s v="BROCKWORTH"/>
    <s v="Y"/>
    <n v="374.33000000000004"/>
    <m/>
    <s v="1"/>
    <m/>
    <m/>
    <n v="374.33000000000004"/>
    <n v="180"/>
    <n v="554.33000000000004"/>
  </r>
  <r>
    <x v="4"/>
    <s v="No"/>
    <s v="CLF033"/>
    <s v="2292"/>
    <s v="St Mary on the Quay"/>
    <s v="BRISTOL"/>
    <m/>
    <m/>
    <m/>
    <s v=" "/>
    <m/>
    <m/>
    <n v="0"/>
    <n v="215"/>
    <n v="215"/>
  </r>
  <r>
    <x v="4"/>
    <s v="No"/>
    <s v="CLF033S"/>
    <s v="0444458"/>
    <s v="St James Priory"/>
    <s v="BRISTOL"/>
    <m/>
    <m/>
    <m/>
    <s v=" "/>
    <m/>
    <m/>
    <n v="0"/>
    <m/>
    <n v="0"/>
  </r>
  <r>
    <x v="4"/>
    <s v="No"/>
    <s v="CLF034"/>
    <s v="2293"/>
    <s v="Our Lady &amp; The English Martyrs"/>
    <s v="BURNHAM-ON-SEA"/>
    <s v="Y"/>
    <n v="215"/>
    <m/>
    <s v="1"/>
    <m/>
    <m/>
    <n v="215"/>
    <n v="65"/>
    <n v="280"/>
  </r>
  <r>
    <x v="4"/>
    <s v="No"/>
    <s v="CLF035"/>
    <s v="2294"/>
    <s v="St  Edmund RC Church"/>
    <s v="CALNE"/>
    <s v="Y"/>
    <n v="644.45000000000005"/>
    <m/>
    <s v="1"/>
    <m/>
    <m/>
    <n v="644.45000000000005"/>
    <n v="72"/>
    <n v="716.45"/>
  </r>
  <r>
    <x v="4"/>
    <s v="No"/>
    <s v="CLF036"/>
    <s v="2295"/>
    <s v="English Martyrs RC Church"/>
    <s v="CHARD"/>
    <s v="Y"/>
    <n v="2251.65"/>
    <m/>
    <s v="1"/>
    <s v="per DD - it is £2251.35"/>
    <n v="-0.3"/>
    <n v="2251.35"/>
    <n v="185"/>
    <n v="2436.35"/>
  </r>
  <r>
    <x v="4"/>
    <s v="No"/>
    <s v="CLF036S"/>
    <s v="0442730"/>
    <s v="Crewkerne Methodist Church"/>
    <s v="CREWKERNE"/>
    <m/>
    <m/>
    <m/>
    <s v=" "/>
    <m/>
    <m/>
    <n v="0"/>
    <m/>
    <n v="0"/>
  </r>
  <r>
    <x v="4"/>
    <s v="No"/>
    <s v="CLF036S2"/>
    <s v="0442731"/>
    <s v="St Joseph"/>
    <s v="ILMINSTER"/>
    <m/>
    <m/>
    <m/>
    <s v=" "/>
    <m/>
    <m/>
    <n v="0"/>
    <m/>
    <n v="0"/>
  </r>
  <r>
    <x v="4"/>
    <s v="No"/>
    <s v="CLF037"/>
    <s v="2296"/>
    <s v="Our Lady Queen of the Apostles RC Church"/>
    <s v="CHEDDAR"/>
    <s v="Y"/>
    <n v="779.64"/>
    <m/>
    <s v="1"/>
    <m/>
    <m/>
    <n v="779.64"/>
    <n v="160"/>
    <n v="939.64"/>
  </r>
  <r>
    <x v="4"/>
    <s v="No"/>
    <s v="CLF038"/>
    <s v="2297"/>
    <s v="St Gregory the Great"/>
    <s v="CHELTENHAM"/>
    <s v="Y"/>
    <n v="1720.21"/>
    <m/>
    <s v="1"/>
    <s v="per DD - it is £1720.23"/>
    <n v="0.02"/>
    <n v="1720.23"/>
    <n v="1098"/>
    <n v="2818.23"/>
  </r>
  <r>
    <x v="4"/>
    <s v="No"/>
    <s v="CLF039"/>
    <s v="2298"/>
    <s v="Sacred Hearts of Jesus &amp; Mary"/>
    <s v="CHELTENHAM"/>
    <s v="Y"/>
    <n v="3689.38"/>
    <m/>
    <s v="1"/>
    <m/>
    <m/>
    <n v="3689.38"/>
    <n v="774"/>
    <n v="4463.38"/>
  </r>
  <r>
    <x v="4"/>
    <s v="No"/>
    <s v="CLF040"/>
    <s v="2299"/>
    <s v="St Thomas More"/>
    <s v="CHELTENHAM"/>
    <s v="Y"/>
    <n v="326.09000000000003"/>
    <m/>
    <s v="1"/>
    <s v="Diff £100: Grand Total stated £226.09"/>
    <m/>
    <n v="326.09000000000003"/>
    <n v="255"/>
    <n v="581.09"/>
  </r>
  <r>
    <x v="4"/>
    <s v="No"/>
    <s v="CLF041"/>
    <s v="2300"/>
    <s v="Sacred Heart RC Church"/>
    <s v="CHEW MAGNA"/>
    <m/>
    <m/>
    <m/>
    <s v=" "/>
    <m/>
    <m/>
    <n v="0"/>
    <n v="40.730000000000004"/>
    <n v="40.730000000000004"/>
  </r>
  <r>
    <x v="4"/>
    <s v="No"/>
    <s v="CLF042"/>
    <s v="2301"/>
    <s v="St Aldhelm RC Church (CLOSED)"/>
    <s v="CHILCOMPTON"/>
    <m/>
    <m/>
    <m/>
    <s v=" "/>
    <m/>
    <m/>
    <n v="0"/>
    <n v="25"/>
    <n v="25"/>
  </r>
  <r>
    <x v="4"/>
    <s v="No"/>
    <s v="CLF043"/>
    <s v="2302"/>
    <s v="The Assumption of the Blessed Virgin Mary"/>
    <s v="CHIPPENHAM"/>
    <s v="Y"/>
    <n v="2563.6099999999997"/>
    <m/>
    <s v="1"/>
    <m/>
    <m/>
    <n v="2563.6099999999997"/>
    <n v="377"/>
    <n v="2940.6099999999997"/>
  </r>
  <r>
    <x v="4"/>
    <s v="No"/>
    <s v="CLF044"/>
    <s v="2303"/>
    <s v="St Catharine RC Church"/>
    <s v="CHIPPING CAMPDEN"/>
    <m/>
    <m/>
    <m/>
    <s v=" "/>
    <s v="banking per DD"/>
    <n v="402.31"/>
    <n v="402.31"/>
    <n v="707.39"/>
    <n v="1109.7"/>
  </r>
  <r>
    <x v="4"/>
    <s v="No"/>
    <s v="CLF045"/>
    <s v="2304"/>
    <s v="St Lawrence"/>
    <s v="CHIPPING SODBURY"/>
    <m/>
    <m/>
    <m/>
    <s v=" "/>
    <m/>
    <m/>
    <n v="0"/>
    <n v="90"/>
    <n v="90"/>
  </r>
  <r>
    <x v="4"/>
    <s v="No"/>
    <s v="CLF045L"/>
    <s v="0444460"/>
    <s v="St Paul"/>
    <s v="YATE"/>
    <m/>
    <m/>
    <m/>
    <s v=" "/>
    <m/>
    <m/>
    <n v="0"/>
    <m/>
    <n v="0"/>
  </r>
  <r>
    <x v="4"/>
    <s v="No"/>
    <s v="CLF046"/>
    <s v="2305"/>
    <s v="Our Lady of Perpetual Succour"/>
    <s v="CHURCHDOWN"/>
    <m/>
    <m/>
    <m/>
    <s v=" "/>
    <m/>
    <m/>
    <n v="0"/>
    <n v="335"/>
    <n v="335"/>
  </r>
  <r>
    <x v="4"/>
    <s v="No"/>
    <s v="CLF047"/>
    <s v="2306"/>
    <s v="Our Lady of Victories"/>
    <s v="CINDERFORD"/>
    <s v="Y"/>
    <n v="228.73"/>
    <m/>
    <s v="1"/>
    <m/>
    <m/>
    <n v="228.73"/>
    <n v="140"/>
    <n v="368.73"/>
  </r>
  <r>
    <x v="4"/>
    <s v="No"/>
    <s v="CLF048"/>
    <s v="2307"/>
    <s v="St Peter RC Church"/>
    <s v="CIRENCESTER"/>
    <s v="Y"/>
    <n v="1336.68"/>
    <m/>
    <s v="1"/>
    <m/>
    <m/>
    <n v="1336.68"/>
    <n v="127"/>
    <n v="1463.68"/>
  </r>
  <r>
    <x v="4"/>
    <s v="No"/>
    <s v="CLF049"/>
    <s v="2308"/>
    <s v="The Immaculate  Conception"/>
    <s v="CLEVEDON"/>
    <m/>
    <m/>
    <m/>
    <s v=" "/>
    <s v="banking per DD"/>
    <n v="469.8"/>
    <n v="469.8"/>
    <n v="353"/>
    <n v="822.8"/>
  </r>
  <r>
    <x v="4"/>
    <s v="No"/>
    <s v="CLF049S"/>
    <s v="0444422"/>
    <s v="St Dunstan and St Antony (Chapel of Ease)"/>
    <s v="YATTON"/>
    <m/>
    <m/>
    <m/>
    <s v=" "/>
    <m/>
    <m/>
    <n v="0"/>
    <m/>
    <n v="0"/>
  </r>
  <r>
    <x v="4"/>
    <s v="No"/>
    <s v="CLF050"/>
    <s v="2309"/>
    <s v="St Margaret Mary"/>
    <s v="COLEFORD"/>
    <s v="Y"/>
    <n v="514.35"/>
    <m/>
    <s v="1"/>
    <m/>
    <m/>
    <n v="514.35"/>
    <n v="55"/>
    <n v="569.35"/>
  </r>
  <r>
    <x v="4"/>
    <s v="No"/>
    <s v="CLF050P"/>
    <s v="0444438"/>
    <s v="Sacred Heart Chapel"/>
    <s v="SEDBURY"/>
    <m/>
    <m/>
    <m/>
    <s v=" "/>
    <m/>
    <m/>
    <n v="0"/>
    <m/>
    <n v="0"/>
  </r>
  <r>
    <x v="4"/>
    <s v="No"/>
    <s v="CLF050S"/>
    <s v="0444445"/>
    <s v="St Joseph"/>
    <s v="LYDNEY"/>
    <m/>
    <m/>
    <m/>
    <s v=" "/>
    <m/>
    <m/>
    <n v="0"/>
    <m/>
    <n v="0"/>
  </r>
  <r>
    <x v="4"/>
    <s v="No"/>
    <s v="CLF051"/>
    <s v="2310"/>
    <s v="St Patrick RC Church"/>
    <s v="CORSHAM"/>
    <s v="Y"/>
    <n v="187.85999999999999"/>
    <m/>
    <s v="1"/>
    <s v="per DD - it is £319.26"/>
    <n v="131.4"/>
    <n v="319.26"/>
    <n v="345"/>
    <n v="664.26"/>
  </r>
  <r>
    <x v="4"/>
    <s v="No"/>
    <s v="CLF052"/>
    <s v="2311"/>
    <s v="Our Lady of the Immaculate Conception"/>
    <s v="DEVIZES"/>
    <m/>
    <m/>
    <m/>
    <s v=" "/>
    <s v="banking per DD"/>
    <n v="297.74"/>
    <n v="297.74"/>
    <n v="260"/>
    <n v="557.74"/>
  </r>
  <r>
    <x v="4"/>
    <s v="No"/>
    <s v="CLF052S"/>
    <s v="0444410"/>
    <s v="St Joseph"/>
    <s v="LAVINGTON"/>
    <m/>
    <m/>
    <m/>
    <s v=" "/>
    <m/>
    <m/>
    <n v="0"/>
    <m/>
    <n v="0"/>
  </r>
  <r>
    <x v="4"/>
    <s v="No"/>
    <s v="CLF053"/>
    <s v="2312"/>
    <s v="St Augustine of Canterbury"/>
    <s v="BRISTOL"/>
    <s v="Y"/>
    <n v="1262"/>
    <m/>
    <s v="1"/>
    <m/>
    <m/>
    <n v="1262"/>
    <n v="427"/>
    <n v="1689"/>
  </r>
  <r>
    <x v="4"/>
    <s v="No"/>
    <s v="CLF054"/>
    <s v="2313"/>
    <s v="St Gregory's Abbey"/>
    <s v="DOWNSIDE ABBEY"/>
    <m/>
    <m/>
    <m/>
    <s v=" "/>
    <m/>
    <m/>
    <n v="0"/>
    <m/>
    <n v="0"/>
  </r>
  <r>
    <x v="4"/>
    <s v="No"/>
    <s v="CLF055"/>
    <s v="2314"/>
    <s v="St Stanislaus"/>
    <s v="DULVERTON"/>
    <m/>
    <m/>
    <m/>
    <s v=" "/>
    <m/>
    <m/>
    <n v="0"/>
    <n v="280"/>
    <n v="280"/>
  </r>
  <r>
    <x v="4"/>
    <s v="No"/>
    <s v="CLF056"/>
    <s v="2315"/>
    <s v="St Dominic RC Church"/>
    <s v="DURSLEY"/>
    <s v="Y"/>
    <n v="689.33"/>
    <m/>
    <s v="1"/>
    <s v="per DD - it is £689.23"/>
    <n v="-0.1"/>
    <n v="689.23"/>
    <n v="50"/>
    <n v="739.23"/>
  </r>
  <r>
    <x v="4"/>
    <s v="No"/>
    <s v="CLF057"/>
    <s v="2316"/>
    <s v="St Thomas of Canterbury"/>
    <s v="FAIRFORD"/>
    <s v="Y"/>
    <n v="1230.54"/>
    <m/>
    <s v="1"/>
    <m/>
    <m/>
    <n v="1230.54"/>
    <n v="50"/>
    <n v="1280.54"/>
  </r>
  <r>
    <x v="4"/>
    <s v="No"/>
    <s v="CLF057S"/>
    <s v="0444436"/>
    <s v="St Mary"/>
    <s v="CRICKLADE"/>
    <m/>
    <m/>
    <m/>
    <s v=" "/>
    <m/>
    <m/>
    <n v="0"/>
    <m/>
    <n v="0"/>
  </r>
  <r>
    <x v="4"/>
    <s v="No"/>
    <s v="CLF058"/>
    <s v="2317"/>
    <s v="St Catharine of Alexandria"/>
    <s v="FROME"/>
    <s v="Y"/>
    <n v="313.26"/>
    <m/>
    <s v="1"/>
    <m/>
    <m/>
    <n v="313.26"/>
    <n v="205"/>
    <n v="518.26"/>
  </r>
  <r>
    <x v="4"/>
    <s v="No"/>
    <s v="CLF058S"/>
    <s v="0444412"/>
    <s v="St Dominic's Chapel"/>
    <s v="MELLS"/>
    <m/>
    <m/>
    <m/>
    <s v=" "/>
    <m/>
    <m/>
    <n v="0"/>
    <m/>
    <n v="0"/>
  </r>
  <r>
    <x v="4"/>
    <s v="No"/>
    <s v="CLF059"/>
    <s v="2318"/>
    <s v="Our Lady St Mary of Glastonbury"/>
    <s v="GLASTONBURY"/>
    <s v="Y"/>
    <n v="421.19"/>
    <m/>
    <s v="1"/>
    <m/>
    <m/>
    <n v="421.19"/>
    <n v="384"/>
    <n v="805.19"/>
  </r>
  <r>
    <x v="4"/>
    <s v="No"/>
    <s v="CLF060"/>
    <s v="2319"/>
    <s v="St Peter"/>
    <s v="GLOUCESTER"/>
    <s v="Y"/>
    <n v="792.86"/>
    <m/>
    <s v="1"/>
    <m/>
    <m/>
    <n v="792.86"/>
    <n v="346"/>
    <n v="1138.8600000000001"/>
  </r>
  <r>
    <x v="4"/>
    <s v="No"/>
    <s v="CLF060X"/>
    <s v="2320"/>
    <s v="English Martyrs RC Church"/>
    <s v="TUFFLEY"/>
    <m/>
    <m/>
    <m/>
    <s v=" "/>
    <s v="banking per DD"/>
    <n v="781"/>
    <n v="781"/>
    <n v="361.8"/>
    <n v="1142.8"/>
  </r>
  <r>
    <x v="4"/>
    <s v="No"/>
    <s v="CLF061"/>
    <s v="2321"/>
    <s v="St Cuthbert CLOSED"/>
    <s v="HOLCOMBE"/>
    <s v="Y"/>
    <n v="100"/>
    <m/>
    <s v="1"/>
    <s v="per DD - it is £ zero"/>
    <n v="-100"/>
    <n v="0"/>
    <n v="170"/>
    <n v="170"/>
  </r>
  <r>
    <x v="4"/>
    <s v="No"/>
    <s v="CLF062"/>
    <s v="2322"/>
    <s v="St Benet RC Church"/>
    <s v="KEMERTON"/>
    <s v="Y"/>
    <m/>
    <m/>
    <s v="1"/>
    <s v="23-01-2020 banked £685.80 (chq 101273)"/>
    <m/>
    <n v="0"/>
    <n v="90"/>
    <n v="90"/>
  </r>
  <r>
    <x v="4"/>
    <s v="No"/>
    <s v="CLF063"/>
    <s v="2323"/>
    <s v="St Dunstan"/>
    <s v="KEYNSHAM"/>
    <m/>
    <m/>
    <m/>
    <s v=" "/>
    <s v="banking per DD"/>
    <n v="401.86"/>
    <n v="401.86"/>
    <n v="10"/>
    <n v="411.86"/>
  </r>
  <r>
    <x v="4"/>
    <s v="No"/>
    <s v="CLF064"/>
    <s v="2324"/>
    <s v="St Dunstan RC Church"/>
    <s v="SOMERTON"/>
    <s v="Y"/>
    <n v="1172.02"/>
    <m/>
    <s v="1"/>
    <m/>
    <m/>
    <n v="1172.02"/>
    <m/>
    <n v="1172.02"/>
  </r>
  <r>
    <x v="4"/>
    <s v="No"/>
    <s v="CLF064S"/>
    <s v="0444425"/>
    <s v="St Joseph CLOSED"/>
    <s v="LANGPORT"/>
    <m/>
    <m/>
    <m/>
    <s v=" "/>
    <m/>
    <m/>
    <n v="0"/>
    <m/>
    <n v="0"/>
  </r>
  <r>
    <x v="4"/>
    <s v="No"/>
    <s v="CLF066"/>
    <s v="2326"/>
    <s v="St Aldhelm RC Church"/>
    <s v="MALMESBURY"/>
    <s v="Y"/>
    <n v="414.7"/>
    <m/>
    <s v="1"/>
    <s v="per DD - it is £266.01"/>
    <n v="-148.69"/>
    <n v="266.01"/>
    <n v="55"/>
    <n v="321.01"/>
  </r>
  <r>
    <x v="4"/>
    <s v="No"/>
    <s v="CLF067"/>
    <s v="2327"/>
    <s v="St Thomas More RC Church"/>
    <s v="MARLBOROUGH"/>
    <m/>
    <m/>
    <m/>
    <s v=" "/>
    <s v="banking per DD"/>
    <n v="218.52"/>
    <n v="218.52"/>
    <n v="153"/>
    <n v="371.52"/>
  </r>
  <r>
    <x v="4"/>
    <s v="No"/>
    <s v="CLF067S"/>
    <s v="0444437"/>
    <s v="Holy Family"/>
    <s v="PEWSEY"/>
    <m/>
    <m/>
    <m/>
    <s v=" "/>
    <m/>
    <m/>
    <n v="0"/>
    <m/>
    <n v="0"/>
  </r>
  <r>
    <x v="4"/>
    <s v="No"/>
    <s v="CLF069"/>
    <s v="2328"/>
    <s v="St  Augustine RC Church"/>
    <s v="MATSON"/>
    <s v="Y"/>
    <n v="1224.23"/>
    <m/>
    <s v="1"/>
    <m/>
    <m/>
    <n v="1224.23"/>
    <n v="518"/>
    <n v="1742.23"/>
  </r>
  <r>
    <x v="4"/>
    <s v="No"/>
    <s v="CLF070"/>
    <s v="2329"/>
    <s v="St Anthony of Padua RC Church"/>
    <s v="MELKSHAM"/>
    <m/>
    <m/>
    <m/>
    <s v=" "/>
    <m/>
    <m/>
    <n v="0"/>
    <n v="324.44"/>
    <n v="324.44"/>
  </r>
  <r>
    <x v="4"/>
    <s v="No"/>
    <s v="CLF071"/>
    <s v="2330"/>
    <s v="Holy Ghost RC Church CLOSED"/>
    <s v="MIDSOMER NORTON"/>
    <m/>
    <m/>
    <m/>
    <s v=" "/>
    <s v="banking per DD"/>
    <n v="33.58"/>
    <n v="33.58"/>
    <m/>
    <n v="33.58"/>
  </r>
  <r>
    <x v="4"/>
    <s v="No"/>
    <s v="CLF072"/>
    <s v="2331"/>
    <s v="Sacred Heart RC Church"/>
    <s v="MINEHEAD"/>
    <s v="Y"/>
    <n v="633"/>
    <m/>
    <s v="1"/>
    <m/>
    <m/>
    <n v="633"/>
    <n v="10"/>
    <n v="643"/>
  </r>
  <r>
    <x v="4"/>
    <s v="No"/>
    <s v="CLF072S"/>
    <s v="0444449"/>
    <s v="Watchet Methodist Church"/>
    <s v="WATCHET"/>
    <m/>
    <m/>
    <m/>
    <s v=" "/>
    <m/>
    <m/>
    <n v="0"/>
    <m/>
    <n v="0"/>
  </r>
  <r>
    <x v="4"/>
    <s v="No"/>
    <s v="CLF073"/>
    <s v="0444453"/>
    <s v="Our Lady RC Church CLOSED"/>
    <s v="NORTON ST PHILIP"/>
    <m/>
    <m/>
    <m/>
    <s v=" "/>
    <m/>
    <m/>
    <n v="0"/>
    <m/>
    <n v="0"/>
  </r>
  <r>
    <x v="4"/>
    <s v="No"/>
    <s v="CLF074"/>
    <s v="2333"/>
    <s v="St Joseph RC Church"/>
    <s v="NYMPSFIELD"/>
    <s v="Y"/>
    <n v="161.08000000000001"/>
    <m/>
    <s v="1"/>
    <s v="per DD - it is £183.76"/>
    <n v="22.68"/>
    <n v="183.76000000000002"/>
    <m/>
    <n v="183.76000000000002"/>
  </r>
  <r>
    <x v="4"/>
    <s v="No"/>
    <s v="CLF075"/>
    <s v="2334"/>
    <s v="Holy Family RC Church"/>
    <s v="BRISTOL"/>
    <s v="Y"/>
    <n v="925.36"/>
    <m/>
    <s v="1"/>
    <m/>
    <m/>
    <n v="925.36"/>
    <n v="60"/>
    <n v="985.36"/>
  </r>
  <r>
    <x v="4"/>
    <s v="No"/>
    <s v="CLF076"/>
    <s v="2335"/>
    <s v="St Joseph RC Church"/>
    <s v="PEASEDOWN ST JOHN"/>
    <s v="Y"/>
    <n v="1085.44"/>
    <n v="177.27"/>
    <s v="1"/>
    <s v="per DD - it is £909.23"/>
    <n v="-176.21"/>
    <n v="909.23"/>
    <n v="125"/>
    <n v="1034.23"/>
  </r>
  <r>
    <x v="4"/>
    <s v="No"/>
    <s v="CLF077"/>
    <s v="2336"/>
    <s v="St  Joseph RC Church"/>
    <s v="PORTISHEAD"/>
    <s v="Y"/>
    <n v="1678.5"/>
    <m/>
    <s v="1"/>
    <m/>
    <m/>
    <n v="1678.5"/>
    <n v="565"/>
    <n v="2243.5"/>
  </r>
  <r>
    <x v="4"/>
    <s v="No"/>
    <s v="CLF078"/>
    <s v="2337"/>
    <s v="Our Lady &amp; St Peter"/>
    <s v="PRINKNASH ABBEY"/>
    <m/>
    <m/>
    <m/>
    <s v=" "/>
    <m/>
    <m/>
    <n v="0"/>
    <m/>
    <n v="0"/>
  </r>
  <r>
    <x v="4"/>
    <s v="No"/>
    <s v="CLF079"/>
    <s v="2338"/>
    <s v="St Hugh CLOSED"/>
    <s v="RADSTOCK"/>
    <m/>
    <m/>
    <m/>
    <s v=" "/>
    <s v="banking per DD"/>
    <n v="282.11"/>
    <n v="282.11"/>
    <n v="310"/>
    <n v="592.11"/>
  </r>
  <r>
    <x v="4"/>
    <s v="No"/>
    <s v="CLF080"/>
    <s v="2339"/>
    <s v="St Osmund"/>
    <s v="SALISBURY"/>
    <s v="Y"/>
    <n v="2329.09"/>
    <m/>
    <s v="1"/>
    <s v="combined with CLF080-2339 &amp; CLF081-2340 &amp; CLF082-2341"/>
    <m/>
    <n v="2329.09"/>
    <n v="709.69"/>
    <n v="3038.78"/>
  </r>
  <r>
    <x v="4"/>
    <s v="No"/>
    <s v="CLF081"/>
    <s v="2340"/>
    <s v="Most Holy Redeemer"/>
    <s v="SALISBURY"/>
    <s v="Y"/>
    <m/>
    <m/>
    <s v="1"/>
    <s v="combined with CLF080-2339 &amp; CLF081-2340 &amp; CLF082-2341"/>
    <m/>
    <n v="0"/>
    <n v="100"/>
    <n v="100"/>
  </r>
  <r>
    <x v="4"/>
    <s v="No"/>
    <s v="CLF082"/>
    <s v="2341"/>
    <s v="St Gregory &amp; The English Martyrs"/>
    <s v="SALISBURY"/>
    <s v="Y"/>
    <n v="796.59"/>
    <m/>
    <s v="1"/>
    <s v="combined with CLF080-2339 &amp; CLF081-2340 &amp; CLF082-2341"/>
    <m/>
    <n v="796.59"/>
    <m/>
    <n v="796.59"/>
  </r>
  <r>
    <x v="4"/>
    <s v="No"/>
    <s v="CLF083"/>
    <s v="2342"/>
    <s v="St Michael R C Church"/>
    <s v="SHEPTON MALLET"/>
    <s v="Y"/>
    <n v="539.98"/>
    <m/>
    <s v="1"/>
    <m/>
    <m/>
    <n v="539.98"/>
    <n v="36"/>
    <n v="575.98"/>
  </r>
  <r>
    <x v="4"/>
    <s v="No"/>
    <s v="CLF084"/>
    <s v="2343"/>
    <s v="St Joseph RC Church"/>
    <s v="STONEHOUSE"/>
    <s v="Y"/>
    <n v="763.2"/>
    <m/>
    <s v="1"/>
    <m/>
    <m/>
    <n v="763.2"/>
    <m/>
    <n v="763.2"/>
  </r>
  <r>
    <x v="4"/>
    <s v="No"/>
    <s v="CLF085"/>
    <s v="2344"/>
    <s v="Our Lady &amp; St Kenelm RC Church"/>
    <s v="STOW-ON-THE-WOLD"/>
    <m/>
    <m/>
    <m/>
    <s v=" "/>
    <s v="banking per DD"/>
    <n v="371.01"/>
    <n v="371.01"/>
    <n v="130"/>
    <n v="501.01"/>
  </r>
  <r>
    <x v="4"/>
    <s v="No"/>
    <s v="CLF085S"/>
    <s v="0444444"/>
    <s v="Our Lady Help of Christians"/>
    <s v="CHELTENHAM"/>
    <m/>
    <m/>
    <m/>
    <s v=" "/>
    <m/>
    <m/>
    <n v="0"/>
    <m/>
    <n v="0"/>
  </r>
  <r>
    <x v="4"/>
    <s v="No"/>
    <s v="CLF086"/>
    <s v="2345"/>
    <s v="St Benedict RC Church"/>
    <s v="STRATTON ON THE FOSSE"/>
    <s v="Y"/>
    <n v="351.46"/>
    <m/>
    <s v="1"/>
    <m/>
    <m/>
    <n v="351.46"/>
    <m/>
    <n v="351.46"/>
  </r>
  <r>
    <x v="4"/>
    <s v="No"/>
    <s v="CLF087"/>
    <s v="2346"/>
    <s v="The Immaculate Conception"/>
    <s v="STROUD"/>
    <s v="Y"/>
    <n v="2233.62"/>
    <m/>
    <s v="1"/>
    <m/>
    <m/>
    <n v="2233.62"/>
    <n v="500"/>
    <n v="2733.62"/>
  </r>
  <r>
    <x v="4"/>
    <s v="No"/>
    <s v="CLF087S"/>
    <s v="0444423"/>
    <s v="St Mary of the Angels CLOSED?"/>
    <s v="BISLEY"/>
    <m/>
    <m/>
    <m/>
    <s v=" "/>
    <m/>
    <m/>
    <n v="0"/>
    <m/>
    <n v="0"/>
  </r>
  <r>
    <x v="4"/>
    <s v="No"/>
    <s v="CLF087S2"/>
    <s v="0444430"/>
    <s v="Our Lady &amp; St Therese"/>
    <s v="PAINSWICK"/>
    <m/>
    <m/>
    <m/>
    <s v=" "/>
    <m/>
    <m/>
    <n v="0"/>
    <m/>
    <n v="0"/>
  </r>
  <r>
    <x v="4"/>
    <s v="No"/>
    <s v="CLF087Z"/>
    <s v="2347"/>
    <s v="St Francis RC Church"/>
    <s v="NAILSEA"/>
    <s v="Y"/>
    <n v="1308.25"/>
    <m/>
    <s v="1"/>
    <m/>
    <m/>
    <n v="1308.25"/>
    <n v="285"/>
    <n v="1593.25"/>
  </r>
  <r>
    <x v="4"/>
    <s v="No"/>
    <s v="CLF088"/>
    <s v="2348"/>
    <s v="Holy Rood Catholic Church"/>
    <s v="SWINDON"/>
    <s v="Y"/>
    <n v="5720.8199999999988"/>
    <m/>
    <s v="1"/>
    <m/>
    <m/>
    <n v="5720.8199999999988"/>
    <n v="993"/>
    <n v="6713.8199999999988"/>
  </r>
  <r>
    <x v="4"/>
    <s v="No"/>
    <s v="CLF089"/>
    <s v="2349"/>
    <s v="St Mary RC Church"/>
    <s v="SWINDON"/>
    <s v="Y"/>
    <n v="1306.17"/>
    <m/>
    <s v="1"/>
    <s v="per DD - it is £1307.07"/>
    <n v="0.9"/>
    <n v="1307.0700000000002"/>
    <n v="132"/>
    <n v="1439.0700000000002"/>
  </r>
  <r>
    <x v="4"/>
    <s v="No"/>
    <s v="CLF090"/>
    <s v="2350"/>
    <s v="Holy Family RC Church"/>
    <s v="SWINDON"/>
    <m/>
    <m/>
    <m/>
    <s v=" "/>
    <s v="banking per DD"/>
    <n v="1548.7"/>
    <n v="1548.7"/>
    <n v="210"/>
    <n v="1758.7"/>
  </r>
  <r>
    <x v="4"/>
    <s v="No"/>
    <s v="CLF091"/>
    <s v="2351"/>
    <s v="St George RC Church"/>
    <s v="TAUNTON"/>
    <s v="Y"/>
    <n v="3004.53"/>
    <m/>
    <s v="1"/>
    <m/>
    <m/>
    <n v="3004.53"/>
    <n v="642.04999999999995"/>
    <n v="3646.58"/>
  </r>
  <r>
    <x v="4"/>
    <s v="No"/>
    <s v="CLF092"/>
    <s v="2352"/>
    <s v="St Teresa of Lisieux"/>
    <s v="TAUNTON"/>
    <s v="Y"/>
    <n v="761.18"/>
    <m/>
    <s v="1"/>
    <m/>
    <m/>
    <n v="761.18"/>
    <n v="260"/>
    <n v="1021.18"/>
  </r>
  <r>
    <x v="4"/>
    <s v="No"/>
    <s v="CLF093"/>
    <s v="2353"/>
    <s v="St Michael RC Church"/>
    <s v="TETBURY"/>
    <m/>
    <m/>
    <m/>
    <s v=" "/>
    <s v="banking per DD"/>
    <n v="125.68"/>
    <n v="125.68"/>
    <n v="240"/>
    <n v="365.68"/>
  </r>
  <r>
    <x v="4"/>
    <s v="No"/>
    <s v="CLF094"/>
    <s v="2354"/>
    <s v="St  Joseph"/>
    <s v="TEWKESBURY"/>
    <s v="Y"/>
    <n v="470.03999999999996"/>
    <m/>
    <s v="1"/>
    <s v="per DD - it is £ zero"/>
    <n v="-470.04"/>
    <n v="0"/>
    <n v="258.48"/>
    <n v="258.48"/>
  </r>
  <r>
    <x v="4"/>
    <s v="No"/>
    <s v="CLF095"/>
    <s v="2355"/>
    <s v="Christ the King RC Church"/>
    <s v="BRISTOL"/>
    <s v="Y"/>
    <n v="955.31999999999994"/>
    <m/>
    <s v="1"/>
    <m/>
    <m/>
    <n v="955.31999999999994"/>
    <n v="75"/>
    <n v="1030.32"/>
  </r>
  <r>
    <x v="4"/>
    <s v="No"/>
    <s v="CLF096"/>
    <s v="2356"/>
    <s v="The Sacred Heart"/>
    <s v="TISBURY"/>
    <s v="Y"/>
    <n v="506.89"/>
    <m/>
    <s v="1"/>
    <s v="per DD - it is £534.21"/>
    <n v="27.32"/>
    <n v="534.21"/>
    <n v="75"/>
    <n v="609.21"/>
  </r>
  <r>
    <x v="4"/>
    <s v="No"/>
    <s v="CLF096S"/>
    <s v="264149"/>
    <s v="All Saints"/>
    <s v="WARDOUR"/>
    <m/>
    <m/>
    <m/>
    <s v=" "/>
    <m/>
    <m/>
    <n v="0"/>
    <m/>
    <n v="0"/>
  </r>
  <r>
    <x v="4"/>
    <s v="No"/>
    <s v="CLF097"/>
    <s v="2357"/>
    <s v="St John the Baptist"/>
    <s v="TROWBRIDGE"/>
    <s v="Y"/>
    <n v="2508.23"/>
    <m/>
    <s v="1"/>
    <s v="per DD - it is £2498.14"/>
    <n v="-10.09"/>
    <n v="2498.14"/>
    <n v="600"/>
    <n v="3098.14"/>
  </r>
  <r>
    <x v="4"/>
    <s v="No"/>
    <s v="CLF097S"/>
    <s v="0444429"/>
    <s v="St Bernadette"/>
    <s v="WESTBURY"/>
    <m/>
    <m/>
    <m/>
    <s v=" "/>
    <m/>
    <m/>
    <n v="0"/>
    <m/>
    <n v="0"/>
  </r>
  <r>
    <x v="4"/>
    <s v="No"/>
    <s v="CLF098"/>
    <s v="2358"/>
    <s v="St George"/>
    <s v="WARMINSTER"/>
    <s v="Y"/>
    <n v="1140.1400000000001"/>
    <m/>
    <s v="1"/>
    <m/>
    <m/>
    <n v="1140.1400000000001"/>
    <n v="245"/>
    <n v="1385.14"/>
  </r>
  <r>
    <x v="4"/>
    <s v="No"/>
    <s v="CLF099"/>
    <s v="2359"/>
    <s v="St John Fisher RC Church"/>
    <s v="WELLINGTON"/>
    <s v="Y"/>
    <n v="530.09"/>
    <m/>
    <s v="1"/>
    <m/>
    <m/>
    <n v="530.09"/>
    <n v="115"/>
    <n v="645.09"/>
  </r>
  <r>
    <x v="4"/>
    <s v="No"/>
    <s v="CLF099S"/>
    <s v="0444431"/>
    <s v="St Richard of Chichester"/>
    <s v="WIVELISCOMBE"/>
    <m/>
    <m/>
    <m/>
    <s v=" "/>
    <m/>
    <m/>
    <n v="0"/>
    <m/>
    <n v="0"/>
  </r>
  <r>
    <x v="4"/>
    <s v="No"/>
    <s v="CLF100"/>
    <s v="2360"/>
    <s v="St Joseph &amp; St Teresa"/>
    <s v="WELLS"/>
    <s v="Y"/>
    <n v="462.64"/>
    <m/>
    <s v="1"/>
    <m/>
    <m/>
    <n v="462.64"/>
    <n v="30"/>
    <n v="492.64"/>
  </r>
  <r>
    <x v="4"/>
    <s v="No"/>
    <s v="CLF101"/>
    <s v="2361"/>
    <s v="Corpus Christi RC Church"/>
    <s v="WESTON-SUPER-MARE"/>
    <s v="Y"/>
    <n v="1137.8900000000001"/>
    <m/>
    <s v="1"/>
    <s v="per DD - it is £1100.21"/>
    <n v="-37.68"/>
    <n v="1100.21"/>
    <n v="696"/>
    <n v="1796.21"/>
  </r>
  <r>
    <x v="4"/>
    <s v="No"/>
    <s v="CLF102"/>
    <s v="2362"/>
    <s v="Our Lady of Lourdes"/>
    <s v="WESTON-SUPER-MARE"/>
    <s v="Y"/>
    <n v="347.67"/>
    <m/>
    <s v="1"/>
    <s v="per DD - it is £1609.83   {No Annual Return received - only gift aid contribution list}"/>
    <n v="1262.1600000000001"/>
    <n v="1609.8300000000002"/>
    <n v="45"/>
    <n v="1654.8300000000002"/>
  </r>
  <r>
    <x v="4"/>
    <s v="No"/>
    <s v="CLF103"/>
    <s v="2363"/>
    <s v="St Joseph RC Church"/>
    <s v="WESTON-SUPER-MARE"/>
    <s v="Y"/>
    <n v="316.38"/>
    <m/>
    <s v="1"/>
    <m/>
    <m/>
    <n v="316.38"/>
    <n v="105"/>
    <n v="421.38"/>
  </r>
  <r>
    <x v="4"/>
    <s v="No"/>
    <s v="CLF104"/>
    <s v="2364"/>
    <s v="St Luke &amp; St Teresa"/>
    <s v="WINCANTON"/>
    <m/>
    <m/>
    <m/>
    <s v=" "/>
    <s v="banking per DD"/>
    <n v="1041.73"/>
    <n v="1041.73"/>
    <n v="1289.71"/>
    <n v="2331.44"/>
  </r>
  <r>
    <x v="4"/>
    <s v="No"/>
    <s v="CLF104S"/>
    <s v="0444426"/>
    <s v="St Mary"/>
    <s v="MERE"/>
    <m/>
    <m/>
    <m/>
    <s v=" "/>
    <m/>
    <m/>
    <n v="0"/>
    <m/>
    <n v="0"/>
  </r>
  <r>
    <x v="4"/>
    <s v="No"/>
    <s v="CLF105"/>
    <s v="2365"/>
    <s v="St Nicholas RC Church"/>
    <s v="WINCHCOMBE"/>
    <s v="Y"/>
    <n v="1010.79"/>
    <m/>
    <s v="1"/>
    <m/>
    <m/>
    <n v="1010.79"/>
    <n v="105"/>
    <n v="1115.79"/>
  </r>
  <r>
    <x v="4"/>
    <s v="No"/>
    <s v="CLF105S"/>
    <s v="0444440"/>
    <s v="St Michael &amp; All Angels Church of England"/>
    <s v="BISHOP'S CLEEVE"/>
    <m/>
    <m/>
    <m/>
    <s v=" "/>
    <m/>
    <m/>
    <n v="0"/>
    <m/>
    <n v="0"/>
  </r>
  <r>
    <x v="4"/>
    <s v="No"/>
    <s v="CLF106"/>
    <s v="2366"/>
    <s v="The Annuciation"/>
    <s v="WOODCHESTER PRIORY"/>
    <m/>
    <m/>
    <m/>
    <s v=" "/>
    <s v="banking per DD"/>
    <n v="41.73"/>
    <n v="41.73"/>
    <m/>
    <n v="41.73"/>
  </r>
  <r>
    <x v="4"/>
    <s v="No"/>
    <s v="CLF107"/>
    <s v="2367"/>
    <s v="The Sacred Heart RC Church"/>
    <s v="ROYAL WOOTTON BASSETT"/>
    <s v="Y"/>
    <n v="319.33"/>
    <m/>
    <s v="1"/>
    <m/>
    <m/>
    <n v="319.33"/>
    <n v="50"/>
    <n v="369.33"/>
  </r>
  <r>
    <x v="4"/>
    <s v="No"/>
    <s v="CLF108"/>
    <s v="2368"/>
    <s v="Holy Cross RC Church"/>
    <s v="WOTTON-UNDER-EDGE"/>
    <m/>
    <m/>
    <m/>
    <s v=" "/>
    <s v="banking per DD"/>
    <n v="26.84"/>
    <n v="26.84"/>
    <n v="360"/>
    <n v="386.84"/>
  </r>
  <r>
    <x v="4"/>
    <s v="No"/>
    <s v="CLF109"/>
    <s v="2369"/>
    <s v="St Joseph RC Church"/>
    <s v="WROUGHTON"/>
    <s v="Y"/>
    <n v="330.82"/>
    <m/>
    <s v="1"/>
    <s v="per DD - it is £330.83"/>
    <n v="0.01"/>
    <n v="330.83"/>
    <n v="157"/>
    <n v="487.83"/>
  </r>
  <r>
    <x v="4"/>
    <s v="No"/>
    <s v="CLF110"/>
    <s v="2370"/>
    <s v="The Holy Ghost RC Church"/>
    <s v="YEOVIL"/>
    <s v="Y"/>
    <n v="1750.36"/>
    <m/>
    <s v="1"/>
    <s v="Diff 10p: Grand Total stated £1750.26"/>
    <n v="-0.1"/>
    <n v="1750.26"/>
    <n v="396"/>
    <n v="2146.2600000000002"/>
  </r>
  <r>
    <x v="4"/>
    <s v="No"/>
    <s v="CLF110S"/>
    <s v="0444428"/>
    <s v="St Michael"/>
    <s v="SOUTH PETHERTON"/>
    <m/>
    <m/>
    <m/>
    <s v=" "/>
    <m/>
    <m/>
    <n v="0"/>
    <m/>
    <n v="0"/>
  </r>
  <r>
    <x v="4"/>
    <s v="No"/>
    <s v="CLF111"/>
    <s v="2371"/>
    <s v="St Peter RC Church"/>
    <s v="SWINDON"/>
    <s v="Y"/>
    <n v="1193"/>
    <m/>
    <s v="1"/>
    <m/>
    <m/>
    <n v="1193"/>
    <n v="1024"/>
    <n v="2217"/>
  </r>
  <r>
    <x v="4"/>
    <s v="No"/>
    <s v="CLF604"/>
    <s v="0444457"/>
    <s v="University of the West of England Chaplaincy"/>
    <s v="BRISTOL"/>
    <m/>
    <m/>
    <m/>
    <s v=" "/>
    <m/>
    <m/>
    <n v="0"/>
    <m/>
    <n v="0"/>
  </r>
  <r>
    <x v="4"/>
    <s v="No"/>
    <s v="CLF999"/>
    <s v="2375"/>
    <s v="Clifton Diocese Various"/>
    <m/>
    <m/>
    <m/>
    <m/>
    <s v=" "/>
    <s v="banking per DD"/>
    <n v="192.13"/>
    <n v="192.13"/>
    <n v="0"/>
    <n v="192.13"/>
  </r>
  <r>
    <x v="5"/>
    <s v="No"/>
    <s v="EAS001"/>
    <s v="2377"/>
    <s v="St John the Baptist RC Church"/>
    <s v="NORWICH"/>
    <s v="Y"/>
    <n v="1046.1300000000001"/>
    <m/>
    <s v="1"/>
    <m/>
    <m/>
    <n v="1046.1300000000001"/>
    <n v="450"/>
    <n v="1496.13"/>
  </r>
  <r>
    <x v="5"/>
    <s v="No"/>
    <s v="EAS001S"/>
    <s v="0479454"/>
    <s v="St Mark's (C of E Church)"/>
    <s v="LAKENHAM"/>
    <m/>
    <m/>
    <m/>
    <s v=" "/>
    <m/>
    <m/>
    <n v="0"/>
    <m/>
    <n v="0"/>
  </r>
  <r>
    <x v="5"/>
    <s v="No"/>
    <s v="EAS002"/>
    <s v="2378"/>
    <s v="Holy Apostles RC Church"/>
    <s v="NORWICH"/>
    <s v="Y"/>
    <n v="191.09"/>
    <m/>
    <s v="1"/>
    <m/>
    <m/>
    <n v="191.09"/>
    <n v="160"/>
    <n v="351.09000000000003"/>
  </r>
  <r>
    <x v="5"/>
    <s v="No"/>
    <s v="EAS003"/>
    <s v="2380"/>
    <s v="St George's RC Church"/>
    <s v="NORWICH"/>
    <m/>
    <m/>
    <m/>
    <s v=" "/>
    <s v="banking per DD"/>
    <n v="901.61"/>
    <n v="901.61"/>
    <n v="231"/>
    <n v="1132.6100000000001"/>
  </r>
  <r>
    <x v="5"/>
    <s v="Yes"/>
    <s v="EAS003S"/>
    <s v="0479455"/>
    <s v="St Boniface"/>
    <s v="HELLESDON"/>
    <m/>
    <m/>
    <m/>
    <s v=" "/>
    <m/>
    <m/>
    <n v="0"/>
    <m/>
    <n v="0"/>
  </r>
  <r>
    <x v="5"/>
    <s v="Yes"/>
    <s v="EAS003S2"/>
    <s v="0479456"/>
    <s v="Our Lady, Mother of God"/>
    <s v="THORPE ST ANDREW"/>
    <m/>
    <m/>
    <m/>
    <s v=" "/>
    <m/>
    <m/>
    <n v="0"/>
    <m/>
    <n v="0"/>
  </r>
  <r>
    <x v="5"/>
    <s v="No"/>
    <s v="EAS004"/>
    <s v="2382"/>
    <s v="Our  Lady  &amp; St  Peter RC Church"/>
    <s v="ALDEBURGH"/>
    <s v="Y"/>
    <n v="554.22"/>
    <m/>
    <s v="1"/>
    <m/>
    <m/>
    <n v="554.22"/>
    <n v="75"/>
    <n v="629.22"/>
  </r>
  <r>
    <x v="5"/>
    <s v="No"/>
    <s v="EAS004S"/>
    <s v="0479457"/>
    <s v="All Saints"/>
    <s v="LEISTON"/>
    <m/>
    <m/>
    <m/>
    <s v=" "/>
    <m/>
    <m/>
    <n v="0"/>
    <m/>
    <n v="0"/>
  </r>
  <r>
    <x v="5"/>
    <s v="No"/>
    <s v="EAS005"/>
    <s v="2383"/>
    <s v="St Benet's Minster"/>
    <s v="BECCLES"/>
    <m/>
    <m/>
    <m/>
    <s v=" "/>
    <s v="banking per DD"/>
    <n v="577.07000000000005"/>
    <n v="577.07000000000005"/>
    <n v="80"/>
    <n v="657.07"/>
  </r>
  <r>
    <x v="5"/>
    <s v="No"/>
    <s v="EAS005S"/>
    <s v="0479458"/>
    <s v="Our Lady of Perpetual Succour"/>
    <s v="GILLINGHAM"/>
    <m/>
    <m/>
    <m/>
    <s v=" "/>
    <m/>
    <m/>
    <n v="0"/>
    <m/>
    <n v="0"/>
  </r>
  <r>
    <x v="5"/>
    <s v="Yes"/>
    <s v="EAS006"/>
    <s v="2384"/>
    <s v="St  Peter RC Church"/>
    <s v="WALSINGHAM"/>
    <m/>
    <m/>
    <m/>
    <s v=" "/>
    <m/>
    <m/>
    <n v="0"/>
    <m/>
    <n v="0"/>
  </r>
  <r>
    <x v="5"/>
    <s v="No"/>
    <s v="EAS006X"/>
    <s v="2385"/>
    <s v="St Thomas of Canterbury &amp; St John the Evangelist"/>
    <s v="BRANDON"/>
    <s v="Y"/>
    <n v="754.96"/>
    <m/>
    <s v="1"/>
    <s v="per DD - it is £1093.56"/>
    <n v="338.6"/>
    <n v="1093.56"/>
    <n v="225"/>
    <n v="1318.56"/>
  </r>
  <r>
    <x v="5"/>
    <s v="No"/>
    <s v="EAS006XS"/>
    <s v="0479459"/>
    <s v="St John the Evangelist"/>
    <s v="MILDENHALL"/>
    <m/>
    <m/>
    <m/>
    <s v=" "/>
    <m/>
    <m/>
    <n v="0"/>
    <m/>
    <n v="0"/>
  </r>
  <r>
    <x v="5"/>
    <s v="No"/>
    <s v="EAS007"/>
    <s v="2386"/>
    <s v="St  Hugh of Lincoln"/>
    <s v="ST. NEOTS"/>
    <m/>
    <m/>
    <m/>
    <s v=" "/>
    <m/>
    <m/>
    <n v="0"/>
    <n v="65"/>
    <n v="65"/>
  </r>
  <r>
    <x v="5"/>
    <s v="No"/>
    <s v="EAS008"/>
    <s v="2387"/>
    <s v="St  Edmund, King &amp; Martyr RC Church"/>
    <s v="BUNGAY"/>
    <s v="Y"/>
    <n v="326.44"/>
    <m/>
    <s v="1"/>
    <m/>
    <m/>
    <n v="326.44"/>
    <n v="560"/>
    <n v="886.44"/>
  </r>
  <r>
    <x v="5"/>
    <s v="No"/>
    <s v="EAS008S"/>
    <s v="0479460"/>
    <s v="St Thomas More"/>
    <s v="HARLESTON"/>
    <m/>
    <m/>
    <m/>
    <s v=" "/>
    <m/>
    <m/>
    <n v="0"/>
    <m/>
    <n v="0"/>
  </r>
  <r>
    <x v="5"/>
    <s v="Yes"/>
    <s v="EAS009"/>
    <s v="2388"/>
    <s v="St Henry Walpole"/>
    <s v="WALSINGHAM"/>
    <m/>
    <m/>
    <m/>
    <s v=" "/>
    <m/>
    <m/>
    <n v="0"/>
    <m/>
    <n v="0"/>
  </r>
  <r>
    <x v="5"/>
    <s v="No"/>
    <s v="EAS010"/>
    <s v="2389"/>
    <s v="St Edmund, King &amp; Martyr"/>
    <s v="BURY ST EDMUNDS"/>
    <m/>
    <m/>
    <m/>
    <s v=" "/>
    <m/>
    <m/>
    <n v="0"/>
    <n v="704"/>
    <n v="704"/>
  </r>
  <r>
    <x v="5"/>
    <s v="No"/>
    <s v="EAS010S"/>
    <s v="0479461"/>
    <s v="Our Lady Immaculate &amp; St Joseph"/>
    <s v="LAWSHALL"/>
    <m/>
    <m/>
    <m/>
    <s v=" "/>
    <m/>
    <m/>
    <n v="0"/>
    <m/>
    <n v="0"/>
  </r>
  <r>
    <x v="5"/>
    <s v="No"/>
    <s v="EAS010S2"/>
    <s v="0479462"/>
    <s v="Montana"/>
    <s v="GREAT BARTON"/>
    <m/>
    <m/>
    <m/>
    <s v=" "/>
    <m/>
    <m/>
    <n v="0"/>
    <m/>
    <n v="0"/>
  </r>
  <r>
    <x v="5"/>
    <s v="No"/>
    <s v="EAS011"/>
    <s v="2390"/>
    <s v="Our Lady &amp; The English Martyrs"/>
    <s v="CAMBRIDGE"/>
    <s v="Y"/>
    <n v="7.07"/>
    <m/>
    <s v="1"/>
    <m/>
    <m/>
    <n v="7.07"/>
    <n v="685"/>
    <n v="692.07"/>
  </r>
  <r>
    <x v="5"/>
    <s v="Yes"/>
    <s v="EAS011A"/>
    <s v="2391"/>
    <s v="Priory of St Michael"/>
    <s v="CAMBRIDGE"/>
    <m/>
    <m/>
    <m/>
    <s v=" "/>
    <m/>
    <m/>
    <n v="0"/>
    <m/>
    <n v="0"/>
  </r>
  <r>
    <x v="5"/>
    <s v="Yes"/>
    <s v="EAS011S"/>
    <s v="0479463"/>
    <s v="Church Centre"/>
    <s v="CAMBRIDGE"/>
    <m/>
    <m/>
    <m/>
    <s v=" "/>
    <m/>
    <m/>
    <n v="0"/>
    <m/>
    <n v="0"/>
  </r>
  <r>
    <x v="5"/>
    <s v="Yes"/>
    <s v="EAS011S2"/>
    <s v="0479464"/>
    <s v="St Vincent de Paul"/>
    <s v="CAMBRIDGE"/>
    <m/>
    <m/>
    <m/>
    <s v=" "/>
    <m/>
    <m/>
    <n v="0"/>
    <m/>
    <n v="0"/>
  </r>
  <r>
    <x v="5"/>
    <s v="No"/>
    <s v="EAS012"/>
    <s v="2393"/>
    <s v="St Laurence RC Church"/>
    <s v="CAMBRIDGE"/>
    <s v="Y"/>
    <n v="2007.91"/>
    <m/>
    <s v="1"/>
    <s v="per DD - it is £1807.91"/>
    <n v="-200"/>
    <n v="1807.91"/>
    <n v="631.1"/>
    <n v="2439.0100000000002"/>
  </r>
  <r>
    <x v="5"/>
    <s v="No"/>
    <s v="EAS012S"/>
    <s v="0479465"/>
    <s v="St Laurence Primary School"/>
    <s v="CAMBRIDGE"/>
    <m/>
    <m/>
    <m/>
    <s v=" "/>
    <m/>
    <m/>
    <n v="0"/>
    <m/>
    <n v="0"/>
  </r>
  <r>
    <x v="5"/>
    <s v="No"/>
    <s v="EAS013"/>
    <s v="2394"/>
    <s v="St Philip Howard RC Church"/>
    <s v="CAMBRIDGE"/>
    <m/>
    <m/>
    <m/>
    <s v=" "/>
    <m/>
    <m/>
    <n v="0"/>
    <n v="2158.5500000000002"/>
    <n v="2158.5500000000002"/>
  </r>
  <r>
    <x v="5"/>
    <s v="No"/>
    <s v="EAS015"/>
    <s v="2396"/>
    <s v="Mother of Good Counsel"/>
    <s v="CLARE"/>
    <s v="Y"/>
    <n v="539.16"/>
    <m/>
    <s v="1"/>
    <m/>
    <m/>
    <n v="539.16"/>
    <n v="50"/>
    <n v="589.16"/>
  </r>
  <r>
    <x v="5"/>
    <s v="No"/>
    <s v="EAS015S"/>
    <s v="0479466"/>
    <s v="United Reformed Church"/>
    <s v="CAVENDISH"/>
    <m/>
    <m/>
    <m/>
    <s v=" "/>
    <m/>
    <m/>
    <n v="0"/>
    <m/>
    <n v="0"/>
  </r>
  <r>
    <x v="5"/>
    <s v="No"/>
    <s v="EAS016"/>
    <s v="2397"/>
    <s v="Our Lady &amp; St Walstan RC Church"/>
    <s v="NORWICH"/>
    <m/>
    <m/>
    <m/>
    <s v=" "/>
    <s v="banking per DD"/>
    <n v="1998"/>
    <n v="1998"/>
    <n v="330"/>
    <n v="2328"/>
  </r>
  <r>
    <x v="5"/>
    <s v="No"/>
    <s v="EAS017"/>
    <s v="2398"/>
    <s v="Our Lady Of Refuge"/>
    <s v="CROMER"/>
    <m/>
    <m/>
    <m/>
    <s v=" "/>
    <m/>
    <m/>
    <n v="0"/>
    <n v="80"/>
    <n v="80"/>
  </r>
  <r>
    <x v="5"/>
    <s v="No"/>
    <s v="EAS018"/>
    <s v="2399"/>
    <s v="St Henry Morse Church"/>
    <s v="DISS"/>
    <m/>
    <m/>
    <m/>
    <s v=" "/>
    <m/>
    <m/>
    <n v="0"/>
    <n v="797.65"/>
    <n v="797.65"/>
  </r>
  <r>
    <x v="5"/>
    <s v="No"/>
    <s v="EAS019"/>
    <s v="2400"/>
    <s v="St  Dominic RC Church"/>
    <s v="DOWNHAM MARKET"/>
    <s v="Y"/>
    <n v="165.98000000000002"/>
    <m/>
    <s v="1"/>
    <m/>
    <m/>
    <n v="165.98000000000002"/>
    <n v="110"/>
    <n v="275.98"/>
  </r>
  <r>
    <x v="5"/>
    <s v="No"/>
    <s v="EAS020"/>
    <s v="2401"/>
    <s v="Sacred Heart &amp; St Margaret Mary RC Church"/>
    <s v="DEREHAM"/>
    <m/>
    <m/>
    <m/>
    <s v=" "/>
    <s v="banking per DD"/>
    <n v="441"/>
    <n v="441"/>
    <n v="75"/>
    <n v="516"/>
  </r>
  <r>
    <x v="5"/>
    <s v="No"/>
    <s v="EAS020A"/>
    <s v="2402"/>
    <s v="St Cecilia RC Church"/>
    <s v="DERSINGHAM"/>
    <m/>
    <m/>
    <m/>
    <s v=" "/>
    <m/>
    <m/>
    <n v="0"/>
    <m/>
    <n v="0"/>
  </r>
  <r>
    <x v="5"/>
    <s v="No"/>
    <s v="EAS021"/>
    <s v="2403"/>
    <s v="St Etheldreda RC Church"/>
    <s v="ELY"/>
    <s v="Y"/>
    <n v="1200.04"/>
    <m/>
    <s v="1"/>
    <m/>
    <m/>
    <n v="1200.04"/>
    <n v="275"/>
    <n v="1475.04"/>
  </r>
  <r>
    <x v="5"/>
    <s v="No"/>
    <s v="EAS022"/>
    <s v="2404"/>
    <s v="St  Anthony of Padua RC Church"/>
    <s v="FAKENHAM"/>
    <s v="Y"/>
    <n v="2293.5"/>
    <m/>
    <s v="1"/>
    <m/>
    <m/>
    <n v="2293.5"/>
    <n v="60"/>
    <n v="2353.5"/>
  </r>
  <r>
    <x v="5"/>
    <s v="No"/>
    <s v="EAS023"/>
    <s v="2405"/>
    <s v="St  Felix Church"/>
    <s v="FELIXSTOWE"/>
    <s v="Y"/>
    <n v="1085"/>
    <m/>
    <s v="1"/>
    <m/>
    <m/>
    <n v="1085"/>
    <n v="135"/>
    <n v="1220"/>
  </r>
  <r>
    <x v="5"/>
    <s v="No"/>
    <s v="EAS023A"/>
    <s v="2406"/>
    <s v="St Clare RC Church"/>
    <s v="WOODBRIDGE"/>
    <m/>
    <m/>
    <m/>
    <s v=" "/>
    <m/>
    <m/>
    <n v="0"/>
    <n v="40"/>
    <n v="40"/>
  </r>
  <r>
    <x v="5"/>
    <s v="No"/>
    <s v="EAS023S"/>
    <s v="0479467"/>
    <s v="Convent of Jesus and Mary"/>
    <s v="FELIXSTOWE"/>
    <m/>
    <m/>
    <m/>
    <s v=" "/>
    <m/>
    <m/>
    <n v="0"/>
    <m/>
    <n v="0"/>
  </r>
  <r>
    <x v="5"/>
    <s v="No"/>
    <s v="EAS024"/>
    <s v="2407"/>
    <s v="St Peter RC Church"/>
    <s v="GREAT YARMOUTH"/>
    <s v="Y"/>
    <n v="816.06"/>
    <m/>
    <s v="1"/>
    <m/>
    <m/>
    <n v="816.06"/>
    <n v="50"/>
    <n v="866.06"/>
  </r>
  <r>
    <x v="5"/>
    <s v="No"/>
    <s v="EAS025"/>
    <s v="2408"/>
    <s v="St  Joseph RC Church"/>
    <s v="IPSWICH"/>
    <m/>
    <m/>
    <m/>
    <s v=" "/>
    <m/>
    <m/>
    <n v="0"/>
    <m/>
    <n v="0"/>
  </r>
  <r>
    <x v="5"/>
    <s v="No"/>
    <s v="EAS026"/>
    <s v="2409"/>
    <s v="St  Felix RC Church"/>
    <s v="HAVERHILL"/>
    <s v="Y"/>
    <n v="624.54999999999995"/>
    <m/>
    <s v="1"/>
    <m/>
    <m/>
    <n v="624.54999999999995"/>
    <n v="220"/>
    <n v="844.55"/>
  </r>
  <r>
    <x v="5"/>
    <s v="No"/>
    <s v="EAS028"/>
    <s v="2411"/>
    <s v="Our Lady of Perpetual Succour &amp; St Edmund"/>
    <s v="HUNSTANTON"/>
    <s v="Y"/>
    <n v="973.54"/>
    <m/>
    <s v="1"/>
    <m/>
    <m/>
    <n v="973.54"/>
    <n v="215"/>
    <n v="1188.54"/>
  </r>
  <r>
    <x v="5"/>
    <s v="No"/>
    <s v="EAS029"/>
    <s v="2412"/>
    <s v="St  Michael the Archangel"/>
    <s v="HUNTINGDON"/>
    <m/>
    <m/>
    <m/>
    <s v=" "/>
    <m/>
    <m/>
    <n v="0"/>
    <n v="768.44999999999993"/>
    <n v="768.44999999999993"/>
  </r>
  <r>
    <x v="5"/>
    <s v="No"/>
    <s v="EAS029S"/>
    <s v="0479468"/>
    <s v="St Peter C of E Church (Parish Church)"/>
    <s v="PAPWORTH EVERARD"/>
    <m/>
    <m/>
    <m/>
    <s v=" "/>
    <m/>
    <m/>
    <n v="0"/>
    <m/>
    <n v="0"/>
  </r>
  <r>
    <x v="5"/>
    <s v="No"/>
    <s v="EAS030"/>
    <s v="2413"/>
    <s v="St  Pancras RC Church"/>
    <s v="IPSWICH"/>
    <s v="Y"/>
    <n v="481.15"/>
    <m/>
    <s v="1"/>
    <m/>
    <m/>
    <n v="481.15"/>
    <n v="319"/>
    <n v="800.15"/>
  </r>
  <r>
    <x v="5"/>
    <s v="No"/>
    <s v="EAS031"/>
    <s v="2414"/>
    <s v="St  Mary RC Church"/>
    <s v="IPSWICH"/>
    <s v="Y"/>
    <n v="1601.16"/>
    <m/>
    <s v="1"/>
    <m/>
    <m/>
    <n v="1601.16"/>
    <n v="1775"/>
    <n v="3376.16"/>
  </r>
  <r>
    <x v="5"/>
    <s v="No"/>
    <s v="EAS031S"/>
    <s v="0479469"/>
    <s v="Holy Family &amp; St Michael"/>
    <s v="KESGRAVE"/>
    <m/>
    <m/>
    <m/>
    <s v=" "/>
    <m/>
    <m/>
    <n v="0"/>
    <m/>
    <n v="0"/>
  </r>
  <r>
    <x v="5"/>
    <s v="No"/>
    <s v="EAS032"/>
    <s v="2416"/>
    <s v="St James RC Church"/>
    <s v="IPSWICH"/>
    <m/>
    <m/>
    <m/>
    <s v=" "/>
    <s v="banking per DD"/>
    <n v="287.89999999999998"/>
    <n v="287.89999999999998"/>
    <n v="80"/>
    <n v="367.9"/>
  </r>
  <r>
    <x v="5"/>
    <s v="No"/>
    <s v="EAS033"/>
    <s v="2417"/>
    <s v="St  Mary Magdalen RC Church"/>
    <s v="IPSWICH"/>
    <m/>
    <m/>
    <m/>
    <s v=" "/>
    <m/>
    <m/>
    <n v="0"/>
    <n v="210"/>
    <n v="210"/>
  </r>
  <r>
    <x v="5"/>
    <s v="No"/>
    <s v="EAS034"/>
    <s v="2418"/>
    <s v="St Mark's RC Church"/>
    <s v="IPSWICH"/>
    <s v="Y"/>
    <n v="559"/>
    <m/>
    <s v="1"/>
    <m/>
    <m/>
    <n v="559"/>
    <n v="611.97"/>
    <n v="1170.97"/>
  </r>
  <r>
    <x v="5"/>
    <s v="No"/>
    <s v="EAS034S"/>
    <s v="264158"/>
    <s v="Holy Family &amp; St Michael"/>
    <s v="KESGRAVE"/>
    <m/>
    <m/>
    <m/>
    <s v=" "/>
    <m/>
    <m/>
    <n v="0"/>
    <m/>
    <n v="0"/>
  </r>
  <r>
    <x v="5"/>
    <s v="No"/>
    <s v="EAS035"/>
    <s v="2419"/>
    <s v="Our Lady of Annunciation RC Church"/>
    <s v="KING'S LYNN"/>
    <s v="Y"/>
    <n v="1053.52"/>
    <m/>
    <s v="1"/>
    <s v="per DD - it is £1054.58"/>
    <n v="1.06"/>
    <n v="1054.58"/>
    <n v="2185"/>
    <n v="3239.58"/>
  </r>
  <r>
    <x v="5"/>
    <s v="No"/>
    <s v="EAS035S"/>
    <s v="0479470"/>
    <s v="Holy Family"/>
    <s v="GAYWOOD"/>
    <m/>
    <m/>
    <m/>
    <s v=" "/>
    <m/>
    <m/>
    <n v="0"/>
    <m/>
    <n v="0"/>
  </r>
  <r>
    <x v="5"/>
    <s v="No"/>
    <s v="EAS036"/>
    <s v="2420"/>
    <s v="Our Lady &amp; St Philip Neri"/>
    <s v="NEWMARKET"/>
    <m/>
    <m/>
    <m/>
    <s v=" "/>
    <m/>
    <m/>
    <n v="0"/>
    <n v="2000"/>
    <n v="2000"/>
  </r>
  <r>
    <x v="5"/>
    <s v="No"/>
    <s v="EAS037"/>
    <s v="2421"/>
    <s v="Our Lady Star of the Sea RC Church"/>
    <s v="LOWESTOFT"/>
    <s v="Y"/>
    <n v="395.83"/>
    <m/>
    <s v="1"/>
    <s v="per DD - it is £395.8"/>
    <n v="-0.03"/>
    <n v="395.8"/>
    <n v="182"/>
    <n v="577.79999999999995"/>
  </r>
  <r>
    <x v="5"/>
    <s v="No"/>
    <s v="EAS037S"/>
    <s v="0479471"/>
    <s v="St Nicholas"/>
    <s v="LOWESTOFT"/>
    <s v="N"/>
    <m/>
    <m/>
    <s v=" "/>
    <s v="Presumed: included in EAS037/2421 (see green form for comment)"/>
    <m/>
    <n v="0"/>
    <m/>
    <n v="0"/>
  </r>
  <r>
    <x v="5"/>
    <s v="No"/>
    <s v="EAS039"/>
    <s v="2422"/>
    <s v="Our Lady &amp; St Peter RC Church"/>
    <s v="MARCH"/>
    <s v="Y"/>
    <m/>
    <n v="2500"/>
    <s v="1"/>
    <m/>
    <m/>
    <n v="0"/>
    <n v="2580"/>
    <n v="2580"/>
  </r>
  <r>
    <x v="5"/>
    <s v="No"/>
    <s v="EAS039S"/>
    <s v="0479472"/>
    <s v="St Peter &amp; St Paul (Anglican Church)"/>
    <s v="CHATTERIS"/>
    <m/>
    <m/>
    <m/>
    <s v=" "/>
    <m/>
    <m/>
    <n v="0"/>
    <m/>
    <n v="0"/>
  </r>
  <r>
    <x v="5"/>
    <s v="No"/>
    <s v="EAS041"/>
    <s v="2424"/>
    <s v="Our Lady Immaculate &amp; St Etheldreda"/>
    <s v="NEWMARKET"/>
    <s v="Y"/>
    <n v="479"/>
    <m/>
    <s v="1"/>
    <s v="per DD - it is £749.06.    (only have £479 in grand total box)"/>
    <n v="270.06"/>
    <n v="749.06"/>
    <n v="826"/>
    <n v="1575.06"/>
  </r>
  <r>
    <x v="5"/>
    <s v="No"/>
    <s v="EAS042"/>
    <s v="2425"/>
    <s v="The Sacred Heart RC Church"/>
    <s v="NORTH WALSHAM"/>
    <s v="Y"/>
    <n v="782.7"/>
    <m/>
    <s v="1"/>
    <m/>
    <m/>
    <n v="782.7"/>
    <n v="50"/>
    <n v="832.7"/>
  </r>
  <r>
    <x v="5"/>
    <s v="Yes"/>
    <s v="EAS042S"/>
    <s v="263184"/>
    <s v="St Helen"/>
    <s v="NORWICH                       "/>
    <m/>
    <m/>
    <m/>
    <s v=" "/>
    <m/>
    <m/>
    <n v="0"/>
    <m/>
    <n v="0"/>
  </r>
  <r>
    <x v="5"/>
    <s v="Yes"/>
    <s v="EAS042S2"/>
    <s v="263185"/>
    <s v="St John of the Cross Catholic Church"/>
    <s v="NORWICH                       "/>
    <m/>
    <m/>
    <m/>
    <s v=" "/>
    <m/>
    <m/>
    <n v="0"/>
    <m/>
    <n v="0"/>
  </r>
  <r>
    <x v="5"/>
    <s v="No"/>
    <s v="EAS043"/>
    <s v="2426"/>
    <s v="St Peter &amp; All Souls &amp; Our Lady of Lourdes"/>
    <s v="PETERBOROUGH"/>
    <s v="Y"/>
    <n v="1399.69"/>
    <m/>
    <s v="1"/>
    <s v="per DD - it is £1401.48"/>
    <n v="1.79"/>
    <n v="1401.48"/>
    <n v="295"/>
    <n v="1696.48"/>
  </r>
  <r>
    <x v="5"/>
    <s v="No"/>
    <s v="EAS044"/>
    <s v="2427"/>
    <s v="Sacred Heart &amp; St Oswald RC Church"/>
    <s v="PETERBOROUGH"/>
    <s v="Y"/>
    <n v="466.38"/>
    <m/>
    <s v="1"/>
    <m/>
    <m/>
    <n v="466.38"/>
    <n v="100"/>
    <n v="566.38"/>
  </r>
  <r>
    <x v="5"/>
    <s v="No"/>
    <s v="EAS044S"/>
    <s v="0479473"/>
    <s v="Sacred Heart (Parish of Sacred Heart &amp; St Oswald)"/>
    <s v="BRETTON"/>
    <m/>
    <m/>
    <m/>
    <s v=" "/>
    <m/>
    <m/>
    <n v="0"/>
    <m/>
    <n v="0"/>
  </r>
  <r>
    <x v="5"/>
    <s v="No"/>
    <s v="EAS045"/>
    <s v="2428"/>
    <s v="Our Lady of Lourdes"/>
    <s v="PETERBOROUGH"/>
    <m/>
    <m/>
    <m/>
    <s v=" "/>
    <m/>
    <m/>
    <n v="0"/>
    <m/>
    <n v="0"/>
  </r>
  <r>
    <x v="5"/>
    <s v="No"/>
    <s v="EAS048"/>
    <s v="2431"/>
    <s v="St Luke RC Church"/>
    <s v="PETERBOROUGH"/>
    <m/>
    <m/>
    <m/>
    <s v=" "/>
    <m/>
    <m/>
    <n v="0"/>
    <n v="1109.5200000000002"/>
    <n v="1109.5200000000002"/>
  </r>
  <r>
    <x v="5"/>
    <s v="No"/>
    <s v="EAS048S"/>
    <s v="0479474"/>
    <s v="St Benedict's Community"/>
    <s v="SAWTRY"/>
    <m/>
    <m/>
    <m/>
    <s v=" "/>
    <m/>
    <m/>
    <n v="0"/>
    <m/>
    <n v="0"/>
  </r>
  <r>
    <x v="5"/>
    <s v="No"/>
    <s v="EAS049"/>
    <s v="2432"/>
    <s v="Our Lady of the Annunciation"/>
    <s v="NORWICH"/>
    <m/>
    <m/>
    <m/>
    <s v=" "/>
    <m/>
    <m/>
    <n v="0"/>
    <n v="847.2"/>
    <n v="847.2"/>
  </r>
  <r>
    <x v="5"/>
    <s v="No"/>
    <s v="EAS049S"/>
    <s v="0479475"/>
    <s v="St John's (Methodist) Church"/>
    <s v="LODDON"/>
    <m/>
    <m/>
    <m/>
    <s v=" "/>
    <m/>
    <m/>
    <n v="0"/>
    <m/>
    <n v="0"/>
  </r>
  <r>
    <x v="5"/>
    <s v="No"/>
    <s v="EAS050"/>
    <s v="2433"/>
    <s v="Our Lady of Mount Carmel"/>
    <s v="NORWICH"/>
    <m/>
    <m/>
    <m/>
    <s v=" "/>
    <m/>
    <m/>
    <n v="0"/>
    <m/>
    <n v="0"/>
  </r>
  <r>
    <x v="5"/>
    <s v="No"/>
    <s v="EAS050X"/>
    <s v="2434"/>
    <s v="Sacred Heart of Jesus RC Church"/>
    <s v="HUNTINGDON"/>
    <s v="Y"/>
    <n v="81.34"/>
    <m/>
    <s v="1"/>
    <m/>
    <m/>
    <n v="81.34"/>
    <n v="500"/>
    <n v="581.34"/>
  </r>
  <r>
    <x v="5"/>
    <s v="No"/>
    <s v="EAS051"/>
    <s v="2435"/>
    <s v="The Sacred Heart RC Church"/>
    <s v="ST IVES"/>
    <s v="Y"/>
    <n v="737.1"/>
    <m/>
    <s v="1"/>
    <m/>
    <m/>
    <n v="737.1"/>
    <n v="851"/>
    <n v="1588.1"/>
  </r>
  <r>
    <x v="5"/>
    <s v="No"/>
    <s v="EAS051A"/>
    <s v="147955"/>
    <s v="St Francis of Assisi"/>
    <s v="CAMBRIDGE"/>
    <m/>
    <m/>
    <m/>
    <s v=" "/>
    <m/>
    <m/>
    <n v="0"/>
    <m/>
    <n v="0"/>
  </r>
  <r>
    <x v="5"/>
    <s v="No"/>
    <s v="EAS052"/>
    <s v="2436"/>
    <s v="St Joseph RC Church"/>
    <s v="ST. NEOTS"/>
    <s v="Y"/>
    <n v="178.1"/>
    <m/>
    <s v="1"/>
    <m/>
    <m/>
    <n v="178.1"/>
    <n v="480"/>
    <n v="658.1"/>
  </r>
  <r>
    <x v="5"/>
    <s v="No"/>
    <s v="EAS053"/>
    <s v="2437"/>
    <s v="Our Lady of Lourdes"/>
    <s v="CAMBRIDGE"/>
    <s v="Y"/>
    <n v="1289"/>
    <m/>
    <s v="1"/>
    <s v="per DD - it is £1283.50"/>
    <n v="-5.5"/>
    <n v="1283.5"/>
    <n v="99.999999999999986"/>
    <n v="1383.5"/>
  </r>
  <r>
    <x v="5"/>
    <s v="No"/>
    <s v="EAS054"/>
    <s v="2438"/>
    <s v="Our Lady &amp; St Joseph"/>
    <s v="SHERINGHAM "/>
    <s v="Y"/>
    <n v="1245.92"/>
    <m/>
    <s v="1"/>
    <s v="per DD - it is £1261.42"/>
    <n v="15.5"/>
    <n v="1261.42"/>
    <n v="900"/>
    <n v="2161.42"/>
  </r>
  <r>
    <x v="5"/>
    <s v="No"/>
    <s v="EAS055"/>
    <s v="2439"/>
    <s v="The Sacred Heart RC Church"/>
    <s v="SOUTHWOLD"/>
    <m/>
    <m/>
    <m/>
    <s v=" "/>
    <m/>
    <m/>
    <n v="0"/>
    <n v="130"/>
    <n v="130"/>
  </r>
  <r>
    <x v="5"/>
    <s v="No"/>
    <s v="EAS055S"/>
    <s v="264150"/>
    <s v="St Edmund King and Martyr"/>
    <s v="HALESWORTH                    "/>
    <m/>
    <m/>
    <m/>
    <s v=" "/>
    <m/>
    <m/>
    <n v="0"/>
    <m/>
    <n v="0"/>
  </r>
  <r>
    <x v="5"/>
    <s v="No"/>
    <s v="EAS056"/>
    <s v="2440"/>
    <s v="Our Lady RC Church"/>
    <s v="STOWMARKET"/>
    <s v="Y"/>
    <n v="679.47"/>
    <m/>
    <s v="1"/>
    <m/>
    <m/>
    <n v="679.47"/>
    <n v="135"/>
    <n v="814.47"/>
  </r>
  <r>
    <x v="5"/>
    <s v="No"/>
    <s v="EAS056S"/>
    <s v="0479476"/>
    <s v="St Mary (Anglican)"/>
    <s v="WOOLPIT"/>
    <m/>
    <m/>
    <m/>
    <s v=" "/>
    <m/>
    <m/>
    <n v="0"/>
    <m/>
    <n v="0"/>
  </r>
  <r>
    <x v="5"/>
    <s v="No"/>
    <s v="EAS057"/>
    <s v="2441"/>
    <s v="Our Lady &amp; St John the Evangelist &amp; St Joseph"/>
    <s v="SUDBURY"/>
    <m/>
    <m/>
    <m/>
    <s v=" "/>
    <m/>
    <m/>
    <n v="0"/>
    <n v="340"/>
    <n v="340"/>
  </r>
  <r>
    <x v="5"/>
    <s v="No"/>
    <s v="EAS058"/>
    <s v="2442"/>
    <s v="Our Lady of Pity RC Church"/>
    <s v="SWAFFHAM"/>
    <s v="Y"/>
    <n v="497.25"/>
    <m/>
    <s v="1"/>
    <m/>
    <m/>
    <n v="497.25"/>
    <n v="645"/>
    <n v="1142.25"/>
  </r>
  <r>
    <x v="5"/>
    <s v="Yes"/>
    <s v="EAS058S"/>
    <s v="263186"/>
    <s v="Watton Methodist Church (Catholic Parish of Swaffham &amp; Watto"/>
    <s v="HERTFORD                      "/>
    <m/>
    <m/>
    <m/>
    <s v=" "/>
    <m/>
    <m/>
    <n v="0"/>
    <m/>
    <n v="0"/>
  </r>
  <r>
    <x v="5"/>
    <s v="Yes"/>
    <s v="EAS058S2"/>
    <s v="0479477"/>
    <s v="The Immaculate Conception &amp; St Margaret (Catholic Parish of Swaffham &amp; Watton)"/>
    <s v="OXBURGH"/>
    <m/>
    <m/>
    <m/>
    <s v=" "/>
    <m/>
    <m/>
    <n v="0"/>
    <m/>
    <n v="0"/>
  </r>
  <r>
    <x v="5"/>
    <s v="No"/>
    <s v="EAS059"/>
    <s v="2443"/>
    <s v="St Mary RC Church"/>
    <s v="THETFORD"/>
    <s v="Y"/>
    <n v="483.46999999999997"/>
    <m/>
    <s v="1"/>
    <s v="per DD - it is £163.7"/>
    <n v="-319.77"/>
    <n v="163.69999999999999"/>
    <n v="325.45"/>
    <n v="489.15"/>
  </r>
  <r>
    <x v="5"/>
    <s v="No"/>
    <s v="EAS060X"/>
    <s v="2444"/>
    <s v="National Shrine of Our Lady"/>
    <s v="WALSINGHAM  "/>
    <m/>
    <m/>
    <m/>
    <s v=" "/>
    <m/>
    <m/>
    <n v="0"/>
    <m/>
    <n v="0"/>
  </r>
  <r>
    <x v="5"/>
    <s v="Yes"/>
    <s v="EAS061"/>
    <s v="2445"/>
    <s v="Our Lady Star of the Sea"/>
    <s v="WELLS-NEXT-THE-SEA"/>
    <m/>
    <m/>
    <m/>
    <s v=" "/>
    <m/>
    <m/>
    <n v="0"/>
    <m/>
    <n v="0"/>
  </r>
  <r>
    <x v="5"/>
    <s v="No"/>
    <s v="EAS061A"/>
    <s v="2446"/>
    <s v="The Church of the Annunciation"/>
    <s v="WALSINGHAM"/>
    <m/>
    <m/>
    <m/>
    <s v=" "/>
    <m/>
    <m/>
    <n v="0"/>
    <m/>
    <n v="0"/>
  </r>
  <r>
    <x v="5"/>
    <s v="No"/>
    <s v="EAS062"/>
    <s v="2447"/>
    <s v="St Jude the Apostle"/>
    <s v="PETERBOROUGH"/>
    <s v="Y"/>
    <n v="0"/>
    <n v="0"/>
    <s v="1"/>
    <m/>
    <m/>
    <n v="0"/>
    <m/>
    <n v="0"/>
  </r>
  <r>
    <x v="5"/>
    <s v="No"/>
    <s v="EAS063"/>
    <s v="2448"/>
    <s v="Our Lady &amp; St Charles Borromeo RC Church"/>
    <s v="WISBECH"/>
    <s v="Y"/>
    <n v="555.89"/>
    <m/>
    <s v="1"/>
    <m/>
    <m/>
    <n v="555.89"/>
    <n v="15"/>
    <n v="570.89"/>
  </r>
  <r>
    <x v="5"/>
    <s v="No"/>
    <s v="EAS064"/>
    <s v="2449"/>
    <s v="St  Thomas of Canterbury"/>
    <s v="WOODBRIDGE"/>
    <s v="Y"/>
    <n v="363.65999999999997"/>
    <m/>
    <s v="1"/>
    <m/>
    <m/>
    <n v="363.65999999999997"/>
    <n v="265"/>
    <n v="628.66"/>
  </r>
  <r>
    <x v="5"/>
    <s v="No"/>
    <s v="EAS065"/>
    <s v="2450"/>
    <s v="Our Lady &amp; St Thomas of Canterbury"/>
    <s v="WYMONDHAM"/>
    <s v="Y"/>
    <n v="577.43999999999994"/>
    <m/>
    <s v="1"/>
    <s v="per DD - it is £577.42"/>
    <n v="-0.02"/>
    <n v="577.41999999999996"/>
    <n v="1135"/>
    <n v="1712.42"/>
  </r>
  <r>
    <x v="5"/>
    <s v="No"/>
    <s v="EAS065S"/>
    <s v="263187"/>
    <s v="Our Lady and St Thomas's Parish (Attleborough Methodist Church)"/>
    <s v="WYMONDHAM"/>
    <m/>
    <m/>
    <m/>
    <s v=" "/>
    <m/>
    <m/>
    <n v="0"/>
    <m/>
    <n v="0"/>
  </r>
  <r>
    <x v="5"/>
    <s v="No"/>
    <s v="EAS066"/>
    <s v="2451"/>
    <s v="St Mary RC Church"/>
    <s v="GREAT YARMOUTH"/>
    <s v="Y"/>
    <n v="317.27999999999997"/>
    <m/>
    <s v="1"/>
    <s v="per DD - it is £316.78"/>
    <n v="-0.5"/>
    <n v="316.77999999999997"/>
    <m/>
    <n v="316.77999999999997"/>
  </r>
  <r>
    <x v="5"/>
    <s v="Yes"/>
    <s v="EAS066S"/>
    <s v="0479478"/>
    <s v="St Edmund's C of E Church"/>
    <s v="ACLE"/>
    <m/>
    <m/>
    <m/>
    <s v=" "/>
    <m/>
    <m/>
    <n v="0"/>
    <m/>
    <n v="0"/>
  </r>
  <r>
    <x v="5"/>
    <s v="Yes"/>
    <s v="EAS066S2"/>
    <s v="0479479"/>
    <s v="St Ignatius Loyola"/>
    <s v="CAISTER-ON-SEA"/>
    <m/>
    <m/>
    <m/>
    <s v=" "/>
    <m/>
    <m/>
    <n v="0"/>
    <m/>
    <n v="0"/>
  </r>
  <r>
    <x v="5"/>
    <s v="No"/>
    <s v="EAS067"/>
    <s v="225969"/>
    <s v="Church Centre"/>
    <s v="CAMBRIDGE                     "/>
    <s v="Y"/>
    <m/>
    <n v="506.5"/>
    <s v="1"/>
    <s v="Note said: 'Refund £227 to SJE Church' - sent to Vangie 18-02-2020"/>
    <m/>
    <n v="0"/>
    <n v="506.5"/>
    <n v="506.5"/>
  </r>
  <r>
    <x v="5"/>
    <s v="No"/>
    <s v="EAS999"/>
    <s v="2455"/>
    <s v="East Anglia Diocese Various"/>
    <m/>
    <m/>
    <m/>
    <m/>
    <s v=" "/>
    <m/>
    <m/>
    <n v="0"/>
    <n v="63"/>
    <n v="63"/>
  </r>
  <r>
    <x v="6"/>
    <s v="No"/>
    <s v="MEN001"/>
    <s v="215"/>
    <s v="Cathedral Church of St Joseph"/>
    <s v="SWANSEA"/>
    <m/>
    <m/>
    <m/>
    <s v=" "/>
    <m/>
    <m/>
    <n v="0"/>
    <n v="149"/>
    <n v="149"/>
  </r>
  <r>
    <x v="6"/>
    <s v="No"/>
    <s v="MEN002"/>
    <s v="216"/>
    <s v="Our  Lady of Lourdes RC Church"/>
    <s v="SWANSEA"/>
    <m/>
    <m/>
    <m/>
    <s v=" "/>
    <m/>
    <m/>
    <n v="0"/>
    <n v="20"/>
    <n v="20"/>
  </r>
  <r>
    <x v="6"/>
    <s v="No"/>
    <s v="MEN003"/>
    <s v="217"/>
    <s v="Our Lady Star of the Sea RC Church"/>
    <s v="SWANSEA                       "/>
    <m/>
    <m/>
    <m/>
    <s v=" "/>
    <s v="banking per DD"/>
    <n v="1562.92"/>
    <n v="1562.92"/>
    <n v="278.14999999999998"/>
    <n v="1841.0700000000002"/>
  </r>
  <r>
    <x v="6"/>
    <s v="No"/>
    <s v="MEN004"/>
    <s v="218"/>
    <s v="Holy Cross RC Church"/>
    <s v="SWANSEA"/>
    <s v="Y"/>
    <n v="363.09999999999997"/>
    <m/>
    <s v="1"/>
    <s v="Diff 1p: Grand Total stated £363.09"/>
    <m/>
    <n v="363.09999999999997"/>
    <n v="220"/>
    <n v="583.09999999999991"/>
  </r>
  <r>
    <x v="6"/>
    <s v="No"/>
    <s v="MEN005"/>
    <s v="219"/>
    <s v="St Benedict RC Church"/>
    <s v="SWANSEA"/>
    <s v="Y"/>
    <n v="713.41"/>
    <m/>
    <s v="1"/>
    <s v="per DD - it is £753.41"/>
    <n v="40"/>
    <n v="753.41"/>
    <n v="5"/>
    <n v="758.41"/>
  </r>
  <r>
    <x v="6"/>
    <s v="No"/>
    <s v="MEN006"/>
    <s v="220"/>
    <s v="St  David's Priory"/>
    <s v="SWANSEA"/>
    <m/>
    <m/>
    <m/>
    <s v=" "/>
    <s v="banking per DD"/>
    <n v="483.89"/>
    <n v="483.89"/>
    <n v="25"/>
    <n v="508.89"/>
  </r>
  <r>
    <x v="6"/>
    <s v="No"/>
    <s v="MEN007"/>
    <s v="222"/>
    <s v="St Illtyd RC Church"/>
    <s v="SWANSEA"/>
    <m/>
    <m/>
    <m/>
    <s v=" "/>
    <s v="banking per DD"/>
    <n v="280.75"/>
    <n v="280.75"/>
    <m/>
    <n v="280.75"/>
  </r>
  <r>
    <x v="6"/>
    <s v="No"/>
    <s v="MEN008"/>
    <s v="223"/>
    <s v="St Joachim &amp; St Anne"/>
    <s v="SWANSEA"/>
    <m/>
    <m/>
    <m/>
    <s v=" "/>
    <m/>
    <m/>
    <n v="0"/>
    <n v="100"/>
    <n v="100"/>
  </r>
  <r>
    <x v="6"/>
    <s v="No"/>
    <s v="MEN009"/>
    <s v="224"/>
    <s v="St Peter RC Church"/>
    <s v="SWANSEA"/>
    <m/>
    <m/>
    <m/>
    <s v=" "/>
    <m/>
    <m/>
    <n v="0"/>
    <n v="402.05"/>
    <n v="402.05"/>
  </r>
  <r>
    <x v="6"/>
    <s v="No"/>
    <s v="MEN010"/>
    <s v="225"/>
    <s v="The Sacred Heart RC Church"/>
    <s v="SWANSEA"/>
    <m/>
    <m/>
    <m/>
    <s v=" "/>
    <m/>
    <m/>
    <n v="0"/>
    <n v="130"/>
    <n v="130"/>
  </r>
  <r>
    <x v="6"/>
    <s v="No"/>
    <s v="MEN011"/>
    <s v="226"/>
    <s v="The Church of the Welsh Martyrs"/>
    <s v="ABERYSTWYTH"/>
    <s v="Y"/>
    <n v="436.47"/>
    <m/>
    <s v="1"/>
    <s v="per DD - it is £450.48"/>
    <n v="14.01"/>
    <n v="450.48"/>
    <n v="280"/>
    <n v="730.48"/>
  </r>
  <r>
    <x v="6"/>
    <s v="No"/>
    <s v="MEN013"/>
    <s v="228"/>
    <s v="Our Lady of the Rosary RC Church"/>
    <s v="AMMANFORD"/>
    <s v="Y"/>
    <n v="415"/>
    <m/>
    <s v="1"/>
    <m/>
    <m/>
    <n v="415"/>
    <m/>
    <n v="415"/>
  </r>
  <r>
    <x v="6"/>
    <s v="No"/>
    <s v="MEN014"/>
    <s v="229"/>
    <s v="St Michael RC Church"/>
    <s v="BRECON  "/>
    <s v="Y"/>
    <n v="978"/>
    <n v="147.71"/>
    <s v="1"/>
    <m/>
    <m/>
    <n v="978"/>
    <n v="60"/>
    <n v="1038"/>
  </r>
  <r>
    <x v="6"/>
    <s v="No"/>
    <s v="MEN015"/>
    <s v="230"/>
    <s v="Our Lady of the Assumption"/>
    <s v="NEATH"/>
    <m/>
    <m/>
    <m/>
    <s v=" "/>
    <s v="banking per DD"/>
    <n v="395.12"/>
    <n v="395.12"/>
    <m/>
    <n v="395.12"/>
  </r>
  <r>
    <x v="6"/>
    <s v="No"/>
    <s v="MEN017"/>
    <s v="231"/>
    <s v="Our Lady Star of the Sea"/>
    <s v="BURRY PORT"/>
    <m/>
    <m/>
    <m/>
    <s v=" "/>
    <m/>
    <m/>
    <n v="0"/>
    <m/>
    <n v="0"/>
  </r>
  <r>
    <x v="6"/>
    <s v="No"/>
    <s v="MEN018"/>
    <s v="232"/>
    <s v="Abbey of Our Lady &amp; St Samson"/>
    <s v="TENBY  "/>
    <m/>
    <m/>
    <m/>
    <s v=" "/>
    <m/>
    <m/>
    <n v="0"/>
    <m/>
    <n v="0"/>
  </r>
  <r>
    <x v="6"/>
    <s v="No"/>
    <s v="MEN019"/>
    <s v="233"/>
    <s v="National Shrine of Our Lady of the Taper"/>
    <s v="CARDIGAN  "/>
    <s v="Y"/>
    <n v="1162.47"/>
    <m/>
    <s v="1"/>
    <m/>
    <m/>
    <n v="1162.47"/>
    <m/>
    <n v="1162.47"/>
  </r>
  <r>
    <x v="6"/>
    <s v="No"/>
    <s v="MEN020"/>
    <s v="147959"/>
    <s v="Our Lady &amp; St Cadoc RC Church"/>
    <s v="KIDWELLY"/>
    <m/>
    <m/>
    <m/>
    <s v=" "/>
    <m/>
    <m/>
    <n v="0"/>
    <m/>
    <n v="0"/>
  </r>
  <r>
    <x v="6"/>
    <s v="No"/>
    <s v="MEN020A"/>
    <s v="234"/>
    <s v="St Mary RC Church"/>
    <s v="CARMARTHEN"/>
    <s v="Y"/>
    <n v="1886.1100000000001"/>
    <m/>
    <s v="1"/>
    <m/>
    <m/>
    <n v="1886.1100000000001"/>
    <m/>
    <n v="1886.1100000000001"/>
  </r>
  <r>
    <x v="6"/>
    <s v="No"/>
    <s v="MEN020B"/>
    <s v="0443113"/>
    <s v="Eglwys y Groes (Holy Cross)"/>
    <s v="LLANELLI"/>
    <m/>
    <m/>
    <m/>
    <s v=" "/>
    <m/>
    <m/>
    <n v="0"/>
    <m/>
    <n v="0"/>
  </r>
  <r>
    <x v="6"/>
    <s v="Yes"/>
    <s v="MEN021"/>
    <s v="235"/>
    <s v="St Benedict RC Church"/>
    <s v="SWANSEA"/>
    <s v="Y"/>
    <n v="751.61"/>
    <m/>
    <s v="1"/>
    <m/>
    <m/>
    <n v="751.61"/>
    <m/>
    <n v="751.61"/>
  </r>
  <r>
    <x v="6"/>
    <s v="No"/>
    <s v="MEN022"/>
    <s v="0479480"/>
    <s v="St Joseph"/>
    <s v="CRICKHOWELL"/>
    <m/>
    <m/>
    <m/>
    <s v=" "/>
    <m/>
    <m/>
    <n v="0"/>
    <m/>
    <n v="0"/>
  </r>
  <r>
    <x v="6"/>
    <s v="No"/>
    <s v="MEN023"/>
    <s v="237"/>
    <s v="Holy Name RC Church"/>
    <s v="FISHGUARD  "/>
    <m/>
    <m/>
    <m/>
    <s v=" "/>
    <m/>
    <m/>
    <n v="0"/>
    <n v="100"/>
    <n v="100"/>
  </r>
  <r>
    <x v="6"/>
    <s v="No"/>
    <s v="MEN024"/>
    <s v="238"/>
    <s v="Church of the Blessed Sacrament"/>
    <s v="SWANSEA"/>
    <m/>
    <m/>
    <m/>
    <s v=" "/>
    <m/>
    <m/>
    <n v="0"/>
    <n v="120"/>
    <n v="120"/>
  </r>
  <r>
    <x v="6"/>
    <s v="No"/>
    <s v="MEN025"/>
    <s v="239"/>
    <s v="St David &amp; St Patrick"/>
    <s v="HAVERFORDWEST"/>
    <s v="Y"/>
    <n v="1750"/>
    <m/>
    <s v="1"/>
    <m/>
    <m/>
    <n v="1750"/>
    <n v="205"/>
    <n v="1955"/>
  </r>
  <r>
    <x v="6"/>
    <s v="No"/>
    <s v="MEN025S"/>
    <s v="0443123"/>
    <s v="The Immaculate Conception RC Church"/>
    <s v="NARBERTH"/>
    <m/>
    <m/>
    <m/>
    <s v=" "/>
    <m/>
    <m/>
    <n v="0"/>
    <m/>
    <n v="0"/>
  </r>
  <r>
    <x v="6"/>
    <s v="No"/>
    <s v="MEN026"/>
    <s v="240"/>
    <s v="St Joseph RC Church"/>
    <s v="HEREFORD"/>
    <s v="Y"/>
    <n v="176.62"/>
    <m/>
    <s v="1"/>
    <s v="per DD - it is £176.02"/>
    <n v="-0.6"/>
    <n v="176.02"/>
    <n v="330"/>
    <n v="506.02"/>
  </r>
  <r>
    <x v="6"/>
    <s v="No"/>
    <s v="MEN027"/>
    <s v="241"/>
    <s v="Our Lady of Mount Carmel"/>
    <s v="LAMPETER"/>
    <s v="Y"/>
    <n v="389.09999999999997"/>
    <m/>
    <s v="1"/>
    <m/>
    <m/>
    <n v="389.09999999999997"/>
    <n v="45"/>
    <n v="434.09999999999997"/>
  </r>
  <r>
    <x v="6"/>
    <s v="No"/>
    <s v="MEN027A"/>
    <s v="148014"/>
    <s v="Holy Cross RC Church"/>
    <s v="ABERAERON"/>
    <s v="Y"/>
    <n v="262.36"/>
    <m/>
    <s v="1"/>
    <m/>
    <m/>
    <n v="262.36"/>
    <m/>
    <n v="262.36"/>
  </r>
  <r>
    <x v="6"/>
    <s v="No"/>
    <s v="MEN028"/>
    <s v="243"/>
    <s v="St David RC Church"/>
    <s v="LLANDEILO"/>
    <m/>
    <m/>
    <m/>
    <s v=" "/>
    <s v="banking per DD"/>
    <n v="394"/>
    <n v="394"/>
    <m/>
    <n v="394"/>
  </r>
  <r>
    <x v="6"/>
    <s v="No"/>
    <s v="MEN029"/>
    <s v="244"/>
    <s v="Our Lady RC Church"/>
    <s v="LLANDOVERY"/>
    <m/>
    <m/>
    <m/>
    <s v=" "/>
    <m/>
    <m/>
    <n v="0"/>
    <m/>
    <n v="0"/>
  </r>
  <r>
    <x v="6"/>
    <s v="No"/>
    <s v="MEN031"/>
    <s v="245"/>
    <s v="Our Lady of Ransom &amp; the Holy Souls Parish"/>
    <s v="LLANDRINDOD WELLS"/>
    <s v="Y"/>
    <n v="292.60000000000002"/>
    <m/>
    <s v="1"/>
    <s v="Presumed: included in MEN031S/0443126 (see green form for comment)"/>
    <m/>
    <n v="292.60000000000002"/>
    <n v="1500"/>
    <n v="1792.6"/>
  </r>
  <r>
    <x v="6"/>
    <s v="No"/>
    <s v="MEN031S"/>
    <s v="0443126"/>
    <s v="Christ the King RC Church"/>
    <s v="BUILTH WELLS"/>
    <s v="N"/>
    <m/>
    <m/>
    <s v=" "/>
    <s v="Presumed: included in MEN031/245 (see green form for comment)"/>
    <m/>
    <n v="0"/>
    <m/>
    <n v="0"/>
  </r>
  <r>
    <x v="6"/>
    <s v="No"/>
    <s v="MEN032"/>
    <s v="246"/>
    <s v="Our Lady, Queen of Peace"/>
    <s v="LLANELLI"/>
    <s v="Y"/>
    <n v="5262.61"/>
    <m/>
    <s v="1"/>
    <m/>
    <m/>
    <n v="5262.61"/>
    <n v="110"/>
    <n v="5372.61"/>
  </r>
  <r>
    <x v="6"/>
    <s v="No"/>
    <s v="MEN033"/>
    <s v="247"/>
    <s v="St Francis of Assisi RC Church"/>
    <s v="MILFORD HAVEN"/>
    <m/>
    <m/>
    <m/>
    <s v=" "/>
    <m/>
    <m/>
    <n v="0"/>
    <n v="1300"/>
    <n v="1300"/>
  </r>
  <r>
    <x v="6"/>
    <s v="No"/>
    <s v="MEN034"/>
    <s v="248"/>
    <s v="St Joseph RC Church"/>
    <s v="NEATH"/>
    <s v="Y"/>
    <n v="1102.83"/>
    <m/>
    <s v="1"/>
    <m/>
    <m/>
    <n v="1102.83"/>
    <n v="20"/>
    <n v="1122.83"/>
  </r>
  <r>
    <x v="6"/>
    <s v="No"/>
    <s v="MEN034S"/>
    <s v="0443130"/>
    <s v="St John Kemble RC Church"/>
    <s v="NEATH"/>
    <m/>
    <m/>
    <m/>
    <s v=" "/>
    <m/>
    <m/>
    <n v="0"/>
    <m/>
    <n v="0"/>
  </r>
  <r>
    <x v="6"/>
    <s v="No"/>
    <s v="MEN035"/>
    <s v="249"/>
    <s v="Our Lady of Queen of Peace"/>
    <s v="NEWCASTLE EMLYN"/>
    <s v="Y"/>
    <n v="115.89"/>
    <m/>
    <s v="1"/>
    <m/>
    <m/>
    <n v="115.89"/>
    <m/>
    <n v="115.89"/>
  </r>
  <r>
    <x v="6"/>
    <s v="No"/>
    <s v="MEN036"/>
    <s v="251"/>
    <s v="St Mary RC Church"/>
    <s v="PEMBROKE DOCK"/>
    <s v="Y"/>
    <n v="476.38"/>
    <m/>
    <s v="1"/>
    <m/>
    <m/>
    <n v="476.38"/>
    <n v="15"/>
    <n v="491.38"/>
  </r>
  <r>
    <x v="6"/>
    <s v="No"/>
    <s v="MEN036S"/>
    <s v="0443141"/>
    <s v="St Joseph RC Church"/>
    <s v="PEMBROKE"/>
    <m/>
    <m/>
    <m/>
    <s v=" "/>
    <m/>
    <m/>
    <n v="0"/>
    <m/>
    <n v="0"/>
  </r>
  <r>
    <x v="6"/>
    <s v="No"/>
    <s v="MEN037"/>
    <s v="147993"/>
    <s v="St Bride"/>
    <s v="SWANSEA"/>
    <s v="Y"/>
    <n v="544.35"/>
    <m/>
    <s v="1"/>
    <m/>
    <m/>
    <n v="544.35"/>
    <m/>
    <n v="544.35"/>
  </r>
  <r>
    <x v="6"/>
    <s v="No"/>
    <s v="MEN038"/>
    <s v="252"/>
    <s v="Our Lady of Margam RC Church"/>
    <s v="PORT TALBOT"/>
    <m/>
    <m/>
    <m/>
    <s v=" "/>
    <s v="banking per DD"/>
    <n v="1850"/>
    <n v="1850"/>
    <n v="130"/>
    <n v="1980"/>
  </r>
  <r>
    <x v="6"/>
    <s v="No"/>
    <s v="MEN038S"/>
    <s v="0479481"/>
    <s v="St Joseph's"/>
    <s v="CYMER"/>
    <m/>
    <m/>
    <m/>
    <s v=" "/>
    <m/>
    <m/>
    <n v="0"/>
    <m/>
    <n v="0"/>
  </r>
  <r>
    <x v="6"/>
    <s v="No"/>
    <s v="MEN039"/>
    <s v="253"/>
    <s v="St  Joseph RC Parish"/>
    <s v="PORT TALBOT  "/>
    <s v="Y"/>
    <n v="2200"/>
    <m/>
    <s v="1"/>
    <m/>
    <m/>
    <n v="2200"/>
    <n v="85"/>
    <n v="2285"/>
  </r>
  <r>
    <x v="6"/>
    <s v="No"/>
    <s v="MEN039S"/>
    <s v="0443159"/>
    <s v="St Philip Evans RC Church"/>
    <s v="PORT TALBOT"/>
    <m/>
    <m/>
    <m/>
    <s v=" "/>
    <m/>
    <m/>
    <n v="0"/>
    <m/>
    <n v="0"/>
  </r>
  <r>
    <x v="6"/>
    <s v="No"/>
    <s v="MEN040"/>
    <s v="254"/>
    <s v="St Therese of Lisieux"/>
    <s v="PORT TALBOT"/>
    <m/>
    <m/>
    <m/>
    <s v=" "/>
    <s v="banking per DD"/>
    <n v="455.53"/>
    <n v="455.53"/>
    <n v="5"/>
    <n v="460.53"/>
  </r>
  <r>
    <x v="6"/>
    <s v="No"/>
    <s v="MEN041"/>
    <s v="255"/>
    <s v="Assumption of Our Lady &amp; St Therese"/>
    <s v="PRESTEIGNE"/>
    <m/>
    <m/>
    <m/>
    <s v=" "/>
    <m/>
    <m/>
    <n v="0"/>
    <n v="60"/>
    <n v="60"/>
  </r>
  <r>
    <x v="6"/>
    <s v="No"/>
    <s v="MEN041X"/>
    <s v="256"/>
    <s v="St Francis of Assisi RC Church"/>
    <s v="RHAYADER"/>
    <m/>
    <m/>
    <m/>
    <s v=" "/>
    <m/>
    <m/>
    <n v="0"/>
    <n v="60"/>
    <n v="60"/>
  </r>
  <r>
    <x v="6"/>
    <s v="No"/>
    <s v="MEN041XS"/>
    <s v="0443162"/>
    <s v="Our Lady of Perpetual Succour and St Nicholas"/>
    <s v="KNIGHTON"/>
    <m/>
    <m/>
    <m/>
    <s v=" "/>
    <m/>
    <m/>
    <n v="0"/>
    <m/>
    <n v="0"/>
  </r>
  <r>
    <x v="6"/>
    <s v="No"/>
    <s v="MEN042"/>
    <s v="257"/>
    <s v="Holyrood &amp; St Teilo"/>
    <s v="TENBY "/>
    <s v="Y"/>
    <n v="1297.01"/>
    <m/>
    <s v="1"/>
    <m/>
    <m/>
    <n v="1297.01"/>
    <n v="169"/>
    <n v="1466.01"/>
  </r>
  <r>
    <x v="6"/>
    <s v="No"/>
    <s v="MEN042S"/>
    <s v="0443175"/>
    <s v="St Bride RC Church"/>
    <s v="SAUNDERSFOOT"/>
    <m/>
    <m/>
    <m/>
    <s v=" "/>
    <m/>
    <m/>
    <n v="0"/>
    <m/>
    <n v="0"/>
  </r>
  <r>
    <x v="6"/>
    <s v="Yes"/>
    <s v="MEN043"/>
    <s v="258"/>
    <s v="Sacred Heart RC Church"/>
    <s v="SWANSEA"/>
    <m/>
    <m/>
    <m/>
    <s v=" "/>
    <s v="banking per DD"/>
    <n v="797"/>
    <n v="797"/>
    <n v="10"/>
    <n v="807"/>
  </r>
  <r>
    <x v="6"/>
    <s v="No"/>
    <s v="MEN044"/>
    <s v="259"/>
    <s v="St Michael RC Church"/>
    <s v="FISHGUARD  "/>
    <m/>
    <m/>
    <m/>
    <s v=" "/>
    <m/>
    <m/>
    <n v="0"/>
    <m/>
    <n v="0"/>
  </r>
  <r>
    <x v="6"/>
    <s v="No"/>
    <s v="MEN999"/>
    <s v="262"/>
    <s v="Menevia Diocese Various"/>
    <m/>
    <m/>
    <m/>
    <m/>
    <s v=" "/>
    <m/>
    <m/>
    <n v="0"/>
    <n v="15"/>
    <n v="15"/>
  </r>
  <r>
    <x v="7"/>
    <s v="No"/>
    <s v="NOR001"/>
    <s v="369"/>
    <s v="Cathedral of Our Lady Immaculate &amp; St Thomas of Canterbury"/>
    <s v="NORTHAMPTON"/>
    <m/>
    <m/>
    <m/>
    <s v=" "/>
    <m/>
    <m/>
    <n v="0"/>
    <n v="198.45000000000002"/>
    <n v="198.45000000000002"/>
  </r>
  <r>
    <x v="7"/>
    <s v="No"/>
    <s v="NOR002"/>
    <s v="370"/>
    <s v="St  Aidan"/>
    <s v="NORTHAMPTON"/>
    <m/>
    <m/>
    <m/>
    <s v=" "/>
    <m/>
    <m/>
    <n v="0"/>
    <n v="1087.3999999999999"/>
    <n v="1087.3999999999999"/>
  </r>
  <r>
    <x v="7"/>
    <s v="No"/>
    <s v="NOR003"/>
    <s v="371"/>
    <s v="St Gregory The Great"/>
    <s v="NORTHAMPTON"/>
    <s v="Y"/>
    <n v="2873.53"/>
    <m/>
    <s v="1"/>
    <s v="amended amount"/>
    <m/>
    <n v="2873.53"/>
    <n v="324"/>
    <n v="3197.53"/>
  </r>
  <r>
    <x v="7"/>
    <s v="No"/>
    <s v="NOR004"/>
    <s v="373"/>
    <s v="The Sacred Heart RC Church"/>
    <s v="NORTHAMPTON"/>
    <s v="Y"/>
    <n v="592.83000000000004"/>
    <m/>
    <s v="1"/>
    <m/>
    <m/>
    <n v="592.83000000000004"/>
    <n v="245"/>
    <n v="837.83"/>
  </r>
  <r>
    <x v="7"/>
    <s v="No"/>
    <s v="NOR005"/>
    <s v="374"/>
    <s v="St  Patrick"/>
    <s v="NORTHAMPTON"/>
    <m/>
    <m/>
    <m/>
    <s v=" "/>
    <m/>
    <m/>
    <n v="0"/>
    <n v="1302.69"/>
    <n v="1302.69"/>
  </r>
  <r>
    <x v="7"/>
    <s v="No"/>
    <s v="NOR005S"/>
    <s v="0444515"/>
    <s v="Nazareth House Chapel"/>
    <s v="NORTHAMPTON"/>
    <m/>
    <m/>
    <m/>
    <s v=" "/>
    <m/>
    <m/>
    <n v="0"/>
    <m/>
    <n v="0"/>
  </r>
  <r>
    <x v="7"/>
    <s v="No"/>
    <s v="NOR006"/>
    <s v="376"/>
    <s v="St Stanislaus &amp; St Lawrence"/>
    <s v="NORTHAMPTON"/>
    <m/>
    <m/>
    <m/>
    <s v=" "/>
    <m/>
    <m/>
    <n v="0"/>
    <m/>
    <n v="0"/>
  </r>
  <r>
    <x v="7"/>
    <s v="Yes"/>
    <s v="NOR006X"/>
    <s v="377"/>
    <s v="St Francis &amp; St Therese"/>
    <s v="NORTHAMPTON SOUTH"/>
    <s v="Y"/>
    <n v="309.76"/>
    <m/>
    <s v="1"/>
    <m/>
    <m/>
    <n v="309.76"/>
    <n v="390"/>
    <n v="699.76"/>
  </r>
  <r>
    <x v="7"/>
    <s v="No"/>
    <s v="NOR007"/>
    <s v="378"/>
    <s v="Sacred Heart"/>
    <s v="FLITWICK"/>
    <s v="Y"/>
    <n v="3207"/>
    <m/>
    <s v="1"/>
    <s v="per DD"/>
    <m/>
    <n v="3207"/>
    <n v="2430"/>
    <n v="5637"/>
  </r>
  <r>
    <x v="7"/>
    <s v="Yes"/>
    <s v="NOR008"/>
    <s v="379"/>
    <s v="The Sacred Heart &amp; Our Lady"/>
    <s v="ASTON-LE-WALLS"/>
    <s v="Y"/>
    <n v="265.01"/>
    <m/>
    <s v="1"/>
    <s v="add 60p banking diff"/>
    <n v="0.6"/>
    <n v="265.61"/>
    <n v="365"/>
    <n v="630.61"/>
  </r>
  <r>
    <x v="7"/>
    <s v="Yes"/>
    <s v="NOR008S"/>
    <s v="264140"/>
    <s v="St Peter &amp; St Paul C of E Church"/>
    <s v="KINGS SUTTON"/>
    <s v="Y"/>
    <n v="575.63"/>
    <m/>
    <s v="1"/>
    <m/>
    <m/>
    <n v="575.63"/>
    <n v="195"/>
    <n v="770.63"/>
  </r>
  <r>
    <x v="7"/>
    <s v="Yes"/>
    <s v="NOR009"/>
    <s v="380"/>
    <s v="St  Joseph"/>
    <s v="AYLESBURY"/>
    <s v="Y"/>
    <m/>
    <n v="520.42999999999995"/>
    <s v="1"/>
    <m/>
    <m/>
    <n v="0"/>
    <n v="3493.6699999999996"/>
    <n v="3493.6699999999996"/>
  </r>
  <r>
    <x v="7"/>
    <s v="Yes"/>
    <s v="NOR009S"/>
    <s v="0444511"/>
    <s v="St Clare's RC Church"/>
    <s v="AYLESBURY"/>
    <m/>
    <m/>
    <m/>
    <s v=" "/>
    <m/>
    <m/>
    <n v="0"/>
    <m/>
    <n v="0"/>
  </r>
  <r>
    <x v="7"/>
    <s v="Yes"/>
    <s v="NOR010"/>
    <s v="381"/>
    <s v="Our Lady of Lourdes"/>
    <s v="AYLESBURY"/>
    <s v="Y"/>
    <n v="1176.9099999999999"/>
    <m/>
    <s v="1"/>
    <m/>
    <m/>
    <n v="1176.9099999999999"/>
    <n v="800"/>
    <n v="1976.9099999999999"/>
  </r>
  <r>
    <x v="7"/>
    <s v="No"/>
    <s v="NOR011"/>
    <s v="382"/>
    <s v="The Guardian Angels RC Church"/>
    <s v="AYLESBURY"/>
    <s v="Y"/>
    <n v="258"/>
    <m/>
    <s v="1"/>
    <m/>
    <m/>
    <n v="258"/>
    <n v="15"/>
    <n v="273"/>
  </r>
  <r>
    <x v="7"/>
    <s v="Yes"/>
    <s v="NOR013"/>
    <s v="384"/>
    <s v="St Teresa of the Child Jesus &amp; St John Fisher &amp; St Thomas More"/>
    <s v="BEACONSFIELD"/>
    <s v="Y"/>
    <n v="792.9"/>
    <m/>
    <s v="1"/>
    <m/>
    <m/>
    <n v="792.9"/>
    <n v="250"/>
    <n v="1042.9000000000001"/>
  </r>
  <r>
    <x v="7"/>
    <s v="Yes"/>
    <s v="NOR014"/>
    <s v="385"/>
    <s v="St  Joseph  &amp; The Holy Child RC Church"/>
    <s v="BEDFORD"/>
    <s v="Y"/>
    <n v="1984.75"/>
    <m/>
    <s v="1"/>
    <s v="combined with NOR042X-416 ??"/>
    <m/>
    <n v="1984.75"/>
    <n v="929"/>
    <n v="2913.75"/>
  </r>
  <r>
    <x v="7"/>
    <s v="No"/>
    <s v="NOR015"/>
    <s v="386"/>
    <s v="Christ the King"/>
    <s v="BEDFORD"/>
    <s v="Y"/>
    <n v="1211"/>
    <m/>
    <s v="1"/>
    <m/>
    <m/>
    <n v="1211"/>
    <n v="20"/>
    <n v="1231"/>
  </r>
  <r>
    <x v="7"/>
    <s v="No"/>
    <s v="NOR015S"/>
    <s v="0444395"/>
    <s v="Lakeview Village Hall"/>
    <s v="WIXAMS"/>
    <m/>
    <m/>
    <m/>
    <s v=" "/>
    <m/>
    <m/>
    <n v="0"/>
    <m/>
    <n v="0"/>
  </r>
  <r>
    <x v="7"/>
    <s v="Yes"/>
    <s v="NOR016"/>
    <s v="387"/>
    <s v="Holy Cross Church"/>
    <s v="BEDFORD"/>
    <s v="Y"/>
    <n v="777.56"/>
    <m/>
    <s v="1"/>
    <s v="refer to NOR018-390 for breakdown"/>
    <m/>
    <n v="777.56"/>
    <n v="193"/>
    <n v="970.56"/>
  </r>
  <r>
    <x v="7"/>
    <s v="No"/>
    <s v="NOR017"/>
    <s v="389"/>
    <s v="St Frances Cabrini RC Church (Italian)"/>
    <s v="BEDFORD"/>
    <m/>
    <m/>
    <m/>
    <s v=" "/>
    <m/>
    <m/>
    <n v="0"/>
    <m/>
    <n v="0"/>
  </r>
  <r>
    <x v="7"/>
    <s v="Yes"/>
    <s v="NOR018"/>
    <s v="390"/>
    <s v="St Philip &amp; St James"/>
    <s v="BEDFORD"/>
    <s v="Y"/>
    <n v="373.66"/>
    <m/>
    <s v="1"/>
    <s v="Grand total combined with NOR016-387"/>
    <m/>
    <n v="373.66"/>
    <n v="352"/>
    <n v="725.66000000000008"/>
  </r>
  <r>
    <x v="7"/>
    <s v="No"/>
    <s v="NOR019"/>
    <s v="391"/>
    <s v="St Peter RC Church"/>
    <s v="BIGGLESWADE"/>
    <m/>
    <m/>
    <m/>
    <s v=" "/>
    <m/>
    <m/>
    <n v="0"/>
    <n v="224.97"/>
    <n v="224.97"/>
  </r>
  <r>
    <x v="7"/>
    <s v="Yes"/>
    <s v="NOR020"/>
    <s v="392"/>
    <s v="St Dunstan"/>
    <s v="BOURNE END"/>
    <s v="Y"/>
    <n v="283.47000000000003"/>
    <m/>
    <s v="1"/>
    <m/>
    <m/>
    <n v="283.47000000000003"/>
    <n v="140"/>
    <n v="423.47"/>
  </r>
  <r>
    <x v="7"/>
    <s v="No"/>
    <s v="NOR021"/>
    <s v="393"/>
    <s v="St Bernardine of Siena RC Church"/>
    <s v="BUCKINGHAM"/>
    <m/>
    <m/>
    <m/>
    <s v=" "/>
    <m/>
    <m/>
    <n v="0"/>
    <n v="1240.82"/>
    <n v="1240.82"/>
  </r>
  <r>
    <x v="7"/>
    <s v="No"/>
    <s v="NOR021S"/>
    <s v="0444382"/>
    <s v="St Martin"/>
    <s v="BUCKINGHAM"/>
    <m/>
    <m/>
    <m/>
    <s v=" "/>
    <m/>
    <m/>
    <n v="0"/>
    <m/>
    <n v="0"/>
  </r>
  <r>
    <x v="7"/>
    <s v="No"/>
    <s v="NOR022"/>
    <s v="394"/>
    <s v="Our Lady of Peace RC Church"/>
    <s v="BURNHAM"/>
    <s v="Y"/>
    <n v="2619.79"/>
    <n v="50"/>
    <s v="1"/>
    <m/>
    <m/>
    <n v="2619.79"/>
    <n v="535"/>
    <n v="3154.79"/>
  </r>
  <r>
    <x v="7"/>
    <s v="No"/>
    <s v="NOR022S"/>
    <s v="263188"/>
    <s v="St Andrew (Shared Church)"/>
    <s v="CIPPENHAM"/>
    <m/>
    <m/>
    <m/>
    <s v=" "/>
    <m/>
    <m/>
    <n v="0"/>
    <n v="40"/>
    <n v="40"/>
  </r>
  <r>
    <x v="7"/>
    <s v="No"/>
    <s v="NOR022S2"/>
    <s v="0444388"/>
    <s v="St Gilbert"/>
    <s v="WINDSOR                       "/>
    <m/>
    <m/>
    <m/>
    <s v=" "/>
    <m/>
    <m/>
    <n v="0"/>
    <m/>
    <n v="0"/>
  </r>
  <r>
    <x v="7"/>
    <s v="No"/>
    <s v="NOR023"/>
    <s v="395"/>
    <s v="St Columba RC Church"/>
    <s v="CHESHAM"/>
    <m/>
    <m/>
    <m/>
    <s v=" "/>
    <s v="add banking identified by DD Asst"/>
    <n v="775"/>
    <n v="775"/>
    <n v="290"/>
    <n v="1065"/>
  </r>
  <r>
    <x v="7"/>
    <s v="No"/>
    <s v="NOR024"/>
    <s v="396"/>
    <s v="Our Lady of Perpetual Succour"/>
    <s v="CHESHAM BOIS"/>
    <m/>
    <m/>
    <m/>
    <s v=" "/>
    <s v="add banking identified by DD Asst"/>
    <n v="105.84"/>
    <n v="105.84"/>
    <n v="120"/>
    <n v="225.84"/>
  </r>
  <r>
    <x v="7"/>
    <s v="No"/>
    <s v="NOR025"/>
    <s v="397"/>
    <s v="Our Lady of Walsingham RC Church"/>
    <s v="CORBY"/>
    <s v="Y"/>
    <n v="1081.5900000000001"/>
    <m/>
    <s v="1"/>
    <m/>
    <m/>
    <n v="1081.5900000000001"/>
    <n v="425"/>
    <n v="1506.5900000000001"/>
  </r>
  <r>
    <x v="7"/>
    <s v="No"/>
    <s v="NOR026"/>
    <s v="398"/>
    <s v="St Brendan RC Church"/>
    <s v="CORBY"/>
    <m/>
    <m/>
    <m/>
    <s v=" "/>
    <m/>
    <m/>
    <n v="0"/>
    <n v="372.52"/>
    <n v="372.52"/>
  </r>
  <r>
    <x v="7"/>
    <s v="No"/>
    <s v="NOR027"/>
    <s v="399"/>
    <s v="St Patrick RC Church"/>
    <s v="CORBY"/>
    <m/>
    <m/>
    <m/>
    <s v=" "/>
    <m/>
    <m/>
    <n v="0"/>
    <n v="451.28"/>
    <n v="451.28"/>
  </r>
  <r>
    <x v="7"/>
    <s v="Yes"/>
    <s v="NOR028"/>
    <s v="400"/>
    <s v="St Augustine"/>
    <s v="DATCHET"/>
    <s v="Y"/>
    <n v="230.5"/>
    <m/>
    <s v="1"/>
    <m/>
    <m/>
    <n v="230.5"/>
    <n v="235"/>
    <n v="465.5"/>
  </r>
  <r>
    <x v="7"/>
    <s v="Yes"/>
    <s v="NOR028S"/>
    <s v="0444521"/>
    <s v="Our Lady of Sorrows"/>
    <s v="ETON"/>
    <m/>
    <m/>
    <m/>
    <s v=" "/>
    <m/>
    <m/>
    <n v="0"/>
    <m/>
    <n v="0"/>
  </r>
  <r>
    <x v="7"/>
    <s v="No"/>
    <s v="NOR029"/>
    <s v="401"/>
    <s v="Our Lady of Charity &amp; St Augustine"/>
    <s v="DAVENTRY"/>
    <m/>
    <m/>
    <m/>
    <s v=" "/>
    <m/>
    <m/>
    <n v="0"/>
    <n v="110"/>
    <n v="110"/>
  </r>
  <r>
    <x v="7"/>
    <s v="No"/>
    <s v="NOR029S"/>
    <s v="0444531"/>
    <s v="Our Lady of the Most Holy Rosary"/>
    <s v="YELVERTOFT"/>
    <m/>
    <m/>
    <m/>
    <s v=" "/>
    <m/>
    <m/>
    <n v="0"/>
    <m/>
    <n v="0"/>
  </r>
  <r>
    <x v="7"/>
    <s v="Yes"/>
    <s v="NOR030"/>
    <s v="402"/>
    <s v="St Mary (Parish of St Mary's)"/>
    <s v="DUNSTABLE"/>
    <s v="Y"/>
    <n v="648.91999999999996"/>
    <m/>
    <s v="1"/>
    <m/>
    <m/>
    <n v="648.91999999999996"/>
    <n v="355"/>
    <n v="1003.92"/>
  </r>
  <r>
    <x v="7"/>
    <s v="Yes"/>
    <s v="NOR030S"/>
    <s v="0444389"/>
    <s v="St Elizabeth's Chapel (Parish of St Mary's)"/>
    <s v="TODDINGTON"/>
    <m/>
    <m/>
    <m/>
    <s v=" "/>
    <m/>
    <m/>
    <n v="0"/>
    <m/>
    <n v="0"/>
  </r>
  <r>
    <x v="7"/>
    <s v="No"/>
    <s v="NOR031"/>
    <s v="404"/>
    <s v="Our Lady of Czestochowa RC Church"/>
    <s v="DUNSTABLE"/>
    <m/>
    <m/>
    <m/>
    <s v=" "/>
    <m/>
    <m/>
    <n v="0"/>
    <m/>
    <n v="0"/>
  </r>
  <r>
    <x v="7"/>
    <s v="No"/>
    <s v="NOR032"/>
    <s v="405"/>
    <s v="St Anthony's Catholic Church"/>
    <s v="SLOUGH"/>
    <m/>
    <m/>
    <m/>
    <s v=" "/>
    <m/>
    <m/>
    <n v="0"/>
    <n v="20"/>
    <n v="20"/>
  </r>
  <r>
    <x v="7"/>
    <s v="Yes"/>
    <s v="NOR034"/>
    <s v="407"/>
    <s v="St Joseph RC Church"/>
    <s v="GERRARDS CROSS"/>
    <s v="Y"/>
    <n v="4258.71"/>
    <m/>
    <s v="1"/>
    <m/>
    <m/>
    <n v="4258.71"/>
    <n v="843.23"/>
    <n v="5101.9400000000005"/>
  </r>
  <r>
    <x v="7"/>
    <s v="Yes"/>
    <s v="NOR034S"/>
    <s v="0444529"/>
    <s v="The Most Holy Name"/>
    <s v="DENHAM"/>
    <m/>
    <m/>
    <m/>
    <s v=" "/>
    <m/>
    <m/>
    <n v="0"/>
    <m/>
    <n v="0"/>
  </r>
  <r>
    <x v="7"/>
    <s v="Yes"/>
    <s v="NOR035"/>
    <s v="0439506"/>
    <s v="Our Lady of Perpetual Succour"/>
    <s v="GREAT BILLING"/>
    <m/>
    <m/>
    <m/>
    <s v=" "/>
    <m/>
    <m/>
    <n v="0"/>
    <n v="616"/>
    <n v="616"/>
  </r>
  <r>
    <x v="7"/>
    <s v="Yes"/>
    <s v="NOR035S"/>
    <s v="0444557"/>
    <s v="St Anselm"/>
    <s v="NORTHAMPTON"/>
    <m/>
    <m/>
    <m/>
    <s v=" "/>
    <m/>
    <m/>
    <n v="0"/>
    <m/>
    <n v="0"/>
  </r>
  <r>
    <x v="7"/>
    <s v="No"/>
    <s v="NOR036"/>
    <s v="409"/>
    <s v="Immaculate Heart of Mary"/>
    <s v="GREAT MISSENDEN"/>
    <s v="Y"/>
    <n v="211"/>
    <m/>
    <s v="1"/>
    <m/>
    <m/>
    <n v="211"/>
    <n v="530"/>
    <n v="741"/>
  </r>
  <r>
    <x v="7"/>
    <s v="No"/>
    <s v="NOR037"/>
    <s v="410"/>
    <s v="The Good Shepherd"/>
    <s v="HADDENHAM"/>
    <m/>
    <m/>
    <m/>
    <s v=" "/>
    <m/>
    <m/>
    <n v="0"/>
    <n v="80"/>
    <n v="80"/>
  </r>
  <r>
    <x v="7"/>
    <s v="No"/>
    <s v="NOR038"/>
    <s v="0444558"/>
    <s v="The Holy Family Church"/>
    <s v="HALTON"/>
    <m/>
    <m/>
    <m/>
    <s v=" "/>
    <m/>
    <m/>
    <n v="0"/>
    <m/>
    <n v="0"/>
  </r>
  <r>
    <x v="7"/>
    <s v="No"/>
    <s v="NOR039"/>
    <s v="412"/>
    <s v="St  Augustine, Apostle of England"/>
    <s v="HIGH WYCOMBE"/>
    <s v="Y"/>
    <n v="626.08000000000004"/>
    <m/>
    <s v="1"/>
    <m/>
    <m/>
    <n v="626.08000000000004"/>
    <n v="580"/>
    <n v="1206.08"/>
  </r>
  <r>
    <x v="7"/>
    <s v="Yes"/>
    <s v="NOR040"/>
    <s v="413"/>
    <s v="Blessed John Henry Newman - St  Wulstan"/>
    <s v="HIGH WYCOMBE"/>
    <s v="Y"/>
    <n v="608.04999999999995"/>
    <m/>
    <s v="1"/>
    <m/>
    <m/>
    <n v="608.04999999999995"/>
    <n v="65"/>
    <n v="673.05"/>
  </r>
  <r>
    <x v="7"/>
    <s v="Yes"/>
    <s v="NOR041"/>
    <s v="414"/>
    <s v="Blessed John Henry Newman - Our  Lady of Grace"/>
    <s v="HIGH WYCOMBE"/>
    <s v="Y"/>
    <n v="811.2"/>
    <m/>
    <s v="1"/>
    <m/>
    <m/>
    <n v="811.2"/>
    <m/>
    <n v="811.2"/>
  </r>
  <r>
    <x v="7"/>
    <s v="Yes"/>
    <s v="NOR041X"/>
    <s v="148048"/>
    <s v="St Vincent de Paul (Parish of St Mary's)"/>
    <s v="HOUGHTON REGIS"/>
    <s v="Y"/>
    <n v="61.170000000000009"/>
    <m/>
    <s v="1"/>
    <m/>
    <m/>
    <n v="61.170000000000009"/>
    <n v="10"/>
    <n v="71.170000000000016"/>
  </r>
  <r>
    <x v="7"/>
    <s v="Yes"/>
    <s v="NOR042"/>
    <s v="415"/>
    <s v="Bridgettine Convent"/>
    <s v="IVER HEATH"/>
    <s v="Y"/>
    <n v="465.1"/>
    <m/>
    <s v="1"/>
    <s v="add banking diff identified by DD Asst"/>
    <n v="1.69"/>
    <n v="466.79"/>
    <n v="3.8"/>
    <n v="470.59000000000003"/>
  </r>
  <r>
    <x v="7"/>
    <s v="Yes"/>
    <s v="NOR042X"/>
    <s v="416"/>
    <s v="Our Lady of Ransom"/>
    <s v="KEMPSTON"/>
    <s v="Y"/>
    <n v="0"/>
    <n v="0"/>
    <s v="1"/>
    <s v="combined with NOR014-385 ??"/>
    <m/>
    <n v="0"/>
    <n v="40"/>
    <n v="40"/>
  </r>
  <r>
    <x v="7"/>
    <s v="No"/>
    <s v="NOR043"/>
    <s v="417"/>
    <s v="St Edward the Confessor"/>
    <s v="ROTHWELL"/>
    <m/>
    <m/>
    <m/>
    <s v=" "/>
    <m/>
    <m/>
    <n v="0"/>
    <n v="1302.6300000000001"/>
    <n v="1302.6300000000001"/>
  </r>
  <r>
    <x v="7"/>
    <s v="Yes"/>
    <s v="NOR043S"/>
    <s v="263189"/>
    <s v="St Bernadette"/>
    <s v="ROTHWELL"/>
    <m/>
    <m/>
    <m/>
    <s v=" "/>
    <m/>
    <m/>
    <n v="0"/>
    <m/>
    <n v="0"/>
  </r>
  <r>
    <x v="7"/>
    <s v="Yes"/>
    <s v="NOR043S2"/>
    <s v="263191"/>
    <s v="Holy Trinity"/>
    <s v="DESBOROUGH"/>
    <m/>
    <m/>
    <m/>
    <s v=" "/>
    <m/>
    <m/>
    <n v="0"/>
    <n v="35.25"/>
    <n v="35.25"/>
  </r>
  <r>
    <x v="7"/>
    <s v="Yes"/>
    <s v="NOR043S3"/>
    <s v="263192"/>
    <s v="St Nicholas Owen"/>
    <s v="BURTON LATIMER"/>
    <m/>
    <m/>
    <m/>
    <s v=" "/>
    <m/>
    <m/>
    <n v="0"/>
    <m/>
    <n v="0"/>
  </r>
  <r>
    <x v="7"/>
    <s v="No"/>
    <s v="NOR043X"/>
    <s v="418"/>
    <s v="Mary Immaculate RC Church"/>
    <s v="NORTHANTS"/>
    <m/>
    <m/>
    <m/>
    <s v=" "/>
    <m/>
    <m/>
    <n v="0"/>
    <m/>
    <n v="0"/>
  </r>
  <r>
    <x v="7"/>
    <s v="No"/>
    <s v="NOR044"/>
    <s v="419"/>
    <s v="Sacred Heart RC Church"/>
    <s v="LEIGHTON BUZZARD"/>
    <m/>
    <m/>
    <m/>
    <s v=" "/>
    <m/>
    <m/>
    <n v="0"/>
    <n v="608.6"/>
    <n v="608.6"/>
  </r>
  <r>
    <x v="7"/>
    <s v="No"/>
    <s v="NOR045"/>
    <s v="420"/>
    <s v="St Aidan"/>
    <s v="LITTLE CHALFONT"/>
    <m/>
    <m/>
    <m/>
    <s v=" "/>
    <m/>
    <m/>
    <n v="0"/>
    <n v="298.36"/>
    <n v="298.36"/>
  </r>
  <r>
    <x v="7"/>
    <s v="No"/>
    <s v="NOR046"/>
    <s v="421"/>
    <s v="Our Lady of Light"/>
    <s v="LONG CRENDON"/>
    <m/>
    <m/>
    <m/>
    <s v=" "/>
    <m/>
    <m/>
    <n v="0"/>
    <n v="89"/>
    <n v="89"/>
  </r>
  <r>
    <x v="7"/>
    <s v="No"/>
    <s v="NOR047"/>
    <s v="422"/>
    <s v="Our Lady Help of Christians"/>
    <s v="LUTON"/>
    <s v="Y"/>
    <n v="65.2"/>
    <m/>
    <s v="1"/>
    <m/>
    <m/>
    <n v="65.2"/>
    <n v="140"/>
    <n v="205.2"/>
  </r>
  <r>
    <x v="7"/>
    <s v="No"/>
    <s v="NOR048"/>
    <s v="423"/>
    <s v="The Holy Ghost RC Church"/>
    <s v="LUTON"/>
    <m/>
    <m/>
    <m/>
    <s v=" "/>
    <m/>
    <m/>
    <n v="0"/>
    <n v="270"/>
    <n v="270"/>
  </r>
  <r>
    <x v="7"/>
    <s v="No"/>
    <s v="NOR049"/>
    <s v="424"/>
    <s v="The Sacred Heart RC Church"/>
    <s v="LUTON"/>
    <s v="Y"/>
    <n v="2262.38"/>
    <m/>
    <s v="1"/>
    <s v="less banking diff 4p"/>
    <n v="-0.04"/>
    <n v="2262.34"/>
    <n v="150"/>
    <n v="2412.34"/>
  </r>
  <r>
    <x v="7"/>
    <s v="Yes"/>
    <s v="NOR050"/>
    <s v="425"/>
    <s v="St John the Apostle"/>
    <s v="LUTON"/>
    <m/>
    <m/>
    <m/>
    <s v=" "/>
    <m/>
    <m/>
    <n v="0"/>
    <n v="55"/>
    <n v="55"/>
  </r>
  <r>
    <x v="7"/>
    <s v="No"/>
    <s v="NOR051"/>
    <s v="426"/>
    <s v="St Joseph RC Church"/>
    <s v="LUTON"/>
    <m/>
    <m/>
    <m/>
    <s v=" "/>
    <m/>
    <m/>
    <n v="0"/>
    <n v="1337.08"/>
    <n v="1337.08"/>
  </r>
  <r>
    <x v="7"/>
    <s v="No"/>
    <s v="NOR052"/>
    <s v="428"/>
    <s v="St  Margaret of Scotland RC Church"/>
    <s v="LUTON"/>
    <s v="Y"/>
    <n v="2100.3199999999997"/>
    <m/>
    <s v="1"/>
    <m/>
    <m/>
    <n v="2100.3199999999997"/>
    <n v="65"/>
    <n v="2165.3199999999997"/>
  </r>
  <r>
    <x v="7"/>
    <s v="No"/>
    <s v="NOR052S"/>
    <s v="0444519"/>
    <s v="St Thomas Apostle"/>
    <s v="LUTON"/>
    <m/>
    <m/>
    <m/>
    <s v=" "/>
    <m/>
    <m/>
    <n v="0"/>
    <m/>
    <n v="0"/>
  </r>
  <r>
    <x v="7"/>
    <s v="No"/>
    <s v="NOR053"/>
    <s v="429"/>
    <s v="St Martin de Porres"/>
    <s v="LUTON"/>
    <m/>
    <m/>
    <m/>
    <s v=" "/>
    <m/>
    <m/>
    <n v="0"/>
    <n v="730"/>
    <n v="730"/>
  </r>
  <r>
    <x v="7"/>
    <s v="Yes"/>
    <s v="NOR054"/>
    <s v="430"/>
    <s v="The Holy Family"/>
    <s v="LUTON"/>
    <m/>
    <m/>
    <m/>
    <s v=" "/>
    <m/>
    <m/>
    <n v="0"/>
    <n v="327.06"/>
    <n v="327.06"/>
  </r>
  <r>
    <x v="7"/>
    <s v="No"/>
    <s v="NOR055"/>
    <s v="431"/>
    <s v="St Peter RC Church"/>
    <s v="MARLOW"/>
    <s v="Y"/>
    <n v="345.43"/>
    <m/>
    <s v="1"/>
    <m/>
    <m/>
    <n v="345.43"/>
    <n v="230"/>
    <n v="575.43000000000006"/>
  </r>
  <r>
    <x v="7"/>
    <s v="Yes"/>
    <s v="NOR056"/>
    <s v="432"/>
    <s v="Our Lady of Lourdes"/>
    <s v="MILTON KEYNES"/>
    <m/>
    <m/>
    <m/>
    <s v=" "/>
    <m/>
    <m/>
    <n v="0"/>
    <n v="15"/>
    <n v="15"/>
  </r>
  <r>
    <x v="7"/>
    <s v="Yes"/>
    <s v="NOR056S"/>
    <s v="0444394"/>
    <s v="Christ the Cornerstone"/>
    <s v="MILTON KEYNES"/>
    <m/>
    <m/>
    <m/>
    <s v=" "/>
    <m/>
    <m/>
    <n v="0"/>
    <m/>
    <n v="0"/>
  </r>
  <r>
    <x v="7"/>
    <s v="No"/>
    <s v="NOR057"/>
    <s v="433"/>
    <s v="St Augustine's RC Parish"/>
    <s v="MILTON KEYNES"/>
    <s v="Y"/>
    <n v="493"/>
    <m/>
    <s v="1"/>
    <m/>
    <m/>
    <n v="493"/>
    <n v="319"/>
    <n v="812"/>
  </r>
  <r>
    <x v="7"/>
    <s v="Yes"/>
    <s v="NOR059"/>
    <s v="435"/>
    <s v="St Francis de Sales &amp; St Mary Magdalene (St Francis de Sales church)"/>
    <s v="MILTON KEYNES"/>
    <m/>
    <m/>
    <m/>
    <s v=" "/>
    <m/>
    <m/>
    <n v="0"/>
    <n v="387"/>
    <n v="387"/>
  </r>
  <r>
    <x v="7"/>
    <s v="Yes"/>
    <s v="NOR059S"/>
    <s v="0444513"/>
    <s v="St Francis de Sales &amp; St Mary Magdalene (St Mary Magdalene church)"/>
    <s v="MILTON KEYNES"/>
    <m/>
    <m/>
    <m/>
    <s v=" "/>
    <m/>
    <m/>
    <n v="0"/>
    <m/>
    <n v="0"/>
  </r>
  <r>
    <x v="7"/>
    <s v="No"/>
    <s v="NOR060"/>
    <s v="436"/>
    <s v="St Thomas Aquinas and All Saints Parish (St Thomas Aquinas Church)"/>
    <s v="MILTON KEYNES"/>
    <s v="Y"/>
    <n v="492.71000000000004"/>
    <m/>
    <s v="1"/>
    <m/>
    <m/>
    <n v="492.71000000000004"/>
    <n v="796"/>
    <n v="1288.71"/>
  </r>
  <r>
    <x v="7"/>
    <s v="No"/>
    <s v="NOR060S"/>
    <s v="0444376"/>
    <s v="St Thomas Aquinas and All Saints Parish (All Saints Church)"/>
    <s v="MILTON KEYNES"/>
    <m/>
    <m/>
    <m/>
    <s v=" "/>
    <m/>
    <m/>
    <n v="0"/>
    <m/>
    <n v="0"/>
  </r>
  <r>
    <x v="7"/>
    <s v="No"/>
    <s v="NOR060X"/>
    <s v="437"/>
    <s v="St  Edward the Confessor"/>
    <s v="MILTON KEYNES"/>
    <m/>
    <m/>
    <m/>
    <s v=" "/>
    <m/>
    <m/>
    <n v="0"/>
    <n v="265"/>
    <n v="265"/>
  </r>
  <r>
    <x v="7"/>
    <s v="No"/>
    <s v="NOR061"/>
    <s v="439"/>
    <s v="St Bede"/>
    <s v="NEWPORT PAGNELL"/>
    <m/>
    <m/>
    <m/>
    <s v=" "/>
    <m/>
    <m/>
    <n v="0"/>
    <n v="719"/>
    <n v="719"/>
  </r>
  <r>
    <x v="7"/>
    <s v="No"/>
    <s v="NOR061S"/>
    <s v="0444526"/>
    <s v="Christ the King"/>
    <s v="MILTON KEYNES"/>
    <m/>
    <m/>
    <m/>
    <s v=" "/>
    <m/>
    <m/>
    <n v="0"/>
    <m/>
    <n v="0"/>
  </r>
  <r>
    <x v="7"/>
    <s v="No"/>
    <s v="NOR062"/>
    <s v="440"/>
    <s v="Our Lady Help of Christians &amp; St Lawrence"/>
    <s v="OLNEY"/>
    <s v="Y"/>
    <m/>
    <n v="923.08999999999992"/>
    <s v="1"/>
    <m/>
    <m/>
    <n v="0"/>
    <n v="1148.0900000000001"/>
    <n v="1148.0900000000001"/>
  </r>
  <r>
    <x v="7"/>
    <s v="Yes"/>
    <s v="NOR063"/>
    <s v="441"/>
    <s v="The Most Holy Name of Jesus"/>
    <s v="OUNDLE"/>
    <s v="Y"/>
    <n v="43.4"/>
    <m/>
    <s v="1"/>
    <m/>
    <m/>
    <n v="43.4"/>
    <n v="535"/>
    <n v="578.4"/>
  </r>
  <r>
    <x v="7"/>
    <s v="No"/>
    <s v="NOR064"/>
    <s v="442"/>
    <s v="St Teresa of the Child Jesus"/>
    <s v="PRINCES RISBOROUGH"/>
    <s v="Y"/>
    <n v="780.23"/>
    <m/>
    <s v="1"/>
    <m/>
    <m/>
    <n v="780.23"/>
    <n v="2445"/>
    <n v="3225.23"/>
  </r>
  <r>
    <x v="7"/>
    <s v="No"/>
    <s v="NOR065"/>
    <s v="443"/>
    <s v="St Peter Apostle RC Church"/>
    <s v="RUSHDEN"/>
    <s v="Y"/>
    <n v="644.44000000000005"/>
    <m/>
    <s v="1"/>
    <m/>
    <m/>
    <n v="644.44000000000005"/>
    <n v="440"/>
    <n v="1084.44"/>
  </r>
  <r>
    <x v="7"/>
    <s v="No"/>
    <s v="NOR066"/>
    <s v="444"/>
    <s v="St Francis of Assisi"/>
    <s v="SHEFFORD"/>
    <s v="Y"/>
    <n v="104.56"/>
    <m/>
    <s v="1"/>
    <m/>
    <m/>
    <n v="104.56"/>
    <n v="80"/>
    <n v="184.56"/>
  </r>
  <r>
    <x v="7"/>
    <s v="No"/>
    <s v="NOR067"/>
    <s v="445"/>
    <s v="Our Lady Immaculate &amp; St Ethelbert"/>
    <s v="SLOUGH"/>
    <s v="Y"/>
    <n v="434.12"/>
    <m/>
    <s v="1"/>
    <s v="£184- on Statement, £250 not found on Statement"/>
    <n v="-250.12"/>
    <n v="184"/>
    <n v="170"/>
    <n v="354"/>
  </r>
  <r>
    <x v="7"/>
    <s v="No"/>
    <s v="NOR068"/>
    <s v="447"/>
    <s v="The Holy Family Church"/>
    <s v="SLOUGH"/>
    <m/>
    <m/>
    <m/>
    <s v=" "/>
    <s v="add banking identified by DD Asst"/>
    <n v="1192.44"/>
    <n v="1192.44"/>
    <n v="1741"/>
    <n v="2933.44"/>
  </r>
  <r>
    <x v="7"/>
    <s v="Yes"/>
    <s v="NOR069"/>
    <s v="448"/>
    <s v="St Paul the Apostle RC Church"/>
    <s v="THRAPSTON"/>
    <s v="Y"/>
    <n v="629.61"/>
    <m/>
    <s v="1"/>
    <m/>
    <m/>
    <n v="629.61"/>
    <n v="125"/>
    <n v="754.61"/>
  </r>
  <r>
    <x v="7"/>
    <s v="Yes"/>
    <s v="NOR069S"/>
    <s v="0444518"/>
    <s v="St Thomas More"/>
    <s v="RAUNDS"/>
    <m/>
    <m/>
    <m/>
    <s v=" "/>
    <m/>
    <m/>
    <n v="0"/>
    <n v="100"/>
    <n v="100"/>
  </r>
  <r>
    <x v="7"/>
    <s v="Yes"/>
    <s v="NOR070"/>
    <s v="449"/>
    <s v="St Thomas More RC Church"/>
    <s v="TOWCESTER"/>
    <s v="Y"/>
    <n v="581.72"/>
    <m/>
    <s v="1"/>
    <m/>
    <m/>
    <n v="581.72"/>
    <n v="250"/>
    <n v="831.72"/>
  </r>
  <r>
    <x v="7"/>
    <s v="No"/>
    <s v="NOR071"/>
    <s v="450"/>
    <s v="Our Lady of the Sacred Heart"/>
    <s v="WELLINGBOROUGH"/>
    <m/>
    <m/>
    <m/>
    <s v=" "/>
    <m/>
    <m/>
    <n v="0"/>
    <n v="1705.45"/>
    <n v="1705.45"/>
  </r>
  <r>
    <x v="7"/>
    <s v="Yes"/>
    <s v="NOR071S"/>
    <s v="0444534"/>
    <s v="St Edmund Campion"/>
    <s v="WELLINGBOROUGH"/>
    <m/>
    <m/>
    <m/>
    <s v=" "/>
    <m/>
    <m/>
    <n v="0"/>
    <m/>
    <n v="0"/>
  </r>
  <r>
    <x v="7"/>
    <s v="Yes"/>
    <s v="NOR071S2"/>
    <s v="0444508"/>
    <s v="St Hubert's Chapel"/>
    <s v="GREAT HARROWDEN"/>
    <m/>
    <m/>
    <m/>
    <s v=" "/>
    <m/>
    <m/>
    <n v="0"/>
    <m/>
    <n v="0"/>
  </r>
  <r>
    <x v="7"/>
    <s v="Yes"/>
    <s v="NOR072"/>
    <s v="0444533"/>
    <s v="St Anne RC Church"/>
    <s v="WENDOVER"/>
    <m/>
    <m/>
    <m/>
    <s v=" "/>
    <m/>
    <m/>
    <n v="0"/>
    <m/>
    <n v="0"/>
  </r>
  <r>
    <x v="7"/>
    <s v="No"/>
    <s v="NOR073"/>
    <s v="451"/>
    <s v="St Alban's Chapel (Mass in St Laurence Anglican Church, Winslow)"/>
    <s v="WINSLOW"/>
    <m/>
    <m/>
    <m/>
    <s v=" "/>
    <m/>
    <m/>
    <n v="0"/>
    <n v="85"/>
    <n v="85"/>
  </r>
  <r>
    <x v="7"/>
    <s v="No"/>
    <s v="NOR074"/>
    <s v="452"/>
    <s v="St Mary RC Church"/>
    <s v="WOBURN SANDS"/>
    <m/>
    <m/>
    <m/>
    <s v=" "/>
    <m/>
    <m/>
    <n v="0"/>
    <n v="450"/>
    <n v="450"/>
  </r>
  <r>
    <x v="7"/>
    <s v="No"/>
    <s v="NOR074S"/>
    <s v="0444512"/>
    <s v="Chaplaincy"/>
    <s v="MILTON KEYNES"/>
    <m/>
    <m/>
    <m/>
    <s v=" "/>
    <m/>
    <m/>
    <n v="0"/>
    <m/>
    <n v="0"/>
  </r>
  <r>
    <x v="7"/>
    <s v="Yes"/>
    <s v="NOR075"/>
    <s v="454"/>
    <s v="St John Ogilvie RC Church"/>
    <s v="CORBY"/>
    <s v="Y"/>
    <n v="221.52999999999997"/>
    <m/>
    <s v="1"/>
    <m/>
    <m/>
    <n v="221.52999999999997"/>
    <m/>
    <n v="221.52999999999997"/>
  </r>
  <r>
    <x v="7"/>
    <s v="No"/>
    <s v="NOR076"/>
    <s v="455"/>
    <s v="Church of the Holy Redeemer"/>
    <s v="SLOUGH"/>
    <m/>
    <m/>
    <m/>
    <s v=" "/>
    <m/>
    <m/>
    <n v="0"/>
    <n v="175.64"/>
    <n v="175.64"/>
  </r>
  <r>
    <x v="7"/>
    <s v="No"/>
    <s v="NOR999"/>
    <s v="458"/>
    <s v="Northampton Diocese Various"/>
    <m/>
    <m/>
    <m/>
    <m/>
    <s v=" "/>
    <s v="£105.55 unidentified items in DD's return"/>
    <n v="2725.19"/>
    <n v="2725.19"/>
    <n v="11.05"/>
    <n v="2736.2400000000002"/>
  </r>
  <r>
    <x v="8"/>
    <s v="No"/>
    <s v="NOT001"/>
    <s v="459"/>
    <s v="St Barnabas Cathedral"/>
    <s v="NOTTINGHAM CATHEDRAL"/>
    <s v="Y"/>
    <n v="862.86999999999989"/>
    <m/>
    <s v="1"/>
    <s v="per DD - it is £872.87"/>
    <n v="10"/>
    <n v="872.86999999999989"/>
    <n v="1415"/>
    <n v="2287.87"/>
  </r>
  <r>
    <x v="8"/>
    <s v="No"/>
    <s v="NOT002"/>
    <s v="460"/>
    <s v="Corpus Christi RC Church"/>
    <s v="NOTTINGHAM"/>
    <m/>
    <m/>
    <m/>
    <s v=" "/>
    <m/>
    <m/>
    <n v="0"/>
    <n v="54.14"/>
    <n v="54.14"/>
  </r>
  <r>
    <x v="8"/>
    <s v="No"/>
    <s v="NOT003"/>
    <s v="462"/>
    <s v="The Holy Spirit RC Church"/>
    <s v="NOTTINGHAM"/>
    <s v="Y"/>
    <n v="406.68"/>
    <m/>
    <s v="1"/>
    <m/>
    <m/>
    <n v="406.68"/>
    <n v="595"/>
    <n v="1001.6800000000001"/>
  </r>
  <r>
    <x v="8"/>
    <s v="No"/>
    <s v="NOT004"/>
    <s v="463"/>
    <s v="The Good Shepherd"/>
    <s v="NOTTINGHAM"/>
    <s v="Y"/>
    <n v="857.87999999999988"/>
    <m/>
    <s v="1"/>
    <m/>
    <m/>
    <n v="857.87999999999988"/>
    <n v="990"/>
    <n v="1847.8799999999999"/>
  </r>
  <r>
    <x v="8"/>
    <s v="No"/>
    <s v="NOT005"/>
    <s v="464"/>
    <s v="Parish of the Sacred Heart of Jesus"/>
    <s v="NOTTINGHAM"/>
    <s v="Y"/>
    <n v="300"/>
    <n v="974"/>
    <s v="1"/>
    <s v="column amounts in the right place??"/>
    <m/>
    <n v="300"/>
    <n v="2493"/>
    <n v="2793"/>
  </r>
  <r>
    <x v="8"/>
    <s v="No"/>
    <s v="NOT006"/>
    <s v="465"/>
    <s v="The Assumption  RC Church"/>
    <s v="NOTTINGHAM"/>
    <s v="Y"/>
    <n v="705.5"/>
    <m/>
    <s v="1"/>
    <m/>
    <m/>
    <n v="705.5"/>
    <n v="236"/>
    <n v="941.5"/>
  </r>
  <r>
    <x v="8"/>
    <s v="No"/>
    <s v="NOT007"/>
    <s v="466"/>
    <s v="Our Lady &amp; St Edward"/>
    <s v="NOTTINGHAM"/>
    <m/>
    <m/>
    <m/>
    <s v=" "/>
    <m/>
    <m/>
    <n v="0"/>
    <n v="85"/>
    <n v="85"/>
  </r>
  <r>
    <x v="8"/>
    <s v="No"/>
    <s v="NOT008"/>
    <s v="467"/>
    <s v="Our Lady of Perpetual Succour"/>
    <s v="BULWELL"/>
    <m/>
    <m/>
    <m/>
    <s v=" "/>
    <m/>
    <m/>
    <n v="0"/>
    <n v="600.29"/>
    <n v="600.29"/>
  </r>
  <r>
    <x v="8"/>
    <s v="No"/>
    <s v="NOT009"/>
    <s v="468"/>
    <s v="Divine Infant of Prague"/>
    <s v="NOTTINGHAM"/>
    <m/>
    <m/>
    <m/>
    <s v=" "/>
    <m/>
    <m/>
    <n v="0"/>
    <m/>
    <n v="0"/>
  </r>
  <r>
    <x v="8"/>
    <s v="No"/>
    <s v="NOT010"/>
    <s v="470"/>
    <s v="St  Mary  RC Church"/>
    <s v="NOTTINGHAM"/>
    <m/>
    <m/>
    <m/>
    <s v=" "/>
    <m/>
    <m/>
    <n v="0"/>
    <n v="510"/>
    <n v="510"/>
  </r>
  <r>
    <x v="8"/>
    <s v="No"/>
    <s v="NOT011"/>
    <s v="471"/>
    <s v="St Augustine, Apostle of England"/>
    <s v="NOTTINGHAM"/>
    <s v="Y"/>
    <n v="266.34000000000003"/>
    <m/>
    <s v="1"/>
    <s v="per DD - it is £280.77"/>
    <n v="14.43"/>
    <n v="280.77000000000004"/>
    <n v="65"/>
    <n v="345.77000000000004"/>
  </r>
  <r>
    <x v="8"/>
    <s v="Yes"/>
    <s v="NOT012"/>
    <s v="473"/>
    <s v="St Hugh of Lincoln"/>
    <s v="NOTTINGHAM"/>
    <s v="Y"/>
    <n v="301.02"/>
    <n v="95"/>
    <s v="1"/>
    <s v="per DD - it is £396.02"/>
    <n v="95"/>
    <n v="396.02"/>
    <n v="50"/>
    <n v="446.02"/>
  </r>
  <r>
    <x v="8"/>
    <s v="No"/>
    <s v="NOT013"/>
    <s v="474"/>
    <s v="St  Paul RC Church"/>
    <s v="NOTTINGHAM"/>
    <m/>
    <m/>
    <m/>
    <s v=" "/>
    <m/>
    <m/>
    <n v="0"/>
    <n v="369"/>
    <n v="369"/>
  </r>
  <r>
    <x v="8"/>
    <s v="Yes"/>
    <s v="NOT014"/>
    <s v="475"/>
    <s v="St Teresa of Lisieux"/>
    <s v="NOTTINGHAM"/>
    <s v="Y"/>
    <m/>
    <n v="427.29"/>
    <s v="1"/>
    <m/>
    <m/>
    <n v="0"/>
    <n v="497.29"/>
    <n v="497.29"/>
  </r>
  <r>
    <x v="8"/>
    <s v="Yes"/>
    <s v="NOT015"/>
    <s v="476"/>
    <s v="St Thomas More"/>
    <s v="NOTTINGHAM"/>
    <s v="Y"/>
    <n v="203.19"/>
    <m/>
    <s v="1"/>
    <m/>
    <m/>
    <n v="203.19"/>
    <n v="35"/>
    <n v="238.19"/>
  </r>
  <r>
    <x v="8"/>
    <s v="No"/>
    <s v="NOT016"/>
    <s v="477"/>
    <s v="Our Lady &amp; St Patrick in the Meadows RC Church"/>
    <s v="NOTTINGHAM"/>
    <m/>
    <m/>
    <m/>
    <s v=" "/>
    <m/>
    <m/>
    <n v="0"/>
    <n v="200"/>
    <n v="200"/>
  </r>
  <r>
    <x v="8"/>
    <s v="No"/>
    <s v="NOT017"/>
    <s v="479"/>
    <s v="Christ the King RC Church"/>
    <s v="ALFRETON"/>
    <m/>
    <m/>
    <m/>
    <s v=" "/>
    <m/>
    <m/>
    <n v="0"/>
    <n v="415.24"/>
    <n v="415.24"/>
  </r>
  <r>
    <x v="8"/>
    <s v="No"/>
    <s v="NOT017A"/>
    <s v="480"/>
    <s v="St Patrick &amp; St Bridget (Chapel of Ease)"/>
    <s v="CLAY CROSS"/>
    <m/>
    <m/>
    <m/>
    <s v=" "/>
    <s v="banking per DD"/>
    <n v="791"/>
    <n v="791"/>
    <m/>
    <n v="791"/>
  </r>
  <r>
    <x v="8"/>
    <s v="No"/>
    <s v="NOT018"/>
    <s v="481"/>
    <s v="All Saints"/>
    <s v="ASHBOURNE"/>
    <m/>
    <m/>
    <m/>
    <s v=" "/>
    <s v="letter from LS £13.04 chq sent by priest, but not in ThankQ"/>
    <m/>
    <n v="0"/>
    <n v="325"/>
    <n v="325"/>
  </r>
  <r>
    <x v="8"/>
    <s v="No"/>
    <s v="NOT019"/>
    <s v="482"/>
    <s v="Catholic Parish Communities of Ashby &amp; Measham (Our Lady of Lourdes)"/>
    <s v="ASHBY-DE-LA-ZOUCH"/>
    <s v="Y"/>
    <n v="234.69"/>
    <m/>
    <s v="1"/>
    <m/>
    <m/>
    <n v="234.69"/>
    <n v="300"/>
    <n v="534.69000000000005"/>
  </r>
  <r>
    <x v="8"/>
    <s v="No"/>
    <s v="NOT021"/>
    <s v="483"/>
    <s v="St Augustine Webster"/>
    <s v="BARTON-UPON-HUMBER"/>
    <s v="Y"/>
    <n v="568.37"/>
    <m/>
    <s v="1"/>
    <s v="per DD - it is £569.27"/>
    <n v="0.9"/>
    <n v="569.27"/>
    <n v="90"/>
    <n v="659.27"/>
  </r>
  <r>
    <x v="8"/>
    <s v="No"/>
    <s v="NOT022"/>
    <s v="484"/>
    <s v="Our Lady of Perpetual Succour (Parish of Belper &amp; Duffield)"/>
    <s v="BELPER"/>
    <s v="Y"/>
    <n v="523.21"/>
    <n v="151.27000000000001"/>
    <s v="1"/>
    <m/>
    <m/>
    <n v="523.21"/>
    <n v="2490"/>
    <n v="3013.21"/>
  </r>
  <r>
    <x v="8"/>
    <s v="No"/>
    <s v="NOT022S"/>
    <s v="0444510"/>
    <s v="St Margaret Clitherow (Parish of Belper &amp; Duffield)"/>
    <s v="DUFFIELD"/>
    <m/>
    <m/>
    <m/>
    <s v=" "/>
    <m/>
    <m/>
    <n v="0"/>
    <m/>
    <n v="0"/>
  </r>
  <r>
    <x v="8"/>
    <s v="No"/>
    <s v="NOT023"/>
    <s v="485"/>
    <s v="St Theresa RC Church"/>
    <s v="BIRSTALL"/>
    <s v="Y"/>
    <n v="3830"/>
    <m/>
    <s v="1"/>
    <m/>
    <m/>
    <n v="3830"/>
    <n v="15"/>
    <n v="3845"/>
  </r>
  <r>
    <x v="8"/>
    <s v="No"/>
    <s v="NOT023S"/>
    <s v="0444387"/>
    <s v="Sacred Heart, Chapel of Ease"/>
    <s v="ROTHLEY"/>
    <m/>
    <m/>
    <m/>
    <s v=" "/>
    <m/>
    <m/>
    <n v="0"/>
    <m/>
    <n v="0"/>
  </r>
  <r>
    <x v="8"/>
    <s v="No"/>
    <s v="NOT024"/>
    <s v="486"/>
    <s v="St Hugh RC Church"/>
    <s v="BORROWASH"/>
    <s v="Y"/>
    <n v="44.27"/>
    <m/>
    <s v="1"/>
    <m/>
    <m/>
    <n v="44.27"/>
    <n v="60"/>
    <n v="104.27000000000001"/>
  </r>
  <r>
    <x v="8"/>
    <s v="No"/>
    <s v="NOT025"/>
    <s v="487"/>
    <s v="St Mary, Our Lady of the Rosary"/>
    <s v="BOSTON"/>
    <s v="Y"/>
    <n v="1108.22"/>
    <m/>
    <s v="1"/>
    <m/>
    <m/>
    <n v="1108.22"/>
    <n v="130"/>
    <n v="1238.22"/>
  </r>
  <r>
    <x v="8"/>
    <s v="No"/>
    <s v="NOT026"/>
    <s v="488"/>
    <s v="Sacred Heart and St Gilbert RC Church"/>
    <s v="BOURNE"/>
    <s v="Y"/>
    <n v="388.07"/>
    <n v="305.22000000000003"/>
    <s v="1"/>
    <s v="per DD - it is £403.47"/>
    <n v="15.4"/>
    <n v="403.46999999999997"/>
    <n v="325"/>
    <n v="728.47"/>
  </r>
  <r>
    <x v="8"/>
    <s v="No"/>
    <s v="NOT026S"/>
    <s v="0444507"/>
    <s v="Our Lady of Lincoln &amp; St Guthlac"/>
    <s v="DEEPING ST JAMES"/>
    <m/>
    <m/>
    <m/>
    <s v=" "/>
    <m/>
    <m/>
    <n v="0"/>
    <m/>
    <n v="0"/>
  </r>
  <r>
    <x v="8"/>
    <s v="No"/>
    <s v="NOT027"/>
    <s v="489"/>
    <s v="St Mary RC Church"/>
    <s v="BRIGG"/>
    <s v="Y"/>
    <n v="3658.2000000000003"/>
    <m/>
    <s v="1"/>
    <m/>
    <m/>
    <n v="3658.2000000000003"/>
    <n v="50"/>
    <n v="3708.2000000000003"/>
  </r>
  <r>
    <x v="8"/>
    <s v="No"/>
    <s v="NOT028"/>
    <s v="490"/>
    <s v="Our Lady of the Most Holy Rosary"/>
    <s v="BURTON-ON-TRENT"/>
    <m/>
    <m/>
    <m/>
    <s v=" "/>
    <s v="banking per DD"/>
    <n v="240"/>
    <n v="240"/>
    <n v="100"/>
    <n v="340"/>
  </r>
  <r>
    <x v="8"/>
    <s v="No"/>
    <s v="NOT028S"/>
    <s v="0444514"/>
    <s v="St Joseph"/>
    <s v="BURTON-ON-TRENT"/>
    <m/>
    <m/>
    <m/>
    <s v=" "/>
    <m/>
    <m/>
    <n v="0"/>
    <n v="30"/>
    <n v="30"/>
  </r>
  <r>
    <x v="8"/>
    <s v="No"/>
    <s v="NOT029"/>
    <s v="491"/>
    <s v="St Anne RC Church"/>
    <s v="BUXTON"/>
    <m/>
    <m/>
    <m/>
    <s v=" "/>
    <s v="banking per DD"/>
    <n v="113.75"/>
    <n v="113.75"/>
    <n v="95"/>
    <n v="208.75"/>
  </r>
  <r>
    <x v="8"/>
    <s v="No"/>
    <s v="NOT030"/>
    <s v="493"/>
    <s v="St John Fisher &amp; St Thomas More"/>
    <s v="CHAPEL-EN-LE-FRITH"/>
    <m/>
    <m/>
    <m/>
    <s v=" "/>
    <m/>
    <m/>
    <n v="0"/>
    <n v="600.92999999999995"/>
    <n v="600.92999999999995"/>
  </r>
  <r>
    <x v="8"/>
    <s v="No"/>
    <s v="NOT030S"/>
    <s v="0444642"/>
    <s v="Immaculate Heart of Mary"/>
    <s v="TIDESWELL"/>
    <m/>
    <m/>
    <m/>
    <s v=" "/>
    <m/>
    <m/>
    <n v="0"/>
    <m/>
    <n v="0"/>
  </r>
  <r>
    <x v="8"/>
    <s v="No"/>
    <s v="NOT034"/>
    <s v="494"/>
    <s v="Corpus Christi RC Church"/>
    <s v="CLEETHORPES"/>
    <m/>
    <m/>
    <m/>
    <s v=" "/>
    <s v="banking per DD"/>
    <n v="1052.92"/>
    <n v="1052.92"/>
    <n v="125"/>
    <n v="1177.92"/>
  </r>
  <r>
    <x v="8"/>
    <s v="No"/>
    <s v="NOT036"/>
    <s v="495"/>
    <s v="St Wilfrid of York"/>
    <s v="COALVILLE"/>
    <s v="Y"/>
    <m/>
    <n v="337.52"/>
    <s v="1"/>
    <m/>
    <m/>
    <n v="0"/>
    <n v="310"/>
    <n v="310"/>
  </r>
  <r>
    <x v="8"/>
    <s v="No"/>
    <s v="NOT037"/>
    <s v="496"/>
    <s v="St Margaret Clitherow"/>
    <s v="KEYWORTH"/>
    <s v="Y"/>
    <n v="493.6"/>
    <m/>
    <s v="1"/>
    <s v="per DD - it is £494.60"/>
    <n v="1"/>
    <n v="494.6"/>
    <n v="65"/>
    <n v="559.6"/>
  </r>
  <r>
    <x v="8"/>
    <s v="No"/>
    <s v="NOT037A"/>
    <s v="497"/>
    <s v="Our Lady of Grace"/>
    <s v="COTGRAVE"/>
    <s v="Y"/>
    <n v="196.27"/>
    <m/>
    <s v="1"/>
    <s v="per DD - it is £ zero"/>
    <n v="-196.27"/>
    <n v="0"/>
    <n v="80"/>
    <n v="80"/>
  </r>
  <r>
    <x v="8"/>
    <s v="No"/>
    <s v="NOT039"/>
    <s v="498"/>
    <s v="St Norbert's Priory"/>
    <s v="CROWLE"/>
    <m/>
    <m/>
    <m/>
    <s v=" "/>
    <m/>
    <m/>
    <n v="0"/>
    <n v="111.84"/>
    <n v="111.84"/>
  </r>
  <r>
    <x v="8"/>
    <s v="No"/>
    <s v="NOT040"/>
    <s v="499"/>
    <s v="St Mary RC Church"/>
    <s v="DERBY"/>
    <s v="Y"/>
    <n v="1760.7800000000002"/>
    <m/>
    <s v="1"/>
    <s v="per DD - it is £1562"/>
    <n v="-198.78"/>
    <n v="1562.0000000000002"/>
    <n v="1832.63"/>
    <n v="3394.63"/>
  </r>
  <r>
    <x v="8"/>
    <s v="No"/>
    <s v="NOT041"/>
    <s v="500"/>
    <s v="St Joseph RC Church"/>
    <s v="DERBY"/>
    <s v="Y"/>
    <n v="990.74"/>
    <m/>
    <s v="1"/>
    <m/>
    <m/>
    <n v="990.74"/>
    <n v="155"/>
    <n v="1145.74"/>
  </r>
  <r>
    <x v="8"/>
    <s v="No"/>
    <s v="NOT042"/>
    <s v="2727"/>
    <s v="St George &amp; All Soldier Saints"/>
    <s v="DERBY"/>
    <s v="Y"/>
    <m/>
    <n v="650"/>
    <s v="1"/>
    <s v="also received chq £250 from Rev H Burbidge (17-12-2019)"/>
    <m/>
    <n v="0"/>
    <n v="900"/>
    <n v="900"/>
  </r>
  <r>
    <x v="8"/>
    <s v="No"/>
    <s v="NOT042S"/>
    <s v="0444644"/>
    <s v="Holy Spirit"/>
    <s v="DERBY"/>
    <m/>
    <m/>
    <m/>
    <s v=" "/>
    <m/>
    <m/>
    <n v="0"/>
    <m/>
    <n v="0"/>
  </r>
  <r>
    <x v="8"/>
    <s v="No"/>
    <s v="NOT043"/>
    <s v="501"/>
    <s v="English Martyrs"/>
    <s v="DERBY"/>
    <s v="Y"/>
    <n v="1913.4099999999999"/>
    <m/>
    <s v="1"/>
    <m/>
    <m/>
    <n v="1913.4099999999999"/>
    <n v="332"/>
    <n v="2245.41"/>
  </r>
  <r>
    <x v="8"/>
    <s v="No"/>
    <s v="NOT043S"/>
    <s v="0444643"/>
    <s v="St Ralph Sherwin Church"/>
    <s v="DERBY"/>
    <m/>
    <m/>
    <m/>
    <s v=" "/>
    <m/>
    <m/>
    <n v="0"/>
    <m/>
    <n v="0"/>
  </r>
  <r>
    <x v="8"/>
    <s v="No"/>
    <s v="NOT044"/>
    <s v="502"/>
    <s v="St Alban  RC Church"/>
    <s v="DERBY"/>
    <s v="Y"/>
    <m/>
    <n v="176.38"/>
    <s v="1"/>
    <m/>
    <m/>
    <n v="0"/>
    <n v="191.38"/>
    <n v="191.38"/>
  </r>
  <r>
    <x v="8"/>
    <s v="No"/>
    <s v="NOT044S"/>
    <s v="0444548"/>
    <s v="The Church on Oakwood (Chapel of Ease)"/>
    <s v="OAKWOOD"/>
    <m/>
    <m/>
    <m/>
    <s v=" "/>
    <m/>
    <m/>
    <n v="0"/>
    <m/>
    <n v="0"/>
  </r>
  <r>
    <x v="8"/>
    <s v="No"/>
    <s v="NOT045"/>
    <s v="503"/>
    <s v="Christ the King RC Church"/>
    <s v="DERBY"/>
    <m/>
    <m/>
    <m/>
    <s v=" "/>
    <m/>
    <m/>
    <n v="0"/>
    <n v="65"/>
    <n v="65"/>
  </r>
  <r>
    <x v="8"/>
    <s v="No"/>
    <s v="NOT046"/>
    <s v="504"/>
    <s v="Holy Family RC Church"/>
    <s v="DERBY"/>
    <s v="Y"/>
    <n v="130.74"/>
    <m/>
    <s v="1"/>
    <m/>
    <m/>
    <n v="130.74"/>
    <n v="369"/>
    <n v="499.74"/>
  </r>
  <r>
    <x v="8"/>
    <s v="No"/>
    <s v="NOT049"/>
    <s v="507"/>
    <s v="St Peter &amp; St Paul"/>
    <s v="EARL SHILTON"/>
    <m/>
    <m/>
    <m/>
    <s v=" "/>
    <m/>
    <m/>
    <n v="0"/>
    <n v="215"/>
    <n v="215"/>
  </r>
  <r>
    <x v="8"/>
    <s v="No"/>
    <s v="NOT050"/>
    <s v="508"/>
    <s v="Our Lady of the Angels"/>
    <s v="EAST LEAKE"/>
    <s v="Y"/>
    <n v="331"/>
    <m/>
    <s v="1"/>
    <m/>
    <m/>
    <n v="331"/>
    <n v="420"/>
    <n v="751"/>
  </r>
  <r>
    <x v="8"/>
    <s v="No"/>
    <s v="NOT051"/>
    <s v="509"/>
    <s v="Our Lady of Good Counsel"/>
    <s v="EASTWOOD"/>
    <s v="Y"/>
    <n v="410.73"/>
    <m/>
    <s v="1"/>
    <m/>
    <m/>
    <n v="410.73"/>
    <n v="150"/>
    <n v="560.73"/>
  </r>
  <r>
    <x v="8"/>
    <s v="No"/>
    <s v="NOT053"/>
    <s v="510"/>
    <s v="St Thomas of Canterbury"/>
    <s v="GAINSBOROUGH"/>
    <s v="Y"/>
    <n v="694"/>
    <m/>
    <s v="1"/>
    <m/>
    <m/>
    <n v="694"/>
    <n v="195"/>
    <n v="889"/>
  </r>
  <r>
    <x v="8"/>
    <s v="No"/>
    <s v="NOT054"/>
    <s v="511"/>
    <s v="The Immaculate Conception"/>
    <s v="BROADBOTTOM"/>
    <m/>
    <m/>
    <m/>
    <s v=" "/>
    <m/>
    <m/>
    <n v="0"/>
    <m/>
    <n v="0"/>
  </r>
  <r>
    <x v="8"/>
    <s v="No"/>
    <s v="NOT054S"/>
    <s v="0444638"/>
    <s v="St. Margaret's Primary School"/>
    <s v="GAMESLEY"/>
    <m/>
    <m/>
    <m/>
    <s v=" "/>
    <m/>
    <m/>
    <n v="0"/>
    <m/>
    <n v="0"/>
  </r>
  <r>
    <x v="8"/>
    <s v="No"/>
    <s v="NOT055"/>
    <s v="512"/>
    <s v="St  Mary Crowned RC Church"/>
    <s v="GLOSSOP"/>
    <s v="Y"/>
    <n v="4375"/>
    <m/>
    <s v="1"/>
    <m/>
    <m/>
    <n v="4375"/>
    <m/>
    <n v="4375"/>
  </r>
  <r>
    <x v="8"/>
    <s v="No"/>
    <s v="NOT056"/>
    <s v="513"/>
    <s v="All Saints RC Church"/>
    <s v="GLOSSOP"/>
    <m/>
    <m/>
    <m/>
    <s v=" "/>
    <s v="banking per DD"/>
    <n v="50.09"/>
    <n v="50.09"/>
    <n v="30"/>
    <n v="80.09"/>
  </r>
  <r>
    <x v="8"/>
    <s v="No"/>
    <s v="NOT057"/>
    <s v="514"/>
    <s v="St Mary the Immaculate"/>
    <s v="GRANTHAM"/>
    <s v="Y"/>
    <m/>
    <n v="213.14"/>
    <s v="1"/>
    <m/>
    <m/>
    <n v="0"/>
    <n v="618.14"/>
    <n v="618.14"/>
  </r>
  <r>
    <x v="8"/>
    <s v="No"/>
    <s v="NOT058"/>
    <s v="515"/>
    <s v="St  Mary on the Sea"/>
    <s v="GRIMSBY"/>
    <s v="Y"/>
    <n v="914.34"/>
    <m/>
    <s v="1"/>
    <m/>
    <m/>
    <n v="914.34"/>
    <n v="165"/>
    <n v="1079.3400000000001"/>
  </r>
  <r>
    <x v="8"/>
    <s v="No"/>
    <s v="NOT058S"/>
    <s v="0444522"/>
    <s v="St John Fisher"/>
    <m/>
    <m/>
    <m/>
    <m/>
    <s v=" "/>
    <m/>
    <m/>
    <n v="0"/>
    <m/>
    <n v="0"/>
  </r>
  <r>
    <x v="8"/>
    <s v="No"/>
    <s v="NOT059"/>
    <s v="516"/>
    <s v="St  Pius X &amp; St Peter"/>
    <s v="GRIMBSY"/>
    <m/>
    <m/>
    <m/>
    <s v=" "/>
    <m/>
    <m/>
    <n v="0"/>
    <n v="25"/>
    <n v="25"/>
  </r>
  <r>
    <x v="8"/>
    <s v="No"/>
    <s v="NOT061"/>
    <s v="517"/>
    <s v="St Charles Borromeo"/>
    <s v="HADFIELD"/>
    <s v="Y"/>
    <n v="994.59"/>
    <m/>
    <s v="1"/>
    <m/>
    <m/>
    <n v="994.59"/>
    <n v="405"/>
    <n v="1399.5900000000001"/>
  </r>
  <r>
    <x v="8"/>
    <s v="No"/>
    <s v="NOT063"/>
    <s v="518"/>
    <s v="All Saints"/>
    <s v="HASSOP"/>
    <m/>
    <m/>
    <m/>
    <s v=" "/>
    <m/>
    <m/>
    <n v="0"/>
    <n v="478"/>
    <n v="478"/>
  </r>
  <r>
    <x v="8"/>
    <s v="No"/>
    <s v="NOT063S"/>
    <s v="0444547"/>
    <s v="The English Martyrs"/>
    <s v="BAKEWELL"/>
    <m/>
    <m/>
    <m/>
    <s v=" "/>
    <m/>
    <m/>
    <n v="0"/>
    <m/>
    <n v="0"/>
  </r>
  <r>
    <x v="8"/>
    <s v="No"/>
    <s v="NOT065"/>
    <s v="519"/>
    <s v="St Peter RC Church"/>
    <s v="HINCKLEY"/>
    <s v="Y"/>
    <n v="1596.66"/>
    <m/>
    <s v="1"/>
    <m/>
    <m/>
    <n v="1596.66"/>
    <n v="248.02"/>
    <n v="1844.68"/>
  </r>
  <r>
    <x v="8"/>
    <s v="No"/>
    <s v="NOT066"/>
    <s v="520"/>
    <s v="Holy Trinity"/>
    <s v="HOLBEACH"/>
    <m/>
    <m/>
    <m/>
    <s v=" "/>
    <m/>
    <m/>
    <n v="0"/>
    <m/>
    <n v="0"/>
  </r>
  <r>
    <x v="8"/>
    <s v="No"/>
    <s v="NOT067"/>
    <s v="521"/>
    <s v="Holy Cross RC Church"/>
    <s v="HUCKNALL"/>
    <s v="Y"/>
    <n v="665.52"/>
    <m/>
    <s v="1"/>
    <m/>
    <m/>
    <n v="665.52"/>
    <n v="157.9"/>
    <n v="823.42"/>
  </r>
  <r>
    <x v="8"/>
    <s v="No"/>
    <s v="NOT068"/>
    <s v="522"/>
    <s v="Our Lady &amp; St Thomas of Hereford"/>
    <s v="ILKESTON"/>
    <m/>
    <m/>
    <m/>
    <s v=" "/>
    <s v="banking per DD"/>
    <n v="231.31"/>
    <n v="231.31"/>
    <n v="175"/>
    <n v="406.31"/>
  </r>
  <r>
    <x v="8"/>
    <s v="No"/>
    <s v="NOT069"/>
    <s v="523"/>
    <s v="Our Lady Star of the Sea"/>
    <s v="IMMINGHAM"/>
    <s v="Y"/>
    <n v="194.4"/>
    <m/>
    <s v="1"/>
    <m/>
    <m/>
    <n v="194.4"/>
    <m/>
    <n v="194.4"/>
  </r>
  <r>
    <x v="8"/>
    <s v="No"/>
    <s v="NOT070"/>
    <s v="524"/>
    <s v="Our Lady Help of Christians"/>
    <s v="KIRKBY-IN-ASHFIELD"/>
    <s v="Y"/>
    <n v="121"/>
    <m/>
    <s v="1"/>
    <m/>
    <m/>
    <n v="121"/>
    <n v="90"/>
    <n v="211"/>
  </r>
  <r>
    <x v="8"/>
    <s v="No"/>
    <s v="NOT071"/>
    <s v="525"/>
    <s v="Holy Cross Priory"/>
    <s v="LEICESTER"/>
    <m/>
    <m/>
    <m/>
    <s v=" "/>
    <m/>
    <m/>
    <n v="0"/>
    <n v="600"/>
    <n v="600"/>
  </r>
  <r>
    <x v="8"/>
    <s v="No"/>
    <s v="NOT071S"/>
    <s v="0444546"/>
    <s v="St Mary in the Elms"/>
    <s v="LEICESTER"/>
    <m/>
    <m/>
    <m/>
    <s v=" "/>
    <m/>
    <m/>
    <n v="0"/>
    <m/>
    <n v="0"/>
  </r>
  <r>
    <x v="8"/>
    <s v="No"/>
    <s v="NOT072"/>
    <s v="528"/>
    <s v="The Most Blessed Sacrament  RC Church"/>
    <s v="LEICESTER"/>
    <m/>
    <m/>
    <m/>
    <s v=" "/>
    <m/>
    <m/>
    <n v="0"/>
    <n v="1444.97"/>
    <n v="1444.97"/>
  </r>
  <r>
    <x v="8"/>
    <s v="No"/>
    <s v="NOT073"/>
    <s v="530"/>
    <s v="Sacred Heart &amp; St Margaret Mary"/>
    <s v="LEICESTER"/>
    <s v="Y"/>
    <m/>
    <n v="42.33"/>
    <s v="1"/>
    <m/>
    <m/>
    <n v="0"/>
    <n v="237.32999999999998"/>
    <n v="237.32999999999998"/>
  </r>
  <r>
    <x v="8"/>
    <s v="No"/>
    <s v="NOT073S"/>
    <s v="0444523"/>
    <s v="St Margaret Mary"/>
    <s v="LEICESTER"/>
    <m/>
    <m/>
    <m/>
    <s v=" "/>
    <m/>
    <m/>
    <n v="0"/>
    <m/>
    <n v="0"/>
  </r>
  <r>
    <x v="8"/>
    <s v="No"/>
    <s v="NOT074"/>
    <s v="531"/>
    <s v="Mother of God RC Church"/>
    <s v="LEICESTER"/>
    <s v="Y"/>
    <n v="331.41"/>
    <m/>
    <s v="1"/>
    <s v="per DD - it is £340.99"/>
    <n v="9.58"/>
    <n v="340.99"/>
    <n v="370"/>
    <n v="710.99"/>
  </r>
  <r>
    <x v="8"/>
    <s v="No"/>
    <s v="NOT075"/>
    <s v="532"/>
    <s v="Our Lady of Good Counsel"/>
    <s v="LEICESTER"/>
    <m/>
    <m/>
    <m/>
    <s v=" "/>
    <s v="banking per DD"/>
    <n v="65.209999999999994"/>
    <n v="65.209999999999994"/>
    <m/>
    <n v="65.209999999999994"/>
  </r>
  <r>
    <x v="8"/>
    <s v="No"/>
    <s v="NOT076"/>
    <s v="533"/>
    <s v="St  Edward the Confessor"/>
    <s v="LEICESTER"/>
    <s v="Y"/>
    <n v="260.02"/>
    <m/>
    <s v="1"/>
    <m/>
    <m/>
    <n v="260.02"/>
    <n v="184"/>
    <n v="444.02"/>
  </r>
  <r>
    <x v="8"/>
    <s v="No"/>
    <s v="NOT077"/>
    <s v="534"/>
    <s v="St John Bosco"/>
    <s v="LEICESTER"/>
    <m/>
    <m/>
    <m/>
    <s v=" "/>
    <m/>
    <m/>
    <n v="0"/>
    <m/>
    <n v="0"/>
  </r>
  <r>
    <x v="8"/>
    <s v="No"/>
    <s v="NOT078"/>
    <s v="536"/>
    <s v="St Joseph RC Church"/>
    <s v="LEICESTER"/>
    <s v="Y"/>
    <n v="939.38"/>
    <m/>
    <s v="1"/>
    <s v="per DD - it is £940.23"/>
    <n v="0.85"/>
    <n v="940.23"/>
    <n v="791.97"/>
    <n v="1732.2"/>
  </r>
  <r>
    <x v="8"/>
    <s v="No"/>
    <s v="NOT078S"/>
    <s v="0444524"/>
    <s v="The Rosary Church"/>
    <s v="LEICESTER"/>
    <m/>
    <m/>
    <m/>
    <s v=" "/>
    <m/>
    <m/>
    <n v="0"/>
    <m/>
    <n v="0"/>
  </r>
  <r>
    <x v="8"/>
    <s v="No"/>
    <s v="NOT079"/>
    <s v="537"/>
    <s v="St  Patrick  RC Church"/>
    <s v="LEICESTER"/>
    <m/>
    <m/>
    <m/>
    <s v=" "/>
    <s v="banking per DD"/>
    <n v="354.11"/>
    <n v="354.11"/>
    <n v="120"/>
    <n v="474.11"/>
  </r>
  <r>
    <x v="8"/>
    <s v="No"/>
    <s v="NOT080"/>
    <s v="538"/>
    <s v="St Peter RC Church"/>
    <s v="LEICESTER"/>
    <s v="Y"/>
    <n v="264.45000000000005"/>
    <m/>
    <s v="1"/>
    <m/>
    <m/>
    <n v="264.45000000000005"/>
    <n v="52"/>
    <n v="316.45000000000005"/>
  </r>
  <r>
    <x v="8"/>
    <s v="No"/>
    <s v="NOT081"/>
    <s v="539"/>
    <s v="St Thomas More  RC Church"/>
    <s v="LEICESTER"/>
    <s v="Y"/>
    <n v="792.18000000000006"/>
    <m/>
    <s v="1"/>
    <m/>
    <m/>
    <n v="792.18000000000006"/>
    <n v="390"/>
    <n v="1182.18"/>
  </r>
  <r>
    <x v="8"/>
    <s v="No"/>
    <s v="NOT082"/>
    <s v="540"/>
    <s v="St Hugh of Lincoln  RC Church"/>
    <s v="LINCOLN"/>
    <s v="Y"/>
    <n v="923.85"/>
    <m/>
    <s v="1"/>
    <s v="? combined with NOT083/542"/>
    <m/>
    <n v="923.85"/>
    <n v="230"/>
    <n v="1153.8499999999999"/>
  </r>
  <r>
    <x v="8"/>
    <s v="No"/>
    <s v="NOT082S"/>
    <s v="0444390"/>
    <s v="St Francis Chapel of Ease"/>
    <s v="BARDNEY"/>
    <m/>
    <m/>
    <m/>
    <s v=" "/>
    <m/>
    <m/>
    <n v="0"/>
    <m/>
    <n v="0"/>
  </r>
  <r>
    <x v="8"/>
    <s v="No"/>
    <s v="NOT083"/>
    <s v="542"/>
    <s v="Our Lady of Lincoln  RC Church"/>
    <s v="LINCOLN"/>
    <s v="Y"/>
    <n v="1406.09"/>
    <m/>
    <s v="1"/>
    <m/>
    <m/>
    <n v="1406.09"/>
    <n v="280"/>
    <n v="1686.09"/>
  </r>
  <r>
    <x v="8"/>
    <s v="No"/>
    <s v="NOT084"/>
    <s v="543"/>
    <s v="St Peter &amp; St Paul"/>
    <s v="LINCOLN"/>
    <s v="Y"/>
    <n v="453.99"/>
    <m/>
    <s v="1"/>
    <m/>
    <m/>
    <n v="453.99"/>
    <n v="398"/>
    <n v="851.99"/>
  </r>
  <r>
    <x v="8"/>
    <s v="No"/>
    <s v="NOT085"/>
    <s v="544"/>
    <s v="St Francis of Assisi"/>
    <s v="LONG EATON"/>
    <s v="Y"/>
    <n v="213.81"/>
    <m/>
    <s v="1"/>
    <m/>
    <m/>
    <n v="213.81"/>
    <n v="475"/>
    <n v="688.81"/>
  </r>
  <r>
    <x v="8"/>
    <s v="No"/>
    <s v="NOT086"/>
    <s v="545"/>
    <s v="St Mary RC Church"/>
    <s v="LOUGHBOROUGH"/>
    <s v="Y"/>
    <n v="329.81"/>
    <m/>
    <s v="1"/>
    <m/>
    <m/>
    <n v="329.81"/>
    <n v="183"/>
    <n v="512.80999999999995"/>
  </r>
  <r>
    <x v="8"/>
    <s v="No"/>
    <s v="NOT087"/>
    <s v="547"/>
    <s v="Sacred Heart of Jesus RC Church"/>
    <s v="LOUGHBOROUGH"/>
    <s v="Y"/>
    <n v="201.19"/>
    <m/>
    <s v="1"/>
    <m/>
    <m/>
    <n v="201.19"/>
    <n v="145"/>
    <n v="346.19"/>
  </r>
  <r>
    <x v="8"/>
    <s v="No"/>
    <s v="NOT088"/>
    <s v="548"/>
    <s v="St Mary RC Church"/>
    <s v="LOUTH"/>
    <m/>
    <m/>
    <m/>
    <s v=" "/>
    <m/>
    <m/>
    <n v="0"/>
    <n v="490"/>
    <n v="490"/>
  </r>
  <r>
    <x v="8"/>
    <s v="No"/>
    <s v="NOT089"/>
    <s v="549"/>
    <s v="Our Lady of Victories &amp; St Alphonsus"/>
    <s v="LUTTERWORTH"/>
    <s v="Y"/>
    <n v="220.13"/>
    <m/>
    <s v="1"/>
    <m/>
    <m/>
    <n v="220.13"/>
    <n v="360"/>
    <n v="580.13"/>
  </r>
  <r>
    <x v="8"/>
    <s v="No"/>
    <s v="NOT090"/>
    <s v="550"/>
    <s v="St Joseph RC Church"/>
    <s v="MABLETHORPE"/>
    <s v="Y"/>
    <n v="831.87"/>
    <m/>
    <s v="1"/>
    <m/>
    <m/>
    <n v="831.87"/>
    <n v="75"/>
    <n v="906.87"/>
  </r>
  <r>
    <x v="8"/>
    <s v="No"/>
    <s v="NOT091"/>
    <s v="551"/>
    <s v="St Philip Neri"/>
    <s v="MANSFIELD"/>
    <m/>
    <m/>
    <m/>
    <s v=" "/>
    <m/>
    <m/>
    <n v="0"/>
    <n v="371.89"/>
    <n v="371.89"/>
  </r>
  <r>
    <x v="8"/>
    <s v="No"/>
    <s v="NOT092"/>
    <s v="552"/>
    <s v="St  Patrick (Parish of St Patrick &amp; St George)"/>
    <s v="MANSFIELD"/>
    <s v="Y"/>
    <n v="442.79999999999995"/>
    <m/>
    <s v="1"/>
    <m/>
    <m/>
    <n v="442.79999999999995"/>
    <n v="155"/>
    <n v="597.79999999999995"/>
  </r>
  <r>
    <x v="8"/>
    <s v="No"/>
    <s v="NOT092S"/>
    <s v="263194"/>
    <s v="St George (Parish of St Patrick &amp; St George)"/>
    <s v="MANSFIELD"/>
    <m/>
    <m/>
    <m/>
    <s v=" "/>
    <m/>
    <m/>
    <n v="0"/>
    <m/>
    <n v="0"/>
  </r>
  <r>
    <x v="8"/>
    <s v="No"/>
    <s v="NOT094"/>
    <s v="554"/>
    <s v="Our Lady of Victories"/>
    <s v="MARKET HARBOROUGH"/>
    <s v="Y"/>
    <n v="1026"/>
    <m/>
    <s v="1"/>
    <s v="per DD - it is £1054"/>
    <n v="28"/>
    <n v="1054"/>
    <n v="190"/>
    <n v="1244"/>
  </r>
  <r>
    <x v="8"/>
    <s v="No"/>
    <s v="NOT094S"/>
    <s v="0444520"/>
    <s v="St Mary"/>
    <s v="LUTTERWORTH"/>
    <m/>
    <m/>
    <m/>
    <s v=" "/>
    <m/>
    <m/>
    <n v="0"/>
    <m/>
    <n v="0"/>
  </r>
  <r>
    <x v="8"/>
    <s v="No"/>
    <s v="NOT095"/>
    <s v="555"/>
    <s v="Holy Rood RC Church"/>
    <s v="MARKET RASEN"/>
    <m/>
    <m/>
    <m/>
    <s v=" "/>
    <m/>
    <m/>
    <n v="0"/>
    <n v="150"/>
    <n v="150"/>
  </r>
  <r>
    <x v="8"/>
    <s v="No"/>
    <s v="NOT095S"/>
    <s v="0444566"/>
    <s v="St Thomas More"/>
    <s v="CAISTOR"/>
    <m/>
    <m/>
    <m/>
    <s v=" "/>
    <m/>
    <m/>
    <n v="0"/>
    <m/>
    <n v="0"/>
  </r>
  <r>
    <x v="8"/>
    <s v="No"/>
    <s v="NOT095S2"/>
    <s v="0444527"/>
    <s v="St Francis De Sales"/>
    <s v="MARKET RASEN"/>
    <m/>
    <m/>
    <m/>
    <s v=" "/>
    <m/>
    <m/>
    <n v="0"/>
    <m/>
    <n v="0"/>
  </r>
  <r>
    <x v="8"/>
    <s v="No"/>
    <s v="NOT095S3"/>
    <s v="0444528"/>
    <s v="Our Lady and St Joseph"/>
    <s v="MARKET RASEN"/>
    <m/>
    <m/>
    <m/>
    <s v=" "/>
    <m/>
    <m/>
    <n v="0"/>
    <m/>
    <n v="0"/>
  </r>
  <r>
    <x v="8"/>
    <s v="No"/>
    <s v="NOT096"/>
    <s v="556"/>
    <s v="St Mary RC Church"/>
    <s v="MARPLE BRIDGE"/>
    <s v="Y"/>
    <n v="555.4"/>
    <m/>
    <s v="1"/>
    <m/>
    <m/>
    <n v="555.4"/>
    <n v="285"/>
    <n v="840.4"/>
  </r>
  <r>
    <x v="8"/>
    <s v="No"/>
    <s v="NOT097"/>
    <s v="557"/>
    <s v="Our Lady &amp; St Joseph RC Church"/>
    <s v="MATLOCK"/>
    <m/>
    <m/>
    <m/>
    <s v=" "/>
    <s v="banking per DD"/>
    <n v="210.9"/>
    <n v="210.9"/>
    <n v="573.87"/>
    <n v="784.77"/>
  </r>
  <r>
    <x v="8"/>
    <s v="No"/>
    <s v="NOT097P"/>
    <s v="147903"/>
    <s v="Our Lady &amp; St Teresa of Lisieux RC Church"/>
    <s v="WIRKSWORTH"/>
    <m/>
    <m/>
    <m/>
    <s v=" "/>
    <m/>
    <m/>
    <n v="0"/>
    <m/>
    <n v="0"/>
  </r>
  <r>
    <x v="8"/>
    <s v="No"/>
    <s v="NOT098"/>
    <s v="559"/>
    <s v="Catholic Parish Communities of Ashby &amp; Measham (St Charles Borromeo)"/>
    <s v="MEASHAM"/>
    <m/>
    <m/>
    <m/>
    <s v=" "/>
    <m/>
    <m/>
    <n v="0"/>
    <n v="30"/>
    <n v="30"/>
  </r>
  <r>
    <x v="8"/>
    <s v="No"/>
    <s v="NOT099"/>
    <s v="560"/>
    <s v="Our Lady of Mercy &amp; St Philip Neri RC Church"/>
    <s v="MELBOURNE"/>
    <s v="Y"/>
    <n v="398.5"/>
    <m/>
    <s v="1"/>
    <m/>
    <m/>
    <n v="398.5"/>
    <n v="110"/>
    <n v="508.5"/>
  </r>
  <r>
    <x v="8"/>
    <s v="No"/>
    <s v="NOT099S"/>
    <s v="0444532"/>
    <s v="Church of the Risen Lord"/>
    <s v="CASTLE DONINGTON"/>
    <m/>
    <m/>
    <m/>
    <s v=" "/>
    <m/>
    <m/>
    <n v="0"/>
    <m/>
    <n v="0"/>
  </r>
  <r>
    <x v="8"/>
    <s v="No"/>
    <s v="NOT100"/>
    <s v="561"/>
    <s v="St Peter"/>
    <s v="MELTON MOWBRAY"/>
    <m/>
    <m/>
    <m/>
    <s v=" "/>
    <m/>
    <m/>
    <n v="0"/>
    <n v="215"/>
    <n v="215"/>
  </r>
  <r>
    <x v="8"/>
    <s v="No"/>
    <s v="NOT100S"/>
    <s v="0444635"/>
    <s v="St John the Baptist"/>
    <s v="MELTON MOWBRAY"/>
    <m/>
    <m/>
    <m/>
    <s v=" "/>
    <m/>
    <m/>
    <n v="0"/>
    <m/>
    <n v="0"/>
  </r>
  <r>
    <x v="8"/>
    <s v="No"/>
    <s v="NOT101"/>
    <s v="564"/>
    <s v="Our Lady of Czestochowa"/>
    <s v="MELTON MOWBRAY"/>
    <m/>
    <m/>
    <m/>
    <s v=" "/>
    <m/>
    <m/>
    <n v="0"/>
    <m/>
    <n v="0"/>
  </r>
  <r>
    <x v="8"/>
    <s v="No"/>
    <s v="NOT102"/>
    <s v="565"/>
    <s v="Our Lady of Lourdes"/>
    <s v="DERBY"/>
    <s v="Y"/>
    <n v="1823.9"/>
    <m/>
    <s v="1"/>
    <m/>
    <m/>
    <n v="1823.9"/>
    <n v="936"/>
    <n v="2759.9"/>
  </r>
  <r>
    <x v="8"/>
    <s v="No"/>
    <s v="NOT103"/>
    <s v="566"/>
    <s v="Our Lady &amp; St Bernard"/>
    <s v="COALVILLE"/>
    <m/>
    <m/>
    <m/>
    <s v=" "/>
    <m/>
    <m/>
    <n v="0"/>
    <m/>
    <n v="0"/>
  </r>
  <r>
    <x v="8"/>
    <s v="No"/>
    <s v="NOT104"/>
    <s v="567"/>
    <s v="St Pius X RC Church"/>
    <s v="NARBOROUGH"/>
    <s v="Y"/>
    <n v="191.55"/>
    <m/>
    <s v="1"/>
    <s v="Diff 16p  : Grand Total stated £191.71  due ro machine counting"/>
    <m/>
    <n v="191.55"/>
    <n v="165"/>
    <n v="356.55"/>
  </r>
  <r>
    <x v="8"/>
    <s v="No"/>
    <s v="NOT105"/>
    <s v="568"/>
    <s v="Holy Trinity"/>
    <s v="NEWARK"/>
    <s v="Y"/>
    <n v="1360.47"/>
    <m/>
    <s v="1"/>
    <m/>
    <m/>
    <n v="1360.47"/>
    <n v="729"/>
    <n v="2089.4700000000003"/>
  </r>
  <r>
    <x v="8"/>
    <s v="No"/>
    <s v="NOT106"/>
    <s v="569"/>
    <s v="The Annunciation"/>
    <s v="NEW MILLS"/>
    <s v="Y"/>
    <n v="1387"/>
    <m/>
    <s v="1"/>
    <m/>
    <m/>
    <n v="1387"/>
    <n v="150"/>
    <n v="1537"/>
  </r>
  <r>
    <x v="8"/>
    <s v="No"/>
    <s v="NOT107"/>
    <s v="570"/>
    <s v="St Joseph (Parish of St Patrick &amp; St George)"/>
    <s v="NEW OLLERTON"/>
    <m/>
    <m/>
    <m/>
    <s v=" "/>
    <m/>
    <m/>
    <n v="0"/>
    <n v="177.78"/>
    <n v="177.78"/>
  </r>
  <r>
    <x v="8"/>
    <s v="No"/>
    <s v="NOT108"/>
    <s v="571"/>
    <s v="Immaculate Conception"/>
    <s v="LEICESTER"/>
    <s v="Y"/>
    <n v="260"/>
    <m/>
    <s v="1"/>
    <s v="per DD - it is £259.96    (Diff £9  : Grand Total stated £269)"/>
    <n v="-0.04"/>
    <n v="259.95999999999998"/>
    <n v="247"/>
    <n v="506.96"/>
  </r>
  <r>
    <x v="8"/>
    <s v="No"/>
    <s v="NOT109"/>
    <s v="572"/>
    <s v="St Joseph"/>
    <s v="OAKHAM"/>
    <s v="Y"/>
    <n v="508.44000000000005"/>
    <m/>
    <s v="1"/>
    <s v="per DD - it is £424.10   (£317.62 was total in Ecc Sq column &amp; was added to total again)"/>
    <n v="-84.34"/>
    <n v="424.1"/>
    <n v="465"/>
    <n v="889.1"/>
  </r>
  <r>
    <x v="8"/>
    <s v="No"/>
    <s v="NOT109S"/>
    <s v="0444516"/>
    <s v="St Thomas of Canterbury"/>
    <s v="OAKHAM"/>
    <m/>
    <m/>
    <m/>
    <s v=" "/>
    <m/>
    <m/>
    <n v="0"/>
    <m/>
    <n v="0"/>
  </r>
  <r>
    <x v="8"/>
    <s v="No"/>
    <s v="NOT111"/>
    <s v="573"/>
    <s v="St Anne's RC Church"/>
    <s v="RADCLIFFE-ON-TRENT"/>
    <s v="Y"/>
    <m/>
    <n v="450"/>
    <s v="1"/>
    <m/>
    <m/>
    <n v="0"/>
    <n v="1813"/>
    <n v="1813"/>
  </r>
  <r>
    <x v="8"/>
    <s v="No"/>
    <s v="NOT111S"/>
    <s v="0444383"/>
    <s v="Old Church House"/>
    <s v="BINGHAM"/>
    <m/>
    <m/>
    <m/>
    <s v=" "/>
    <m/>
    <m/>
    <n v="0"/>
    <m/>
    <n v="0"/>
  </r>
  <r>
    <x v="8"/>
    <s v="No"/>
    <s v="NOT114"/>
    <s v="574"/>
    <s v="St Joseph RC Church"/>
    <s v="RIPLEY"/>
    <s v="Y"/>
    <n v="216.58"/>
    <m/>
    <s v="1"/>
    <m/>
    <m/>
    <n v="216.58"/>
    <n v="115"/>
    <n v="331.58000000000004"/>
  </r>
  <r>
    <x v="8"/>
    <s v="No"/>
    <s v="NOT115"/>
    <s v="575"/>
    <s v="St Bernadette  RC Church"/>
    <s v="SCUNTHORPE"/>
    <s v="Y"/>
    <n v="3335.6"/>
    <m/>
    <s v="1"/>
    <m/>
    <m/>
    <n v="3335.6"/>
    <n v="385"/>
    <n v="3720.6"/>
  </r>
  <r>
    <x v="8"/>
    <s v="No"/>
    <s v="NOT116"/>
    <s v="576"/>
    <s v="Holy Souls RC Church"/>
    <s v="SCUNTHORPE"/>
    <m/>
    <m/>
    <m/>
    <s v=" "/>
    <m/>
    <m/>
    <n v="0"/>
    <n v="260"/>
    <n v="260"/>
  </r>
  <r>
    <x v="8"/>
    <s v="No"/>
    <s v="NOT116S"/>
    <s v="0444517"/>
    <s v="All Saints Parish Church"/>
    <s v="SCUNTHORPE"/>
    <m/>
    <m/>
    <m/>
    <s v=" "/>
    <m/>
    <m/>
    <n v="0"/>
    <m/>
    <n v="0"/>
  </r>
  <r>
    <x v="8"/>
    <s v="No"/>
    <s v="NOT117"/>
    <s v="577"/>
    <s v="St Winefride RC Church"/>
    <s v="SHEPSHED"/>
    <s v="Y"/>
    <n v="629.80999999999995"/>
    <m/>
    <s v="1"/>
    <m/>
    <m/>
    <n v="629.80999999999995"/>
    <n v="120"/>
    <n v="749.81"/>
  </r>
  <r>
    <x v="8"/>
    <s v="No"/>
    <s v="NOT118"/>
    <s v="578"/>
    <s v="St Joseph RC Church"/>
    <s v="SHIREBROOK"/>
    <m/>
    <m/>
    <m/>
    <s v=" "/>
    <m/>
    <m/>
    <n v="0"/>
    <n v="30"/>
    <n v="30"/>
  </r>
  <r>
    <x v="8"/>
    <s v="No"/>
    <s v="NOT118S"/>
    <s v="0444549"/>
    <s v="St Bernadette"/>
    <s v="BOLSOVER"/>
    <m/>
    <m/>
    <m/>
    <s v=" "/>
    <m/>
    <m/>
    <n v="0"/>
    <m/>
    <n v="0"/>
  </r>
  <r>
    <x v="8"/>
    <s v="No"/>
    <s v="NOT119"/>
    <s v="579"/>
    <s v="St Gregory Catholic Church"/>
    <s v="SILEBY"/>
    <s v="Y"/>
    <n v="293.57"/>
    <m/>
    <s v="1"/>
    <m/>
    <m/>
    <n v="293.57"/>
    <n v="369"/>
    <n v="662.56999999999994"/>
  </r>
  <r>
    <x v="8"/>
    <s v="No"/>
    <s v="NOT120"/>
    <s v="580"/>
    <s v="The Sacred Heart"/>
    <s v="SKEGNESS"/>
    <m/>
    <m/>
    <m/>
    <s v=" "/>
    <m/>
    <m/>
    <n v="0"/>
    <n v="206.98000000000002"/>
    <n v="206.98000000000002"/>
  </r>
  <r>
    <x v="8"/>
    <s v="No"/>
    <s v="NOT121"/>
    <s v="581"/>
    <s v="Our Lady of Good Counsel"/>
    <s v="SLEAFORD"/>
    <s v="Y"/>
    <n v="422.41999999999996"/>
    <m/>
    <s v="1"/>
    <m/>
    <m/>
    <n v="422.41999999999996"/>
    <n v="270"/>
    <n v="692.42"/>
  </r>
  <r>
    <x v="8"/>
    <s v="No"/>
    <s v="NOT121X"/>
    <s v="147971"/>
    <s v="Parish of the Sacred Heart of Jesus (St Bernadette's)"/>
    <s v="NOTTINGHAM"/>
    <m/>
    <m/>
    <m/>
    <s v=" "/>
    <m/>
    <m/>
    <n v="0"/>
    <m/>
    <n v="0"/>
  </r>
  <r>
    <x v="8"/>
    <s v="No"/>
    <s v="NOT122"/>
    <s v="582"/>
    <s v="Our Lady of Victories RC Church"/>
    <s v="SOUTHWELL"/>
    <s v="Y"/>
    <m/>
    <n v="163.46"/>
    <s v="1"/>
    <m/>
    <m/>
    <n v="0"/>
    <n v="867.8"/>
    <n v="867.8"/>
  </r>
  <r>
    <x v="8"/>
    <s v="No"/>
    <s v="NOT122B"/>
    <s v="583"/>
    <s v="St Anthony  RC Church"/>
    <s v="CALVERTON"/>
    <s v="Y"/>
    <n v="285.01"/>
    <m/>
    <s v="1"/>
    <m/>
    <m/>
    <n v="285.01"/>
    <n v="135"/>
    <n v="420.01"/>
  </r>
  <r>
    <x v="8"/>
    <s v="No"/>
    <s v="NOT123"/>
    <s v="584"/>
    <s v="St Mary RC Church"/>
    <s v="LEICESTER SOUTH WIGSTON"/>
    <m/>
    <m/>
    <m/>
    <s v=" "/>
    <m/>
    <m/>
    <n v="0"/>
    <n v="135"/>
    <n v="135"/>
  </r>
  <r>
    <x v="8"/>
    <s v="No"/>
    <s v="NOT124"/>
    <s v="585"/>
    <s v="The Immaculate Conception &amp; St Norbert"/>
    <s v="SPALDING"/>
    <s v="Y"/>
    <n v="603.02"/>
    <m/>
    <s v="1"/>
    <m/>
    <m/>
    <n v="603.02"/>
    <n v="100"/>
    <n v="703.02"/>
  </r>
  <r>
    <x v="8"/>
    <s v="No"/>
    <s v="NOT125"/>
    <s v="586"/>
    <s v="St Mary &amp; St Augustine"/>
    <s v="STAMFORD"/>
    <s v="Y"/>
    <m/>
    <n v="41.89"/>
    <s v="1"/>
    <m/>
    <m/>
    <n v="0"/>
    <n v="941.89"/>
    <n v="941.89"/>
  </r>
  <r>
    <x v="8"/>
    <s v="No"/>
    <s v="NOT126"/>
    <s v="587"/>
    <s v="St John the Evangelist"/>
    <s v="STAPLEFORD"/>
    <s v="Y"/>
    <n v="339.65000000000003"/>
    <m/>
    <s v="1"/>
    <s v="per DD - it is £309.08"/>
    <n v="-30.57"/>
    <n v="309.08000000000004"/>
    <n v="245"/>
    <n v="554.08000000000004"/>
  </r>
  <r>
    <x v="8"/>
    <s v="No"/>
    <s v="NOT128"/>
    <s v="588"/>
    <s v="St Joseph the Worker"/>
    <s v="SUTTON-IN-ASHFIELD"/>
    <m/>
    <m/>
    <m/>
    <s v=" "/>
    <m/>
    <m/>
    <n v="0"/>
    <n v="20"/>
    <n v="20"/>
  </r>
  <r>
    <x v="8"/>
    <s v="No"/>
    <s v="NOT129"/>
    <s v="589"/>
    <s v="St Peter  &amp; St Paul"/>
    <s v="SWADLINCOTE"/>
    <m/>
    <m/>
    <m/>
    <s v=" "/>
    <m/>
    <m/>
    <n v="0"/>
    <n v="235"/>
    <n v="235"/>
  </r>
  <r>
    <x v="8"/>
    <s v="No"/>
    <s v="NOT130"/>
    <s v="590"/>
    <s v="The Divine Infant of Prague"/>
    <s v="SYSTON"/>
    <s v="Y"/>
    <n v="329"/>
    <m/>
    <s v="1"/>
    <s v="per DD - it is £339"/>
    <n v="10"/>
    <n v="339"/>
    <n v="440"/>
    <n v="779"/>
  </r>
  <r>
    <x v="8"/>
    <s v="No"/>
    <s v="NOT132"/>
    <s v="591"/>
    <s v="St Theresa of the Child Jesus"/>
    <s v="MARKET WARSOP "/>
    <m/>
    <m/>
    <m/>
    <s v=" "/>
    <m/>
    <m/>
    <n v="0"/>
    <m/>
    <n v="0"/>
  </r>
  <r>
    <x v="8"/>
    <s v="No"/>
    <s v="NOT133"/>
    <s v="592"/>
    <s v="Holy Cross RC Church"/>
    <s v="WHITWICK"/>
    <s v="Y"/>
    <n v="1592.86"/>
    <m/>
    <s v="1"/>
    <m/>
    <m/>
    <n v="1592.86"/>
    <n v="50"/>
    <n v="1642.86"/>
  </r>
  <r>
    <x v="8"/>
    <s v="No"/>
    <s v="NOT134"/>
    <s v="593"/>
    <s v="Our Lady &amp; St Peter"/>
    <s v="WOODHALL SPA"/>
    <s v="Y"/>
    <n v="543.79999999999995"/>
    <m/>
    <s v="1"/>
    <m/>
    <m/>
    <n v="543.79999999999995"/>
    <n v="245"/>
    <n v="788.8"/>
  </r>
  <r>
    <x v="8"/>
    <s v="No"/>
    <s v="NOT134S"/>
    <s v="264159"/>
    <s v="St Mary's C of E Parish Church"/>
    <s v="HORNCASTLE"/>
    <m/>
    <m/>
    <m/>
    <s v=" "/>
    <m/>
    <m/>
    <n v="0"/>
    <m/>
    <n v="0"/>
  </r>
  <r>
    <x v="8"/>
    <s v="No"/>
    <s v="NOT134V"/>
    <s v="147921"/>
    <s v="Our Lady &amp; the English Martyrs"/>
    <s v="SPILSBY"/>
    <m/>
    <m/>
    <m/>
    <s v=" "/>
    <m/>
    <m/>
    <n v="0"/>
    <m/>
    <n v="0"/>
  </r>
  <r>
    <x v="8"/>
    <s v="No"/>
    <s v="NOT136"/>
    <s v="249426"/>
    <s v="Our Lady &amp; St Gregory RC Church"/>
    <s v="NUNEATON                      "/>
    <s v="Y"/>
    <n v="190.32"/>
    <m/>
    <s v="1"/>
    <m/>
    <m/>
    <n v="190.32"/>
    <n v="200"/>
    <n v="390.32"/>
  </r>
  <r>
    <x v="8"/>
    <s v="No"/>
    <s v="NOT137"/>
    <s v="0553116"/>
    <s v="St Barbara"/>
    <s v="MANSFIELD"/>
    <m/>
    <m/>
    <m/>
    <s v=" "/>
    <m/>
    <m/>
    <n v="0"/>
    <m/>
    <n v="0"/>
  </r>
  <r>
    <x v="8"/>
    <s v="No"/>
    <s v="NOT999"/>
    <s v="596"/>
    <s v="Nottingham Diocese Various"/>
    <m/>
    <m/>
    <m/>
    <m/>
    <s v=" "/>
    <s v="banking per DD"/>
    <n v="196.37"/>
    <n v="196.37"/>
    <n v="50"/>
    <n v="246.37"/>
  </r>
  <r>
    <x v="9"/>
    <s v="No"/>
    <s v="PLY001"/>
    <s v="597"/>
    <s v="Cathedral Church of St Mary &amp; St Boniface"/>
    <s v="PLYMOUTH"/>
    <s v="Y"/>
    <n v="1052.0999999999999"/>
    <m/>
    <s v="1"/>
    <s v="per DD - it is £1079.67"/>
    <n v="27.57"/>
    <n v="1079.6699999999998"/>
    <n v="806.81999999999994"/>
    <n v="1886.4899999999998"/>
  </r>
  <r>
    <x v="9"/>
    <s v="No"/>
    <s v="PLY002"/>
    <s v="0479482"/>
    <s v="Christ the King"/>
    <s v="PLYMOUTH"/>
    <m/>
    <m/>
    <m/>
    <s v=" "/>
    <m/>
    <m/>
    <n v="0"/>
    <m/>
    <n v="0"/>
  </r>
  <r>
    <x v="9"/>
    <s v="No"/>
    <s v="PLY002U"/>
    <s v="599"/>
    <s v="Christ the King RC Chaplaincy"/>
    <s v="PLYMOUTH"/>
    <m/>
    <m/>
    <m/>
    <s v=" "/>
    <m/>
    <m/>
    <n v="0"/>
    <m/>
    <n v="0"/>
  </r>
  <r>
    <x v="9"/>
    <s v="Yes"/>
    <s v="PLY004"/>
    <s v="601"/>
    <s v="Holy Trinity Parish (Our Most Holy Redeemer)"/>
    <s v="PLYMOUTH"/>
    <m/>
    <m/>
    <m/>
    <s v=" "/>
    <s v="banking per DD"/>
    <n v="528.20000000000005"/>
    <n v="528.20000000000005"/>
    <n v="60"/>
    <n v="588.20000000000005"/>
  </r>
  <r>
    <x v="9"/>
    <s v="Yes"/>
    <s v="PLY005"/>
    <s v="602"/>
    <s v="Holy Trinity Parish (The Holy Family)"/>
    <s v="PLYMOUTH"/>
    <s v="Y"/>
    <n v="359.52"/>
    <m/>
    <s v="1"/>
    <m/>
    <m/>
    <n v="359.52"/>
    <n v="170.92"/>
    <n v="530.43999999999994"/>
  </r>
  <r>
    <x v="9"/>
    <s v="No"/>
    <s v="PLY006"/>
    <s v="603"/>
    <s v="St Edward the Confessor"/>
    <s v="PLYMOUTH"/>
    <s v="Y"/>
    <n v="1192.25"/>
    <n v="179.14"/>
    <s v="1"/>
    <s v="Retrun has included STO from Mr Murphy £55 on 2/1/19 in Ecc Sq column"/>
    <m/>
    <n v="1192.25"/>
    <n v="120"/>
    <n v="1312.25"/>
  </r>
  <r>
    <x v="9"/>
    <s v="No"/>
    <s v="PLY007"/>
    <s v="604"/>
    <s v="St Joseph  RC Church"/>
    <s v="PLYMOUTH"/>
    <m/>
    <m/>
    <m/>
    <s v=" "/>
    <m/>
    <m/>
    <n v="0"/>
    <n v="30"/>
    <n v="30"/>
  </r>
  <r>
    <x v="9"/>
    <s v="Yes"/>
    <s v="PLY008"/>
    <s v="605"/>
    <s v="Holy Trinity Parish - St Paul's"/>
    <s v="PLYMOUTH"/>
    <s v="Y"/>
    <n v="771.06999999999994"/>
    <m/>
    <s v="1"/>
    <m/>
    <m/>
    <n v="771.06999999999994"/>
    <n v="175"/>
    <n v="946.06999999999994"/>
  </r>
  <r>
    <x v="9"/>
    <s v="No"/>
    <s v="PLY009"/>
    <s v="606"/>
    <s v="St Peter RC Church"/>
    <s v="PLYMOUTH"/>
    <s v="Y"/>
    <n v="1590.8899999999999"/>
    <m/>
    <s v="1"/>
    <m/>
    <m/>
    <n v="1590.8899999999999"/>
    <n v="895"/>
    <n v="2485.89"/>
  </r>
  <r>
    <x v="9"/>
    <s v="No"/>
    <s v="PLY010"/>
    <s v="607"/>
    <s v="Our Lady of Mount Carmel &amp; St Teresa"/>
    <s v="PLYMOUTH                      "/>
    <s v="Y"/>
    <n v="421.74"/>
    <m/>
    <s v="1"/>
    <m/>
    <m/>
    <n v="421.74"/>
    <n v="35"/>
    <n v="456.74"/>
  </r>
  <r>
    <x v="9"/>
    <s v="No"/>
    <s v="PLY011"/>
    <s v="0441997"/>
    <s v="St Thomas More RC Church"/>
    <s v="PLYMOUTH"/>
    <s v="Y"/>
    <n v="203.18"/>
    <m/>
    <s v="1"/>
    <m/>
    <m/>
    <n v="203.18"/>
    <n v="20"/>
    <n v="223.18"/>
  </r>
  <r>
    <x v="9"/>
    <s v="No"/>
    <s v="PLY013"/>
    <s v="609"/>
    <s v="Our Lady of Lourdes RC Church"/>
    <s v="PLYMOUTH"/>
    <s v="Y"/>
    <n v="1904.95"/>
    <m/>
    <s v="1"/>
    <m/>
    <m/>
    <n v="1904.95"/>
    <n v="30"/>
    <n v="1934.95"/>
  </r>
  <r>
    <x v="9"/>
    <s v="No"/>
    <s v="PLY014"/>
    <s v="610"/>
    <s v="St Margaret Mary RC Church"/>
    <s v="PLYMOUTH"/>
    <s v="Y"/>
    <n v="947.73"/>
    <m/>
    <s v="1"/>
    <m/>
    <m/>
    <n v="947.73"/>
    <n v="350.04"/>
    <n v="1297.77"/>
  </r>
  <r>
    <x v="9"/>
    <s v="No"/>
    <s v="PLY015"/>
    <s v="611"/>
    <s v="St Mary RC Church"/>
    <s v="AXMINSTER"/>
    <m/>
    <m/>
    <m/>
    <s v=" "/>
    <m/>
    <m/>
    <n v="0"/>
    <n v="300"/>
    <n v="300"/>
  </r>
  <r>
    <x v="9"/>
    <s v="No"/>
    <s v="PLY016"/>
    <s v="612"/>
    <s v="Catholic Parish of the Immaculate Conception (St Mary Immaculate Mother of God)"/>
    <s v="BARNSTAPLE"/>
    <s v="Y"/>
    <n v="2317.69"/>
    <m/>
    <s v="1"/>
    <s v="per DD - it is £2317.59"/>
    <n v="-0.1"/>
    <n v="2317.59"/>
    <n v="775"/>
    <n v="3092.59"/>
  </r>
  <r>
    <x v="9"/>
    <s v="No"/>
    <s v="PLY016S"/>
    <n v="443350"/>
    <s v="Catholic Parish of the Immaculate Conception (St Joseph)"/>
    <s v="SOUTH MOLTON"/>
    <s v="Y"/>
    <n v="504.49"/>
    <m/>
    <s v="1"/>
    <m/>
    <m/>
    <n v="504.49"/>
    <m/>
    <n v="504.49"/>
  </r>
  <r>
    <x v="9"/>
    <s v="No"/>
    <s v="PLY017"/>
    <s v="613"/>
    <s v="St John RC Church"/>
    <s v="BEAMINSTER"/>
    <s v="Y"/>
    <n v="0"/>
    <n v="0"/>
    <s v="1"/>
    <s v="'??' on form"/>
    <m/>
    <n v="0"/>
    <m/>
    <n v="0"/>
  </r>
  <r>
    <x v="9"/>
    <s v="No"/>
    <s v="PLY018"/>
    <s v="614"/>
    <s v="The Sacred Heart RC Church"/>
    <s v="BIDEFORD"/>
    <s v="Y"/>
    <n v="168.3"/>
    <m/>
    <s v="1"/>
    <m/>
    <m/>
    <n v="168.3"/>
    <n v="107"/>
    <n v="275.3"/>
  </r>
  <r>
    <x v="9"/>
    <s v="No"/>
    <s v="PLY018A"/>
    <s v="147962"/>
    <s v="Holy Family RC Church"/>
    <s v="TORRINGTON"/>
    <s v="Y"/>
    <n v="596.73"/>
    <m/>
    <s v="1"/>
    <m/>
    <m/>
    <n v="596.73"/>
    <m/>
    <n v="596.73"/>
  </r>
  <r>
    <x v="9"/>
    <s v="No"/>
    <s v="PLY019"/>
    <s v="615"/>
    <s v="Our Lady of Lourdes &amp; St Cecilia"/>
    <s v="BLANDFORD FORUM"/>
    <m/>
    <m/>
    <m/>
    <s v=" "/>
    <s v="banking per DD"/>
    <n v="333.09"/>
    <n v="333.09"/>
    <n v="230"/>
    <n v="563.08999999999992"/>
  </r>
  <r>
    <x v="9"/>
    <s v="No"/>
    <s v="PLY020"/>
    <s v="616"/>
    <s v="St Mary RC Church"/>
    <s v="BODMIN"/>
    <m/>
    <m/>
    <m/>
    <s v=" "/>
    <m/>
    <m/>
    <n v="0"/>
    <n v="894.02"/>
    <n v="894.02"/>
  </r>
  <r>
    <x v="9"/>
    <s v="No"/>
    <s v="PLY020C"/>
    <s v="617"/>
    <s v="St Michael  RC Church"/>
    <s v="WADEBRIDGE"/>
    <s v="Y"/>
    <n v="76.41"/>
    <m/>
    <s v="1"/>
    <s v="per DD - it is £ zero"/>
    <n v="-76.41"/>
    <n v="0"/>
    <n v="50"/>
    <n v="50"/>
  </r>
  <r>
    <x v="9"/>
    <s v="No"/>
    <s v="PLY020D"/>
    <s v="618"/>
    <s v="St Saviour &amp; St Petroc"/>
    <s v="PADSTOW"/>
    <s v="Y"/>
    <n v="73.81"/>
    <m/>
    <s v="1"/>
    <s v="per DD - it is £162.55"/>
    <n v="88.74"/>
    <n v="162.55000000000001"/>
    <n v="105"/>
    <n v="267.55"/>
  </r>
  <r>
    <x v="9"/>
    <s v="No"/>
    <s v="PLY021"/>
    <s v="619"/>
    <s v="Parish of the Holy Family (Christ the King RC Church)"/>
    <s v="BOURNEMOUTH"/>
    <m/>
    <m/>
    <m/>
    <s v=" "/>
    <s v="banking per DD"/>
    <n v="283.74"/>
    <n v="283.74"/>
    <n v="145"/>
    <n v="428.74"/>
  </r>
  <r>
    <x v="9"/>
    <s v="No"/>
    <s v="PLY022"/>
    <s v="620"/>
    <s v="Parish of the Holy Family (Our Lady of Victories)"/>
    <s v="BOURNEMOUTH"/>
    <s v="Y"/>
    <n v="169.46"/>
    <m/>
    <s v="1"/>
    <m/>
    <m/>
    <n v="169.46"/>
    <n v="145"/>
    <n v="314.46000000000004"/>
  </r>
  <r>
    <x v="9"/>
    <s v="No"/>
    <s v="PLY023"/>
    <s v="622"/>
    <s v="Parish of the Holy Spirit &amp; St Cyprian (Holy Spirit)"/>
    <s v="NEWTON ABBOT"/>
    <s v="Y"/>
    <n v="510.98"/>
    <m/>
    <s v="1"/>
    <m/>
    <m/>
    <n v="510.98"/>
    <n v="90"/>
    <n v="600.98"/>
  </r>
  <r>
    <x v="9"/>
    <s v="No"/>
    <s v="PLY024"/>
    <s v="623"/>
    <s v="Parish of Holy Cross (St Brannoc RC Church)"/>
    <s v="ILFRACOMBE                    "/>
    <s v="Y"/>
    <n v="0"/>
    <n v="0"/>
    <s v="1"/>
    <s v="included in PLY045/643"/>
    <m/>
    <n v="0"/>
    <n v="70"/>
    <n v="70"/>
  </r>
  <r>
    <x v="9"/>
    <s v="No"/>
    <s v="PLY025"/>
    <s v="624"/>
    <s v="St Mary &amp; St Catherine, St. John &amp; St. Ignatius"/>
    <s v="BRIDPORT"/>
    <s v="Y"/>
    <n v="1177.6400000000001"/>
    <m/>
    <s v="1"/>
    <s v="Came with PLY017/613 which is marked '??'"/>
    <m/>
    <n v="1177.6400000000001"/>
    <n v="460"/>
    <n v="1637.64"/>
  </r>
  <r>
    <x v="9"/>
    <s v="No"/>
    <s v="PLY025S"/>
    <s v="0479483"/>
    <s v="Our Lady Queen of Martyrs &amp; St Ignatius"/>
    <s v="CHIDEOCK"/>
    <m/>
    <m/>
    <m/>
    <s v=" "/>
    <m/>
    <m/>
    <n v="0"/>
    <m/>
    <n v="0"/>
  </r>
  <r>
    <x v="9"/>
    <s v="No"/>
    <s v="PLY026"/>
    <s v="625"/>
    <s v="Our Lady Star of the Sea RC Church"/>
    <s v="BRIXHAM"/>
    <s v="Y"/>
    <n v="364.93"/>
    <m/>
    <s v="1"/>
    <m/>
    <m/>
    <n v="364.93"/>
    <n v="30"/>
    <n v="394.93"/>
  </r>
  <r>
    <x v="9"/>
    <s v="No"/>
    <s v="PLY027"/>
    <s v="626"/>
    <s v="St Mary's Abbey Parish"/>
    <s v="BUCKFASTLEIGH"/>
    <s v="Y"/>
    <n v="111.32"/>
    <m/>
    <s v="1"/>
    <s v="per DD - it is £170.32"/>
    <n v="59"/>
    <n v="170.32"/>
    <n v="255"/>
    <n v="425.32"/>
  </r>
  <r>
    <x v="9"/>
    <s v="Yes"/>
    <s v="PLY028"/>
    <s v="627"/>
    <s v="St Peter RC Church"/>
    <s v="LAUNCESTON"/>
    <s v="Y"/>
    <n v="910"/>
    <m/>
    <s v="1"/>
    <m/>
    <m/>
    <n v="910"/>
    <m/>
    <n v="910"/>
  </r>
  <r>
    <x v="9"/>
    <s v="No"/>
    <s v="PLY029"/>
    <s v="628"/>
    <s v="Parish of Holy Family (St Peter, Prince of Apostles)"/>
    <s v="BUDLEIGH SALTERTON"/>
    <s v="Y"/>
    <n v="341.07"/>
    <m/>
    <s v="1"/>
    <m/>
    <m/>
    <n v="341.07"/>
    <m/>
    <n v="341.07"/>
  </r>
  <r>
    <x v="9"/>
    <s v="No"/>
    <s v="PLY030"/>
    <s v="629"/>
    <s v="Our Lady of All Nations - St John the Baptist"/>
    <s v="CAMBORNE"/>
    <s v="Y"/>
    <n v="653.51"/>
    <m/>
    <s v="1"/>
    <s v="per DD - it is £654.31"/>
    <n v="0.8"/>
    <n v="654.30999999999995"/>
    <m/>
    <n v="654.30999999999995"/>
  </r>
  <r>
    <x v="9"/>
    <s v="No"/>
    <s v="PLY031"/>
    <s v="630"/>
    <s v="Parish of the Holy Spirit &amp; St Cyprian (St Cyprian)"/>
    <s v="NEWTON ABBOT"/>
    <s v="Y"/>
    <n v="85.23"/>
    <m/>
    <s v="1"/>
    <m/>
    <m/>
    <n v="85.23"/>
    <m/>
    <n v="85.23"/>
  </r>
  <r>
    <x v="9"/>
    <s v="No"/>
    <s v="PLY032"/>
    <s v="147997"/>
    <s v="St. Boniface RC Church"/>
    <s v="CREDITON                      "/>
    <m/>
    <m/>
    <m/>
    <s v=" "/>
    <s v="banking per DD"/>
    <n v="387"/>
    <n v="387"/>
    <m/>
    <n v="387"/>
  </r>
  <r>
    <x v="9"/>
    <s v="Yes"/>
    <s v="PLY033"/>
    <s v="631"/>
    <s v="Parish of St Boniface &amp; St James (St Boniface RC Church)"/>
    <s v="TIVERTON"/>
    <m/>
    <m/>
    <m/>
    <s v=" "/>
    <m/>
    <m/>
    <n v="0"/>
    <n v="5"/>
    <n v="5"/>
  </r>
  <r>
    <x v="9"/>
    <s v="No"/>
    <s v="PLY034"/>
    <s v="632"/>
    <s v="St John the Baptist"/>
    <s v="DARTMOUTH"/>
    <s v="Y"/>
    <n v="197"/>
    <m/>
    <s v="1"/>
    <m/>
    <m/>
    <n v="197"/>
    <n v="45"/>
    <n v="242"/>
  </r>
  <r>
    <x v="9"/>
    <s v="??"/>
    <s v="PLY035"/>
    <n v="633"/>
    <s v="St Agatha"/>
    <s v="DAWLISH"/>
    <m/>
    <m/>
    <m/>
    <m/>
    <s v="banking per DD"/>
    <n v="205.92"/>
    <n v="205.92"/>
    <m/>
    <n v="205.92"/>
  </r>
  <r>
    <x v="9"/>
    <s v="No"/>
    <s v="PLY036"/>
    <s v="634"/>
    <s v="Holy Trinity RC Church"/>
    <s v="DORCHESTER"/>
    <s v="Y"/>
    <m/>
    <n v="693.93"/>
    <s v="1"/>
    <s v="banking per DD"/>
    <n v="18.010000000000002"/>
    <n v="18.010000000000002"/>
    <n v="1138.9299999999998"/>
    <n v="1156.9399999999998"/>
  </r>
  <r>
    <x v="9"/>
    <s v="No"/>
    <s v="PLY037"/>
    <s v="635"/>
    <s v="Sacred Heart RC Church"/>
    <s v="EXETER"/>
    <s v="Y"/>
    <n v="352.63"/>
    <m/>
    <s v="1"/>
    <s v="per DD - it is £352.33"/>
    <n v="-0.3"/>
    <n v="352.33"/>
    <n v="495"/>
    <n v="847.32999999999993"/>
  </r>
  <r>
    <x v="9"/>
    <s v="No"/>
    <s v="PLY038"/>
    <s v="636"/>
    <s v="Blessed Sacrament RC Church"/>
    <s v="EXETER"/>
    <m/>
    <m/>
    <m/>
    <s v=" "/>
    <m/>
    <m/>
    <n v="0"/>
    <n v="343.21000000000004"/>
    <n v="343.21000000000004"/>
  </r>
  <r>
    <x v="9"/>
    <s v="No"/>
    <s v="PLY040"/>
    <s v="638"/>
    <s v="Parish of Holy Family (The Holy Ghost RC Church)"/>
    <s v="EXMOUTH"/>
    <s v="Y"/>
    <n v="429.20000000000005"/>
    <m/>
    <s v="1"/>
    <m/>
    <m/>
    <n v="429.20000000000005"/>
    <n v="160"/>
    <n v="589.20000000000005"/>
  </r>
  <r>
    <x v="9"/>
    <s v="No"/>
    <s v="PLY041"/>
    <s v="639"/>
    <s v="Parish of St Mary (St Mary Immaculate RC Church)"/>
    <s v="FALMOUTH"/>
    <s v="Y"/>
    <n v="1506.9399999999998"/>
    <m/>
    <s v="1"/>
    <s v="per DD - it is £1518.60"/>
    <n v="11.66"/>
    <n v="1518.6"/>
    <n v="225"/>
    <n v="1743.6"/>
  </r>
  <r>
    <x v="9"/>
    <s v="No"/>
    <s v="PLY041S"/>
    <s v="254880"/>
    <s v="Parish of St Mary (St Edward RC Church)"/>
    <s v="FALMOUTH"/>
    <m/>
    <m/>
    <m/>
    <s v=" "/>
    <m/>
    <m/>
    <n v="0"/>
    <m/>
    <n v="0"/>
  </r>
  <r>
    <x v="9"/>
    <s v="Yes"/>
    <s v="PLY042"/>
    <s v="640"/>
    <s v="Parish of Holy Family (St Joseph RC Church)"/>
    <s v="PENZANCE"/>
    <m/>
    <m/>
    <m/>
    <s v=" "/>
    <s v="banking per DD"/>
    <n v="79.08"/>
    <n v="79.08"/>
    <n v="70"/>
    <n v="149.07999999999998"/>
  </r>
  <r>
    <x v="9"/>
    <s v="No"/>
    <s v="PLY042V"/>
    <s v="0479484"/>
    <s v="St Joseph the Worker"/>
    <s v="HAYLE"/>
    <m/>
    <m/>
    <m/>
    <s v=" "/>
    <m/>
    <m/>
    <n v="0"/>
    <m/>
    <n v="0"/>
  </r>
  <r>
    <x v="9"/>
    <s v="No"/>
    <s v="PLY043"/>
    <s v="641"/>
    <s v="Parish of St Mary (St Mary RC Church)"/>
    <s v="FALMOUTH"/>
    <s v="Y"/>
    <n v="523.9"/>
    <m/>
    <s v="1"/>
    <m/>
    <m/>
    <n v="523.9"/>
    <n v="70"/>
    <n v="593.9"/>
  </r>
  <r>
    <x v="9"/>
    <s v="No"/>
    <s v="PLY043S"/>
    <s v="254902"/>
    <s v="Parish of St Mary (St Michael the Archangel Church)"/>
    <s v="FALMOUTH"/>
    <m/>
    <m/>
    <m/>
    <s v=" "/>
    <m/>
    <m/>
    <n v="0"/>
    <m/>
    <n v="0"/>
  </r>
  <r>
    <x v="9"/>
    <s v="No"/>
    <s v="PLY044"/>
    <s v="642"/>
    <s v="The Holy Family RC Church"/>
    <s v="HONITON                       "/>
    <s v="Y"/>
    <n v="507.43999999999994"/>
    <m/>
    <s v="1"/>
    <m/>
    <m/>
    <n v="507.43999999999994"/>
    <m/>
    <n v="507.43999999999994"/>
  </r>
  <r>
    <x v="9"/>
    <s v="No"/>
    <s v="PLY045"/>
    <s v="643"/>
    <s v="Holy Cross Parish (Our Lady Star of the Sea)"/>
    <s v="ILFRACOMBE"/>
    <s v="Y"/>
    <n v="653.16999999999996"/>
    <m/>
    <s v="1"/>
    <s v="per DD - it is £653.57"/>
    <n v="0.4"/>
    <n v="653.56999999999994"/>
    <n v="255"/>
    <n v="908.56999999999994"/>
  </r>
  <r>
    <x v="9"/>
    <s v="No"/>
    <s v="PLY046"/>
    <s v="644"/>
    <s v="Parish of Ivybridge (St Austin's Priory)"/>
    <s v="IVYBRIDGE"/>
    <m/>
    <m/>
    <m/>
    <s v=" "/>
    <s v="banking per DD"/>
    <n v="16.95"/>
    <n v="16.95"/>
    <n v="60"/>
    <n v="76.95"/>
  </r>
  <r>
    <x v="9"/>
    <s v="No"/>
    <s v="PLY046S"/>
    <s v="0443581"/>
    <s v="Parish of Ivybridge (St Monica)"/>
    <s v="IVYBRIDGE"/>
    <m/>
    <m/>
    <m/>
    <s v=" "/>
    <m/>
    <m/>
    <n v="0"/>
    <m/>
    <n v="0"/>
  </r>
  <r>
    <x v="9"/>
    <s v="No"/>
    <s v="PLY047"/>
    <s v="645"/>
    <s v="Parish of the Sacred Heart &amp; Our Lady Star of the Sea (Sacred Heart)"/>
    <s v="KINGSBRIDGE"/>
    <s v="Y"/>
    <n v="247.67"/>
    <m/>
    <s v="1"/>
    <s v="per DD - it is £249.67"/>
    <n v="2"/>
    <n v="249.67"/>
    <n v="180"/>
    <n v="429.66999999999996"/>
  </r>
  <r>
    <x v="9"/>
    <s v="No"/>
    <s v="PLY047S"/>
    <s v="0443582"/>
    <s v="Parish of the Sacred Heart &amp; Our Lady Star of the Sea (Our Lady Star of the Sea)"/>
    <s v="KINGSBRIDGE"/>
    <m/>
    <m/>
    <m/>
    <s v=" "/>
    <m/>
    <m/>
    <n v="0"/>
    <m/>
    <n v="0"/>
  </r>
  <r>
    <x v="9"/>
    <s v="Yes"/>
    <s v="PLY049"/>
    <s v="647"/>
    <s v="St Cuthbert Mayne RC Church"/>
    <s v="LAUNCESTON"/>
    <m/>
    <m/>
    <m/>
    <s v=" "/>
    <s v="banking per DD"/>
    <n v="952.91"/>
    <n v="952.91"/>
    <n v="1186.6600000000001"/>
    <n v="2139.5700000000002"/>
  </r>
  <r>
    <x v="9"/>
    <s v="Yes"/>
    <s v="PLY050"/>
    <s v="648"/>
    <s v="Our Lady of the Angels (Our Lady &amp; St Neot)"/>
    <s v="LISKEARD"/>
    <s v="Y"/>
    <n v="340.22999999999996"/>
    <m/>
    <s v="1"/>
    <s v="2 diff series of pay in books"/>
    <m/>
    <n v="340.22999999999996"/>
    <n v="10"/>
    <n v="350.22999999999996"/>
  </r>
  <r>
    <x v="9"/>
    <s v="No"/>
    <s v="PLY051"/>
    <s v="649"/>
    <s v="Our Lady Queen of Martyrs &amp; St Joseph (St Joseph)"/>
    <s v="SWANAGE"/>
    <s v="Y"/>
    <n v="586.28"/>
    <m/>
    <s v="1"/>
    <m/>
    <m/>
    <n v="586.28"/>
    <n v="160"/>
    <n v="746.28"/>
  </r>
  <r>
    <x v="9"/>
    <s v="No"/>
    <s v="PLY051S"/>
    <s v="0443648"/>
    <s v="Parish of Our Lady Queen of Martyrs &amp; St Joseph (St Mary)"/>
    <s v="SWANAGE"/>
    <m/>
    <m/>
    <m/>
    <s v=" "/>
    <m/>
    <m/>
    <n v="0"/>
    <m/>
    <n v="0"/>
  </r>
  <r>
    <x v="9"/>
    <s v="No"/>
    <s v="PLY052"/>
    <s v="650"/>
    <s v="St Michael &amp; St George"/>
    <s v="LYME REGIS"/>
    <s v="Y"/>
    <n v="561"/>
    <m/>
    <s v="1"/>
    <m/>
    <m/>
    <n v="561"/>
    <n v="220"/>
    <n v="781"/>
  </r>
  <r>
    <x v="9"/>
    <s v="No"/>
    <s v="PLY052S2"/>
    <s v="0443645"/>
    <s v="Polish Church &amp; Home"/>
    <s v="NEWTON ABBOT"/>
    <m/>
    <m/>
    <m/>
    <s v=" "/>
    <m/>
    <m/>
    <n v="0"/>
    <m/>
    <n v="0"/>
  </r>
  <r>
    <x v="9"/>
    <s v="No"/>
    <s v="PLY054"/>
    <s v="652"/>
    <s v="Our Lady &amp; St Benedict (Our Lady RC Church)"/>
    <s v="STURMINSTER NEWTON"/>
    <m/>
    <m/>
    <m/>
    <s v=" "/>
    <s v="banking per DD"/>
    <n v="1212.92"/>
    <n v="1212.92"/>
    <n v="415"/>
    <n v="1627.92"/>
  </r>
  <r>
    <x v="9"/>
    <s v="Yes"/>
    <s v="PLY054S"/>
    <s v="0443643"/>
    <s v="Our Lady &amp; St Benedict (St Benedict)"/>
    <s v="STURMINSTER NEWTON"/>
    <m/>
    <m/>
    <m/>
    <s v=" "/>
    <m/>
    <m/>
    <n v="0"/>
    <m/>
    <n v="0"/>
  </r>
  <r>
    <x v="9"/>
    <s v="Yes"/>
    <s v="PLY055"/>
    <s v="653"/>
    <s v="The Most Holy Trinity RC Church"/>
    <s v="NEWQUAY"/>
    <s v="Y"/>
    <n v="5415.76"/>
    <m/>
    <s v="1"/>
    <m/>
    <m/>
    <n v="5415.76"/>
    <n v="4722"/>
    <n v="10137.76"/>
  </r>
  <r>
    <x v="9"/>
    <s v="No"/>
    <s v="PLY055S"/>
    <s v="0479485"/>
    <s v="Lanherne Convent"/>
    <s v="NEWQUAY"/>
    <m/>
    <m/>
    <m/>
    <s v=" "/>
    <m/>
    <m/>
    <n v="0"/>
    <m/>
    <n v="0"/>
  </r>
  <r>
    <x v="9"/>
    <s v="Yes"/>
    <s v="PLY056"/>
    <s v="654"/>
    <s v="St Joseph RC Church"/>
    <s v="NEWTON ABBOT"/>
    <s v="Y"/>
    <n v="1802.04"/>
    <m/>
    <s v="1"/>
    <m/>
    <m/>
    <n v="1802.04"/>
    <n v="1995"/>
    <n v="3797.04"/>
  </r>
  <r>
    <x v="9"/>
    <s v="Yes"/>
    <s v="PLY056S"/>
    <s v="0443644"/>
    <s v="St Joseph (St Gregory)"/>
    <s v="NEWTON ABBOT"/>
    <m/>
    <m/>
    <m/>
    <s v=" "/>
    <m/>
    <m/>
    <n v="0"/>
    <n v="5"/>
    <n v="5"/>
  </r>
  <r>
    <x v="9"/>
    <s v="No"/>
    <s v="PLY056S2"/>
    <s v="0479486"/>
    <s v="Polish Church and Home"/>
    <s v="NEWTON ABBOT"/>
    <m/>
    <m/>
    <m/>
    <s v=" "/>
    <m/>
    <m/>
    <n v="0"/>
    <m/>
    <n v="0"/>
  </r>
  <r>
    <x v="9"/>
    <s v="Yes"/>
    <s v="PLY057"/>
    <s v="655"/>
    <s v="St Boniface RC Church"/>
    <s v="OKEHAMPTON"/>
    <s v="Y"/>
    <n v="474.59"/>
    <m/>
    <s v="1"/>
    <m/>
    <m/>
    <n v="474.59"/>
    <n v="425"/>
    <n v="899.58999999999992"/>
  </r>
  <r>
    <x v="9"/>
    <s v="Yes"/>
    <s v="PLY057S"/>
    <s v="0443646"/>
    <s v="St Boniface (The Holy Family)"/>
    <s v="OKEHAMPTON"/>
    <m/>
    <m/>
    <m/>
    <s v=" "/>
    <m/>
    <m/>
    <n v="0"/>
    <m/>
    <n v="0"/>
  </r>
  <r>
    <x v="9"/>
    <s v="No"/>
    <s v="PLY058"/>
    <s v="656"/>
    <s v="St Anthony RC Church"/>
    <s v="OTTERY ST. MARY"/>
    <m/>
    <m/>
    <m/>
    <s v=" "/>
    <s v="banking per DD"/>
    <n v="480.69"/>
    <n v="480.69"/>
    <n v="408"/>
    <n v="888.69"/>
  </r>
  <r>
    <x v="9"/>
    <s v="No"/>
    <s v="PLY059"/>
    <s v="657"/>
    <s v="Sacred Heart &amp; St Therese of the Child Jesus RC Church"/>
    <s v="PAIGNTON"/>
    <m/>
    <m/>
    <m/>
    <s v=" "/>
    <m/>
    <m/>
    <n v="0"/>
    <n v="190"/>
    <n v="190"/>
  </r>
  <r>
    <x v="9"/>
    <s v="Yes"/>
    <s v="PLY060"/>
    <s v="658"/>
    <s v="Parish of Holy Family (The Immaculate Conception of Our Lady)"/>
    <s v="PENZANCE"/>
    <s v="Y"/>
    <n v="512.5"/>
    <m/>
    <s v="1"/>
    <s v="per DD - it is £316  (£196.50 in Ecc Sq column but likely bank directly)"/>
    <n v="-196.5"/>
    <n v="316"/>
    <n v="436.5"/>
    <n v="752.5"/>
  </r>
  <r>
    <x v="9"/>
    <s v="Yes"/>
    <s v="PLY060S"/>
    <s v="0443647"/>
    <s v="Parish of Holy Family (St Mary, Star of the Sea)"/>
    <s v="PENZANCE"/>
    <m/>
    <m/>
    <m/>
    <s v=" "/>
    <m/>
    <m/>
    <n v="0"/>
    <m/>
    <n v="0"/>
  </r>
  <r>
    <x v="9"/>
    <s v="Yes"/>
    <s v="PLY061"/>
    <s v="659"/>
    <s v="Christ the King RC Church"/>
    <s v="NEWQUAY"/>
    <s v="Y"/>
    <n v="463.5"/>
    <m/>
    <s v="1"/>
    <s v="per DD - it is £ zero"/>
    <n v="-463.5"/>
    <n v="0"/>
    <m/>
    <n v="0"/>
  </r>
  <r>
    <x v="9"/>
    <s v="Yes"/>
    <s v="PLY062"/>
    <s v="660"/>
    <s v="St Mary RC Church"/>
    <s v="POOLE"/>
    <s v="Y"/>
    <n v="584.58000000000004"/>
    <m/>
    <s v="1"/>
    <m/>
    <m/>
    <n v="584.58000000000004"/>
    <n v="158.05000000000001"/>
    <n v="742.63000000000011"/>
  </r>
  <r>
    <x v="9"/>
    <s v="Yes"/>
    <s v="PLY063"/>
    <s v="661"/>
    <s v="St Joseph &amp; St Walburga RC Church"/>
    <s v="POOLE"/>
    <s v="Y"/>
    <n v="2105.12"/>
    <m/>
    <s v="1"/>
    <m/>
    <m/>
    <n v="2105.12"/>
    <n v="200"/>
    <n v="2305.12"/>
  </r>
  <r>
    <x v="9"/>
    <s v="Yes"/>
    <s v="PLY064"/>
    <s v="662"/>
    <s v="Our Lady of Fatima"/>
    <s v="POOLE"/>
    <s v="Y"/>
    <n v="380.75"/>
    <m/>
    <s v="1"/>
    <m/>
    <m/>
    <n v="380.75"/>
    <n v="40"/>
    <n v="420.75"/>
  </r>
  <r>
    <x v="9"/>
    <s v="Yes"/>
    <s v="PLY065"/>
    <s v="663"/>
    <s v="St Anthony of Padua RC Church"/>
    <s v="POOLE"/>
    <s v="Y"/>
    <n v="849.25"/>
    <m/>
    <s v="1"/>
    <m/>
    <m/>
    <n v="849.25"/>
    <n v="714"/>
    <n v="1563.25"/>
  </r>
  <r>
    <x v="9"/>
    <s v="No"/>
    <s v="PLY067"/>
    <s v="665"/>
    <s v="Our Lady of All Nations - The Assumption"/>
    <s v="CAMBORNE"/>
    <s v="Y"/>
    <n v="1118.74"/>
    <m/>
    <s v="1"/>
    <m/>
    <m/>
    <n v="1118.74"/>
    <n v="170"/>
    <n v="1288.74"/>
  </r>
  <r>
    <x v="9"/>
    <s v="Yes"/>
    <s v="PLY067A"/>
    <s v="147915"/>
    <s v="Our Lady, Star of the Sea"/>
    <s v="NEWQUAY"/>
    <s v="Y"/>
    <n v="463.5"/>
    <m/>
    <s v="1"/>
    <m/>
    <m/>
    <n v="463.5"/>
    <m/>
    <n v="463.5"/>
  </r>
  <r>
    <x v="9"/>
    <s v="No"/>
    <s v="PLY068"/>
    <s v="666"/>
    <s v="St Augustine RC Church"/>
    <s v="ST AUSTELL"/>
    <s v="Y"/>
    <n v="314.25"/>
    <m/>
    <s v="1"/>
    <m/>
    <m/>
    <n v="314.25"/>
    <n v="145"/>
    <n v="459.25"/>
  </r>
  <r>
    <x v="9"/>
    <s v="Yes"/>
    <s v="PLY069"/>
    <s v="667"/>
    <s v="Parish of Holy Family (Sacred Heart &amp; St Ia)"/>
    <s v="PENZANCE"/>
    <m/>
    <m/>
    <m/>
    <s v=" "/>
    <m/>
    <m/>
    <n v="0"/>
    <n v="690"/>
    <n v="690"/>
  </r>
  <r>
    <x v="9"/>
    <s v="Yes"/>
    <s v="PLY070"/>
    <s v="668"/>
    <s v="Our Lady, Star of the Sea &amp; St Anthony"/>
    <s v="TRURO"/>
    <m/>
    <m/>
    <m/>
    <s v=" "/>
    <m/>
    <m/>
    <n v="0"/>
    <m/>
    <n v="0"/>
  </r>
  <r>
    <x v="9"/>
    <s v="Yes"/>
    <s v="PLY071"/>
    <s v="669"/>
    <s v="Parish of Our Lady of the Angels (Our Lady of the Angels RC Church)"/>
    <s v="SALTASH                       "/>
    <s v="Y"/>
    <n v="151.13999999999999"/>
    <m/>
    <s v="1"/>
    <m/>
    <m/>
    <n v="151.13999999999999"/>
    <n v="85"/>
    <n v="236.14"/>
  </r>
  <r>
    <x v="9"/>
    <s v="Yes"/>
    <s v="PLY072"/>
    <s v="670"/>
    <s v="Our Lady of the Angels (Our Lady Of Light Sclerder Abbey - Chemin Neuf Community)"/>
    <s v="LISKEARD"/>
    <s v="Y"/>
    <n v="354.96"/>
    <m/>
    <s v="1"/>
    <m/>
    <m/>
    <n v="354.96"/>
    <m/>
    <n v="354.96"/>
  </r>
  <r>
    <x v="9"/>
    <s v="No"/>
    <s v="PLY073"/>
    <s v="671"/>
    <s v="St Augustine RC Church"/>
    <s v="SEATON"/>
    <m/>
    <m/>
    <m/>
    <s v=" "/>
    <s v="banking per DD"/>
    <n v="367.29"/>
    <n v="367.29"/>
    <n v="270"/>
    <n v="637.29"/>
  </r>
  <r>
    <x v="9"/>
    <s v="No"/>
    <s v="PLY074"/>
    <s v="672"/>
    <s v="The Holy Name &amp; St Edward the Martyr"/>
    <s v="SHAFTESBURY"/>
    <s v="Y"/>
    <m/>
    <n v="177"/>
    <s v="1"/>
    <m/>
    <m/>
    <n v="0"/>
    <n v="262"/>
    <n v="262"/>
  </r>
  <r>
    <x v="9"/>
    <s v="No"/>
    <s v="PLY075"/>
    <s v="673"/>
    <s v="Parish of All Saints (St Ignatius of Loyola)"/>
    <s v="TEIGNMOUTH"/>
    <m/>
    <m/>
    <m/>
    <s v=" "/>
    <m/>
    <m/>
    <n v="0"/>
    <m/>
    <n v="0"/>
  </r>
  <r>
    <x v="9"/>
    <s v="No"/>
    <s v="PLY076"/>
    <s v="674"/>
    <s v="Sacred Heart &amp; St Aldhelm"/>
    <s v="SHERBORNE"/>
    <s v="Y"/>
    <n v="970.11999999999989"/>
    <m/>
    <s v="1"/>
    <s v="per DD - it is £965.12"/>
    <n v="-5"/>
    <n v="965.11999999999989"/>
    <n v="295"/>
    <n v="1260.1199999999999"/>
  </r>
  <r>
    <x v="9"/>
    <s v="No"/>
    <s v="PLY077"/>
    <s v="675"/>
    <s v="Most Precious Blood RC Church"/>
    <s v="SIDMOUTH"/>
    <s v="Y"/>
    <n v="1155.6599999999999"/>
    <m/>
    <s v="1"/>
    <s v="per DD - it is £1157.66"/>
    <n v="2"/>
    <n v="1157.6599999999999"/>
    <n v="85"/>
    <n v="1242.6599999999999"/>
  </r>
  <r>
    <x v="9"/>
    <s v="No"/>
    <s v="PLY079"/>
    <s v="676"/>
    <s v="The Holy Spirit &amp; St Edward RC Church"/>
    <s v="SWANAGE"/>
    <s v="Y"/>
    <n v="762.69"/>
    <m/>
    <s v="1"/>
    <m/>
    <m/>
    <n v="762.69"/>
    <n v="85"/>
    <n v="847.69"/>
  </r>
  <r>
    <x v="9"/>
    <s v="No"/>
    <s v="PLY080"/>
    <s v="677"/>
    <s v="Our Lady of the Assumption"/>
    <s v="TAVISTOCK"/>
    <s v="Y"/>
    <n v="382.25"/>
    <m/>
    <s v="1"/>
    <m/>
    <m/>
    <n v="382.25"/>
    <n v="422.5"/>
    <n v="804.75"/>
  </r>
  <r>
    <x v="9"/>
    <s v="Yes"/>
    <s v="PLY080V"/>
    <s v="148042"/>
    <s v="Our Lady of Victories"/>
    <s v="LAUNCESTON"/>
    <s v="Y"/>
    <n v="102.34"/>
    <m/>
    <s v="1"/>
    <m/>
    <m/>
    <n v="102.34"/>
    <n v="30"/>
    <n v="132.34"/>
  </r>
  <r>
    <x v="9"/>
    <s v="No"/>
    <s v="PLY081??"/>
    <s v="633"/>
    <s v="Parish of All Saints (St Agatha)"/>
    <s v="TEIGNMOUTH"/>
    <m/>
    <m/>
    <m/>
    <s v=" "/>
    <m/>
    <m/>
    <n v="0"/>
    <m/>
    <n v="0"/>
  </r>
  <r>
    <x v="9"/>
    <s v="No"/>
    <s v="PLY081"/>
    <s v="678"/>
    <s v="Parish of All Saints (Our Lady &amp; St Patrick)"/>
    <s v="TEIGNMOUTH"/>
    <s v="Y"/>
    <n v="594.88"/>
    <m/>
    <s v="1"/>
    <m/>
    <m/>
    <n v="594.88"/>
    <n v="269.75"/>
    <n v="864.63"/>
  </r>
  <r>
    <x v="9"/>
    <s v="No"/>
    <s v="PLY083"/>
    <s v="679"/>
    <s v="St Paul the Apostle"/>
    <s v="TINTAGEL"/>
    <m/>
    <m/>
    <m/>
    <s v=" "/>
    <m/>
    <m/>
    <n v="0"/>
    <n v="40"/>
    <n v="40"/>
  </r>
  <r>
    <x v="9"/>
    <s v="Yes"/>
    <s v="PLY084"/>
    <s v="680"/>
    <s v="Parish of St Boniface &amp; St James (St James RC Church)"/>
    <s v="TIVERTON"/>
    <s v="Y"/>
    <n v="443.71000000000004"/>
    <m/>
    <s v="1"/>
    <m/>
    <m/>
    <n v="443.71000000000004"/>
    <n v="60"/>
    <n v="503.71000000000004"/>
  </r>
  <r>
    <x v="9"/>
    <s v="No"/>
    <s v="PLY085"/>
    <s v="681"/>
    <s v="Holy Cross RC Church"/>
    <s v="EXETER"/>
    <s v="Y"/>
    <n v="679.50000000000011"/>
    <m/>
    <s v="1"/>
    <m/>
    <m/>
    <n v="679.50000000000011"/>
    <n v="108"/>
    <n v="787.50000000000011"/>
  </r>
  <r>
    <x v="9"/>
    <s v="Yes"/>
    <s v="PLY086"/>
    <s v="682"/>
    <s v="Our Lady of the Angels (St Joan of Arc)"/>
    <s v="SALTASH"/>
    <s v="Y"/>
    <n v="52.470000000000006"/>
    <m/>
    <s v="1"/>
    <m/>
    <m/>
    <n v="52.470000000000006"/>
    <m/>
    <n v="52.470000000000006"/>
  </r>
  <r>
    <x v="9"/>
    <s v="No"/>
    <s v="PLY087"/>
    <s v="683"/>
    <s v="The Assumption of our Lady"/>
    <s v="TORQUAY"/>
    <s v="Y"/>
    <n v="2111.73"/>
    <m/>
    <s v="1"/>
    <m/>
    <m/>
    <n v="2111.73"/>
    <n v="27.5"/>
    <n v="2139.23"/>
  </r>
  <r>
    <x v="9"/>
    <s v="No"/>
    <s v="PLY088"/>
    <s v="684"/>
    <s v="Our Lady, Help of Christians &amp; St Denis"/>
    <s v="TORQUAY"/>
    <m/>
    <m/>
    <m/>
    <s v=" "/>
    <s v="banking per DD"/>
    <n v="600.07000000000005"/>
    <n v="600.07000000000005"/>
    <n v="170"/>
    <n v="770.07"/>
  </r>
  <r>
    <x v="9"/>
    <s v="No"/>
    <s v="PLY089"/>
    <s v="685"/>
    <s v="Holy Angels RC Church"/>
    <s v="TORQUAY"/>
    <m/>
    <m/>
    <m/>
    <s v=" "/>
    <m/>
    <m/>
    <n v="0"/>
    <n v="284.03999999999996"/>
    <n v="284.03999999999996"/>
  </r>
  <r>
    <x v="9"/>
    <s v="No"/>
    <s v="PLY090"/>
    <s v="686"/>
    <s v="St Mary &amp; St George"/>
    <s v="TOTNES"/>
    <s v="Y"/>
    <n v="631.95000000000005"/>
    <m/>
    <s v="1"/>
    <m/>
    <m/>
    <n v="631.95000000000005"/>
    <n v="109"/>
    <n v="740.95"/>
  </r>
  <r>
    <x v="9"/>
    <s v="Yes"/>
    <s v="PLY091"/>
    <s v="687"/>
    <s v="Our Lady of the Portal &amp; St Piran"/>
    <s v="TRURO"/>
    <s v="Y"/>
    <n v="261.94"/>
    <m/>
    <s v="1"/>
    <s v="Diff 10p: Grand Total stated £261.84"/>
    <m/>
    <n v="261.94"/>
    <n v="355"/>
    <n v="616.94000000000005"/>
  </r>
  <r>
    <x v="9"/>
    <s v="No"/>
    <s v="PLY092"/>
    <s v="688"/>
    <s v="Parish of Our Lady Queen of Martyrs &amp; St Joseph (St Edward the Martyrs)"/>
    <s v="SWANAGE"/>
    <s v="Y"/>
    <n v="1333.94"/>
    <m/>
    <s v="1"/>
    <m/>
    <m/>
    <n v="1333.94"/>
    <n v="250"/>
    <n v="1583.94"/>
  </r>
  <r>
    <x v="9"/>
    <s v="No"/>
    <s v="PLY093"/>
    <s v="689"/>
    <s v="St Anthony RC Church"/>
    <s v="FERNDOWN"/>
    <s v="Y"/>
    <n v="733.8"/>
    <m/>
    <s v="1"/>
    <m/>
    <m/>
    <n v="733.8"/>
    <n v="225"/>
    <n v="958.8"/>
  </r>
  <r>
    <x v="9"/>
    <s v="No"/>
    <s v="PLY094"/>
    <s v="0479487"/>
    <s v="St Augustine of Canterbury"/>
    <s v="WEYMOUTH"/>
    <m/>
    <m/>
    <m/>
    <s v=" "/>
    <m/>
    <m/>
    <n v="0"/>
    <m/>
    <n v="0"/>
  </r>
  <r>
    <x v="9"/>
    <s v="No"/>
    <s v="PLY095"/>
    <s v="691"/>
    <s v="Parish of Our Lady Star of the Sea (St Joseph)"/>
    <s v="WEYMOUTH"/>
    <s v="Y"/>
    <n v="2399.17"/>
    <m/>
    <s v="1"/>
    <m/>
    <m/>
    <n v="2399.17"/>
    <n v="295"/>
    <n v="2694.17"/>
  </r>
  <r>
    <x v="9"/>
    <s v="No"/>
    <s v="PLY096"/>
    <s v="692"/>
    <s v="St Catherine RC Church"/>
    <s v="WIMBORNE"/>
    <s v="Y"/>
    <n v="1587.15"/>
    <m/>
    <s v="1"/>
    <m/>
    <m/>
    <n v="1587.15"/>
    <n v="743"/>
    <n v="2330.15"/>
  </r>
  <r>
    <x v="9"/>
    <s v="No"/>
    <s v="PLY097"/>
    <s v="693"/>
    <s v="Holy Cross RC Church"/>
    <s v="YELVERTON"/>
    <s v="Y"/>
    <n v="91.67"/>
    <m/>
    <s v="1"/>
    <m/>
    <m/>
    <n v="91.67"/>
    <n v="10"/>
    <n v="101.67"/>
  </r>
  <r>
    <x v="9"/>
    <s v="No"/>
    <s v="PLY999"/>
    <s v="697"/>
    <s v="Plymouth Diocese Various"/>
    <m/>
    <m/>
    <m/>
    <m/>
    <s v=" "/>
    <s v="banking per DD"/>
    <n v="-111.08"/>
    <n v="-111.08"/>
    <n v="0"/>
    <n v="-111.08"/>
  </r>
  <r>
    <x v="10"/>
    <s v="No"/>
    <s v="POR001"/>
    <s v="699"/>
    <s v="Cathedral of St John the Evangelist"/>
    <s v="PORTSMOUTH"/>
    <m/>
    <m/>
    <m/>
    <s v=" "/>
    <s v="banking per DD"/>
    <n v="1094"/>
    <n v="1094"/>
    <n v="50"/>
    <n v="1144"/>
  </r>
  <r>
    <x v="10"/>
    <s v="Yes"/>
    <s v="POR002"/>
    <n v="701"/>
    <s v="Corpus Christi &amp; St Joseph Parish (Corpus Christi RC Church) - could be POR??? / 704 in ThankQ"/>
    <m/>
    <s v="Y"/>
    <n v="318.65000000000003"/>
    <m/>
    <s v="1"/>
    <s v="per DD - it is £219.59"/>
    <n v="-99.06"/>
    <n v="219.59000000000003"/>
    <m/>
    <n v="219.59000000000003"/>
  </r>
  <r>
    <x v="10"/>
    <s v="No"/>
    <s v="POR004"/>
    <s v="703"/>
    <s v="St Colman &amp; St Paul RC Church (St Colman's)"/>
    <s v="PORTSMOUTH"/>
    <s v="Y"/>
    <n v="1094"/>
    <m/>
    <s v="1"/>
    <s v="per DD - it is £311.98"/>
    <n v="-782.02"/>
    <n v="311.98"/>
    <n v="395"/>
    <n v="706.98"/>
  </r>
  <r>
    <x v="10"/>
    <s v="No"/>
    <s v="POR004S"/>
    <s v="0443499"/>
    <s v="St Colman &amp; St Paul RC Church (St Paul's)"/>
    <s v="PORTSMOUTH"/>
    <m/>
    <m/>
    <m/>
    <s v=" "/>
    <m/>
    <m/>
    <n v="0"/>
    <m/>
    <n v="0"/>
  </r>
  <r>
    <x v="10"/>
    <s v="Yes"/>
    <s v="POR005"/>
    <s v="701"/>
    <s v="Corpus Christi &amp; St Joseph Parish (St Joseph RC Church)"/>
    <s v="PORTSMOUTH"/>
    <s v="Y"/>
    <n v="656.03"/>
    <m/>
    <s v="1"/>
    <s v="refer to POR002/701"/>
    <m/>
    <n v="656.03"/>
    <m/>
    <n v="656.03"/>
  </r>
  <r>
    <x v="10"/>
    <s v="Yes"/>
    <s v="POR007"/>
    <s v="706"/>
    <s v="Our Lady of Lourdes &amp; St Swithun Parish (St Swithun's Church)"/>
    <s v="SOUTHSEA"/>
    <s v="Y"/>
    <n v="988.94"/>
    <m/>
    <s v="1"/>
    <m/>
    <m/>
    <n v="988.94"/>
    <n v="339.7"/>
    <n v="1328.64"/>
  </r>
  <r>
    <x v="10"/>
    <s v="Yes"/>
    <s v="POR007S"/>
    <s v="0479488"/>
    <s v="Our Lady of Lourdes &amp; St Swithun Parish (Our Lady of Lourdes Church)"/>
    <s v="SOUTHSEA"/>
    <m/>
    <m/>
    <m/>
    <s v=" "/>
    <m/>
    <m/>
    <n v="0"/>
    <m/>
    <n v="0"/>
  </r>
  <r>
    <x v="10"/>
    <s v="No"/>
    <s v="POR008"/>
    <s v="707"/>
    <s v="Our Lady &amp; St Edmund"/>
    <s v="ABINGDON"/>
    <s v="Y"/>
    <n v="906.39"/>
    <m/>
    <s v="1"/>
    <m/>
    <m/>
    <n v="906.39"/>
    <n v="1390"/>
    <n v="2296.39"/>
  </r>
  <r>
    <x v="10"/>
    <s v="No"/>
    <s v="POR009"/>
    <s v="708"/>
    <s v="St Anne &amp; St Mary Magdalene R C Presbytery"/>
    <s v="GUERNSEY"/>
    <s v="Y"/>
    <m/>
    <n v="372.39"/>
    <s v="1"/>
    <m/>
    <m/>
    <n v="0"/>
    <n v="492.39"/>
    <n v="492.39"/>
  </r>
  <r>
    <x v="10"/>
    <s v="No"/>
    <s v="POR010"/>
    <s v="709"/>
    <s v="Aldershot Parish (St Joseph RC Church)"/>
    <s v="ALDERSHOT"/>
    <m/>
    <m/>
    <m/>
    <s v=" "/>
    <m/>
    <m/>
    <n v="0"/>
    <n v="555.5"/>
    <n v="555.5"/>
  </r>
  <r>
    <x v="10"/>
    <s v="No"/>
    <s v="POR010S"/>
    <s v="0479489"/>
    <s v="Aldershot Parish (St Mary RC Church)"/>
    <s v="ALDERSHOT"/>
    <m/>
    <m/>
    <m/>
    <s v=" "/>
    <m/>
    <m/>
    <n v="0"/>
    <m/>
    <n v="0"/>
  </r>
  <r>
    <x v="10"/>
    <s v="Yes"/>
    <s v="POR013"/>
    <s v="710"/>
    <s v="St Peter &amp; The Winchester Martyrs Parish (St Gregory the Great)"/>
    <s v="WINCHESTER"/>
    <s v="Y"/>
    <m/>
    <n v="943.46"/>
    <s v="1"/>
    <m/>
    <m/>
    <n v="0"/>
    <n v="1417.96"/>
    <n v="1417.96"/>
  </r>
  <r>
    <x v="10"/>
    <s v="Yes"/>
    <s v="POR014"/>
    <s v="711"/>
    <s v="St Mary RC Church"/>
    <s v="ALTON"/>
    <s v="Y"/>
    <n v="3066.52"/>
    <m/>
    <s v="1"/>
    <s v="per DD - it is £3049.89"/>
    <n v="-16.63"/>
    <n v="3049.89"/>
    <n v="950.75"/>
    <n v="4000.64"/>
  </r>
  <r>
    <x v="10"/>
    <s v="Yes"/>
    <s v="POR014S"/>
    <s v="0479490"/>
    <s v="St Lucy Convent Chapel"/>
    <s v="ALTON"/>
    <m/>
    <m/>
    <m/>
    <s v=" "/>
    <m/>
    <m/>
    <n v="0"/>
    <m/>
    <n v="0"/>
  </r>
  <r>
    <x v="10"/>
    <s v="Yes"/>
    <s v="POR016"/>
    <s v="712"/>
    <s v="Andover Parish (St John the Baptist RC Church)"/>
    <s v="ANDOVER"/>
    <s v="Y"/>
    <n v="4929.87"/>
    <m/>
    <s v="1"/>
    <m/>
    <m/>
    <n v="4929.87"/>
    <n v="1341"/>
    <n v="6270.87"/>
  </r>
  <r>
    <x v="10"/>
    <s v="Yes"/>
    <s v="POR016S"/>
    <s v="263195"/>
    <s v="Andover Parish (St John Fisher)"/>
    <s v="ANDOVER"/>
    <m/>
    <m/>
    <m/>
    <s v=" "/>
    <m/>
    <m/>
    <n v="0"/>
    <m/>
    <n v="0"/>
  </r>
  <r>
    <x v="10"/>
    <s v="No"/>
    <s v="POR017"/>
    <s v="713"/>
    <s v="St Francis RC Church"/>
    <s v="ASCOT"/>
    <s v="Y"/>
    <n v="1068.33"/>
    <m/>
    <s v="1"/>
    <m/>
    <m/>
    <n v="1068.33"/>
    <n v="135"/>
    <n v="1203.33"/>
  </r>
  <r>
    <x v="10"/>
    <s v="No"/>
    <s v="POR018"/>
    <s v="714"/>
    <s v="Basingstoke Holy Ghost Parish (Holy Ghost RC Church)"/>
    <s v="BASINGSTOKE"/>
    <s v="Y"/>
    <n v="1280.6400000000001"/>
    <m/>
    <s v="1"/>
    <m/>
    <m/>
    <n v="1280.6400000000001"/>
    <n v="1550"/>
    <n v="2830.6400000000003"/>
  </r>
  <r>
    <x v="10"/>
    <s v="No"/>
    <s v="POR018L"/>
    <s v="0479491"/>
    <s v="Basingstoke Holy Ghost Parish (St Bede)"/>
    <s v="BASINGSTOKE"/>
    <m/>
    <m/>
    <m/>
    <s v=" "/>
    <m/>
    <m/>
    <n v="0"/>
    <m/>
    <n v="0"/>
  </r>
  <r>
    <x v="10"/>
    <s v="No"/>
    <s v="POR019"/>
    <s v="715"/>
    <s v="St Joseph RC Church"/>
    <s v="BASINGSTOKE"/>
    <s v="Y"/>
    <n v="1667.28"/>
    <m/>
    <s v="1"/>
    <m/>
    <m/>
    <n v="1667.28"/>
    <n v="685"/>
    <n v="2352.2799999999997"/>
  </r>
  <r>
    <x v="10"/>
    <s v="Yes"/>
    <s v="POR020"/>
    <s v="716"/>
    <s v="The Parish of St Swithun Wells (Our Lady Queen of Apostles)"/>
    <s v="EASTLEIGH"/>
    <s v="Y"/>
    <n v="846.06"/>
    <m/>
    <s v="1"/>
    <m/>
    <m/>
    <n v="846.06"/>
    <n v="195"/>
    <n v="1041.06"/>
  </r>
  <r>
    <x v="10"/>
    <s v="Yes"/>
    <s v="POR021"/>
    <s v="717"/>
    <s v="Holy Family Catholic Parish (The Sacred Heart RC Church)"/>
    <s v="BORDON"/>
    <m/>
    <m/>
    <m/>
    <s v=" "/>
    <s v="banking per DD"/>
    <n v="501.83"/>
    <n v="501.83"/>
    <n v="100"/>
    <n v="601.82999999999993"/>
  </r>
  <r>
    <x v="10"/>
    <s v="No"/>
    <s v="POR022"/>
    <s v="718"/>
    <s v="Bournemouth Oratory (Sacred Heart Parish)"/>
    <s v="BOURNEMOUTH"/>
    <m/>
    <m/>
    <m/>
    <s v=" "/>
    <m/>
    <m/>
    <n v="0"/>
    <n v="355"/>
    <n v="355"/>
  </r>
  <r>
    <x v="10"/>
    <s v="No"/>
    <s v="POR023"/>
    <s v="719"/>
    <s v="Corpus Christi RC Church"/>
    <s v="BOURNEMOUTH"/>
    <s v="Y"/>
    <n v="527.9"/>
    <m/>
    <s v="1"/>
    <m/>
    <m/>
    <n v="527.9"/>
    <n v="870"/>
    <n v="1397.9"/>
  </r>
  <r>
    <x v="10"/>
    <s v="No"/>
    <s v="POR025"/>
    <s v="721"/>
    <s v="Our Lady Immaculate"/>
    <s v="BOURNEMOUTH"/>
    <s v="Y"/>
    <m/>
    <n v="417.97"/>
    <s v="1"/>
    <m/>
    <m/>
    <n v="0"/>
    <n v="812.97"/>
    <n v="812.97"/>
  </r>
  <r>
    <x v="10"/>
    <s v="No"/>
    <s v="POR026"/>
    <s v="722"/>
    <s v="Our Lady Queen of Peace &amp; Blessed Margaret Pole"/>
    <s v="BOURNEMOUTH"/>
    <s v="Y"/>
    <n v="1140.6100000000001"/>
    <m/>
    <s v="1"/>
    <m/>
    <m/>
    <n v="1140.6100000000001"/>
    <n v="165"/>
    <n v="1305.6100000000001"/>
  </r>
  <r>
    <x v="10"/>
    <s v="No"/>
    <s v="POR027"/>
    <s v="723"/>
    <s v="St Thomas More RC Church"/>
    <s v="BOURNEMOUTH"/>
    <s v="Y"/>
    <m/>
    <n v="677.75"/>
    <s v="1"/>
    <m/>
    <m/>
    <n v="0"/>
    <n v="817.75"/>
    <n v="817.75"/>
  </r>
  <r>
    <x v="10"/>
    <s v="Yes"/>
    <s v="POR028S"/>
    <s v="724"/>
    <s v="The Annunciation &amp; St Edmund Campion Parish (St Edmund Campion)"/>
    <s v="BOURNEMOUTH"/>
    <s v="Y"/>
    <n v="1335.68"/>
    <m/>
    <s v="1"/>
    <m/>
    <m/>
    <n v="1335.68"/>
    <n v="170"/>
    <n v="1505.68"/>
  </r>
  <r>
    <x v="10"/>
    <s v="No"/>
    <s v="POR029"/>
    <s v="725"/>
    <s v="St Joseph and St Margaret Clitherow Parish"/>
    <s v="BRACKNELL"/>
    <m/>
    <m/>
    <m/>
    <s v=" "/>
    <s v="banking per DD"/>
    <n v="20.27"/>
    <n v="20.27"/>
    <n v="195"/>
    <n v="215.27"/>
  </r>
  <r>
    <x v="10"/>
    <s v="No"/>
    <s v="POR030"/>
    <s v="726"/>
    <s v="St Margaret Clitherow"/>
    <s v="BRACKNELL"/>
    <m/>
    <m/>
    <m/>
    <s v=" "/>
    <m/>
    <m/>
    <n v="0"/>
    <n v="50"/>
    <n v="50"/>
  </r>
  <r>
    <x v="10"/>
    <s v="No"/>
    <s v="POR032"/>
    <s v="728"/>
    <s v="St Anne RC Church"/>
    <s v="LYMINGTON"/>
    <s v="Y"/>
    <n v="362"/>
    <n v="190.89"/>
    <s v="1"/>
    <m/>
    <m/>
    <n v="362"/>
    <n v="125"/>
    <n v="487"/>
  </r>
  <r>
    <x v="10"/>
    <s v="No"/>
    <s v="POR033"/>
    <s v="729"/>
    <s v="Blessed Hugh Farringdon"/>
    <s v="FARINGDON"/>
    <s v="Y"/>
    <n v="239.52"/>
    <m/>
    <s v="1"/>
    <s v="per DD - it is £255.82"/>
    <n v="16.3"/>
    <n v="255.82000000000002"/>
    <n v="15"/>
    <n v="270.82000000000005"/>
  </r>
  <r>
    <x v="10"/>
    <s v="Yes"/>
    <s v="POR034"/>
    <s v="730"/>
    <s v="The Parish of St Swithun Wells (St Edward the Confessor)"/>
    <s v="EASTLEIGH"/>
    <s v="Y"/>
    <n v="1064.92"/>
    <m/>
    <s v="1"/>
    <m/>
    <m/>
    <n v="1064.92"/>
    <n v="460"/>
    <n v="1524.92"/>
  </r>
  <r>
    <x v="10"/>
    <s v="No"/>
    <s v="POR035"/>
    <s v="731"/>
    <s v="Immaculate Conception &amp; St Joseph"/>
    <s v="CHRISTCHURCH"/>
    <s v="Y"/>
    <m/>
    <n v="372"/>
    <s v="1"/>
    <m/>
    <m/>
    <n v="0"/>
    <n v="340"/>
    <n v="340"/>
  </r>
  <r>
    <x v="10"/>
    <s v="No"/>
    <s v="POR036"/>
    <s v="732"/>
    <s v="St Thomas of Canterbury"/>
    <s v="COWES"/>
    <s v="Y"/>
    <n v="263.37"/>
    <m/>
    <s v="1"/>
    <s v="per DD - it is £236.37"/>
    <n v="-27"/>
    <n v="236.37"/>
    <n v="25"/>
    <n v="261.37"/>
  </r>
  <r>
    <x v="10"/>
    <s v="Yes"/>
    <s v="POR037"/>
    <s v="733"/>
    <s v="Parish of The Holy Trinity &amp; Our Lady (The Holy Trinity RC Church)"/>
    <s v="FLEET"/>
    <s v="Y"/>
    <n v="1873.2200000000003"/>
    <m/>
    <s v="1"/>
    <m/>
    <m/>
    <n v="1873.2200000000003"/>
    <n v="215"/>
    <n v="2088.2200000000003"/>
  </r>
  <r>
    <x v="10"/>
    <s v="Yes"/>
    <s v="POR038"/>
    <s v="734"/>
    <s v="Parish of Crowthorne &amp; Sandhurst (Holy Ghost RC Church)"/>
    <s v="SANDHURST"/>
    <s v="Y"/>
    <n v="351.59"/>
    <m/>
    <s v="1"/>
    <m/>
    <m/>
    <n v="351.59"/>
    <n v="380"/>
    <n v="731.58999999999992"/>
  </r>
  <r>
    <x v="10"/>
    <s v="No"/>
    <s v="POR039"/>
    <s v="735"/>
    <s v="English Martyrs RC Church"/>
    <s v="DIDCOT"/>
    <s v="Y"/>
    <n v="1623.5"/>
    <m/>
    <s v="1"/>
    <m/>
    <m/>
    <n v="1623.5"/>
    <n v="430"/>
    <n v="2053.5"/>
  </r>
  <r>
    <x v="10"/>
    <s v="No"/>
    <s v="POR040"/>
    <s v="736"/>
    <s v="Our Lady of Peace &amp; Blessed Dominic Barberi"/>
    <s v="READING"/>
    <s v="Y"/>
    <n v="2095.0100000000002"/>
    <m/>
    <s v="1"/>
    <s v="per DD - it is £2095.02"/>
    <n v="0.01"/>
    <n v="2095.0200000000004"/>
    <n v="2208.1999999999998"/>
    <n v="4303.22"/>
  </r>
  <r>
    <x v="10"/>
    <s v="No"/>
    <s v="POR041"/>
    <s v="737"/>
    <s v="St David RC Church"/>
    <s v="EAST COWES"/>
    <m/>
    <m/>
    <m/>
    <s v=" "/>
    <m/>
    <m/>
    <n v="0"/>
    <n v="120"/>
    <n v="120"/>
  </r>
  <r>
    <x v="10"/>
    <s v="No"/>
    <s v="POR041S"/>
    <s v="0479494"/>
    <s v="Convent of the Cross (Sisters of Christ)"/>
    <s v="ISLE OF WIGHT"/>
    <m/>
    <m/>
    <m/>
    <s v=" "/>
    <m/>
    <m/>
    <n v="0"/>
    <m/>
    <n v="0"/>
  </r>
  <r>
    <x v="10"/>
    <s v="Yes"/>
    <s v="POR042"/>
    <s v="738"/>
    <s v="East Hendred Parish (St Mary RC Church)"/>
    <s v="WANTAGE"/>
    <s v="Y"/>
    <n v="832.19"/>
    <m/>
    <s v="1"/>
    <m/>
    <m/>
    <n v="832.19"/>
    <n v="1608"/>
    <n v="2440.19"/>
  </r>
  <r>
    <x v="10"/>
    <s v="Yes"/>
    <s v="POR042S"/>
    <s v="0479495"/>
    <s v="East Hendred Parish (St Patrick)"/>
    <s v="WANTAGE"/>
    <m/>
    <m/>
    <m/>
    <s v=" "/>
    <m/>
    <m/>
    <n v="0"/>
    <m/>
    <n v="0"/>
  </r>
  <r>
    <x v="10"/>
    <s v="Yes"/>
    <s v="POR043"/>
    <s v="739"/>
    <s v="The Parish of St Swithun Wells (Holy Cross RC Church)"/>
    <s v="EASTLEIGH"/>
    <s v="Y"/>
    <n v="318.64999999999998"/>
    <m/>
    <s v="1"/>
    <s v="per DD - it is £362.30"/>
    <n v="43.65"/>
    <n v="362.29999999999995"/>
    <m/>
    <n v="362.29999999999995"/>
  </r>
  <r>
    <x v="10"/>
    <s v="Yes"/>
    <s v="POR043S"/>
    <s v="0479496"/>
    <s v="The Parish of St Swithun Wells (St Swithun Wells)"/>
    <s v="EASTLEIGH"/>
    <m/>
    <m/>
    <m/>
    <s v=" "/>
    <m/>
    <m/>
    <n v="0"/>
    <m/>
    <n v="0"/>
  </r>
  <r>
    <x v="10"/>
    <s v="No"/>
    <s v="POR044"/>
    <s v="740"/>
    <s v="Fareham &amp; Portchester - Sacred Heart Parish (Sacred Heart)"/>
    <s v="FAREHAM"/>
    <s v="Y"/>
    <n v="2387.14"/>
    <m/>
    <s v="1"/>
    <s v="per DD - it is £2672.34  (combined with POR044L/0443606)"/>
    <n v="285.2"/>
    <n v="2672.3399999999997"/>
    <n v="780"/>
    <n v="3452.3399999999997"/>
  </r>
  <r>
    <x v="10"/>
    <s v="Yes"/>
    <s v="POR044L"/>
    <s v="0443606"/>
    <s v="The Catholic Church in Fareham and Portchester (St Philip Howard)"/>
    <s v="FAREHAM"/>
    <s v="Y"/>
    <n v="0"/>
    <n v="0"/>
    <s v="1"/>
    <s v="combined with POR044-740"/>
    <m/>
    <n v="0"/>
    <m/>
    <n v="0"/>
  </r>
  <r>
    <x v="10"/>
    <s v="Yes"/>
    <s v="POR044X"/>
    <s v="741"/>
    <s v="Fareham &amp; Portchester - Sacred Heart Parish (St Thomas More RC Church)"/>
    <s v="FAREHAM"/>
    <m/>
    <m/>
    <m/>
    <s v=" "/>
    <m/>
    <m/>
    <n v="0"/>
    <m/>
    <n v="0"/>
  </r>
  <r>
    <x v="10"/>
    <s v="No"/>
    <s v="POR045"/>
    <s v="742"/>
    <s v="Our Lady Help of Christians RC Church"/>
    <s v="FARNBOROUGH"/>
    <s v="Y"/>
    <n v="812.30000000000007"/>
    <m/>
    <s v="1"/>
    <m/>
    <m/>
    <n v="812.30000000000007"/>
    <n v="220"/>
    <n v="1032.3000000000002"/>
  </r>
  <r>
    <x v="10"/>
    <s v="No"/>
    <s v="POR046"/>
    <s v="743"/>
    <s v="Our  Lady &amp; St Dominic RC Church"/>
    <s v="FARNBOROUGH"/>
    <s v="Y"/>
    <n v="1262.94"/>
    <m/>
    <s v="1"/>
    <m/>
    <m/>
    <n v="1262.94"/>
    <n v="300"/>
    <n v="1562.94"/>
  </r>
  <r>
    <x v="10"/>
    <s v="No"/>
    <s v="POR048"/>
    <s v="745"/>
    <s v="St Michael's Abbey RC Church"/>
    <s v="FARNBOROUGH"/>
    <m/>
    <m/>
    <m/>
    <s v=" "/>
    <m/>
    <m/>
    <n v="0"/>
    <m/>
    <n v="0"/>
  </r>
  <r>
    <x v="10"/>
    <s v="Yes"/>
    <s v="POR049"/>
    <s v="746"/>
    <s v="Parish of The Holy Trinity &amp; Our Lady (Our Lady RC Church)"/>
    <s v="FLEET"/>
    <s v="Y"/>
    <n v="2299.3100000000004"/>
    <m/>
    <s v="1"/>
    <m/>
    <m/>
    <n v="2299.3100000000004"/>
    <n v="405"/>
    <n v="2704.3100000000004"/>
  </r>
  <r>
    <x v="10"/>
    <s v="No"/>
    <s v="POR050"/>
    <s v="747"/>
    <s v="Our Lady of Sorrows &amp; St Philip Benizi"/>
    <s v="FORDINGBRIDGE"/>
    <s v="Y"/>
    <n v="488.18"/>
    <m/>
    <s v="1"/>
    <m/>
    <m/>
    <n v="488.18"/>
    <n v="708.5"/>
    <n v="1196.68"/>
  </r>
  <r>
    <x v="10"/>
    <s v="No"/>
    <s v="POR051"/>
    <s v="748"/>
    <s v="Gosport Parish (St Mary RC Church)"/>
    <s v="GOSPORT"/>
    <m/>
    <m/>
    <m/>
    <s v=" "/>
    <m/>
    <m/>
    <n v="0"/>
    <n v="175"/>
    <n v="175"/>
  </r>
  <r>
    <x v="10"/>
    <s v="Yes"/>
    <s v="POR052"/>
    <s v="749"/>
    <s v="Holy Family Catholic Parish (St Joseph RC Church)"/>
    <s v="BORDON"/>
    <s v="Y"/>
    <n v="138.57999999999998"/>
    <m/>
    <s v="1"/>
    <m/>
    <m/>
    <n v="138.57999999999998"/>
    <n v="95"/>
    <n v="233.57999999999998"/>
  </r>
  <r>
    <x v="10"/>
    <s v="Yes"/>
    <s v="POR054"/>
    <s v="751"/>
    <s v="Our Lady &amp; the Saints of Guernsey Parish (Notre Dame du Rosaire)"/>
    <s v="GUERNSEY"/>
    <m/>
    <m/>
    <m/>
    <s v=" "/>
    <m/>
    <m/>
    <n v="0"/>
    <n v="100"/>
    <n v="100"/>
  </r>
  <r>
    <x v="10"/>
    <s v="Yes"/>
    <s v="POR053"/>
    <s v="750"/>
    <s v="Our Lady &amp; the Saints of Guernsey Parish (St Joseph &amp; St Mary)"/>
    <s v="GUERNSEY"/>
    <s v="Y"/>
    <n v="4755.4699999999993"/>
    <m/>
    <s v="1"/>
    <s v="per DD - it is £4458.28"/>
    <n v="-297.19"/>
    <n v="4458.28"/>
    <m/>
    <n v="4458.28"/>
  </r>
  <r>
    <x v="10"/>
    <s v="Yes"/>
    <s v="POR055"/>
    <s v="752"/>
    <s v="Our Lady &amp; the Saints of Guernsey Parish (Our Lady Star of the Sea)"/>
    <s v="GUERNSEY"/>
    <m/>
    <m/>
    <m/>
    <s v=" "/>
    <m/>
    <m/>
    <n v="0"/>
    <n v="750"/>
    <n v="750"/>
  </r>
  <r>
    <x v="10"/>
    <s v="Yes"/>
    <s v="POR056"/>
    <s v="753"/>
    <s v="Parish of Havant &amp; Emsworth (St Joseph RC Church)"/>
    <s v="HAVANT"/>
    <s v="Y"/>
    <n v="1676.69"/>
    <m/>
    <s v="1"/>
    <m/>
    <m/>
    <n v="1676.69"/>
    <n v="667.5"/>
    <n v="2344.19"/>
  </r>
  <r>
    <x v="10"/>
    <s v="Yes"/>
    <s v="POR056S"/>
    <s v="0479497"/>
    <s v="Parish of Havant &amp; Emsworth (Ss Thomas of Canterbury and Thomas More)"/>
    <s v="HAVANT"/>
    <m/>
    <m/>
    <m/>
    <s v=" "/>
    <m/>
    <m/>
    <n v="0"/>
    <m/>
    <n v="0"/>
  </r>
  <r>
    <x v="10"/>
    <s v="No"/>
    <s v="POR058"/>
    <s v="754"/>
    <s v="St Patrick RC Church"/>
    <s v="HAYLING ISLAND"/>
    <s v="Y"/>
    <m/>
    <n v="407.19"/>
    <s v="1"/>
    <m/>
    <m/>
    <n v="0"/>
    <n v="647.19000000000005"/>
    <n v="647.19000000000005"/>
  </r>
  <r>
    <x v="10"/>
    <s v="Yes"/>
    <s v="POR059"/>
    <s v="755"/>
    <s v="Hedge End Parish (Our Lady of the Assumption)"/>
    <s v="SOUTHAMPTON"/>
    <s v="Y"/>
    <n v="66.5"/>
    <m/>
    <s v="1"/>
    <m/>
    <m/>
    <n v="66.5"/>
    <n v="160"/>
    <n v="226.5"/>
  </r>
  <r>
    <x v="10"/>
    <s v="Yes"/>
    <s v="POR059S"/>
    <s v="0479498"/>
    <s v="Hedge End Parish (St Brigid)"/>
    <s v="SOUTHAMPTON"/>
    <m/>
    <m/>
    <m/>
    <s v=" "/>
    <m/>
    <m/>
    <n v="0"/>
    <m/>
    <n v="0"/>
  </r>
  <r>
    <x v="10"/>
    <s v="No"/>
    <s v="POR060"/>
    <s v="756"/>
    <s v="Holy Redeemer RC Church"/>
    <s v="CHRISTCHURCH"/>
    <s v="Y"/>
    <n v="1691.22"/>
    <m/>
    <s v="1"/>
    <m/>
    <m/>
    <n v="1691.22"/>
    <m/>
    <n v="1691.22"/>
  </r>
  <r>
    <x v="10"/>
    <s v="Yes"/>
    <s v="POR061"/>
    <s v="757"/>
    <s v="Waterside Parish (St Michael RC Church)"/>
    <s v="HYTHE"/>
    <s v="Y"/>
    <n v="932.11"/>
    <m/>
    <s v="1"/>
    <m/>
    <m/>
    <n v="932.11"/>
    <n v="120"/>
    <n v="1052.1100000000001"/>
  </r>
  <r>
    <x v="10"/>
    <s v="Yes"/>
    <s v="POR061L"/>
    <s v="0479499"/>
    <s v="Waterside Parish (St Bernard)"/>
    <s v="SOUTHAMPTON"/>
    <m/>
    <m/>
    <m/>
    <s v=" "/>
    <m/>
    <m/>
    <n v="0"/>
    <m/>
    <n v="0"/>
  </r>
  <r>
    <x v="10"/>
    <s v="No"/>
    <s v="POR062"/>
    <s v="758"/>
    <s v="Sacred Heart RC Church"/>
    <s v="HOOK"/>
    <m/>
    <m/>
    <m/>
    <s v=" "/>
    <m/>
    <m/>
    <n v="0"/>
    <n v="395"/>
    <n v="395"/>
  </r>
  <r>
    <x v="10"/>
    <s v="Yes"/>
    <s v="POR062A"/>
    <s v="147985"/>
    <s v="Yateley &amp;  Hartley Wintney Parish (St Thomas More RC Church)"/>
    <s v="YATELEY"/>
    <m/>
    <m/>
    <m/>
    <s v=" "/>
    <s v="banking per DD"/>
    <n v="223.15"/>
    <n v="223.15"/>
    <n v="50"/>
    <n v="273.14999999999998"/>
  </r>
  <r>
    <x v="10"/>
    <s v="No"/>
    <s v="POR063"/>
    <s v="759"/>
    <s v="St Edmund RC Church"/>
    <s v="HORNDEAN"/>
    <s v="Y"/>
    <n v="893.62"/>
    <m/>
    <s v="1"/>
    <m/>
    <m/>
    <n v="893.62"/>
    <n v="90"/>
    <n v="983.62"/>
  </r>
  <r>
    <x v="10"/>
    <s v="Yes"/>
    <s v="POR065"/>
    <s v="761"/>
    <s v="Jersey Parish - St Helier Area (St Mary &amp; St Peter RC Church)"/>
    <s v="JERSEY"/>
    <s v="Y"/>
    <n v="1158.24"/>
    <m/>
    <s v="1"/>
    <s v="combined with POR066"/>
    <m/>
    <n v="1158.24"/>
    <n v="880"/>
    <n v="2038.24"/>
  </r>
  <r>
    <x v="10"/>
    <s v="Yes"/>
    <s v="POR066"/>
    <s v="762"/>
    <s v="Jersey Parish - St Helier Area (St Thomas RC Church)"/>
    <s v="JERSEY"/>
    <s v="Y"/>
    <n v="0"/>
    <n v="0"/>
    <s v="1"/>
    <s v="combined with POR065"/>
    <m/>
    <n v="0"/>
    <n v="285"/>
    <n v="285"/>
  </r>
  <r>
    <x v="10"/>
    <s v="No"/>
    <s v="POR066A"/>
    <s v="763"/>
    <s v="Portuguese Chaplaincy (CLOSED)"/>
    <s v="JERSEY"/>
    <m/>
    <m/>
    <m/>
    <s v=" "/>
    <m/>
    <m/>
    <n v="0"/>
    <m/>
    <n v="0"/>
  </r>
  <r>
    <x v="10"/>
    <s v="Yes"/>
    <s v="POR067"/>
    <s v="764"/>
    <s v="Jersey Parish - West Area (Sacred Heart RC Church)"/>
    <s v="JERSEY"/>
    <m/>
    <m/>
    <m/>
    <s v=" "/>
    <m/>
    <m/>
    <n v="0"/>
    <n v="275"/>
    <n v="275"/>
  </r>
  <r>
    <x v="10"/>
    <s v="Yes"/>
    <s v="POR067S"/>
    <s v="0479500"/>
    <s v="Jersey Parish - West Area (St Bernadette)"/>
    <s v="JERSEY"/>
    <m/>
    <m/>
    <m/>
    <s v=" "/>
    <m/>
    <m/>
    <n v="0"/>
    <m/>
    <n v="0"/>
  </r>
  <r>
    <x v="10"/>
    <s v="Yes"/>
    <s v="POR068"/>
    <s v="765"/>
    <s v="Jersey Parish - East Area (Our Lady &amp; The Martyrs  of Japan)"/>
    <s v="JERSEY"/>
    <s v="Y"/>
    <n v="617"/>
    <m/>
    <s v="1"/>
    <m/>
    <m/>
    <n v="617"/>
    <n v="85"/>
    <n v="702"/>
  </r>
  <r>
    <x v="10"/>
    <s v="Yes"/>
    <s v="POR069"/>
    <s v="766"/>
    <s v="Jersey Parish - West Area (St Matthieu RC Church)"/>
    <s v="JERSEY"/>
    <s v="Y"/>
    <n v="427.5"/>
    <m/>
    <s v="1"/>
    <s v="per DD - it is £421.50"/>
    <n v="-6"/>
    <n v="421.5"/>
    <n v="316"/>
    <n v="737.5"/>
  </r>
  <r>
    <x v="10"/>
    <s v="Yes"/>
    <s v="POR070"/>
    <s v="767"/>
    <s v="Jersey Parish - East Area (St Patrick RC Church)"/>
    <s v="JERSEY"/>
    <s v="Y"/>
    <n v="1345.49"/>
    <m/>
    <s v="1"/>
    <m/>
    <m/>
    <n v="1345.49"/>
    <n v="230"/>
    <n v="1575.49"/>
  </r>
  <r>
    <x v="10"/>
    <s v="Yes"/>
    <s v="POR072"/>
    <s v="768"/>
    <s v="Lambourn &amp; Hungerford Parish (Sacred Heart RC Church)"/>
    <s v="WANTAGE"/>
    <s v="Y"/>
    <n v="346.55"/>
    <m/>
    <s v="1"/>
    <m/>
    <m/>
    <n v="346.55"/>
    <n v="157.19999999999999"/>
    <n v="503.75"/>
  </r>
  <r>
    <x v="10"/>
    <s v="Yes"/>
    <s v="POR072S"/>
    <s v="0479501"/>
    <s v="Lambourn &amp; Hungerford Parish (Our Lady of Lourdes)"/>
    <s v="HUNGERFORD"/>
    <m/>
    <m/>
    <m/>
    <s v=" "/>
    <m/>
    <m/>
    <n v="0"/>
    <n v="20"/>
    <n v="20"/>
  </r>
  <r>
    <x v="10"/>
    <s v="Yes"/>
    <s v="POR075"/>
    <s v="770"/>
    <s v="Parish of Our Lady &amp; St John (St John the Evangelist)"/>
    <s v="LEE-ON-THE-SOLENT"/>
    <m/>
    <m/>
    <m/>
    <s v=" "/>
    <m/>
    <m/>
    <n v="0"/>
    <n v="1434.6"/>
    <n v="1434.6"/>
  </r>
  <r>
    <x v="10"/>
    <s v="No"/>
    <s v="POR076"/>
    <s v="771"/>
    <s v="St Michael &amp; All Angels RC Church"/>
    <s v="HAVANT"/>
    <s v="Y"/>
    <n v="387.72"/>
    <n v="466.64"/>
    <s v="1"/>
    <s v="per DD - it is £387.62"/>
    <n v="-0.1"/>
    <n v="387.62"/>
    <n v="565.89"/>
    <n v="953.51"/>
  </r>
  <r>
    <x v="10"/>
    <s v="Yes"/>
    <s v="POR077"/>
    <s v="772"/>
    <s v="Holy Family Catholic Parish (The Immaculate Conception)"/>
    <s v="BORDON"/>
    <s v="Y"/>
    <n v="83.64"/>
    <m/>
    <s v="1"/>
    <m/>
    <m/>
    <n v="83.64"/>
    <m/>
    <n v="83.64"/>
  </r>
  <r>
    <x v="10"/>
    <s v="No"/>
    <s v="POR078"/>
    <s v="773"/>
    <s v="Our Lady of Mercy &amp; St Joseph RC Church"/>
    <s v="LYMINGTON"/>
    <s v="Y"/>
    <n v="1074.74"/>
    <m/>
    <s v="1"/>
    <m/>
    <m/>
    <n v="1074.74"/>
    <n v="5900"/>
    <n v="6974.74"/>
  </r>
  <r>
    <x v="10"/>
    <s v="Yes"/>
    <s v="POR079"/>
    <s v="774"/>
    <s v="Parishes of Totton &amp; Lyndhurst (Our Lady &amp; St Edward the Confessor)"/>
    <s v="LYNDHURST"/>
    <s v="Y"/>
    <n v="571.82999999999993"/>
    <n v="20"/>
    <s v="1"/>
    <s v="see return: £20 chq (01-04-19) incl in Dio Bank Acc column &amp; not in grand total"/>
    <m/>
    <n v="571.82999999999993"/>
    <n v="70"/>
    <n v="641.82999999999993"/>
  </r>
  <r>
    <x v="10"/>
    <s v="No"/>
    <s v="POR080"/>
    <s v="775"/>
    <s v="St Joseph Parish (St Joseph RC Church)"/>
    <s v="MAIDENHEAD"/>
    <s v="Y"/>
    <n v="1789.33"/>
    <m/>
    <s v="1"/>
    <m/>
    <m/>
    <n v="1789.33"/>
    <n v="1800"/>
    <n v="3589.33"/>
  </r>
  <r>
    <x v="10"/>
    <s v="No"/>
    <s v="POR081"/>
    <s v="776"/>
    <s v="St Edmund Campion RC Church"/>
    <s v="MAIDENHEAD"/>
    <s v="Y"/>
    <n v="1129.1300000000001"/>
    <m/>
    <s v="1"/>
    <s v="per DD - it is £1132.13"/>
    <n v="3"/>
    <n v="1132.1300000000001"/>
    <n v="252.4"/>
    <n v="1384.5300000000002"/>
  </r>
  <r>
    <x v="10"/>
    <s v="No"/>
    <s v="POR082"/>
    <s v="777"/>
    <s v="St Francis of Assisi RC Church"/>
    <s v="LYMINGTON"/>
    <s v="Y"/>
    <m/>
    <n v="160"/>
    <s v="1"/>
    <s v="chq received 08-01-2020"/>
    <m/>
    <n v="0"/>
    <n v="580"/>
    <n v="580"/>
  </r>
  <r>
    <x v="10"/>
    <s v="No"/>
    <s v="POR083"/>
    <s v="778"/>
    <s v="The Annunciation RC Church"/>
    <s v="SOUTHAMPTON"/>
    <m/>
    <m/>
    <m/>
    <s v=" "/>
    <s v="banking per DD"/>
    <n v="149.47"/>
    <n v="149.47"/>
    <n v="215"/>
    <n v="364.47"/>
  </r>
  <r>
    <x v="10"/>
    <s v="No"/>
    <s v="POR084"/>
    <s v="779"/>
    <s v="St Joseph RC Church"/>
    <s v="NEWBURY"/>
    <s v="Y"/>
    <n v="2078.79"/>
    <m/>
    <s v="1"/>
    <s v="per DD - it is £2128.79"/>
    <n v="50"/>
    <n v="2128.79"/>
    <n v="98"/>
    <n v="2226.79"/>
  </r>
  <r>
    <x v="10"/>
    <s v="No"/>
    <s v="POR085"/>
    <s v="780"/>
    <s v="St Francis de Sales RC Church"/>
    <s v="NEWBURY                       "/>
    <m/>
    <m/>
    <m/>
    <s v=" "/>
    <m/>
    <m/>
    <n v="0"/>
    <n v="516.9"/>
    <n v="516.9"/>
  </r>
  <r>
    <x v="10"/>
    <s v="No"/>
    <s v="POR086"/>
    <s v="781"/>
    <s v="Our Lady of Lourdes RC Church"/>
    <s v="NEW MILTON"/>
    <m/>
    <m/>
    <m/>
    <s v=" "/>
    <s v="banking per DD"/>
    <n v="280.2"/>
    <n v="280.2"/>
    <n v="495"/>
    <n v="775.2"/>
  </r>
  <r>
    <x v="10"/>
    <s v="No"/>
    <s v="POR087"/>
    <s v="782"/>
    <s v="St Thomas of Canterbury"/>
    <s v="NEWPORT"/>
    <s v="Y"/>
    <n v="560.9"/>
    <m/>
    <s v="1"/>
    <s v="per DD - it is £592.73"/>
    <n v="31.83"/>
    <n v="592.73"/>
    <n v="370"/>
    <n v="962.73"/>
  </r>
  <r>
    <x v="10"/>
    <s v="Yes"/>
    <s v="POR089"/>
    <s v="784"/>
    <s v="Hinksey Parish (Our Lady of the Rosary RC Church)"/>
    <s v="OXFORD"/>
    <s v="Y"/>
    <n v="591.15"/>
    <m/>
    <s v="1"/>
    <m/>
    <m/>
    <n v="591.15"/>
    <n v="429"/>
    <n v="1020.15"/>
  </r>
  <r>
    <x v="10"/>
    <s v="Yes"/>
    <s v="POR089S"/>
    <s v="0479503"/>
    <s v="Hinksey Parish (Holy Rood Church)"/>
    <s v="OXFORD"/>
    <m/>
    <m/>
    <m/>
    <s v=" "/>
    <m/>
    <m/>
    <n v="0"/>
    <m/>
    <n v="0"/>
  </r>
  <r>
    <x v="10"/>
    <s v="No"/>
    <s v="POR092"/>
    <s v="786"/>
    <s v="St Margaret Mary RC Church"/>
    <s v="SOUTHAMPTON                   "/>
    <s v="Y"/>
    <n v="1324.06"/>
    <m/>
    <s v="1"/>
    <s v="per DD - it is £1525.26"/>
    <n v="201.2"/>
    <n v="1525.26"/>
    <n v="375"/>
    <n v="1900.26"/>
  </r>
  <r>
    <x v="10"/>
    <s v="No"/>
    <s v="POR093"/>
    <s v="787"/>
    <s v="St Laurence Parish (St Laurence RC Church)"/>
    <s v="PETERSFIELD  "/>
    <s v="Y"/>
    <n v="1062.71"/>
    <m/>
    <s v="1"/>
    <m/>
    <m/>
    <n v="1062.71"/>
    <n v="460"/>
    <n v="1522.71"/>
  </r>
  <r>
    <x v="10"/>
    <s v="No"/>
    <s v="POR093S"/>
    <s v="256860"/>
    <s v="St Laurence Parish  (St Agnes RC Church)"/>
    <s v="LISS                          "/>
    <m/>
    <m/>
    <m/>
    <s v=" "/>
    <m/>
    <m/>
    <n v="0"/>
    <m/>
    <n v="0"/>
  </r>
  <r>
    <x v="10"/>
    <s v="No"/>
    <s v="POR094"/>
    <s v="788"/>
    <s v="Our Lady Star of the Sea - Our Lady of Walsingham"/>
    <s v="FAREHAM"/>
    <m/>
    <m/>
    <m/>
    <s v=" "/>
    <m/>
    <m/>
    <n v="0"/>
    <n v="45"/>
    <n v="45"/>
  </r>
  <r>
    <x v="10"/>
    <s v="No"/>
    <s v="POR095"/>
    <s v="789"/>
    <s v="Quarr Abbey"/>
    <s v="RYDE"/>
    <m/>
    <m/>
    <m/>
    <s v=" "/>
    <m/>
    <m/>
    <n v="0"/>
    <n v="65"/>
    <n v="65"/>
  </r>
  <r>
    <x v="10"/>
    <s v="Yes"/>
    <s v="POR096"/>
    <s v="790"/>
    <s v="Parish of St James &amp; St William of York (St James)"/>
    <s v="READING"/>
    <s v="Y"/>
    <n v="1045.21"/>
    <m/>
    <s v="1"/>
    <m/>
    <m/>
    <n v="1045.21"/>
    <n v="852"/>
    <n v="1897.21"/>
  </r>
  <r>
    <x v="10"/>
    <s v="No"/>
    <s v="POR097"/>
    <s v="791"/>
    <s v="Christ the King RC Church"/>
    <s v="READING"/>
    <s v="Y"/>
    <n v="1100.56"/>
    <m/>
    <s v="1"/>
    <m/>
    <m/>
    <n v="1100.56"/>
    <n v="90"/>
    <n v="1190.56"/>
  </r>
  <r>
    <x v="10"/>
    <s v="No"/>
    <s v="POR098"/>
    <s v="792"/>
    <s v="The English Martyrs"/>
    <s v="READING"/>
    <s v="Y"/>
    <n v="4039"/>
    <m/>
    <s v="1"/>
    <m/>
    <m/>
    <n v="4039"/>
    <n v="516.29999999999995"/>
    <n v="4555.3"/>
  </r>
  <r>
    <x v="10"/>
    <s v="No"/>
    <s v="POR099"/>
    <s v="793"/>
    <s v="St Joseph RC Church"/>
    <s v="READING"/>
    <m/>
    <m/>
    <m/>
    <s v=" "/>
    <s v="banking per DD"/>
    <n v="108.87"/>
    <n v="108.87"/>
    <n v="155"/>
    <n v="263.87"/>
  </r>
  <r>
    <x v="10"/>
    <s v="No"/>
    <s v="POR102"/>
    <s v="797"/>
    <s v="Sacred Heart &amp; St Therese of Lisieux"/>
    <s v="RINGWOOD"/>
    <s v="Y"/>
    <n v="1011.56"/>
    <m/>
    <s v="1"/>
    <s v="per DD - it is £1112.19"/>
    <n v="100.63"/>
    <n v="1112.19"/>
    <m/>
    <n v="1112.19"/>
  </r>
  <r>
    <x v="10"/>
    <s v="Yes"/>
    <s v="POR103"/>
    <s v="798"/>
    <s v="The Parish of St Swithun Wells (St Joseph's)"/>
    <s v="EASTLEIGH"/>
    <m/>
    <m/>
    <m/>
    <s v=" "/>
    <s v="banking per DD"/>
    <n v="333.2"/>
    <n v="333.2"/>
    <n v="410"/>
    <n v="743.2"/>
  </r>
  <r>
    <x v="10"/>
    <s v="Yes"/>
    <s v="POR103S"/>
    <s v="0479506"/>
    <s v="The Parish of St Swithun Wells (St Andrew's)"/>
    <s v="EASTLEIGH"/>
    <m/>
    <m/>
    <m/>
    <s v=" "/>
    <m/>
    <m/>
    <n v="0"/>
    <m/>
    <n v="0"/>
  </r>
  <r>
    <x v="10"/>
    <s v="Yes"/>
    <s v="POR105"/>
    <s v="800"/>
    <s v="Ryde Parish (St Mary RC Church)"/>
    <s v="RYDE"/>
    <m/>
    <m/>
    <m/>
    <s v=" "/>
    <m/>
    <m/>
    <n v="0"/>
    <n v="375"/>
    <n v="375"/>
  </r>
  <r>
    <x v="10"/>
    <s v="Yes"/>
    <s v="POR105S"/>
    <s v="0479507"/>
    <s v="Ryde Parish (St Michael)"/>
    <s v="ISLE OF WIGHT"/>
    <m/>
    <m/>
    <m/>
    <s v=" "/>
    <m/>
    <m/>
    <n v="0"/>
    <m/>
    <n v="0"/>
  </r>
  <r>
    <x v="10"/>
    <s v="Yes"/>
    <s v="POR106"/>
    <s v="801"/>
    <s v="South Wight Parish (St Patrick RC Church)"/>
    <s v="SHANKLIN"/>
    <s v="Y"/>
    <n v="223.65"/>
    <m/>
    <s v="1"/>
    <s v="per DD - it is £209.27"/>
    <n v="-14.38"/>
    <n v="209.27"/>
    <n v="120"/>
    <n v="329.27"/>
  </r>
  <r>
    <x v="10"/>
    <s v="Yes"/>
    <s v="POR107"/>
    <s v="802"/>
    <s v="South Wight Parish (Sacred Heart RC Church)"/>
    <s v="SHANKLIN"/>
    <m/>
    <m/>
    <m/>
    <s v=" "/>
    <m/>
    <m/>
    <n v="0"/>
    <n v="8686.91"/>
    <n v="8686.91"/>
  </r>
  <r>
    <x v="10"/>
    <s v="No"/>
    <s v="POR108"/>
    <s v="0479508"/>
    <s v="St Patrick"/>
    <s v="SHRIVENHAM"/>
    <m/>
    <m/>
    <m/>
    <s v=" "/>
    <m/>
    <m/>
    <n v="0"/>
    <m/>
    <n v="0"/>
  </r>
  <r>
    <x v="10"/>
    <s v="Yes"/>
    <s v="POR109"/>
    <s v="805"/>
    <s v="St Joseph and St Edmund Parish (St Joseph)"/>
    <s v="SOUTHAMPTON"/>
    <m/>
    <m/>
    <m/>
    <s v=" "/>
    <s v="banking per DD"/>
    <n v="388.4"/>
    <n v="388.4"/>
    <n v="938"/>
    <n v="1326.4"/>
  </r>
  <r>
    <x v="10"/>
    <s v="Yes"/>
    <s v="POR109L"/>
    <s v="0479509"/>
    <s v="St Joseph and St Edmund Parish (St Edmund)"/>
    <s v="SOUTHAMPTON"/>
    <m/>
    <m/>
    <m/>
    <s v=" "/>
    <m/>
    <m/>
    <n v="0"/>
    <m/>
    <n v="0"/>
  </r>
  <r>
    <x v="10"/>
    <s v="No"/>
    <s v="POR111"/>
    <s v="807"/>
    <s v="Christ the King &amp; St Colman"/>
    <s v="SOUTHAMPTON"/>
    <s v="Y"/>
    <n v="1361.62"/>
    <m/>
    <s v="1"/>
    <m/>
    <m/>
    <n v="1361.62"/>
    <n v="140"/>
    <n v="1501.62"/>
  </r>
  <r>
    <x v="10"/>
    <s v="No"/>
    <s v="POR112"/>
    <s v="808"/>
    <s v="Holy Family RC Church"/>
    <s v="SOUTHAMPTON"/>
    <m/>
    <m/>
    <m/>
    <s v=" "/>
    <m/>
    <m/>
    <n v="0"/>
    <n v="70"/>
    <n v="70"/>
  </r>
  <r>
    <x v="10"/>
    <s v="No"/>
    <s v="POR113"/>
    <s v="809"/>
    <s v="Immaculate Conception RC Church"/>
    <s v="SOUTHAMPTON"/>
    <m/>
    <m/>
    <m/>
    <s v=" "/>
    <s v="banking per DD"/>
    <n v="716.1"/>
    <n v="716.1"/>
    <n v="90"/>
    <n v="806.1"/>
  </r>
  <r>
    <x v="10"/>
    <s v="No"/>
    <s v="POR114"/>
    <s v="810"/>
    <s v="St Boniface RC Church"/>
    <s v="SOUTHAMPTON"/>
    <m/>
    <m/>
    <m/>
    <s v=" "/>
    <s v="banking per DD"/>
    <n v="448.23"/>
    <n v="448.23"/>
    <n v="170"/>
    <n v="618.23"/>
  </r>
  <r>
    <x v="10"/>
    <s v="No"/>
    <s v="POR116"/>
    <s v="812"/>
    <s v="St Patrick RC Church"/>
    <s v="SOUTHAMPTON"/>
    <s v="Y"/>
    <n v="1343.1100000000001"/>
    <m/>
    <s v="1"/>
    <m/>
    <m/>
    <n v="1343.1100000000001"/>
    <m/>
    <n v="1343.1100000000001"/>
  </r>
  <r>
    <x v="10"/>
    <s v="No"/>
    <s v="POR117"/>
    <s v="813"/>
    <s v="St Vincent de Paul"/>
    <s v="SOUTHAMPTON"/>
    <s v="Y"/>
    <n v="456.23"/>
    <m/>
    <s v="1"/>
    <s v="per DD - it is £492.91"/>
    <n v="36.68"/>
    <n v="492.91"/>
    <n v="360"/>
    <n v="852.91000000000008"/>
  </r>
  <r>
    <x v="10"/>
    <s v="Yes"/>
    <s v="POR119"/>
    <s v="816"/>
    <s v="Parish of Our Lady &amp; St John (Immaculate Conception RC Church)"/>
    <s v="FAREHAM"/>
    <m/>
    <m/>
    <m/>
    <s v=" "/>
    <m/>
    <m/>
    <n v="0"/>
    <n v="421"/>
    <n v="421"/>
  </r>
  <r>
    <x v="10"/>
    <s v="Yes"/>
    <s v="POR120"/>
    <s v="817"/>
    <s v="Tadley Parish (St Michael RC Church)"/>
    <s v="TADLEY"/>
    <s v="Y"/>
    <n v="486.52"/>
    <n v="100"/>
    <s v="1"/>
    <s v="note: ignore WMS chq £325.62 sent to Ecc Sq"/>
    <m/>
    <n v="486.52"/>
    <n v="270"/>
    <n v="756.52"/>
  </r>
  <r>
    <x v="10"/>
    <s v="No"/>
    <s v="POR120S"/>
    <s v="0479510"/>
    <s v="St Peter and St Paul"/>
    <s v="KINGSCLERE"/>
    <m/>
    <m/>
    <m/>
    <s v=" "/>
    <m/>
    <m/>
    <n v="0"/>
    <m/>
    <n v="0"/>
  </r>
  <r>
    <x v="10"/>
    <s v="Yes"/>
    <s v="POR120S2"/>
    <s v="0479511"/>
    <s v="Tadley Parish  (St Oswald)"/>
    <s v="BURGHFIELD COMMON"/>
    <m/>
    <m/>
    <m/>
    <s v=" "/>
    <m/>
    <m/>
    <n v="0"/>
    <n v="60"/>
    <n v="60"/>
  </r>
  <r>
    <x v="10"/>
    <s v="No"/>
    <s v="POR121"/>
    <s v="818"/>
    <s v="Our Lady of the Assumption"/>
    <s v="NEWBURY  "/>
    <m/>
    <m/>
    <m/>
    <s v=" "/>
    <m/>
    <m/>
    <n v="0"/>
    <n v="1057"/>
    <n v="1057"/>
  </r>
  <r>
    <x v="10"/>
    <s v="No"/>
    <s v="POR122"/>
    <s v="819"/>
    <s v="St Saviour RC Church"/>
    <s v="TOTLAND BAY"/>
    <m/>
    <m/>
    <m/>
    <s v=" "/>
    <m/>
    <m/>
    <n v="0"/>
    <n v="470"/>
    <n v="470"/>
  </r>
  <r>
    <x v="10"/>
    <s v="Yes"/>
    <s v="POR123"/>
    <s v="820"/>
    <s v="Parishes of Totton &amp; Lyndhurst (St Theresa of the Child Jesus)"/>
    <s v="SOUTHAMPTON"/>
    <s v="Y"/>
    <n v="542.47"/>
    <m/>
    <s v="1"/>
    <m/>
    <m/>
    <n v="542.47"/>
    <n v="300"/>
    <n v="842.47"/>
  </r>
  <r>
    <x v="10"/>
    <s v="No"/>
    <s v="POR124"/>
    <s v="821"/>
    <s v="Twyford Parish (St Thomas More RC Church)"/>
    <s v="READING"/>
    <s v="Y"/>
    <n v="1336.92"/>
    <m/>
    <s v="1"/>
    <m/>
    <m/>
    <n v="1336.92"/>
    <n v="155"/>
    <n v="1491.92"/>
  </r>
  <r>
    <x v="10"/>
    <s v="No"/>
    <s v="POR124S"/>
    <s v="0479512"/>
    <s v="Twyford Parish (Our Lady of Peace)"/>
    <s v="WARGRAVE"/>
    <m/>
    <m/>
    <m/>
    <s v=" "/>
    <m/>
    <m/>
    <n v="0"/>
    <m/>
    <n v="0"/>
  </r>
  <r>
    <x v="10"/>
    <s v="Yes"/>
    <s v="POR126"/>
    <s v="822"/>
    <s v="South Wight Parish  (Our Lady &amp; St Wilfrid RC Church)"/>
    <s v="SHANKLIN"/>
    <m/>
    <m/>
    <m/>
    <s v=" "/>
    <m/>
    <m/>
    <n v="0"/>
    <n v="239"/>
    <n v="239"/>
  </r>
  <r>
    <x v="10"/>
    <s v="No"/>
    <s v="POR127"/>
    <s v="823"/>
    <s v="St John the Evangelist"/>
    <s v="DIDCOT"/>
    <s v="Y"/>
    <m/>
    <n v="454.4"/>
    <s v="1"/>
    <m/>
    <m/>
    <n v="0"/>
    <n v="1014.4"/>
    <n v="1014.4"/>
  </r>
  <r>
    <x v="10"/>
    <s v="No"/>
    <s v="POR128"/>
    <s v="824"/>
    <s v="St John Vianney"/>
    <s v="WANTAGE"/>
    <s v="Y"/>
    <n v="1148"/>
    <m/>
    <s v="1"/>
    <m/>
    <m/>
    <n v="1148"/>
    <n v="77.2"/>
    <n v="1225.2"/>
  </r>
  <r>
    <x v="10"/>
    <s v="No"/>
    <s v="POR129"/>
    <s v="825"/>
    <s v="The Sacred Heart &amp; St Peter the Apostle RC Church"/>
    <s v="WATERLOOVILLE"/>
    <m/>
    <m/>
    <m/>
    <s v=" "/>
    <s v="amended amount"/>
    <m/>
    <n v="0"/>
    <n v="719.27"/>
    <n v="719.27"/>
  </r>
  <r>
    <x v="10"/>
    <s v="No"/>
    <s v="POR131"/>
    <s v="826"/>
    <s v="St Peter &amp; The Winchester Martyrs Parish (St Peter RC Church)"/>
    <s v="WINCHESTER"/>
    <m/>
    <m/>
    <m/>
    <s v=" "/>
    <s v="banking per DD"/>
    <n v="945.21"/>
    <n v="945.21"/>
    <n v="1077.8900000000001"/>
    <n v="2023.1000000000001"/>
  </r>
  <r>
    <x v="10"/>
    <s v="Yes"/>
    <s v="POR131S2"/>
    <s v="0479514"/>
    <s v="St Peter &amp; The Winchester Martyrs Parish (St Stephen RC Church)"/>
    <s v="WINCHESTER"/>
    <m/>
    <m/>
    <m/>
    <s v=" "/>
    <m/>
    <m/>
    <n v="0"/>
    <m/>
    <n v="0"/>
  </r>
  <r>
    <x v="10"/>
    <s v="Yes"/>
    <s v="POR132"/>
    <s v="827"/>
    <s v="St Thomas More RC Church - Hampshire Downs"/>
    <s v="WINCHESTER"/>
    <m/>
    <m/>
    <m/>
    <s v=" "/>
    <m/>
    <m/>
    <n v="0"/>
    <m/>
    <n v="0"/>
  </r>
  <r>
    <x v="10"/>
    <s v="Yes"/>
    <s v="POR134"/>
    <s v="829"/>
    <s v="Windsor Parish (St Edward RC Church)"/>
    <s v="WINDSOR"/>
    <m/>
    <m/>
    <m/>
    <s v=" "/>
    <s v="banking per DD"/>
    <n v="266.07"/>
    <n v="266.07"/>
    <n v="1101.48"/>
    <n v="1367.55"/>
  </r>
  <r>
    <x v="10"/>
    <s v="Yes"/>
    <s v="POR134S"/>
    <s v="0479515"/>
    <s v="Windsor Parish (St Mark RC Church)"/>
    <s v="WINDSOR"/>
    <m/>
    <m/>
    <m/>
    <s v=" "/>
    <m/>
    <m/>
    <n v="0"/>
    <m/>
    <n v="0"/>
  </r>
  <r>
    <x v="10"/>
    <s v="No"/>
    <s v="POR135"/>
    <s v="830"/>
    <s v="Corpus Christi RC Church"/>
    <s v="WOKINGHAM                     "/>
    <s v="Y"/>
    <n v="1260.8599999999997"/>
    <m/>
    <s v="1"/>
    <m/>
    <m/>
    <n v="1260.8599999999997"/>
    <n v="1030"/>
    <n v="2290.8599999999997"/>
  </r>
  <r>
    <x v="10"/>
    <s v="No"/>
    <s v="POR136"/>
    <s v="831"/>
    <s v="St John Bosco RC Church"/>
    <s v="READING"/>
    <s v="Y"/>
    <n v="2377.33"/>
    <m/>
    <s v="1"/>
    <s v="per DD - it is £2371.70"/>
    <n v="-5.63"/>
    <n v="2371.6999999999998"/>
    <n v="630"/>
    <n v="3001.7"/>
  </r>
  <r>
    <x v="10"/>
    <s v="Yes"/>
    <s v="POR137"/>
    <s v="832"/>
    <s v="Woolhampton Parish (St Mary RC Church)"/>
    <s v="READING"/>
    <s v="Y"/>
    <n v="264.39999999999998"/>
    <m/>
    <s v="1"/>
    <m/>
    <m/>
    <n v="264.39999999999998"/>
    <n v="820"/>
    <n v="1084.4000000000001"/>
  </r>
  <r>
    <x v="10"/>
    <s v="No"/>
    <s v="POR138"/>
    <s v="833"/>
    <s v="Tadley Parish (St Oswald RC Church)"/>
    <s v="READING"/>
    <s v="Y"/>
    <n v="215.54"/>
    <m/>
    <s v="1"/>
    <m/>
    <m/>
    <n v="215.54"/>
    <m/>
    <n v="215.54"/>
  </r>
  <r>
    <x v="10"/>
    <s v="Yes"/>
    <s v="POR139"/>
    <s v="834"/>
    <s v="Woolhampton Parish (Our Lady &amp; St Bernadette)"/>
    <s v="READING                       "/>
    <s v="Y"/>
    <n v="129"/>
    <m/>
    <s v="1"/>
    <m/>
    <m/>
    <n v="129"/>
    <n v="40"/>
    <n v="169"/>
  </r>
  <r>
    <x v="10"/>
    <s v="Yes"/>
    <s v="POR140"/>
    <s v="835"/>
    <s v="Yateley &amp;  Hartley Wintney Parish (St Swithun RC Church)"/>
    <s v="YATELEY"/>
    <m/>
    <m/>
    <m/>
    <s v=" "/>
    <s v="banking per DD"/>
    <n v="289.01"/>
    <n v="289.01"/>
    <n v="230"/>
    <n v="519.01"/>
  </r>
  <r>
    <x v="10"/>
    <s v="Yes"/>
    <s v="POR141"/>
    <s v="836"/>
    <s v="Parish of Crowthorne &amp; Sandhurst (The Immaculate Conception RC Church)"/>
    <s v="SANDHURST"/>
    <s v="Y"/>
    <n v="1642.04"/>
    <m/>
    <s v="1"/>
    <m/>
    <m/>
    <n v="1642.04"/>
    <n v="230"/>
    <n v="1872.04"/>
  </r>
  <r>
    <x v="10"/>
    <s v="Yes"/>
    <s v="POR142"/>
    <s v="837"/>
    <s v="Woolhampton Parish (St Luke RC Church)"/>
    <s v="READING"/>
    <s v="Y"/>
    <n v="158.93"/>
    <m/>
    <s v="1"/>
    <s v="per DD - it is £159.43"/>
    <n v="0.5"/>
    <n v="159.43"/>
    <m/>
    <n v="159.43"/>
  </r>
  <r>
    <x v="10"/>
    <s v="No"/>
    <s v="POR143"/>
    <s v="227372"/>
    <s v="Gosport Parish (St Columba RC Church)"/>
    <s v="GOSPORT"/>
    <s v="Y"/>
    <n v="1022.9200000000001"/>
    <n v="662.98"/>
    <s v="1"/>
    <m/>
    <m/>
    <n v="1022.9200000000001"/>
    <n v="662.98"/>
    <n v="1685.9"/>
  </r>
  <r>
    <x v="10"/>
    <s v="No"/>
    <s v="POR144"/>
    <s v="227468"/>
    <s v="Douai Abbey"/>
    <s v="READING                       "/>
    <m/>
    <m/>
    <m/>
    <s v=" "/>
    <m/>
    <m/>
    <n v="0"/>
    <m/>
    <n v="0"/>
  </r>
  <r>
    <x v="10"/>
    <s v="No"/>
    <s v="POR145"/>
    <s v="232182"/>
    <s v="St Joseph Parish (St Elizabeth RC Church)"/>
    <s v="MAIDENHEAD                    "/>
    <m/>
    <m/>
    <m/>
    <s v=" "/>
    <m/>
    <m/>
    <n v="0"/>
    <m/>
    <n v="0"/>
  </r>
  <r>
    <x v="10"/>
    <s v="Yes"/>
    <s v="POR146"/>
    <s v="255756"/>
    <s v="Parish of St James &amp; St William of York (St William of York)"/>
    <s v="READING"/>
    <m/>
    <m/>
    <m/>
    <s v=" "/>
    <m/>
    <m/>
    <n v="0"/>
    <m/>
    <n v="0"/>
  </r>
  <r>
    <x v="10"/>
    <s v="No"/>
    <s v="POR999"/>
    <s v="840"/>
    <s v="Portsmouth Diocese Various"/>
    <m/>
    <m/>
    <m/>
    <m/>
    <s v=" "/>
    <s v="unidentified items in DD's return"/>
    <n v="135.73000000000002"/>
    <n v="135.73000000000002"/>
    <n v="105"/>
    <n v="240.73000000000002"/>
  </r>
  <r>
    <x v="11"/>
    <s v="No"/>
    <s v="SHR001"/>
    <s v="1053"/>
    <s v="Cathedral Church of Our Lady Help of Christians &amp; St Peter of Alcantara"/>
    <s v="SHREWSBURY"/>
    <s v="Y"/>
    <n v="779.32999999999993"/>
    <m/>
    <s v="1"/>
    <s v="per DD - it is £764.33"/>
    <n v="-15"/>
    <n v="764.32999999999993"/>
    <n v="755"/>
    <n v="1519.33"/>
  </r>
  <r>
    <x v="11"/>
    <s v="No"/>
    <s v="SHR002"/>
    <s v="1054"/>
    <s v="Our Lady of Pity"/>
    <s v="SHREWSBURY"/>
    <s v="Y"/>
    <n v="809.56"/>
    <m/>
    <s v="1"/>
    <m/>
    <m/>
    <n v="809.56"/>
    <n v="25"/>
    <n v="834.56"/>
  </r>
  <r>
    <x v="11"/>
    <s v="No"/>
    <s v="SHR003"/>
    <s v="1055"/>
    <s v="St Winefride"/>
    <s v="SHREWSBURY"/>
    <s v="Y"/>
    <n v="515.79"/>
    <m/>
    <s v="1"/>
    <m/>
    <m/>
    <n v="515.79"/>
    <n v="70"/>
    <n v="585.79"/>
  </r>
  <r>
    <x v="11"/>
    <s v="No"/>
    <s v="SHR004"/>
    <s v="1056"/>
    <s v="St Pius X"/>
    <s v="ALDERLEY EDGE"/>
    <s v="Y"/>
    <n v="282.95"/>
    <m/>
    <s v="1"/>
    <s v="per DD - it is £282.77"/>
    <n v="-0.18"/>
    <n v="282.77"/>
    <n v="170"/>
    <n v="452.77"/>
  </r>
  <r>
    <x v="11"/>
    <s v="No"/>
    <s v="SHR005"/>
    <s v="1057"/>
    <s v="St Gabriel"/>
    <s v="ALSAGER"/>
    <s v="Y"/>
    <n v="3960.19"/>
    <m/>
    <s v="1"/>
    <s v="per DD - it is £4134.71"/>
    <n v="174.52"/>
    <n v="4134.71"/>
    <n v="472"/>
    <n v="4606.71"/>
  </r>
  <r>
    <x v="11"/>
    <s v="No"/>
    <s v="SHR006"/>
    <s v="1059"/>
    <s v="St Hugh &amp; St John"/>
    <s v="ALTRINCHAM"/>
    <s v="Y"/>
    <n v="2403.37"/>
    <m/>
    <s v="1"/>
    <s v="per DD - it is £2403.39"/>
    <n v="0.02"/>
    <n v="2403.39"/>
    <n v="815"/>
    <n v="3218.39"/>
  </r>
  <r>
    <x v="11"/>
    <s v="No"/>
    <s v="SHR008"/>
    <s v="1061"/>
    <s v="St Vincent de Paul"/>
    <s v="ALTRINCHAM"/>
    <s v="Y"/>
    <n v="5726.81"/>
    <m/>
    <s v="1"/>
    <m/>
    <m/>
    <n v="5726.81"/>
    <n v="1109"/>
    <n v="6835.81"/>
  </r>
  <r>
    <x v="11"/>
    <s v="No"/>
    <s v="SHR009"/>
    <s v="1062"/>
    <s v="Parish of St John Vianney (Our Lady of Fatima)"/>
    <s v="BARNTON"/>
    <s v="Y"/>
    <n v="339.14"/>
    <m/>
    <s v="1"/>
    <s v="per DD - it is £339.16"/>
    <n v="0.02"/>
    <n v="339.15999999999997"/>
    <n v="84"/>
    <n v="423.15999999999997"/>
  </r>
  <r>
    <x v="11"/>
    <s v="No"/>
    <s v="SHR009X"/>
    <s v="1063"/>
    <s v="St Luke the Physician"/>
    <s v="BEBINGTON"/>
    <s v="Y"/>
    <n v="1656.16"/>
    <m/>
    <s v="1"/>
    <m/>
    <m/>
    <n v="1656.16"/>
    <n v="265"/>
    <n v="1921.16"/>
  </r>
  <r>
    <x v="11"/>
    <s v="No"/>
    <s v="SHR011"/>
    <s v="1065"/>
    <s v="Holy Name of Jesus"/>
    <s v="BIRKENHEAD"/>
    <m/>
    <m/>
    <m/>
    <s v=" "/>
    <s v="banking per DD"/>
    <n v="340.28"/>
    <n v="340.28"/>
    <n v="383"/>
    <n v="723.28"/>
  </r>
  <r>
    <x v="11"/>
    <s v="No"/>
    <s v="SHR012"/>
    <s v="1066"/>
    <s v="Our Lady, Holy Cross &amp; St Paul (Our Lady of the Immaculate Conception)"/>
    <s v="BIRKENHEAD"/>
    <s v="Y"/>
    <n v="595.63"/>
    <m/>
    <s v="1"/>
    <m/>
    <m/>
    <n v="595.63"/>
    <n v="96"/>
    <n v="691.63"/>
  </r>
  <r>
    <x v="11"/>
    <s v="No"/>
    <s v="SHR013"/>
    <s v="1067"/>
    <s v="St Anne"/>
    <s v="BIRKENHEAD"/>
    <s v="Y"/>
    <n v="1110.2199999999998"/>
    <m/>
    <s v="1"/>
    <s v="per DD - it is £1105.22  (Diff of £30 in Grand Total which stated £1080.22 in annual retrun)"/>
    <n v="-5"/>
    <n v="1105.2199999999998"/>
    <n v="1005"/>
    <n v="2110.2199999999998"/>
  </r>
  <r>
    <x v="11"/>
    <s v="No"/>
    <s v="SHR014"/>
    <s v="1068"/>
    <s v="St Joseph"/>
    <s v="BIRKENHEAD"/>
    <s v="Y"/>
    <n v="715.68"/>
    <m/>
    <s v="1"/>
    <s v="per DD - it is £702.38"/>
    <n v="-13.3"/>
    <n v="702.38"/>
    <n v="75"/>
    <n v="777.38"/>
  </r>
  <r>
    <x v="11"/>
    <s v="No"/>
    <s v="SHR016"/>
    <s v="1070"/>
    <s v="St Michael &amp; All Angels"/>
    <s v="BIRKENHEAD"/>
    <s v="Y"/>
    <n v="763"/>
    <m/>
    <s v="1"/>
    <m/>
    <m/>
    <n v="763"/>
    <m/>
    <n v="763"/>
  </r>
  <r>
    <x v="11"/>
    <s v="No"/>
    <s v="SHR017"/>
    <s v="1071"/>
    <s v="Our Lady, Holy Cross &amp; St Paul (Holy Cross &amp; St Paul)"/>
    <s v="BIRKENHEAD"/>
    <s v="Y"/>
    <n v="283.27999999999997"/>
    <m/>
    <s v="1"/>
    <s v="Diff 10p: Grand Total stated £283.38"/>
    <m/>
    <n v="283.27999999999997"/>
    <n v="5"/>
    <n v="288.27999999999997"/>
  </r>
  <r>
    <x v="11"/>
    <s v="No"/>
    <s v="SHR018"/>
    <s v="1072"/>
    <s v="St Peter"/>
    <s v="BIRKENHEAD"/>
    <m/>
    <m/>
    <m/>
    <s v=" "/>
    <m/>
    <m/>
    <n v="0"/>
    <m/>
    <n v="0"/>
  </r>
  <r>
    <x v="11"/>
    <s v="No"/>
    <s v="SHR019"/>
    <s v="1073"/>
    <s v="St Werburgh &amp; St Laurence"/>
    <s v="BIRKENHEAD"/>
    <s v="Y"/>
    <n v="171.87"/>
    <m/>
    <s v="1"/>
    <m/>
    <m/>
    <n v="171.87"/>
    <n v="80"/>
    <n v="251.87"/>
  </r>
  <r>
    <x v="11"/>
    <s v="No"/>
    <s v="SHR020"/>
    <s v="1074"/>
    <s v="St Gregory"/>
    <s v="BOLLINGTON"/>
    <m/>
    <m/>
    <m/>
    <s v=" "/>
    <m/>
    <m/>
    <n v="0"/>
    <n v="245"/>
    <n v="245"/>
  </r>
  <r>
    <x v="11"/>
    <s v="No"/>
    <s v="SHR021"/>
    <s v="1075"/>
    <s v="St Vincent de Paul"/>
    <s v="BRAMHALL"/>
    <s v="Y"/>
    <n v="654"/>
    <m/>
    <s v="1"/>
    <m/>
    <m/>
    <n v="654"/>
    <n v="300"/>
    <n v="954"/>
  </r>
  <r>
    <x v="11"/>
    <s v="No"/>
    <s v="SHR022"/>
    <s v="1076"/>
    <s v="St John the Evangelist"/>
    <s v="BRIDGNORTH"/>
    <s v="Y"/>
    <n v="1013.4999999999999"/>
    <m/>
    <s v="1"/>
    <s v="per DD - it is £1036.6"/>
    <n v="23.1"/>
    <n v="1036.5999999999999"/>
    <n v="138"/>
    <n v="1174.5999999999999"/>
  </r>
  <r>
    <x v="11"/>
    <s v="No"/>
    <s v="SHR023"/>
    <s v="1077"/>
    <s v="Christ the King"/>
    <s v="BROMBOROUGH"/>
    <s v="Y"/>
    <n v="1992.62"/>
    <m/>
    <s v="1"/>
    <m/>
    <m/>
    <n v="1992.62"/>
    <n v="475"/>
    <n v="2467.62"/>
  </r>
  <r>
    <x v="11"/>
    <s v="No"/>
    <s v="SHR024"/>
    <s v="1078"/>
    <s v="Christ Church"/>
    <s v="HEALD GREEN"/>
    <s v="Y"/>
    <n v="1341.12"/>
    <m/>
    <s v="1"/>
    <s v="per DD - it is £1441.12"/>
    <n v="100"/>
    <n v="1441.12"/>
    <n v="230"/>
    <n v="1671.12"/>
  </r>
  <r>
    <x v="11"/>
    <s v="No"/>
    <s v="SHR025"/>
    <s v="1079"/>
    <s v="St Ann"/>
    <s v="CHEADLE"/>
    <s v="Y"/>
    <n v="184.57"/>
    <m/>
    <s v="1"/>
    <m/>
    <m/>
    <n v="184.57"/>
    <n v="80"/>
    <n v="264.57"/>
  </r>
  <r>
    <x v="11"/>
    <s v="No"/>
    <s v="SHR026"/>
    <s v="1080"/>
    <s v="St Chad"/>
    <s v="CHEADLE"/>
    <s v="Y"/>
    <n v="646.55999999999995"/>
    <m/>
    <s v="1"/>
    <s v="per DD - it is £756.56"/>
    <n v="110"/>
    <n v="756.56"/>
    <n v="695"/>
    <n v="1451.56"/>
  </r>
  <r>
    <x v="11"/>
    <s v="No"/>
    <s v="SHR027"/>
    <s v="1081"/>
    <s v="St Clare"/>
    <s v="CHESTER"/>
    <s v="Y"/>
    <n v="1097.08"/>
    <m/>
    <s v="1"/>
    <s v="per DD - it is £1104.05"/>
    <n v="6.97"/>
    <n v="1104.05"/>
    <n v="865"/>
    <n v="1969.05"/>
  </r>
  <r>
    <x v="11"/>
    <s v="No"/>
    <s v="SHR028"/>
    <s v="1082"/>
    <s v="St Columba"/>
    <s v="CHESTER"/>
    <s v="Y"/>
    <n v="880.98"/>
    <m/>
    <s v="1"/>
    <m/>
    <m/>
    <n v="880.98"/>
    <n v="296"/>
    <n v="1176.98"/>
  </r>
  <r>
    <x v="11"/>
    <s v="No"/>
    <s v="SHR029"/>
    <s v="1083"/>
    <s v="St Francis"/>
    <s v="CHESTER"/>
    <m/>
    <m/>
    <m/>
    <s v=" "/>
    <m/>
    <m/>
    <n v="0"/>
    <m/>
    <n v="0"/>
  </r>
  <r>
    <x v="11"/>
    <s v="No"/>
    <s v="SHR030"/>
    <s v="1084"/>
    <s v="St Theresa"/>
    <s v="CHESTER"/>
    <m/>
    <m/>
    <m/>
    <s v=" "/>
    <s v="banking per DD"/>
    <n v="188.86"/>
    <n v="188.86"/>
    <n v="20"/>
    <n v="208.86"/>
  </r>
  <r>
    <x v="11"/>
    <s v="No"/>
    <s v="SHR031"/>
    <s v="1085"/>
    <s v="St Werburgh"/>
    <s v="CHESTER"/>
    <s v="Y"/>
    <n v="3633.14"/>
    <m/>
    <s v="1"/>
    <m/>
    <m/>
    <n v="3633.14"/>
    <n v="315"/>
    <n v="3948.14"/>
  </r>
  <r>
    <x v="11"/>
    <s v="No"/>
    <s v="SHR031S"/>
    <s v="0444413"/>
    <s v="Rowton Methodist Church"/>
    <s v="WAVERTON"/>
    <m/>
    <m/>
    <m/>
    <s v=" "/>
    <m/>
    <m/>
    <n v="0"/>
    <m/>
    <n v="0"/>
  </r>
  <r>
    <x v="11"/>
    <s v="No"/>
    <s v="SHR032"/>
    <s v="1086"/>
    <s v="St Milburga"/>
    <s v="CHURCH STRETTON"/>
    <s v="Y"/>
    <n v="436.77"/>
    <m/>
    <s v="1"/>
    <m/>
    <m/>
    <n v="436.77"/>
    <n v="105"/>
    <n v="541.77"/>
  </r>
  <r>
    <x v="11"/>
    <s v="No"/>
    <s v="SHR032S"/>
    <s v="0444397"/>
    <s v="St Walburga"/>
    <s v="PLOWDEN"/>
    <m/>
    <m/>
    <m/>
    <s v=" "/>
    <m/>
    <m/>
    <n v="0"/>
    <m/>
    <n v="0"/>
  </r>
  <r>
    <x v="11"/>
    <s v="No"/>
    <s v="SHR033"/>
    <s v="1087"/>
    <s v="St Mary"/>
    <s v="CONGLETON"/>
    <s v="Y"/>
    <n v="903.35"/>
    <m/>
    <s v="1"/>
    <m/>
    <m/>
    <n v="903.35"/>
    <n v="190"/>
    <n v="1093.3499999999999"/>
  </r>
  <r>
    <x v="11"/>
    <s v="No"/>
    <s v="SHR034"/>
    <s v="1088"/>
    <s v="St Mary of the Immaculate Conception"/>
    <s v="CREWE"/>
    <s v="Y"/>
    <n v="2266.48"/>
    <m/>
    <s v="1"/>
    <m/>
    <m/>
    <n v="2266.48"/>
    <n v="273"/>
    <n v="2539.48"/>
  </r>
  <r>
    <x v="11"/>
    <s v="No"/>
    <s v="SHR035"/>
    <s v="1089"/>
    <s v="St Mary"/>
    <s v="DUKINFIELD"/>
    <s v="Y"/>
    <n v="701.3"/>
    <m/>
    <s v="1"/>
    <m/>
    <m/>
    <n v="701.3"/>
    <n v="230"/>
    <n v="931.3"/>
  </r>
  <r>
    <x v="11"/>
    <s v="No"/>
    <s v="SHR036"/>
    <s v="1090"/>
    <s v="St Michael"/>
    <s v="ELLESMERE"/>
    <m/>
    <m/>
    <m/>
    <s v=" "/>
    <m/>
    <m/>
    <n v="0"/>
    <n v="50"/>
    <n v="50"/>
  </r>
  <r>
    <x v="11"/>
    <s v="No"/>
    <s v="SHR036X"/>
    <s v="147912"/>
    <s v="Our Lady or Perpetual Succour"/>
    <s v="WEM"/>
    <s v="Y"/>
    <n v="1108.95"/>
    <m/>
    <s v="1"/>
    <m/>
    <m/>
    <n v="1108.95"/>
    <n v="200"/>
    <n v="1308.95"/>
  </r>
  <r>
    <x v="11"/>
    <s v="No"/>
    <s v="SHR037"/>
    <s v="1091"/>
    <s v="Our Lady Star of the Sea"/>
    <s v="ELLESMERE PORT"/>
    <s v="Y"/>
    <n v="1254.3"/>
    <m/>
    <s v="1"/>
    <m/>
    <m/>
    <n v="1254.3"/>
    <n v="272"/>
    <n v="1526.3"/>
  </r>
  <r>
    <x v="11"/>
    <s v="No"/>
    <s v="SHR038"/>
    <s v="1092"/>
    <s v="St Bernard of Clairvaux"/>
    <s v="ELLESMERE PORT"/>
    <s v="Y"/>
    <n v="0"/>
    <n v="0"/>
    <s v="1"/>
    <m/>
    <m/>
    <n v="0"/>
    <n v="75"/>
    <n v="75"/>
  </r>
  <r>
    <x v="11"/>
    <s v="No"/>
    <s v="SHR039"/>
    <s v="1093"/>
    <s v="St Luke"/>
    <s v="FRODSHAM"/>
    <s v="Y"/>
    <m/>
    <n v="441.17"/>
    <s v="1"/>
    <m/>
    <m/>
    <n v="0"/>
    <n v="1071.17"/>
    <n v="1071.17"/>
  </r>
  <r>
    <x v="11"/>
    <s v="No"/>
    <s v="SHR040"/>
    <s v="1094"/>
    <s v="Our Lady of Pity"/>
    <s v="GREASBY"/>
    <s v="Y"/>
    <n v="1858.3199999999997"/>
    <m/>
    <s v="1"/>
    <s v="per DD - it is £1747.48"/>
    <n v="-110.84"/>
    <n v="1747.4799999999998"/>
    <n v="541"/>
    <n v="2288.4799999999996"/>
  </r>
  <r>
    <x v="11"/>
    <s v="No"/>
    <s v="SHR041"/>
    <s v="1095"/>
    <s v="St Saviour"/>
    <s v="ELLESMERE PORT"/>
    <s v="Y"/>
    <n v="1863.17"/>
    <m/>
    <s v="1"/>
    <s v="per DD - it is £1827.53  (combined with SHR048-1102)"/>
    <n v="-35.64"/>
    <n v="1827.53"/>
    <n v="275"/>
    <n v="2102.5299999999997"/>
  </r>
  <r>
    <x v="11"/>
    <s v="No"/>
    <s v="SHR042"/>
    <s v="1096"/>
    <s v="Holy Angels"/>
    <s v="HALE BARNS"/>
    <s v="Y"/>
    <n v="563.9"/>
    <m/>
    <s v="1"/>
    <s v="per DD - it is £426.49"/>
    <n v="-137.41"/>
    <n v="426.49"/>
    <n v="885"/>
    <n v="1311.49"/>
  </r>
  <r>
    <x v="11"/>
    <s v="No"/>
    <s v="SHR043"/>
    <s v="1097"/>
    <s v="St Benedict"/>
    <s v="HANDFORTH"/>
    <s v="Y"/>
    <n v="993.17000000000007"/>
    <m/>
    <s v="1"/>
    <m/>
    <m/>
    <n v="993.17000000000007"/>
    <n v="55"/>
    <n v="1048.17"/>
  </r>
  <r>
    <x v="11"/>
    <s v="No"/>
    <s v="SHR044"/>
    <s v="1098"/>
    <s v="St James the Great"/>
    <s v="HATTERSLEY"/>
    <m/>
    <m/>
    <m/>
    <s v=" "/>
    <m/>
    <m/>
    <n v="0"/>
    <n v="266.89"/>
    <n v="266.89"/>
  </r>
  <r>
    <x v="11"/>
    <s v="No"/>
    <s v="SHR046"/>
    <s v="1100"/>
    <s v="St Peter"/>
    <s v="HAZEL GROVE"/>
    <s v="Y"/>
    <n v="7330"/>
    <m/>
    <s v="1"/>
    <s v="per DD - it is £7370"/>
    <n v="40"/>
    <n v="7370"/>
    <n v="755"/>
    <n v="8125"/>
  </r>
  <r>
    <x v="11"/>
    <s v="No"/>
    <s v="SHR047"/>
    <s v="1101"/>
    <s v="Our Lady &amp; St John"/>
    <s v="HESWALL"/>
    <s v="Y"/>
    <n v="771"/>
    <m/>
    <s v="1"/>
    <s v="per DD - it is £786"/>
    <n v="15"/>
    <n v="786"/>
    <n v="365"/>
    <n v="1151"/>
  </r>
  <r>
    <x v="11"/>
    <s v="No"/>
    <s v="SHR048"/>
    <s v="1102"/>
    <s v="St Mary of the Angels"/>
    <s v="HOOTON"/>
    <s v="Y"/>
    <n v="0"/>
    <n v="0"/>
    <s v="1"/>
    <s v="banking per DD   (combined with SHR041-1095)"/>
    <n v="31.5"/>
    <n v="31.5"/>
    <n v="555"/>
    <n v="586.5"/>
  </r>
  <r>
    <x v="11"/>
    <s v="No"/>
    <s v="SHR049"/>
    <s v="1103"/>
    <s v="St Catherine &amp; St Martina"/>
    <s v="HOYLAKE"/>
    <s v="Y"/>
    <n v="549.94000000000005"/>
    <m/>
    <s v="1"/>
    <m/>
    <m/>
    <n v="549.94000000000005"/>
    <n v="255"/>
    <n v="804.94"/>
  </r>
  <r>
    <x v="11"/>
    <s v="No"/>
    <s v="SHR050"/>
    <s v="1104"/>
    <s v="St Paul"/>
    <s v="HYDE"/>
    <s v="Y"/>
    <n v="588.96"/>
    <m/>
    <s v="1"/>
    <m/>
    <m/>
    <n v="588.96"/>
    <n v="175"/>
    <n v="763.96"/>
  </r>
  <r>
    <x v="11"/>
    <s v="No"/>
    <s v="SHR051"/>
    <s v="1105"/>
    <s v="St Vincent de Paul"/>
    <s v="KNUTSFORD"/>
    <s v="Y"/>
    <n v="309.94"/>
    <m/>
    <s v="1"/>
    <s v="per DD - it is £ zero.  (£309.94 stated in Grand Total but not in any column, therefore assumed it was banked directly in Dio Bank Account)"/>
    <n v="-309.94"/>
    <n v="0"/>
    <n v="1249.94"/>
    <n v="1249.94"/>
  </r>
  <r>
    <x v="11"/>
    <s v="No"/>
    <s v="SHR052"/>
    <s v="1106"/>
    <s v="Blessed John Henry Newman"/>
    <s v="LATCHFORD"/>
    <s v="Y"/>
    <n v="1467.97"/>
    <m/>
    <s v="1"/>
    <m/>
    <m/>
    <n v="1467.97"/>
    <n v="228"/>
    <n v="1695.97"/>
  </r>
  <r>
    <x v="11"/>
    <s v="No"/>
    <s v="SHR054"/>
    <s v="1108"/>
    <s v="St Peter"/>
    <s v="LUDLOW"/>
    <s v="Y"/>
    <n v="195.46"/>
    <n v="147.71"/>
    <s v="1"/>
    <m/>
    <m/>
    <n v="195.46"/>
    <n v="222.71"/>
    <n v="418.17"/>
  </r>
  <r>
    <x v="11"/>
    <s v="No"/>
    <s v="SHR054A"/>
    <s v="147944"/>
    <s v="St Elizabeth"/>
    <s v="CLEOBURY MORTIMER"/>
    <s v="Y"/>
    <n v="199.03"/>
    <m/>
    <s v="1"/>
    <m/>
    <m/>
    <n v="199.03"/>
    <m/>
    <n v="199.03"/>
  </r>
  <r>
    <x v="11"/>
    <s v="No"/>
    <s v="SHR055"/>
    <s v="1109"/>
    <s v="St Winefride"/>
    <s v="LYMM"/>
    <s v="Y"/>
    <n v="996.14"/>
    <m/>
    <s v="1"/>
    <m/>
    <m/>
    <n v="996.14"/>
    <n v="245"/>
    <n v="1241.1399999999999"/>
  </r>
  <r>
    <x v="11"/>
    <s v="No"/>
    <s v="SHR056"/>
    <s v="1110"/>
    <s v="St Alban"/>
    <s v="MACCLESFIELD"/>
    <s v="Y"/>
    <n v="1748.35"/>
    <m/>
    <s v="1"/>
    <s v="per DD - it is £1365.18"/>
    <n v="-383.17"/>
    <n v="1365.1799999999998"/>
    <n v="885"/>
    <n v="2250.1799999999998"/>
  </r>
  <r>
    <x v="11"/>
    <s v="No"/>
    <s v="SHR057"/>
    <s v="1111"/>
    <s v="St Edward the Confessor"/>
    <s v="MACCLESFIELD"/>
    <m/>
    <m/>
    <m/>
    <s v=" "/>
    <s v="banking per DD"/>
    <n v="540"/>
    <n v="540"/>
    <n v="35"/>
    <n v="575"/>
  </r>
  <r>
    <x v="11"/>
    <s v="No"/>
    <s v="SHR058"/>
    <s v="0444461"/>
    <s v="St Joseph (CLOSED)"/>
    <s v="MALPAS"/>
    <m/>
    <m/>
    <m/>
    <s v=" "/>
    <m/>
    <m/>
    <n v="0"/>
    <m/>
    <n v="0"/>
  </r>
  <r>
    <x v="11"/>
    <s v="No"/>
    <s v="SHR059"/>
    <s v="1113"/>
    <s v="St Thomas Aquinas &amp; Stephen Harding"/>
    <s v="MARKET DRAYTON"/>
    <m/>
    <m/>
    <m/>
    <s v=" "/>
    <s v="banking per DD"/>
    <n v="467.62"/>
    <n v="467.62"/>
    <n v="110"/>
    <n v="577.62"/>
  </r>
  <r>
    <x v="11"/>
    <s v="No"/>
    <s v="SHR060"/>
    <s v="1114"/>
    <s v="The Holy Spirit"/>
    <s v="MARPLE"/>
    <m/>
    <m/>
    <m/>
    <s v=" "/>
    <m/>
    <m/>
    <n v="0"/>
    <n v="905"/>
    <n v="905"/>
  </r>
  <r>
    <x v="11"/>
    <s v="No"/>
    <s v="SHR061"/>
    <s v="1115"/>
    <s v="St Mary"/>
    <s v="MIDDLEWICH"/>
    <m/>
    <m/>
    <m/>
    <s v=" "/>
    <m/>
    <m/>
    <n v="0"/>
    <n v="1165"/>
    <n v="1165"/>
  </r>
  <r>
    <x v="11"/>
    <s v="No"/>
    <s v="SHR061S"/>
    <s v="0444398"/>
    <s v="St Margaret Ward"/>
    <s v="HOLMES CHAPEL"/>
    <m/>
    <m/>
    <m/>
    <s v=" "/>
    <m/>
    <m/>
    <n v="0"/>
    <m/>
    <n v="0"/>
  </r>
  <r>
    <x v="11"/>
    <s v="No"/>
    <s v="SHR062"/>
    <s v="0444448"/>
    <s v="St Mary Magdalene CLOSED"/>
    <s v="MUCH WENLOCK"/>
    <m/>
    <m/>
    <m/>
    <s v=" "/>
    <m/>
    <m/>
    <n v="0"/>
    <m/>
    <n v="0"/>
  </r>
  <r>
    <x v="11"/>
    <s v="No"/>
    <s v="SHR063"/>
    <s v="1117"/>
    <s v="St Anne"/>
    <s v="NANTWICH"/>
    <m/>
    <m/>
    <m/>
    <s v=" "/>
    <s v="banking per DD"/>
    <n v="3074.54"/>
    <n v="3074.54"/>
    <n v="840"/>
    <n v="3914.54"/>
  </r>
  <r>
    <x v="11"/>
    <s v="No"/>
    <s v="SHR064"/>
    <s v="1118"/>
    <s v="St Winefride"/>
    <s v="NESTON"/>
    <m/>
    <m/>
    <m/>
    <s v=" "/>
    <s v="banking per DD"/>
    <n v="64"/>
    <n v="64"/>
    <n v="135"/>
    <n v="199"/>
  </r>
  <r>
    <x v="11"/>
    <s v="No"/>
    <s v="SHR065"/>
    <s v="1119"/>
    <s v="St John the Evangelist"/>
    <s v="NEW FERRY"/>
    <s v="Y"/>
    <n v="560.99"/>
    <m/>
    <s v="1"/>
    <m/>
    <m/>
    <n v="560.99"/>
    <n v="126.05"/>
    <n v="687.04"/>
  </r>
  <r>
    <x v="11"/>
    <s v="No"/>
    <s v="SHR066"/>
    <s v="1120"/>
    <s v="St Peter &amp; St Paul"/>
    <s v="NEWPORT"/>
    <m/>
    <m/>
    <m/>
    <s v=" "/>
    <m/>
    <m/>
    <n v="0"/>
    <n v="253"/>
    <n v="253"/>
  </r>
  <r>
    <x v="11"/>
    <s v="No"/>
    <s v="SHR067"/>
    <s v="1121"/>
    <s v="Parish of St John Vianney (St Wilfrid)"/>
    <s v="NORTHWICH"/>
    <s v="Y"/>
    <n v="2461.71"/>
    <m/>
    <s v="1"/>
    <m/>
    <m/>
    <n v="2461.71"/>
    <n v="434"/>
    <n v="2895.71"/>
  </r>
  <r>
    <x v="11"/>
    <s v="No"/>
    <s v="SHR068"/>
    <s v="1122"/>
    <s v="Our Lady of Czestochowa"/>
    <s v="NORTHWICH"/>
    <m/>
    <m/>
    <m/>
    <s v=" "/>
    <m/>
    <m/>
    <n v="0"/>
    <m/>
    <n v="0"/>
  </r>
  <r>
    <x v="11"/>
    <s v="No"/>
    <s v="SHR069"/>
    <s v="1123"/>
    <s v="Our Lady Help of Christians &amp; St Oswald"/>
    <s v="OWESTRY"/>
    <s v="Y"/>
    <n v="675"/>
    <m/>
    <s v="1"/>
    <s v="per DD - it is £739.23"/>
    <n v="64.23"/>
    <n v="739.23"/>
    <n v="160"/>
    <n v="899.23"/>
  </r>
  <r>
    <x v="11"/>
    <s v="No"/>
    <s v="SHR070"/>
    <s v="1124"/>
    <s v="Our Lady of Lourdes"/>
    <s v="PARTINGTON"/>
    <m/>
    <m/>
    <m/>
    <s v=" "/>
    <m/>
    <m/>
    <n v="0"/>
    <n v="10"/>
    <n v="10"/>
  </r>
  <r>
    <x v="11"/>
    <s v="No"/>
    <s v="SHR071"/>
    <s v="1125"/>
    <s v="Holy Family"/>
    <s v="PENSBY"/>
    <s v="Y"/>
    <n v="1032.3499999999999"/>
    <m/>
    <s v="1"/>
    <m/>
    <m/>
    <n v="1032.3499999999999"/>
    <n v="40"/>
    <n v="1072.3499999999999"/>
  </r>
  <r>
    <x v="11"/>
    <s v="No"/>
    <s v="SHR072"/>
    <s v="1126"/>
    <s v="St Paul"/>
    <s v="POYNTON"/>
    <m/>
    <m/>
    <m/>
    <s v=" "/>
    <s v="banking per DD"/>
    <n v="212"/>
    <n v="212"/>
    <n v="355"/>
    <n v="567"/>
  </r>
  <r>
    <x v="11"/>
    <s v="No"/>
    <s v="SHR073"/>
    <s v="1127"/>
    <s v="Our Lady &amp; St Christopher"/>
    <s v="ROMILEY"/>
    <s v="Y"/>
    <n v="2182.9900000000002"/>
    <m/>
    <s v="1"/>
    <s v="per DD - it is £2183.02"/>
    <n v="0.03"/>
    <n v="2183.0200000000004"/>
    <n v="45"/>
    <n v="2228.0200000000004"/>
  </r>
  <r>
    <x v="11"/>
    <s v="No"/>
    <s v="SHR074"/>
    <s v="1128"/>
    <s v="The Parish of St Maximilian Kolbe (Holy Spirit)"/>
    <s v="RUNCORN"/>
    <m/>
    <m/>
    <m/>
    <s v=" "/>
    <s v="banking per DD"/>
    <n v="33"/>
    <n v="33"/>
    <n v="130"/>
    <n v="163"/>
  </r>
  <r>
    <x v="11"/>
    <s v="No"/>
    <s v="SHR075"/>
    <s v="1129"/>
    <s v="Parish of The Divine Saviour (Our Lady Mother of the Saviour)"/>
    <s v="RUNCORN"/>
    <m/>
    <m/>
    <m/>
    <s v=" "/>
    <s v="banking per DD"/>
    <n v="373.45"/>
    <n v="373.45"/>
    <n v="165"/>
    <n v="538.45000000000005"/>
  </r>
  <r>
    <x v="11"/>
    <s v="No"/>
    <s v="SHR076"/>
    <s v="1130"/>
    <s v="Parish of The Divine Saviour (St Augustine)"/>
    <s v="RUNCORN"/>
    <s v="Y"/>
    <n v="487.06"/>
    <m/>
    <s v="1"/>
    <m/>
    <m/>
    <n v="487.06"/>
    <n v="35"/>
    <n v="522.05999999999995"/>
  </r>
  <r>
    <x v="11"/>
    <s v="No"/>
    <s v="SHR077"/>
    <s v="1131"/>
    <s v="The Parish of St Maximilian Kolbe (St Edward)"/>
    <s v="RUNCORN"/>
    <s v="Y"/>
    <n v="1410.77"/>
    <m/>
    <s v="1"/>
    <s v="Ecc Sq column has: £821.65(=85.3+30+25+30+364.03+287.32) add cash £589.12 = £1410.77"/>
    <m/>
    <n v="1410.77"/>
    <n v="173"/>
    <n v="1583.77"/>
  </r>
  <r>
    <x v="11"/>
    <s v="No"/>
    <s v="SHR078"/>
    <s v="1132"/>
    <s v="Parish of The Divine Saviour (St Martin de Porres)"/>
    <s v="RUNCORN"/>
    <s v="Y"/>
    <n v="392.59"/>
    <m/>
    <s v="1"/>
    <m/>
    <m/>
    <n v="392.59"/>
    <n v="20"/>
    <n v="412.59"/>
  </r>
  <r>
    <x v="11"/>
    <s v="No"/>
    <s v="SHR079"/>
    <s v="1133"/>
    <s v="All Saints"/>
    <s v="SALE"/>
    <m/>
    <m/>
    <m/>
    <s v=" "/>
    <s v="banking per DD"/>
    <n v="555"/>
    <n v="555"/>
    <n v="50"/>
    <n v="605"/>
  </r>
  <r>
    <x v="11"/>
    <s v="No"/>
    <s v="SHR079A"/>
    <s v="1134"/>
    <s v="St Margaret Ward"/>
    <s v="SALE"/>
    <m/>
    <m/>
    <m/>
    <s v=" "/>
    <m/>
    <m/>
    <n v="0"/>
    <n v="230"/>
    <n v="230"/>
  </r>
  <r>
    <x v="11"/>
    <s v="No"/>
    <s v="SHR080"/>
    <s v="1135"/>
    <s v="St Joseph RC Church"/>
    <s v="SALE"/>
    <s v="Y"/>
    <n v="5788.71"/>
    <m/>
    <s v="1"/>
    <m/>
    <m/>
    <n v="5788.71"/>
    <n v="430"/>
    <n v="6218.71"/>
  </r>
  <r>
    <x v="11"/>
    <s v="No"/>
    <s v="SHR081"/>
    <s v="1136"/>
    <s v="Holy Family"/>
    <s v="SALE MOOR"/>
    <s v="Y"/>
    <n v="1702.92"/>
    <m/>
    <s v="1"/>
    <s v="per DD - it is £1343.73"/>
    <n v="-359.19"/>
    <n v="1343.73"/>
    <n v="177"/>
    <n v="1520.73"/>
  </r>
  <r>
    <x v="11"/>
    <s v="No"/>
    <s v="SHR082"/>
    <s v="1137"/>
    <s v="St Winefride"/>
    <s v="SANDBACH"/>
    <s v="Y"/>
    <n v="513.01"/>
    <m/>
    <s v="1"/>
    <m/>
    <m/>
    <n v="513.01"/>
    <n v="236"/>
    <n v="749.01"/>
  </r>
  <r>
    <x v="11"/>
    <s v="No"/>
    <s v="SHR083"/>
    <s v="1138"/>
    <s v="St Mary"/>
    <s v="SHIFNAL"/>
    <s v="Y"/>
    <n v="1354.6"/>
    <m/>
    <s v="1"/>
    <s v="per DD - it is £1666.93"/>
    <n v="312.33"/>
    <n v="1666.9299999999998"/>
    <n v="60"/>
    <n v="1726.9299999999998"/>
  </r>
  <r>
    <x v="11"/>
    <s v="No"/>
    <s v="SHR083S"/>
    <s v="0444409"/>
    <s v="St Joseph"/>
    <s v="ALBRIGHTON"/>
    <m/>
    <m/>
    <m/>
    <s v=" "/>
    <m/>
    <m/>
    <n v="0"/>
    <m/>
    <n v="0"/>
  </r>
  <r>
    <x v="11"/>
    <s v="No"/>
    <s v="SHR085"/>
    <s v="1139"/>
    <s v="St Peter &amp; St Raphael (St Peter)"/>
    <s v="STALYBRIDGE"/>
    <m/>
    <m/>
    <m/>
    <s v=" "/>
    <m/>
    <m/>
    <n v="0"/>
    <n v="380"/>
    <n v="380"/>
  </r>
  <r>
    <x v="11"/>
    <s v="No"/>
    <s v="SHR086"/>
    <s v="1140"/>
    <s v="St Raphael (CLOSED)"/>
    <s v="STAYLYBRIDGE"/>
    <m/>
    <m/>
    <m/>
    <s v=" "/>
    <m/>
    <m/>
    <n v="0"/>
    <m/>
    <n v="0"/>
  </r>
  <r>
    <x v="11"/>
    <s v="No"/>
    <s v="SHR088"/>
    <s v="1142"/>
    <s v="Our Lady &amp; The Apostle"/>
    <s v="STOCKPORT"/>
    <s v="Y"/>
    <m/>
    <n v="141.07999999999998"/>
    <s v="1"/>
    <m/>
    <m/>
    <n v="0"/>
    <n v="485.58000000000004"/>
    <n v="485.58000000000004"/>
  </r>
  <r>
    <x v="11"/>
    <s v="No"/>
    <s v="SHR089"/>
    <s v="1143"/>
    <s v="St Ambrose"/>
    <s v="STOCKPORT"/>
    <s v="Y"/>
    <n v="678.8"/>
    <m/>
    <s v="1"/>
    <s v="per DD - it is £688.77"/>
    <n v="9.9700000000000006"/>
    <n v="688.77"/>
    <m/>
    <n v="688.77"/>
  </r>
  <r>
    <x v="11"/>
    <s v="No"/>
    <s v="SHR090"/>
    <s v="1144"/>
    <s v="St Bernadette"/>
    <s v="STOCKPORT"/>
    <m/>
    <m/>
    <m/>
    <s v=" "/>
    <s v="banking per DD"/>
    <n v="273.33999999999997"/>
    <n v="273.33999999999997"/>
    <m/>
    <n v="273.33999999999997"/>
  </r>
  <r>
    <x v="11"/>
    <s v="No"/>
    <s v="SHR091"/>
    <s v="1145"/>
    <s v="St Joseph"/>
    <s v="STOCKPORT"/>
    <m/>
    <m/>
    <m/>
    <s v=" "/>
    <m/>
    <m/>
    <n v="0"/>
    <n v="260"/>
    <n v="260"/>
  </r>
  <r>
    <x v="11"/>
    <s v="No"/>
    <s v="SHR092"/>
    <s v="1146"/>
    <s v="St Philip the Apostle"/>
    <s v="STOCKPORT"/>
    <s v="Y"/>
    <m/>
    <n v="360.64"/>
    <s v="1"/>
    <m/>
    <m/>
    <n v="0"/>
    <n v="465.64"/>
    <n v="465.64"/>
  </r>
  <r>
    <x v="11"/>
    <s v="No"/>
    <s v="SHR093"/>
    <s v="1147"/>
    <s v="St Monica"/>
    <s v="APPLETON"/>
    <s v="Y"/>
    <n v="2754.13"/>
    <m/>
    <s v="1"/>
    <m/>
    <m/>
    <n v="2754.13"/>
    <n v="499"/>
    <n v="3253.13"/>
  </r>
  <r>
    <x v="11"/>
    <s v="No"/>
    <s v="SHR094"/>
    <s v="1148"/>
    <s v="St Thomas Becket"/>
    <s v="TARPORLEY"/>
    <s v="Y"/>
    <n v="910.2"/>
    <m/>
    <s v="1"/>
    <m/>
    <m/>
    <n v="910.2"/>
    <n v="170"/>
    <n v="1080.2"/>
  </r>
  <r>
    <x v="11"/>
    <s v="No"/>
    <s v="SHR094S"/>
    <s v="0444419"/>
    <s v="St Cuthbert"/>
    <s v="MOULDSWORTH"/>
    <m/>
    <m/>
    <m/>
    <s v=" "/>
    <m/>
    <m/>
    <n v="0"/>
    <m/>
    <n v="0"/>
  </r>
  <r>
    <x v="11"/>
    <s v="No"/>
    <s v="SHR095"/>
    <s v="1149"/>
    <s v="St Patrick"/>
    <s v="TELFORD"/>
    <s v="Y"/>
    <n v="857"/>
    <m/>
    <s v="1"/>
    <m/>
    <m/>
    <n v="857"/>
    <n v="225"/>
    <n v="1082"/>
  </r>
  <r>
    <x v="11"/>
    <s v="No"/>
    <s v="SHR097"/>
    <s v="1151"/>
    <s v="Our Lady of the Rosary and St Luke"/>
    <s v="TELFORD"/>
    <s v="Y"/>
    <n v="296"/>
    <m/>
    <s v="1"/>
    <m/>
    <m/>
    <n v="296"/>
    <n v="30"/>
    <n v="326"/>
  </r>
  <r>
    <x v="11"/>
    <s v="No"/>
    <s v="SHR097S"/>
    <s v="0444374"/>
    <s v="Chapel of Christ the King"/>
    <s v="TELFORD"/>
    <m/>
    <m/>
    <m/>
    <s v=" "/>
    <m/>
    <m/>
    <n v="0"/>
    <m/>
    <n v="0"/>
  </r>
  <r>
    <x v="11"/>
    <s v="No"/>
    <s v="SHR098"/>
    <s v="1152"/>
    <s v="The Good Shepherd (St Mary)"/>
    <s v="TELFORD"/>
    <m/>
    <m/>
    <m/>
    <s v=" "/>
    <m/>
    <m/>
    <n v="0"/>
    <n v="699.25"/>
    <n v="699.25"/>
  </r>
  <r>
    <x v="11"/>
    <s v="No"/>
    <s v="SHR098L"/>
    <s v="0444451"/>
    <s v="The Good Shepherd (St Paul)"/>
    <s v="TELFORD"/>
    <m/>
    <m/>
    <m/>
    <s v=" "/>
    <m/>
    <m/>
    <n v="0"/>
    <m/>
    <n v="0"/>
  </r>
  <r>
    <x v="11"/>
    <s v="No"/>
    <s v="SHR100"/>
    <s v="1154"/>
    <s v="St Joseph"/>
    <s v="UPTON"/>
    <s v="Y"/>
    <n v="1038.56"/>
    <m/>
    <s v="1"/>
    <m/>
    <m/>
    <n v="1038.56"/>
    <n v="542.59999999999991"/>
    <n v="1581.1599999999999"/>
  </r>
  <r>
    <x v="11"/>
    <s v="No"/>
    <s v="SHR101"/>
    <s v="1155"/>
    <s v="Sacred Heart"/>
    <s v="WALLASEY"/>
    <m/>
    <m/>
    <m/>
    <s v=" "/>
    <m/>
    <m/>
    <n v="0"/>
    <n v="45"/>
    <n v="45"/>
  </r>
  <r>
    <x v="11"/>
    <s v="No"/>
    <s v="SHR102"/>
    <s v="1156"/>
    <s v="St Joseph &amp; St Alban (Our Lady Star of the Sea and St Joseph)"/>
    <s v="WALLASEY"/>
    <s v="Y"/>
    <n v="564.87"/>
    <m/>
    <s v="1"/>
    <s v="per DD - it is £zero"/>
    <m/>
    <n v="564.87"/>
    <n v="25"/>
    <n v="589.87"/>
  </r>
  <r>
    <x v="11"/>
    <s v="No"/>
    <s v="SHR103"/>
    <s v="1157"/>
    <s v="Our Lady of Lourdes"/>
    <s v="WALLASEY"/>
    <m/>
    <m/>
    <m/>
    <s v=" "/>
    <m/>
    <m/>
    <n v="0"/>
    <m/>
    <n v="0"/>
  </r>
  <r>
    <x v="11"/>
    <s v="No"/>
    <s v="SHR104"/>
    <s v="1158"/>
    <s v="St Joseph &amp; St Alban (St Alban)"/>
    <s v="WALLASEY"/>
    <m/>
    <m/>
    <m/>
    <s v=" "/>
    <s v="banking per DD"/>
    <n v="564.87"/>
    <n v="564.87"/>
    <n v="137"/>
    <n v="701.87"/>
  </r>
  <r>
    <x v="11"/>
    <s v="No"/>
    <s v="SHR105"/>
    <s v="1159"/>
    <s v="Ss' Peter, Paul &amp; Philomena"/>
    <s v="WALLASEY"/>
    <s v="Y"/>
    <n v="0"/>
    <n v="0"/>
    <s v="1"/>
    <s v="combined with SHR106-1160"/>
    <m/>
    <n v="0"/>
    <n v="125"/>
    <n v="125"/>
  </r>
  <r>
    <x v="11"/>
    <s v="No"/>
    <s v="SHR106"/>
    <s v="1160"/>
    <s v="Holy Apostles &amp; Martyrs"/>
    <s v="WALLASEY"/>
    <s v="Y"/>
    <n v="625.97"/>
    <m/>
    <s v="1"/>
    <s v="combined with SHR105-1159"/>
    <m/>
    <n v="625.97"/>
    <n v="485"/>
    <n v="1110.97"/>
  </r>
  <r>
    <x v="11"/>
    <s v="No"/>
    <s v="SHR107"/>
    <s v="1161"/>
    <s v="Parish of St John Vianney (St Bede)"/>
    <s v="WEAVERHAM"/>
    <s v="Y"/>
    <n v="252.52"/>
    <m/>
    <s v="1"/>
    <m/>
    <m/>
    <n v="252.52"/>
    <n v="345"/>
    <n v="597.52"/>
  </r>
  <r>
    <x v="11"/>
    <s v="No"/>
    <s v="SHR108"/>
    <s v="1162"/>
    <s v="St Agnes"/>
    <s v="WEST KIRBY"/>
    <s v="Y"/>
    <n v="1311.14"/>
    <m/>
    <s v="1"/>
    <s v="per DD - it is £1313.85"/>
    <n v="2.71"/>
    <n v="1313.8500000000001"/>
    <n v="1985"/>
    <n v="3298.8500000000004"/>
  </r>
  <r>
    <x v="11"/>
    <s v="No"/>
    <s v="SHR109"/>
    <s v="1163"/>
    <s v="The Sacred Heart"/>
    <s v="WHALEY BRIDGE"/>
    <s v="Y"/>
    <n v="348.38"/>
    <m/>
    <s v="1"/>
    <m/>
    <m/>
    <n v="348.38"/>
    <n v="370"/>
    <n v="718.38"/>
  </r>
  <r>
    <x v="11"/>
    <s v="No"/>
    <s v="SHR109S"/>
    <s v="0444408"/>
    <s v="Disley Methodist Church"/>
    <s v="DISLEY"/>
    <m/>
    <m/>
    <m/>
    <s v=" "/>
    <m/>
    <m/>
    <n v="0"/>
    <m/>
    <n v="0"/>
  </r>
  <r>
    <x v="11"/>
    <s v="No"/>
    <s v="SHR110"/>
    <s v="1164"/>
    <s v="St George Protector of England"/>
    <s v="WHITCHURCH"/>
    <s v="Y"/>
    <n v="154.15"/>
    <m/>
    <s v="1"/>
    <m/>
    <m/>
    <n v="154.15"/>
    <n v="55"/>
    <n v="209.15"/>
  </r>
  <r>
    <x v="11"/>
    <s v="No"/>
    <s v="SHR111"/>
    <s v="1165"/>
    <s v="Sacred Heart &amp; St Teresa"/>
    <s v="WILMSLOW"/>
    <s v="Y"/>
    <n v="135.19"/>
    <m/>
    <s v="1"/>
    <m/>
    <m/>
    <n v="135.19"/>
    <n v="465"/>
    <n v="600.19000000000005"/>
  </r>
  <r>
    <x v="11"/>
    <s v="No"/>
    <s v="SHR112"/>
    <s v="1166"/>
    <s v="St Joseph"/>
    <s v="WINSFORD"/>
    <s v="Y"/>
    <n v="945.3599999999999"/>
    <m/>
    <s v="1"/>
    <s v="per DD - it is £1115.07"/>
    <n v="169.71"/>
    <n v="1115.07"/>
    <n v="751"/>
    <n v="1866.07"/>
  </r>
  <r>
    <x v="11"/>
    <s v="No"/>
    <s v="SHR114"/>
    <s v="1167"/>
    <s v="Sacred Heart &amp; St Peter"/>
    <s v="WYTHENSHAWE"/>
    <s v="Y"/>
    <n v="833.56"/>
    <m/>
    <s v="1"/>
    <m/>
    <m/>
    <n v="833.56"/>
    <n v="105"/>
    <n v="938.56"/>
  </r>
  <r>
    <x v="11"/>
    <s v="No"/>
    <s v="SHR115"/>
    <s v="1168"/>
    <s v="St Hilda &amp; St Aidan (St Aidan)"/>
    <s v="WYTHENSHAWE"/>
    <s v="Y"/>
    <n v="235.64"/>
    <m/>
    <s v="1"/>
    <m/>
    <m/>
    <n v="235.64"/>
    <m/>
    <n v="235.64"/>
  </r>
  <r>
    <x v="11"/>
    <s v="No"/>
    <s v="SHR116"/>
    <s v="1169"/>
    <s v="Our Lady Queen of Peace (St Anthony)"/>
    <s v="WYTHENSHAWE"/>
    <m/>
    <m/>
    <m/>
    <s v=" "/>
    <s v="banking per DD"/>
    <n v="1343.45"/>
    <n v="1343.45"/>
    <n v="60"/>
    <n v="1403.45"/>
  </r>
  <r>
    <x v="11"/>
    <s v="No"/>
    <s v="SHR117"/>
    <s v="1170"/>
    <s v="Our Lady Queen of Peace (St Elizabeth)"/>
    <s v="WYTHENSHAWE"/>
    <s v="Y"/>
    <n v="751.38"/>
    <m/>
    <s v="1"/>
    <m/>
    <m/>
    <n v="751.38"/>
    <n v="100"/>
    <n v="851.38"/>
  </r>
  <r>
    <x v="11"/>
    <s v="No"/>
    <s v="SHR118"/>
    <s v="1171"/>
    <s v="St Hilda (St Hilda &amp; St Aidan Parish)"/>
    <s v="WYTHENSHAWE"/>
    <s v="Y"/>
    <n v="529.42999999999995"/>
    <m/>
    <s v="1"/>
    <m/>
    <m/>
    <n v="529.42999999999995"/>
    <n v="65"/>
    <n v="594.42999999999995"/>
  </r>
  <r>
    <x v="11"/>
    <s v="No"/>
    <s v="SHR119"/>
    <s v="1172"/>
    <s v="Our Lady Queen of Peace (St Luke)"/>
    <s v="WYTHENSHAWE"/>
    <s v="Y"/>
    <n v="67.5"/>
    <m/>
    <s v="1"/>
    <s v="per DD - it is £67.51"/>
    <n v="0.01"/>
    <n v="67.510000000000005"/>
    <n v="35"/>
    <n v="102.51"/>
  </r>
  <r>
    <x v="11"/>
    <s v="No"/>
    <s v="SHR999"/>
    <s v="1176"/>
    <s v="Shrewsbury Diocese Various"/>
    <m/>
    <m/>
    <m/>
    <m/>
    <s v=" "/>
    <s v="banking per DD + SHR102 £504.87 per annual return"/>
    <n v="-60.389999999999986"/>
    <n v="-60.389999999999986"/>
    <n v="10"/>
    <n v="-50.389999999999986"/>
  </r>
  <r>
    <x v="12"/>
    <s v="No"/>
    <s v="SOU001"/>
    <s v="1178"/>
    <s v="Metropolitan Cathedral Church of St George"/>
    <s v="SOUTHWARK"/>
    <m/>
    <m/>
    <m/>
    <s v=" "/>
    <m/>
    <m/>
    <n v="0"/>
    <n v="210"/>
    <n v="210"/>
  </r>
  <r>
    <x v="12"/>
    <s v="No"/>
    <s v="SOU002"/>
    <s v="1179"/>
    <s v="St Benet RC Church"/>
    <s v="ABBEY WOOD"/>
    <m/>
    <m/>
    <m/>
    <s v=" "/>
    <m/>
    <m/>
    <n v="0"/>
    <n v="140"/>
    <n v="140"/>
  </r>
  <r>
    <x v="12"/>
    <s v="No"/>
    <s v="SOU002S"/>
    <s v="0444556"/>
    <s v="St John Fisher"/>
    <s v="ERITH"/>
    <m/>
    <m/>
    <m/>
    <s v=" "/>
    <m/>
    <m/>
    <n v="0"/>
    <m/>
    <n v="0"/>
  </r>
  <r>
    <x v="12"/>
    <s v="No"/>
    <s v="SOU002X"/>
    <s v="1180"/>
    <s v="St David RC Church"/>
    <s v="ABBEY WOOD"/>
    <s v="Y"/>
    <n v="1293.8499999999999"/>
    <m/>
    <s v="1"/>
    <m/>
    <m/>
    <n v="1293.8499999999999"/>
    <n v="240"/>
    <n v="1533.85"/>
  </r>
  <r>
    <x v="12"/>
    <s v="No"/>
    <s v="SOU003"/>
    <s v="1181"/>
    <s v="Our Lady of the Annunciation"/>
    <s v="ADDISCOMBE"/>
    <s v="Y"/>
    <n v="1950.58"/>
    <m/>
    <s v="1"/>
    <s v="per DD - it is £1886.48"/>
    <n v="-64.099999999999994"/>
    <n v="1886.48"/>
    <n v="325"/>
    <n v="2211.48"/>
  </r>
  <r>
    <x v="12"/>
    <s v="No"/>
    <s v="SOU004"/>
    <s v="1182"/>
    <s v="St Anthony of Padua RC Church"/>
    <s v="ANERLEY"/>
    <s v="Y"/>
    <m/>
    <n v="1161.5900000000001"/>
    <s v="1"/>
    <m/>
    <m/>
    <n v="0"/>
    <n v="2229.6000000000004"/>
    <n v="2229.6000000000004"/>
  </r>
  <r>
    <x v="12"/>
    <s v="No"/>
    <s v="SOU005"/>
    <s v="1183"/>
    <s v="St Teresa of Avila Parish"/>
    <s v="ASHFORD"/>
    <m/>
    <m/>
    <m/>
    <s v=" "/>
    <s v="banking per DD"/>
    <n v="641.80999999999995"/>
    <n v="641.80999999999995"/>
    <n v="420"/>
    <n v="1061.81"/>
  </r>
  <r>
    <x v="12"/>
    <s v="No"/>
    <s v="SOU005S"/>
    <s v="0444393"/>
    <s v="St Ambrose (Chapel of Ease)"/>
    <s v="WYE"/>
    <m/>
    <m/>
    <m/>
    <s v=" "/>
    <m/>
    <m/>
    <n v="0"/>
    <m/>
    <n v="0"/>
  </r>
  <r>
    <x v="12"/>
    <s v="No"/>
    <s v="SOU005X"/>
    <s v="1184"/>
    <s v="St Simon Stock"/>
    <s v="ASHFORD (SOUTH)"/>
    <s v="Y"/>
    <n v="305.08000000000004"/>
    <m/>
    <s v="1"/>
    <s v="per DD - it is £520.62"/>
    <n v="215.54"/>
    <n v="520.62"/>
    <n v="10"/>
    <n v="530.62"/>
  </r>
  <r>
    <x v="12"/>
    <s v="No"/>
    <s v="SOU006"/>
    <s v="1185"/>
    <s v="St Finbarr (Parish of the Good Shepherd)"/>
    <s v="AYLESHAM"/>
    <s v="Y"/>
    <n v="136.1"/>
    <n v="34"/>
    <s v="1"/>
    <s v="per DD - it is £384.10"/>
    <n v="248"/>
    <n v="384.1"/>
    <n v="85"/>
    <n v="469.1"/>
  </r>
  <r>
    <x v="12"/>
    <s v="No"/>
    <s v="SOU006S"/>
    <s v="0444564"/>
    <s v="Church of England - St Mary's Mass Centre (Parish of the Good Shepherd)"/>
    <s v="WINGHAM"/>
    <m/>
    <m/>
    <m/>
    <s v=" "/>
    <m/>
    <m/>
    <n v="0"/>
    <m/>
    <n v="0"/>
  </r>
  <r>
    <x v="12"/>
    <s v="No"/>
    <s v="SOU006S2"/>
    <s v="0444552"/>
    <s v="Our Lady of the Holy Apostles (Parish of the Good Shepherd)"/>
    <s v="EYTHORNE"/>
    <m/>
    <m/>
    <m/>
    <s v=" "/>
    <m/>
    <m/>
    <n v="0"/>
    <m/>
    <n v="0"/>
  </r>
  <r>
    <x v="12"/>
    <s v="No"/>
    <s v="SOU007"/>
    <s v="1186"/>
    <s v="Church of the Holy Ghost"/>
    <s v="BALHAM"/>
    <s v="Y"/>
    <n v="2595"/>
    <m/>
    <s v="1"/>
    <m/>
    <m/>
    <n v="2595"/>
    <n v="770"/>
    <n v="3365"/>
  </r>
  <r>
    <x v="12"/>
    <s v="No"/>
    <s v="SOU008"/>
    <s v="1187"/>
    <s v="St Osmund"/>
    <s v="BARNES"/>
    <m/>
    <m/>
    <m/>
    <s v=" "/>
    <m/>
    <m/>
    <n v="0"/>
    <n v="1954.33"/>
    <n v="1954.33"/>
  </r>
  <r>
    <x v="12"/>
    <s v="No"/>
    <s v="SOU009"/>
    <s v="1188"/>
    <s v="Our Lady of Mount Carmel &amp; St Joseph"/>
    <s v="BATTERSEA PARK"/>
    <m/>
    <m/>
    <m/>
    <s v=" "/>
    <m/>
    <m/>
    <n v="0"/>
    <n v="10"/>
    <n v="10"/>
  </r>
  <r>
    <x v="12"/>
    <s v="No"/>
    <s v="SOU010"/>
    <s v="1189"/>
    <s v="The Sacred Heart RC Church"/>
    <s v="BATTERSEA (WEST)"/>
    <s v="Y"/>
    <n v="1050"/>
    <m/>
    <s v="1"/>
    <s v="per DD - it is £1051  (Diff £20: Grand Total stated £1070)"/>
    <n v="1"/>
    <n v="1051"/>
    <n v="194"/>
    <n v="1245"/>
  </r>
  <r>
    <x v="12"/>
    <s v="No"/>
    <s v="SOU011"/>
    <s v="1190"/>
    <s v="St Peter"/>
    <s v="BEARSTED"/>
    <s v="Y"/>
    <n v="224.35"/>
    <m/>
    <s v="1"/>
    <m/>
    <m/>
    <n v="224.35"/>
    <n v="126"/>
    <n v="350.35"/>
  </r>
  <r>
    <x v="12"/>
    <s v="No"/>
    <s v="SOU011S"/>
    <s v="0444555"/>
    <s v="Good Shepherd"/>
    <s v="HARRIETSHAM"/>
    <m/>
    <m/>
    <m/>
    <s v=" "/>
    <m/>
    <m/>
    <n v="0"/>
    <m/>
    <n v="0"/>
  </r>
  <r>
    <x v="12"/>
    <s v="No"/>
    <s v="SOU012"/>
    <s v="1191"/>
    <s v="St Edmund of Canterbury"/>
    <s v="BECKENHAM"/>
    <m/>
    <m/>
    <m/>
    <s v=" "/>
    <s v="banking per DD"/>
    <n v="1107.49"/>
    <n v="1107.49"/>
    <n v="306"/>
    <n v="1413.49"/>
  </r>
  <r>
    <x v="12"/>
    <s v="No"/>
    <s v="SOU013"/>
    <s v="1192"/>
    <s v="The Annunciation &amp; St Augustine RC Church"/>
    <s v="BECKENHAM HILL"/>
    <s v="Y"/>
    <n v="1166.5"/>
    <m/>
    <s v="1"/>
    <m/>
    <m/>
    <n v="1166.5"/>
    <n v="210"/>
    <n v="1376.5"/>
  </r>
  <r>
    <x v="12"/>
    <s v="No"/>
    <s v="SOU014"/>
    <s v="1193"/>
    <s v="The Most Holy Trinity RC Church"/>
    <s v="BERMONDSEY"/>
    <s v="Y"/>
    <m/>
    <n v="67.75"/>
    <s v="1"/>
    <m/>
    <m/>
    <n v="0"/>
    <n v="67.95"/>
    <n v="67.95"/>
  </r>
  <r>
    <x v="12"/>
    <s v="No"/>
    <s v="SOU015"/>
    <s v="1195"/>
    <s v="St Gertrude"/>
    <s v="SOUTH BERMONDSEY"/>
    <s v="Y"/>
    <m/>
    <n v="1436.86"/>
    <s v="1"/>
    <s v="amount appears inDio Acc column but are chqs received in Ecc Sq"/>
    <m/>
    <n v="0"/>
    <n v="1626.8600000000001"/>
    <n v="1626.8600000000001"/>
  </r>
  <r>
    <x v="12"/>
    <s v="No"/>
    <s v="SOU016"/>
    <s v="1196"/>
    <s v="Our Lady of La Salette &amp; St Joseph RC Church"/>
    <s v="BERMONDSEY"/>
    <s v="Y"/>
    <m/>
    <n v="207.89"/>
    <s v="1"/>
    <s v="same amount appears in both columns in return"/>
    <m/>
    <n v="0"/>
    <n v="396.2"/>
    <n v="396.2"/>
  </r>
  <r>
    <x v="12"/>
    <s v="No"/>
    <s v="SOU017"/>
    <s v="1198"/>
    <s v="St John Fisher RC Church"/>
    <s v="BEXLEY"/>
    <m/>
    <m/>
    <m/>
    <s v=" "/>
    <m/>
    <m/>
    <n v="0"/>
    <n v="165"/>
    <n v="165"/>
  </r>
  <r>
    <x v="12"/>
    <s v="No"/>
    <s v="SOU018"/>
    <s v="1199"/>
    <s v="St John Vianney RC Church"/>
    <s v="BEXLEYHEATH"/>
    <m/>
    <m/>
    <m/>
    <s v=" "/>
    <s v="banking per DD"/>
    <n v="913.2"/>
    <n v="913.2"/>
    <n v="610"/>
    <n v="1523.2"/>
  </r>
  <r>
    <x v="12"/>
    <s v="No"/>
    <s v="SOU019"/>
    <s v="1200"/>
    <s v="St Thomas More RC Church"/>
    <s v="BOSTALL PARK"/>
    <s v="Y"/>
    <n v="1127.1500000000001"/>
    <m/>
    <s v="1"/>
    <m/>
    <m/>
    <n v="1127.1500000000001"/>
    <n v="135"/>
    <n v="1262.1500000000001"/>
  </r>
  <r>
    <x v="12"/>
    <s v="No"/>
    <s v="SOU020"/>
    <s v="1201"/>
    <s v="St Theresa of the Infant Jesus"/>
    <s v="BIGGIN HILL"/>
    <m/>
    <m/>
    <m/>
    <s v=" "/>
    <s v="banking per DD"/>
    <n v="390.72"/>
    <n v="390.72"/>
    <n v="40"/>
    <n v="430.72"/>
  </r>
  <r>
    <x v="12"/>
    <s v="No"/>
    <s v="SOU021"/>
    <s v="1202"/>
    <s v="Parish of Holy Family (Our Lady &amp; St Benedict)"/>
    <s v="BIRCHINGTON"/>
    <m/>
    <m/>
    <m/>
    <s v=" "/>
    <m/>
    <m/>
    <n v="0"/>
    <m/>
    <n v="0"/>
  </r>
  <r>
    <x v="12"/>
    <s v="No"/>
    <s v="SOU021S"/>
    <s v="0444636"/>
    <s v="Christ Church (U. R. C.)"/>
    <s v="WESTGATE ON SEA"/>
    <m/>
    <m/>
    <m/>
    <s v=" "/>
    <m/>
    <m/>
    <n v="0"/>
    <m/>
    <n v="0"/>
  </r>
  <r>
    <x v="12"/>
    <s v="No"/>
    <s v="SOU022"/>
    <s v="1203"/>
    <s v="Our Lady of the Rosary"/>
    <s v="BLACKFEN"/>
    <s v="Y"/>
    <n v="1317.48"/>
    <m/>
    <s v="1"/>
    <m/>
    <m/>
    <n v="1317.48"/>
    <n v="265"/>
    <n v="1582.48"/>
  </r>
  <r>
    <x v="12"/>
    <s v="No"/>
    <s v="SOU023"/>
    <s v="1204"/>
    <s v="Our Lady Help of Christians"/>
    <s v="BLACKHEATH VILLAGE"/>
    <m/>
    <m/>
    <m/>
    <s v=" "/>
    <m/>
    <m/>
    <n v="0"/>
    <n v="210"/>
    <n v="210"/>
  </r>
  <r>
    <x v="12"/>
    <s v="No"/>
    <s v="SOU024"/>
    <s v="1205"/>
    <s v="Church of the Most Precious Blood"/>
    <s v="BOROUGH"/>
    <m/>
    <m/>
    <m/>
    <s v=" "/>
    <m/>
    <m/>
    <n v="0"/>
    <n v="26.91"/>
    <n v="26.91"/>
  </r>
  <r>
    <x v="12"/>
    <s v="No"/>
    <s v="SOU025"/>
    <s v="1206"/>
    <s v="Corpus Christi RC Church"/>
    <s v="BRIXTON HILL"/>
    <s v="Y"/>
    <n v="1136.56"/>
    <m/>
    <s v="1"/>
    <s v="per DD - it is £1136.60"/>
    <n v="0.04"/>
    <n v="1136.5999999999999"/>
    <n v="346"/>
    <n v="1482.6"/>
  </r>
  <r>
    <x v="12"/>
    <s v="No"/>
    <s v="SOU026"/>
    <s v="1207"/>
    <s v="Our Lady Star of the Sea"/>
    <s v="BROADSTAIRS"/>
    <m/>
    <m/>
    <m/>
    <s v=" "/>
    <s v="banking per DD"/>
    <n v="197.77"/>
    <n v="197.77"/>
    <n v="10"/>
    <n v="207.77"/>
  </r>
  <r>
    <x v="12"/>
    <s v="No"/>
    <s v="SOU027"/>
    <s v="1208"/>
    <s v="St Mary Magdalen"/>
    <s v="BROCKLEY"/>
    <s v="Y"/>
    <m/>
    <n v="525.29"/>
    <s v="1"/>
    <m/>
    <m/>
    <n v="0"/>
    <n v="525.29"/>
    <n v="525.29"/>
  </r>
  <r>
    <x v="12"/>
    <s v="No"/>
    <s v="SOU028"/>
    <s v="1209"/>
    <s v="St Joseph RC Church"/>
    <s v="BROMLEY"/>
    <s v="Y"/>
    <n v="1326.76"/>
    <m/>
    <s v="1"/>
    <m/>
    <m/>
    <n v="1326.76"/>
    <n v="1495"/>
    <n v="2821.76"/>
  </r>
  <r>
    <x v="12"/>
    <s v="No"/>
    <s v="SOU029"/>
    <s v="1210"/>
    <s v="St Swithin"/>
    <s v="BROMLEY COMMON"/>
    <s v="Y"/>
    <n v="555.53"/>
    <m/>
    <s v="1"/>
    <s v="per DD - it is £555.23"/>
    <n v="-0.3"/>
    <n v="555.23"/>
    <n v="130"/>
    <n v="685.23"/>
  </r>
  <r>
    <x v="12"/>
    <s v="No"/>
    <s v="SOU030"/>
    <s v="1211"/>
    <s v="Our Lady of Dover"/>
    <s v="BUCKLAND"/>
    <s v="Y"/>
    <n v="560.77"/>
    <m/>
    <s v="1"/>
    <s v="per DD - it is £469.90"/>
    <n v="-90.87"/>
    <n v="469.9"/>
    <n v="165"/>
    <n v="634.9"/>
  </r>
  <r>
    <x v="12"/>
    <s v="No"/>
    <s v="SOU030S"/>
    <s v="0444640"/>
    <s v="St Francis Chapel"/>
    <s v="ST MARGARET'S-AT-CLIFFE"/>
    <m/>
    <m/>
    <m/>
    <s v=" "/>
    <m/>
    <m/>
    <n v="0"/>
    <m/>
    <n v="0"/>
  </r>
  <r>
    <x v="12"/>
    <s v="No"/>
    <s v="SOU031"/>
    <s v="1212"/>
    <s v="Sacred Heart RC Church"/>
    <s v="CAMBERWELL"/>
    <s v="Y"/>
    <m/>
    <n v="600"/>
    <s v="1"/>
    <m/>
    <m/>
    <n v="0"/>
    <n v="780"/>
    <n v="780"/>
  </r>
  <r>
    <x v="12"/>
    <s v="No"/>
    <s v="SOU032"/>
    <s v="1213"/>
    <s v="St Thomas of Canterbury"/>
    <s v="CANTERBURY"/>
    <s v="Y"/>
    <n v="2127.4"/>
    <m/>
    <s v="1"/>
    <s v="per DD - it is £2127.20"/>
    <n v="-0.2"/>
    <n v="2127.2000000000003"/>
    <n v="2536.9700000000003"/>
    <n v="4664.17"/>
  </r>
  <r>
    <x v="12"/>
    <s v="No"/>
    <s v="SOU033"/>
    <s v="1215"/>
    <s v="Holy Cross RC Church"/>
    <s v="CARSHALTON"/>
    <s v="Y"/>
    <n v="1862.91"/>
    <m/>
    <s v="1"/>
    <s v="per DD - it is £1962.91"/>
    <n v="100"/>
    <n v="1962.91"/>
    <n v="340"/>
    <n v="2302.91"/>
  </r>
  <r>
    <x v="12"/>
    <s v="No"/>
    <s v="SOU034"/>
    <s v="1216"/>
    <s v="St Margaret's"/>
    <s v="CARSHALTON BEECHES"/>
    <m/>
    <m/>
    <m/>
    <s v=" "/>
    <s v="banking per DD"/>
    <n v="554.49"/>
    <n v="554.49"/>
    <n v="1045"/>
    <n v="1599.49"/>
  </r>
  <r>
    <x v="12"/>
    <s v="No"/>
    <s v="SOU035"/>
    <s v="1217"/>
    <s v="Holy Cross RC Church"/>
    <s v="CATFORD"/>
    <m/>
    <m/>
    <m/>
    <s v=" "/>
    <s v="banking per DD"/>
    <n v="28.16"/>
    <n v="28.16"/>
    <n v="140"/>
    <n v="168.16"/>
  </r>
  <r>
    <x v="12"/>
    <s v="No"/>
    <s v="SOU036"/>
    <s v="1218"/>
    <s v="Our Lady of Grace"/>
    <s v="CHARLTON"/>
    <m/>
    <m/>
    <m/>
    <s v=" "/>
    <m/>
    <m/>
    <n v="0"/>
    <n v="95"/>
    <n v="95"/>
  </r>
  <r>
    <x v="12"/>
    <s v="No"/>
    <s v="SOU037"/>
    <s v="1219"/>
    <s v="St Michael the Archangel"/>
    <s v="CHATHAM"/>
    <m/>
    <m/>
    <m/>
    <s v=" "/>
    <m/>
    <m/>
    <n v="0"/>
    <n v="65"/>
    <n v="65"/>
  </r>
  <r>
    <x v="12"/>
    <s v="No"/>
    <s v="SOU037S"/>
    <s v="0444551"/>
    <s v="St. Paulinus"/>
    <s v="OLD BROMPTON"/>
    <m/>
    <m/>
    <m/>
    <s v=" "/>
    <m/>
    <m/>
    <n v="0"/>
    <m/>
    <n v="0"/>
  </r>
  <r>
    <x v="12"/>
    <s v="No"/>
    <s v="SOU037S2"/>
    <s v="0444550"/>
    <s v="The Sacred Heart"/>
    <s v="LUTON"/>
    <m/>
    <m/>
    <m/>
    <s v=" "/>
    <m/>
    <m/>
    <n v="0"/>
    <m/>
    <n v="0"/>
  </r>
  <r>
    <x v="12"/>
    <s v="No"/>
    <s v="SOU038"/>
    <s v="1220"/>
    <s v="St Christopher's RC Church"/>
    <s v="CHEAM"/>
    <s v="Y"/>
    <n v="411.90000000000003"/>
    <m/>
    <s v="1"/>
    <s v="per DD - it is £196.36"/>
    <n v="-215.54"/>
    <n v="196.36000000000004"/>
    <n v="2"/>
    <n v="198.36000000000004"/>
  </r>
  <r>
    <x v="12"/>
    <s v="No"/>
    <s v="SOU039"/>
    <s v="1221"/>
    <s v="St Catherine of Siena"/>
    <s v="CHESSINGTON &amp; HOOK"/>
    <m/>
    <m/>
    <m/>
    <s v=" "/>
    <m/>
    <m/>
    <n v="0"/>
    <n v="546.58999999999992"/>
    <n v="546.58999999999992"/>
  </r>
  <r>
    <x v="12"/>
    <s v="No"/>
    <s v="SOU040"/>
    <s v="1222"/>
    <s v="St Mary RC Church"/>
    <s v="CHISLEHURST"/>
    <s v="Y"/>
    <n v="583.1"/>
    <m/>
    <s v="1"/>
    <s v="per DD - it is £666.05"/>
    <n v="82.95"/>
    <n v="666.05000000000007"/>
    <n v="735"/>
    <n v="1401.0500000000002"/>
  </r>
  <r>
    <x v="12"/>
    <s v="No"/>
    <s v="SOU041"/>
    <s v="1223"/>
    <s v="St Patrick RC Church"/>
    <s v="CHISLEHURST WEST"/>
    <s v="Y"/>
    <n v="562.08000000000004"/>
    <m/>
    <s v="1"/>
    <s v="per DD - it is £479.13"/>
    <n v="-82.95"/>
    <n v="479.13000000000005"/>
    <n v="230"/>
    <n v="709.13000000000011"/>
  </r>
  <r>
    <x v="12"/>
    <s v="No"/>
    <s v="SOU042"/>
    <s v="1224"/>
    <s v="St Mary's - Our Immaculate Lady of Victories"/>
    <s v="CLAPHAM"/>
    <m/>
    <m/>
    <m/>
    <s v=" "/>
    <m/>
    <m/>
    <n v="0"/>
    <n v="945"/>
    <n v="945"/>
  </r>
  <r>
    <x v="12"/>
    <s v="No"/>
    <s v="SOU043"/>
    <s v="1225"/>
    <s v="St Vincent de Paul Catholic Church"/>
    <s v="BATTERSEA ALTENBURG GARDENS"/>
    <m/>
    <m/>
    <m/>
    <s v=" "/>
    <m/>
    <m/>
    <n v="0"/>
    <n v="78.5"/>
    <n v="78.5"/>
  </r>
  <r>
    <x v="12"/>
    <s v="No"/>
    <s v="SOU043S"/>
    <s v="0444377"/>
    <s v="Croatian National Chaplaincy"/>
    <s v="LONDON"/>
    <m/>
    <m/>
    <m/>
    <s v=" "/>
    <m/>
    <m/>
    <n v="0"/>
    <m/>
    <n v="0"/>
  </r>
  <r>
    <x v="12"/>
    <s v="No"/>
    <s v="SOU044"/>
    <s v="1226"/>
    <s v="St Bede RC Church"/>
    <s v="CLAPHAM PARK"/>
    <s v="Y"/>
    <m/>
    <n v="379.02"/>
    <s v="1"/>
    <m/>
    <m/>
    <n v="0"/>
    <n v="484.02"/>
    <n v="484.02"/>
  </r>
  <r>
    <x v="12"/>
    <s v="No"/>
    <s v="SOU045"/>
    <s v="1227"/>
    <s v="Parish of SS Austin &amp; Gregory (St Anne RC Church)"/>
    <s v="CLIFTONVILLE"/>
    <s v="Y"/>
    <n v="295.82"/>
    <m/>
    <s v="1"/>
    <m/>
    <m/>
    <n v="295.82"/>
    <n v="30"/>
    <n v="325.82"/>
  </r>
  <r>
    <x v="12"/>
    <s v="No"/>
    <s v="SOU046"/>
    <s v="1228"/>
    <s v="St Joseph RC Church"/>
    <s v="COLLIERS WOOD"/>
    <s v="Y"/>
    <n v="1130"/>
    <m/>
    <s v="1"/>
    <m/>
    <m/>
    <n v="1130"/>
    <m/>
    <n v="1130"/>
  </r>
  <r>
    <x v="12"/>
    <s v="No"/>
    <s v="SOU047"/>
    <s v="1229"/>
    <s v="St Aidan RC Church"/>
    <s v="COULSDON"/>
    <m/>
    <m/>
    <m/>
    <s v=" "/>
    <m/>
    <m/>
    <n v="0"/>
    <n v="560.27"/>
    <n v="560.27"/>
  </r>
  <r>
    <x v="12"/>
    <s v="No"/>
    <s v="SOU048"/>
    <s v="1230"/>
    <s v="St Theodore RC Church"/>
    <s v="CRANBROOK"/>
    <s v="Y"/>
    <n v="743.41"/>
    <m/>
    <s v="1"/>
    <m/>
    <m/>
    <n v="743.41"/>
    <n v="430"/>
    <n v="1173.4099999999999"/>
  </r>
  <r>
    <x v="12"/>
    <s v="No"/>
    <s v="SOU048S"/>
    <s v="0444562"/>
    <s v="Catholic Chapel"/>
    <s v="BENENDEN"/>
    <m/>
    <m/>
    <m/>
    <s v=" "/>
    <m/>
    <m/>
    <n v="0"/>
    <m/>
    <n v="0"/>
  </r>
  <r>
    <x v="12"/>
    <s v="No"/>
    <s v="SOU049"/>
    <s v="1231"/>
    <s v="St Mary of the Crays RC Church"/>
    <s v="CRAYFORD"/>
    <s v="Y"/>
    <n v="916.03"/>
    <m/>
    <s v="1"/>
    <m/>
    <m/>
    <n v="916.03"/>
    <n v="155"/>
    <n v="1071.03"/>
  </r>
  <r>
    <x v="12"/>
    <s v="No"/>
    <s v="SOU050"/>
    <s v="1232"/>
    <s v="St Mary's (Our Lady of Reparation)"/>
    <s v="CROYDON WEST"/>
    <s v="Y"/>
    <n v="160"/>
    <m/>
    <s v="1"/>
    <m/>
    <m/>
    <n v="160"/>
    <n v="750"/>
    <n v="910"/>
  </r>
  <r>
    <x v="12"/>
    <s v="No"/>
    <s v="SOU051"/>
    <s v="1233"/>
    <s v="St Gertrude"/>
    <s v="SOUTH CROYDON"/>
    <s v="Y"/>
    <n v="819.59"/>
    <m/>
    <s v="1"/>
    <s v="2nd banking using machine for coins"/>
    <m/>
    <n v="819.59"/>
    <n v="32.1"/>
    <n v="851.69"/>
  </r>
  <r>
    <x v="12"/>
    <s v="No"/>
    <s v="SOU052"/>
    <s v="1234"/>
    <s v="St Anselm"/>
    <s v="DARTFORD"/>
    <s v="Y"/>
    <n v="4636.0300000000007"/>
    <m/>
    <s v="1"/>
    <s v="per DD - it is £4657.25"/>
    <n v="21.22"/>
    <n v="4657.2500000000009"/>
    <n v="530"/>
    <n v="5187.2500000000009"/>
  </r>
  <r>
    <x v="12"/>
    <s v="No"/>
    <s v="SOU052S"/>
    <s v="0444386"/>
    <s v="St George"/>
    <s v="SOUTH DARENTH"/>
    <m/>
    <m/>
    <m/>
    <s v=" "/>
    <m/>
    <m/>
    <n v="0"/>
    <m/>
    <n v="0"/>
  </r>
  <r>
    <x v="12"/>
    <s v="No"/>
    <s v="SOU052X"/>
    <s v="1235"/>
    <s v="St  Vincent RC Church"/>
    <s v="DARTFORD"/>
    <s v="Y"/>
    <n v="1047.1199999999999"/>
    <m/>
    <s v="1"/>
    <s v="per DD - it is £988.31"/>
    <n v="-58.81"/>
    <n v="988.31"/>
    <n v="40"/>
    <n v="1028.31"/>
  </r>
  <r>
    <x v="12"/>
    <s v="No"/>
    <s v="SOU053"/>
    <s v="1236"/>
    <s v="St Thomas of Canterbury"/>
    <s v="DEAL"/>
    <s v="Y"/>
    <n v="2196.27"/>
    <m/>
    <s v="1"/>
    <m/>
    <m/>
    <n v="2196.27"/>
    <n v="275"/>
    <n v="2471.27"/>
  </r>
  <r>
    <x v="12"/>
    <s v="No"/>
    <s v="SOU054"/>
    <s v="1237"/>
    <s v="The Assumption RC Church"/>
    <s v="DEPTFORD"/>
    <s v="Y"/>
    <n v="702.1"/>
    <n v="135.30000000000001"/>
    <s v="1"/>
    <s v="per DD - it is £807.40   (exclude £120 individual donation in Ecc Sq column [without paperwork (per LS)])"/>
    <n v="105.3"/>
    <n v="807.4"/>
    <n v="190.17000000000002"/>
    <n v="997.56999999999994"/>
  </r>
  <r>
    <x v="12"/>
    <s v="No"/>
    <s v="SOU055"/>
    <s v="1238"/>
    <s v="St Paul (Parish of the Good Shepherd)"/>
    <s v="DOVER"/>
    <s v="Y"/>
    <n v="975.02"/>
    <m/>
    <s v="1"/>
    <s v="per DD - it is £1023.57"/>
    <n v="48.55"/>
    <n v="1023.5699999999999"/>
    <m/>
    <n v="1023.5699999999999"/>
  </r>
  <r>
    <x v="12"/>
    <s v="No"/>
    <s v="SOU056"/>
    <s v="1239"/>
    <s v="The Good Shepherd RC Church"/>
    <s v="DOWNHAM"/>
    <s v="Y"/>
    <n v="875.9799999999999"/>
    <m/>
    <s v="1"/>
    <s v="per DD - it is £1408.79"/>
    <n v="532.80999999999995"/>
    <n v="1408.79"/>
    <n v="40"/>
    <n v="1448.79"/>
  </r>
  <r>
    <x v="12"/>
    <s v="No"/>
    <s v="SOU057"/>
    <s v="1240"/>
    <s v="St Thomas More"/>
    <s v="DULWICH"/>
    <s v="Y"/>
    <n v="841.11"/>
    <m/>
    <s v="1"/>
    <s v="per DD - it is £308.30"/>
    <n v="-532.80999999999995"/>
    <n v="308.30000000000007"/>
    <n v="210"/>
    <n v="518.30000000000007"/>
  </r>
  <r>
    <x v="12"/>
    <s v="No"/>
    <s v="SOU058"/>
    <s v="1241"/>
    <s v="St Margaret Clitherow"/>
    <s v="DULWICH WOOD PARK"/>
    <m/>
    <m/>
    <m/>
    <s v=" "/>
    <m/>
    <m/>
    <n v="0"/>
    <n v="210"/>
    <n v="210"/>
  </r>
  <r>
    <x v="12"/>
    <s v="No"/>
    <s v="SOU059"/>
    <s v="1242"/>
    <s v="St Gregory RC Church"/>
    <s v="EARLSFIELD"/>
    <s v="Y"/>
    <n v="756"/>
    <m/>
    <s v="1"/>
    <m/>
    <m/>
    <n v="756"/>
    <n v="90"/>
    <n v="846"/>
  </r>
  <r>
    <x v="12"/>
    <s v="No"/>
    <s v="SOU060"/>
    <s v="1243"/>
    <s v="Our Lady Queen of Peace"/>
    <s v="EAST SHEEN"/>
    <m/>
    <m/>
    <m/>
    <s v=" "/>
    <m/>
    <m/>
    <n v="0"/>
    <n v="208"/>
    <n v="208"/>
  </r>
  <r>
    <x v="12"/>
    <s v="No"/>
    <s v="SOU061"/>
    <s v="1244"/>
    <s v="St Lawrence RC Church"/>
    <s v="EDENBRIDGE"/>
    <s v="Y"/>
    <n v="190"/>
    <m/>
    <s v="1"/>
    <m/>
    <m/>
    <n v="190"/>
    <n v="115"/>
    <n v="305"/>
  </r>
  <r>
    <x v="12"/>
    <s v="No"/>
    <s v="SOU062"/>
    <s v="1245"/>
    <s v="Christchurch RC Church"/>
    <s v="ELTHAM"/>
    <m/>
    <m/>
    <m/>
    <s v=" "/>
    <m/>
    <m/>
    <n v="0"/>
    <n v="1010"/>
    <n v="1010"/>
  </r>
  <r>
    <x v="12"/>
    <s v="No"/>
    <s v="SOU063"/>
    <s v="1246"/>
    <s v="St John Fisher &amp; St Thomas More"/>
    <s v="ELTHAM WELL HALL"/>
    <m/>
    <m/>
    <m/>
    <s v=" "/>
    <s v="banking per DD"/>
    <n v="63.52"/>
    <n v="63.52"/>
    <n v="130"/>
    <n v="193.52"/>
  </r>
  <r>
    <x v="12"/>
    <s v="No"/>
    <s v="SOU064"/>
    <s v="1247"/>
    <s v="Our Lady of the Angels"/>
    <s v="ERITH"/>
    <m/>
    <m/>
    <m/>
    <s v=" "/>
    <m/>
    <m/>
    <n v="0"/>
    <n v="242"/>
    <n v="242"/>
  </r>
  <r>
    <x v="12"/>
    <s v="No"/>
    <s v="SOU065"/>
    <s v="1248"/>
    <s v="St Michael &amp; All Angels RC Church"/>
    <s v="FARNBOROUGH"/>
    <s v="Y"/>
    <n v="639.22"/>
    <m/>
    <s v="1"/>
    <s v="per DD - it is £830.67"/>
    <n v="191.45"/>
    <n v="830.67000000000007"/>
    <n v="75"/>
    <n v="905.67000000000007"/>
  </r>
  <r>
    <x v="12"/>
    <s v="No"/>
    <s v="SOU066"/>
    <s v="1249"/>
    <s v="Our Lady of Mount Carmel"/>
    <s v="FAVERSHAM"/>
    <m/>
    <m/>
    <m/>
    <s v=" "/>
    <m/>
    <m/>
    <n v="0"/>
    <n v="85"/>
    <n v="85"/>
  </r>
  <r>
    <x v="12"/>
    <s v="No"/>
    <s v="SOU066S"/>
    <s v="0444561"/>
    <s v="Methodist Church"/>
    <s v="TEYNHAM"/>
    <m/>
    <m/>
    <m/>
    <s v=" "/>
    <m/>
    <m/>
    <n v="0"/>
    <m/>
    <n v="0"/>
  </r>
  <r>
    <x v="12"/>
    <s v="No"/>
    <s v="SOU067"/>
    <s v="1250"/>
    <s v="Parish of Our Lady &amp; St Joseph (Our Lady Help of Christians &amp; St Aloysius)"/>
    <s v="FOLKESTONE"/>
    <s v="Y"/>
    <n v="700"/>
    <m/>
    <s v="1"/>
    <m/>
    <m/>
    <n v="700"/>
    <n v="30"/>
    <n v="730"/>
  </r>
  <r>
    <x v="12"/>
    <s v="No"/>
    <s v="SOU068"/>
    <s v="1251"/>
    <s v="Parish of Our Lady &amp; St Joseph (St Joseph RC Church)"/>
    <s v="FOLKESTONE WEST"/>
    <s v="Y"/>
    <n v="1748.1799999999998"/>
    <m/>
    <s v="1"/>
    <m/>
    <m/>
    <n v="1748.1799999999998"/>
    <n v="125"/>
    <n v="1873.1799999999998"/>
  </r>
  <r>
    <x v="12"/>
    <s v="No"/>
    <s v="SOU069"/>
    <s v="1252"/>
    <s v="St William of York"/>
    <s v="FOREST HILL"/>
    <s v="Y"/>
    <m/>
    <n v="864.5"/>
    <s v="1"/>
    <m/>
    <m/>
    <n v="0"/>
    <n v="767.5"/>
    <n v="767.5"/>
  </r>
  <r>
    <x v="12"/>
    <s v="No"/>
    <s v="SOU070"/>
    <s v="1253"/>
    <s v="Our Lady of Gillingham"/>
    <s v="GILLINGHAM"/>
    <s v="Y"/>
    <m/>
    <m/>
    <s v="1"/>
    <s v="banking per DD"/>
    <n v="1691.19"/>
    <n v="1691.19"/>
    <n v="405"/>
    <n v="2096.19"/>
  </r>
  <r>
    <x v="12"/>
    <s v="No"/>
    <s v="SOU071"/>
    <s v="1254"/>
    <s v="Sacred Heart RC Church"/>
    <s v="GOUDHURST"/>
    <s v="Y"/>
    <m/>
    <n v="399.06"/>
    <s v="1"/>
    <m/>
    <m/>
    <n v="0"/>
    <n v="1079.06"/>
    <n v="1079.06"/>
  </r>
  <r>
    <x v="12"/>
    <s v="No"/>
    <s v="SOU071S"/>
    <s v="0444563"/>
    <s v="St Barnabas"/>
    <s v="HAWKHURST"/>
    <m/>
    <m/>
    <m/>
    <s v=" "/>
    <m/>
    <m/>
    <n v="0"/>
    <m/>
    <n v="0"/>
  </r>
  <r>
    <x v="12"/>
    <s v="No"/>
    <s v="SOU072"/>
    <s v="1255"/>
    <s v="St John the Evangelist"/>
    <s v="GRAVESEND"/>
    <s v="Y"/>
    <n v="498.82"/>
    <m/>
    <s v="1"/>
    <m/>
    <m/>
    <n v="498.82"/>
    <n v="233"/>
    <n v="731.81999999999994"/>
  </r>
  <r>
    <x v="12"/>
    <s v="No"/>
    <s v="SOU072A"/>
    <s v="1256"/>
    <s v="St Paul RC Church"/>
    <s v="MEOPHAM"/>
    <s v="Y"/>
    <m/>
    <n v="3235.68"/>
    <s v="1"/>
    <m/>
    <m/>
    <n v="0"/>
    <n v="3285.68"/>
    <n v="3285.68"/>
  </r>
  <r>
    <x v="12"/>
    <s v="No"/>
    <s v="SOU072S"/>
    <s v="0444554"/>
    <s v="St Mary"/>
    <s v="DENTON"/>
    <m/>
    <m/>
    <m/>
    <s v=" "/>
    <m/>
    <m/>
    <n v="0"/>
    <m/>
    <n v="0"/>
  </r>
  <r>
    <x v="12"/>
    <s v="No"/>
    <s v="SOU073"/>
    <s v="1257"/>
    <s v="Our Lady Star of the Sea"/>
    <s v="GREENWICH"/>
    <m/>
    <m/>
    <m/>
    <s v=" "/>
    <m/>
    <m/>
    <n v="0"/>
    <n v="162.53"/>
    <n v="162.53"/>
  </r>
  <r>
    <x v="12"/>
    <s v="No"/>
    <s v="SOU074"/>
    <s v="1259"/>
    <s v="St Joseph RC Church"/>
    <s v="GREENWICH"/>
    <m/>
    <m/>
    <m/>
    <s v=" "/>
    <m/>
    <m/>
    <n v="0"/>
    <n v="155"/>
    <n v="155"/>
  </r>
  <r>
    <x v="12"/>
    <s v="No"/>
    <s v="SOU075"/>
    <s v="1260"/>
    <s v="Oratory of St Francis de Sales"/>
    <s v="HARTLEY"/>
    <s v="Y"/>
    <n v="565.73"/>
    <m/>
    <s v="1"/>
    <m/>
    <m/>
    <n v="565.73"/>
    <n v="15"/>
    <n v="580.73"/>
  </r>
  <r>
    <x v="12"/>
    <s v="No"/>
    <s v="SOU076"/>
    <s v="1261"/>
    <s v="Our Lady of the Rosary"/>
    <s v="HAYES"/>
    <s v="Y"/>
    <m/>
    <n v="610.51"/>
    <s v="1"/>
    <m/>
    <m/>
    <n v="0"/>
    <n v="835.51"/>
    <n v="835.51"/>
  </r>
  <r>
    <x v="12"/>
    <s v="No"/>
    <s v="SOU078"/>
    <s v="1263"/>
    <s v="Our Lady of the Sacred Heart"/>
    <s v="HERNE BAY"/>
    <s v="Y"/>
    <n v="2138.0700000000002"/>
    <m/>
    <s v="1"/>
    <s v="per DD - it is £2143.07"/>
    <n v="5"/>
    <n v="2143.0700000000002"/>
    <n v="230"/>
    <n v="2373.0700000000002"/>
  </r>
  <r>
    <x v="12"/>
    <s v="No"/>
    <s v="SOU079"/>
    <s v="1264"/>
    <s v="St Philip &amp; St James"/>
    <s v="HERNE HILL"/>
    <m/>
    <m/>
    <m/>
    <s v=" "/>
    <m/>
    <m/>
    <n v="0"/>
    <n v="715"/>
    <n v="715"/>
  </r>
  <r>
    <x v="12"/>
    <s v="No"/>
    <s v="SOU080"/>
    <s v="1265"/>
    <s v="St Dunstan RC Church"/>
    <s v="HERSDEN"/>
    <s v="Y"/>
    <n v="141.82"/>
    <m/>
    <s v="1"/>
    <m/>
    <m/>
    <n v="141.82"/>
    <n v="290"/>
    <n v="431.82"/>
  </r>
  <r>
    <x v="12"/>
    <s v="No"/>
    <s v="SOU081"/>
    <s v="1266"/>
    <s v="The Virgin Mother of Good Counsel RC Church"/>
    <s v="HYTHE"/>
    <m/>
    <m/>
    <m/>
    <s v=" "/>
    <s v="banking per DD"/>
    <n v="165.12"/>
    <n v="165.12"/>
    <n v="790"/>
    <n v="955.12"/>
  </r>
  <r>
    <x v="12"/>
    <s v="No"/>
    <s v="SOU081S"/>
    <s v="0444630"/>
    <s v="St Monica"/>
    <s v="DYMCHURCH"/>
    <m/>
    <m/>
    <m/>
    <s v=" "/>
    <m/>
    <m/>
    <n v="0"/>
    <m/>
    <n v="0"/>
  </r>
  <r>
    <x v="12"/>
    <s v="No"/>
    <s v="SOU081X"/>
    <s v="1267"/>
    <s v="PORTUGUESE,ITALIAN &amp; FILIPINO MISSION"/>
    <s v="LONDON"/>
    <m/>
    <m/>
    <m/>
    <s v=" "/>
    <m/>
    <m/>
    <n v="0"/>
    <m/>
    <n v="0"/>
  </r>
  <r>
    <x v="12"/>
    <s v="No"/>
    <s v="SOU082"/>
    <s v="1268"/>
    <s v="Our Lady of Loreto &amp; St Winefride"/>
    <s v="KEW GARDENS"/>
    <s v="Y"/>
    <n v="442.38"/>
    <m/>
    <s v="1"/>
    <m/>
    <m/>
    <n v="442.38"/>
    <n v="100"/>
    <n v="542.38"/>
  </r>
  <r>
    <x v="12"/>
    <s v="No"/>
    <s v="SOU083"/>
    <s v="1269"/>
    <s v="St John Fisher RC Church"/>
    <s v="KIDBROOKE"/>
    <s v="Y"/>
    <n v="464.72"/>
    <m/>
    <s v="1"/>
    <m/>
    <m/>
    <n v="464.72"/>
    <n v="50"/>
    <n v="514.72"/>
  </r>
  <r>
    <x v="12"/>
    <s v="No"/>
    <s v="SOU084"/>
    <s v="1270"/>
    <s v="St Ann's RC Church"/>
    <s v="KINGSTON HILL"/>
    <m/>
    <m/>
    <m/>
    <s v=" "/>
    <m/>
    <m/>
    <n v="0"/>
    <n v="295.91999999999996"/>
    <n v="295.91999999999996"/>
  </r>
  <r>
    <x v="12"/>
    <s v="No"/>
    <s v="SOU085"/>
    <s v="1271"/>
    <s v="St Agatha RC Church"/>
    <s v="KINGSTON"/>
    <s v="Y"/>
    <n v="442.14"/>
    <m/>
    <s v="1"/>
    <m/>
    <m/>
    <n v="442.14"/>
    <n v="304"/>
    <n v="746.14"/>
  </r>
  <r>
    <x v="12"/>
    <s v="No"/>
    <s v="SOU086"/>
    <s v="1272"/>
    <s v="St Francis de Sales &amp; St Gertrude RC Church"/>
    <s v="STOCKWELL"/>
    <s v="Y"/>
    <n v="318.63"/>
    <m/>
    <s v="1"/>
    <m/>
    <m/>
    <n v="318.63"/>
    <m/>
    <n v="318.63"/>
  </r>
  <r>
    <x v="12"/>
    <s v="No"/>
    <s v="SOU087"/>
    <s v="1273"/>
    <s v="Our Lady of Lourdes"/>
    <s v="LEE"/>
    <s v="Y"/>
    <m/>
    <n v="1947.57"/>
    <s v="1"/>
    <m/>
    <m/>
    <n v="0"/>
    <n v="2052.3999999999996"/>
    <n v="2052.3999999999996"/>
  </r>
  <r>
    <x v="12"/>
    <s v="No"/>
    <s v="SOU088"/>
    <s v="1274"/>
    <s v="St Saviour &amp; St John Baptist &amp; Evangelist"/>
    <s v="LEWISHAM"/>
    <m/>
    <m/>
    <m/>
    <s v=" "/>
    <s v="banking per DD"/>
    <n v="84.36"/>
    <n v="84.36"/>
    <n v="323"/>
    <n v="407.36"/>
  </r>
  <r>
    <x v="12"/>
    <s v="No"/>
    <s v="SOU089"/>
    <s v="1275"/>
    <s v="St Francis RC Parish"/>
    <s v="MAIDSTONE"/>
    <m/>
    <m/>
    <m/>
    <s v=" "/>
    <s v="banking per DD"/>
    <n v="19.04"/>
    <n v="19.04"/>
    <n v="773.94"/>
    <n v="792.98"/>
  </r>
  <r>
    <x v="12"/>
    <s v="No"/>
    <s v="SOU089S"/>
    <s v="0444392"/>
    <s v="St Luke's Chapel"/>
    <s v="PRESTON HALL"/>
    <m/>
    <m/>
    <m/>
    <s v=" "/>
    <m/>
    <m/>
    <n v="0"/>
    <m/>
    <n v="0"/>
  </r>
  <r>
    <x v="12"/>
    <s v="No"/>
    <s v="SOU089S2"/>
    <s v="0444553"/>
    <s v="The Chapel of Our Lady"/>
    <s v="ALLERTON-BYWATER"/>
    <m/>
    <m/>
    <m/>
    <s v=" "/>
    <m/>
    <m/>
    <n v="0"/>
    <m/>
    <n v="0"/>
  </r>
  <r>
    <x v="12"/>
    <s v="No"/>
    <s v="SOU089X"/>
    <s v="1276"/>
    <s v="Shrine of Our Lady &amp; St Simon Stock"/>
    <s v="AYLESFORD"/>
    <m/>
    <m/>
    <m/>
    <s v=" "/>
    <m/>
    <m/>
    <n v="0"/>
    <m/>
    <n v="0"/>
  </r>
  <r>
    <x v="12"/>
    <s v="No"/>
    <s v="SOU090"/>
    <s v="1277"/>
    <s v="St Austin &amp; St Gregory RC Church"/>
    <s v="MARGATE"/>
    <s v="Y"/>
    <n v="943.24"/>
    <m/>
    <s v="1"/>
    <m/>
    <m/>
    <n v="943.24"/>
    <m/>
    <n v="943.24"/>
  </r>
  <r>
    <x v="12"/>
    <s v="No"/>
    <s v="SOU091"/>
    <s v="1278"/>
    <s v="St John Fisher RC Church"/>
    <s v="MERTON"/>
    <s v="Y"/>
    <n v="2753.33"/>
    <m/>
    <s v="1"/>
    <m/>
    <m/>
    <n v="2753.33"/>
    <n v="1361.97"/>
    <n v="4115.3"/>
  </r>
  <r>
    <x v="12"/>
    <s v="No"/>
    <s v="SOU093"/>
    <s v="1280"/>
    <s v="St Peter &amp; St Paul"/>
    <s v="MITCHAM"/>
    <m/>
    <m/>
    <m/>
    <s v=" "/>
    <m/>
    <m/>
    <n v="0"/>
    <n v="5"/>
    <n v="5"/>
  </r>
  <r>
    <x v="12"/>
    <s v="No"/>
    <s v="SOU095"/>
    <s v="1281"/>
    <s v="St John the Evangelist"/>
    <s v="MONGEHAM &amp; SANDWICH"/>
    <m/>
    <m/>
    <m/>
    <s v=" "/>
    <s v="banking per DD"/>
    <n v="186.97"/>
    <n v="186.97"/>
    <n v="5"/>
    <n v="191.97"/>
  </r>
  <r>
    <x v="12"/>
    <s v="No"/>
    <s v="SOU095S"/>
    <s v="0444641"/>
    <s v="St Andrew"/>
    <s v="MONGEHAM &amp; SANDWICH"/>
    <m/>
    <m/>
    <m/>
    <s v=" "/>
    <m/>
    <m/>
    <n v="0"/>
    <m/>
    <n v="0"/>
  </r>
  <r>
    <x v="12"/>
    <s v="No"/>
    <s v="SOU096"/>
    <s v="1282"/>
    <s v="St Teresa of the Child Jesus"/>
    <s v="MORDEN"/>
    <s v="Y"/>
    <n v="249.17"/>
    <m/>
    <s v="1"/>
    <s v="per DD - it is £299.17"/>
    <n v="50"/>
    <n v="299.16999999999996"/>
    <n v="730"/>
    <n v="1029.17"/>
  </r>
  <r>
    <x v="12"/>
    <s v="No"/>
    <s v="SOU097"/>
    <s v="1283"/>
    <s v="St Mary Magdalen RC Church"/>
    <s v="MORTLAKE"/>
    <s v="Y"/>
    <n v="258.55"/>
    <m/>
    <s v="1"/>
    <s v="per DD - it is £495.16"/>
    <n v="236.61"/>
    <n v="495.16"/>
    <n v="545"/>
    <n v="1040.1600000000001"/>
  </r>
  <r>
    <x v="12"/>
    <s v="No"/>
    <s v="SOU098"/>
    <s v="1284"/>
    <s v="Our Lady Help of Christians RC Church"/>
    <s v="MOTTINGHAM"/>
    <s v="Y"/>
    <m/>
    <n v="906.97"/>
    <s v="1"/>
    <m/>
    <m/>
    <n v="0"/>
    <n v="3581.9700000000003"/>
    <n v="3581.9700000000003"/>
  </r>
  <r>
    <x v="12"/>
    <s v="No"/>
    <s v="SOU098S"/>
    <s v="0444525"/>
    <s v="All Saints Church (Church of England)"/>
    <s v="LONDON"/>
    <m/>
    <m/>
    <m/>
    <s v=" "/>
    <m/>
    <m/>
    <n v="0"/>
    <m/>
    <n v="0"/>
  </r>
  <r>
    <x v="12"/>
    <s v="No"/>
    <s v="SOU099"/>
    <s v="1285"/>
    <s v="Good Shepherd RC Church"/>
    <s v="NEW ADDINGTON"/>
    <s v="Y"/>
    <n v="529.34"/>
    <m/>
    <s v="1"/>
    <m/>
    <m/>
    <n v="529.34"/>
    <n v="60"/>
    <n v="589.34"/>
  </r>
  <r>
    <x v="12"/>
    <s v="No"/>
    <s v="SOU100"/>
    <s v="1286"/>
    <s v="St Wilfrid RC Church"/>
    <s v="KENNINGTON PARK"/>
    <s v="Y"/>
    <n v="176.51000000000002"/>
    <m/>
    <s v="1"/>
    <m/>
    <m/>
    <n v="176.51000000000002"/>
    <n v="6"/>
    <n v="182.51000000000002"/>
  </r>
  <r>
    <x v="12"/>
    <s v="No"/>
    <s v="SOU101"/>
    <s v="1287"/>
    <s v="St Joseph RC Church"/>
    <s v="NEW MALDEN"/>
    <m/>
    <m/>
    <m/>
    <s v=" "/>
    <m/>
    <m/>
    <n v="0"/>
    <n v="1385.51"/>
    <n v="1385.51"/>
  </r>
  <r>
    <x v="12"/>
    <s v="No"/>
    <s v="SOU102"/>
    <s v="1288"/>
    <s v="St Pius X"/>
    <s v="NORBITON"/>
    <s v="Y"/>
    <n v="1042.96"/>
    <m/>
    <s v="1"/>
    <s v="per DD - it is £1068.50    (£25 chq from Elizabeth Buckland not included in Grand Total but is in Dio Bank Acc column)"/>
    <n v="25.54"/>
    <n v="1068.5"/>
    <n v="34.5"/>
    <n v="1103"/>
  </r>
  <r>
    <x v="12"/>
    <s v="No"/>
    <s v="SOU103"/>
    <s v="1289"/>
    <s v="St Bartholomew RC Church"/>
    <s v="NORBURY"/>
    <s v="Y"/>
    <n v="4697.46"/>
    <m/>
    <s v="1"/>
    <m/>
    <m/>
    <n v="4697.46"/>
    <n v="439.97"/>
    <n v="5137.43"/>
  </r>
  <r>
    <x v="12"/>
    <s v="No"/>
    <s v="SOU104"/>
    <s v="1290"/>
    <s v="St Cecilia RC Church"/>
    <s v="NORTH CHEAM"/>
    <s v="Y"/>
    <n v="452.25"/>
    <m/>
    <s v="1"/>
    <s v="per DD - it is £452.20"/>
    <n v="-0.05"/>
    <n v="452.2"/>
    <n v="175"/>
    <n v="627.20000000000005"/>
  </r>
  <r>
    <x v="12"/>
    <s v="No"/>
    <s v="SOU105"/>
    <s v="1291"/>
    <s v="Our Lady of the Assumption"/>
    <s v="NORTHFLEET"/>
    <s v="Y"/>
    <m/>
    <n v="237.73"/>
    <s v="1"/>
    <m/>
    <m/>
    <n v="0"/>
    <n v="342.73"/>
    <n v="342.73"/>
  </r>
  <r>
    <x v="12"/>
    <s v="No"/>
    <s v="SOU106"/>
    <s v="1292"/>
    <s v="St Chad RC Church"/>
    <s v="NORWOOD SOUTH"/>
    <m/>
    <m/>
    <m/>
    <s v=" "/>
    <m/>
    <m/>
    <n v="0"/>
    <n v="360"/>
    <n v="360"/>
  </r>
  <r>
    <x v="12"/>
    <s v="No"/>
    <s v="SOU107"/>
    <s v="1293"/>
    <s v="The Faithful Virgin RC Parish"/>
    <s v="NORWOOD UPPER"/>
    <m/>
    <m/>
    <m/>
    <s v=" "/>
    <m/>
    <m/>
    <n v="0"/>
    <n v="120"/>
    <n v="120"/>
  </r>
  <r>
    <x v="12"/>
    <s v="No"/>
    <s v="SOU108"/>
    <s v="1294"/>
    <s v="St Matthew RC Church"/>
    <s v="NORWOOD WEST"/>
    <m/>
    <m/>
    <m/>
    <s v=" "/>
    <m/>
    <m/>
    <n v="0"/>
    <n v="65"/>
    <n v="65"/>
  </r>
  <r>
    <x v="12"/>
    <s v="No"/>
    <s v="SOU109"/>
    <s v="1295"/>
    <s v="St Thomas the Apostle"/>
    <s v="NUNHEAD"/>
    <m/>
    <m/>
    <m/>
    <s v=" "/>
    <m/>
    <m/>
    <n v="0"/>
    <n v="175"/>
    <n v="175"/>
  </r>
  <r>
    <x v="12"/>
    <s v="No"/>
    <s v="SOU110"/>
    <s v="1296"/>
    <s v="St Mary Help of Christians RC Church"/>
    <s v="OLD COULSDON"/>
    <m/>
    <m/>
    <m/>
    <s v=" "/>
    <s v="banking per DD"/>
    <n v="122.62"/>
    <n v="122.62"/>
    <n v="155"/>
    <n v="277.62"/>
  </r>
  <r>
    <x v="12"/>
    <s v="No"/>
    <s v="SOU111"/>
    <s v="1297"/>
    <s v="Holy Innocents RC Church"/>
    <s v="ORPINGTON"/>
    <m/>
    <m/>
    <m/>
    <s v=" "/>
    <s v="banking per DD"/>
    <n v="1231.73"/>
    <n v="1231.73"/>
    <n v="285"/>
    <n v="1516.73"/>
  </r>
  <r>
    <x v="12"/>
    <s v="No"/>
    <s v="SOU112"/>
    <s v="1298"/>
    <s v="The Holy Family"/>
    <s v="MAIDSTONE SOUTH"/>
    <s v="Y"/>
    <n v="397.21000000000004"/>
    <m/>
    <s v="1"/>
    <s v="per DD - it is £347.21"/>
    <n v="-50"/>
    <n v="347.21000000000004"/>
    <n v="182"/>
    <n v="529.21"/>
  </r>
  <r>
    <x v="12"/>
    <s v="No"/>
    <s v="SOU112S"/>
    <s v="0444631"/>
    <s v="St Thomas of Canterbury"/>
    <s v="HEADCORN"/>
    <m/>
    <m/>
    <m/>
    <s v=" "/>
    <m/>
    <m/>
    <n v="0"/>
    <m/>
    <n v="0"/>
  </r>
  <r>
    <x v="12"/>
    <s v="No"/>
    <s v="SOU113"/>
    <s v="1299"/>
    <s v="Our Lady of Sorrows RC Church"/>
    <s v="PECKHAM"/>
    <m/>
    <m/>
    <m/>
    <s v=" "/>
    <m/>
    <m/>
    <n v="0"/>
    <m/>
    <n v="0"/>
  </r>
  <r>
    <x v="12"/>
    <s v="No"/>
    <s v="SOU114"/>
    <s v="1300"/>
    <s v="St James the Great RC Church"/>
    <s v="PECKHAM RYE"/>
    <m/>
    <m/>
    <m/>
    <s v=" "/>
    <m/>
    <m/>
    <n v="0"/>
    <n v="1238.78"/>
    <n v="1238.78"/>
  </r>
  <r>
    <x v="12"/>
    <s v="No"/>
    <s v="SOU115"/>
    <s v="1301"/>
    <s v="St Justus"/>
    <s v="PADDOCK WOOD"/>
    <m/>
    <m/>
    <m/>
    <s v=" "/>
    <m/>
    <m/>
    <n v="0"/>
    <n v="270"/>
    <n v="270"/>
  </r>
  <r>
    <x v="12"/>
    <s v="No"/>
    <s v="SOU116"/>
    <s v="1302"/>
    <s v="St James the Apostle RC Church"/>
    <s v="PETTS WOOD"/>
    <s v="Y"/>
    <n v="1106.74"/>
    <m/>
    <s v="1"/>
    <m/>
    <m/>
    <n v="1106.74"/>
    <n v="151.97"/>
    <n v="1258.71"/>
  </r>
  <r>
    <x v="12"/>
    <s v="No"/>
    <s v="SOU117"/>
    <s v="1303"/>
    <s v="Parish of Holy Cross and St Patrick RC Church (St Patrick's)"/>
    <s v="PLUMSTEAD"/>
    <s v="Y"/>
    <n v="1072.72"/>
    <m/>
    <s v="1"/>
    <s v="per DD - it is £1026.72"/>
    <n v="-46"/>
    <n v="1026.72"/>
    <n v="209"/>
    <n v="1235.72"/>
  </r>
  <r>
    <x v="12"/>
    <s v="No"/>
    <s v="SOU118"/>
    <s v="1304"/>
    <s v="Parish of Holy Cross and St Patrick RC Church (Holy Cross RC Church)"/>
    <s v="PLUMSTEAD COMMON"/>
    <s v="Y"/>
    <n v="1269.8399999999999"/>
    <m/>
    <s v="1"/>
    <s v="per DD - it is £1484.34"/>
    <n v="214.5"/>
    <n v="1484.34"/>
    <n v="155"/>
    <n v="1639.34"/>
  </r>
  <r>
    <x v="12"/>
    <s v="No"/>
    <s v="SOU118X"/>
    <s v="1305"/>
    <s v="St Michael RC Church"/>
    <s v="POLLARDS HILL"/>
    <s v="Y"/>
    <n v="300"/>
    <m/>
    <s v="1"/>
    <m/>
    <m/>
    <n v="300"/>
    <n v="10"/>
    <n v="310"/>
  </r>
  <r>
    <x v="12"/>
    <s v="No"/>
    <s v="SOU119"/>
    <s v="1306"/>
    <s v="St John the Baptist"/>
    <s v="PURLEY"/>
    <s v="Y"/>
    <n v="6316.16"/>
    <m/>
    <s v="1"/>
    <s v="per DD - it is £6335.41  (return by email &amp; excel file - list of donors)"/>
    <n v="19.25"/>
    <n v="6335.41"/>
    <n v="1125.8499999999999"/>
    <n v="7461.26"/>
  </r>
  <r>
    <x v="12"/>
    <s v="No"/>
    <s v="SOU119S"/>
    <s v="0444565"/>
    <s v="The John Fisher School Chapel"/>
    <s v="PURLEY"/>
    <m/>
    <m/>
    <m/>
    <s v=" "/>
    <m/>
    <m/>
    <n v="0"/>
    <m/>
    <n v="0"/>
  </r>
  <r>
    <x v="12"/>
    <s v="No"/>
    <s v="SOU120"/>
    <s v="1307"/>
    <s v="Our Lady of Pity &amp; St Simon Stock RC Church"/>
    <s v="PUTNEY"/>
    <s v="Y"/>
    <n v="2396.84"/>
    <m/>
    <s v="1"/>
    <m/>
    <m/>
    <n v="2396.84"/>
    <n v="980"/>
    <n v="3376.84"/>
  </r>
  <r>
    <x v="12"/>
    <s v="No"/>
    <s v="SOU120S"/>
    <s v="0444391"/>
    <s v="All Saints (Anglican Church)"/>
    <s v="PUTNEY COMMON"/>
    <m/>
    <m/>
    <m/>
    <s v=" "/>
    <m/>
    <m/>
    <n v="0"/>
    <m/>
    <n v="0"/>
  </r>
  <r>
    <x v="12"/>
    <s v="No"/>
    <s v="SOU121"/>
    <s v="1308"/>
    <s v="St Thomas of Canterbury RC Church"/>
    <s v="RAINHAM"/>
    <s v="Y"/>
    <m/>
    <n v="480.28"/>
    <s v="1"/>
    <m/>
    <m/>
    <n v="0"/>
    <n v="940.28"/>
    <n v="940.28"/>
  </r>
  <r>
    <x v="12"/>
    <s v="No"/>
    <s v="SOU121X"/>
    <s v="1309"/>
    <s v="St Augustine of Canterbury"/>
    <s v="PARKWOOD &amp; WIGMORE"/>
    <s v="Y"/>
    <n v="2666.17"/>
    <m/>
    <s v="1"/>
    <m/>
    <m/>
    <n v="2666.17"/>
    <n v="295"/>
    <n v="2961.17"/>
  </r>
  <r>
    <x v="12"/>
    <s v="No"/>
    <s v="SOU122"/>
    <s v="1310"/>
    <s v="St Ethelbert &amp; St Gertrude RC Church"/>
    <s v="RAMSGATE &amp; MINSTER"/>
    <s v="Y"/>
    <n v="1414.19"/>
    <m/>
    <s v="1"/>
    <s v="per DD - it is £1412.19"/>
    <n v="-2"/>
    <n v="1412.19"/>
    <n v="1425"/>
    <n v="2837.19"/>
  </r>
  <r>
    <x v="12"/>
    <s v="No"/>
    <s v="SOU123"/>
    <s v="1313"/>
    <s v="St Elizabeth of Portugal RC Church"/>
    <s v="RICHMOND"/>
    <s v="Y"/>
    <n v="1898"/>
    <m/>
    <s v="1"/>
    <s v="per DD - it is £1736"/>
    <n v="-162"/>
    <n v="1736"/>
    <n v="915"/>
    <n v="2651"/>
  </r>
  <r>
    <x v="12"/>
    <s v="No"/>
    <s v="SOU123A"/>
    <s v="1314"/>
    <s v="St Thomas Aquinas"/>
    <s v="HAM"/>
    <m/>
    <m/>
    <m/>
    <s v=" "/>
    <s v="banking per DD"/>
    <n v="516.9"/>
    <n v="516.9"/>
    <n v="200"/>
    <n v="716.9"/>
  </r>
  <r>
    <x v="12"/>
    <s v="No"/>
    <s v="SOU124"/>
    <s v="1315"/>
    <s v="St John Fisher RC Church"/>
    <s v="ROCHESTER"/>
    <s v="Y"/>
    <n v="1442.0699999999997"/>
    <m/>
    <s v="1"/>
    <s v="per DD - it is £1442.19"/>
    <n v="-0.02"/>
    <n v="1442.0499999999997"/>
    <n v="80"/>
    <n v="1522.0499999999997"/>
  </r>
  <r>
    <x v="12"/>
    <s v="No"/>
    <s v="SOU125"/>
    <s v="1316"/>
    <s v="St Joseph"/>
    <s v="ROEHAMPTON"/>
    <m/>
    <m/>
    <m/>
    <s v=" "/>
    <s v="banking per DD"/>
    <n v="466.38"/>
    <n v="466.38"/>
    <n v="40"/>
    <n v="506.38"/>
  </r>
  <r>
    <x v="12"/>
    <s v="No"/>
    <s v="SOU126"/>
    <s v="1318"/>
    <s v="St Peter &amp; the Guardian Angels RC Church"/>
    <s v="ROTHERHITHE"/>
    <s v="Y"/>
    <m/>
    <n v="388.3"/>
    <s v="1"/>
    <m/>
    <m/>
    <n v="0"/>
    <n v="388.3"/>
    <n v="388.3"/>
  </r>
  <r>
    <x v="12"/>
    <s v="No"/>
    <s v="SOU127"/>
    <s v="1319"/>
    <s v="Our Lady of the Crays"/>
    <s v="ST MARY CRAY"/>
    <m/>
    <m/>
    <m/>
    <s v=" "/>
    <s v="banking per DD"/>
    <n v="132.96"/>
    <n v="132.96"/>
    <n v="480"/>
    <n v="612.96"/>
  </r>
  <r>
    <x v="12"/>
    <s v="No"/>
    <s v="SOU129"/>
    <s v="1321"/>
    <s v="The Holy Family"/>
    <s v="SANDERSTEAD"/>
    <s v="Y"/>
    <n v="953.1"/>
    <m/>
    <s v="1"/>
    <s v="per DD - it is £752.60"/>
    <n v="-200.5"/>
    <n v="752.6"/>
    <n v="575"/>
    <n v="1327.6"/>
  </r>
  <r>
    <x v="12"/>
    <s v="No"/>
    <s v="SOU130"/>
    <s v="1322"/>
    <s v="St Columba RC Church"/>
    <s v="SELSDON"/>
    <s v="Y"/>
    <n v="1672.89"/>
    <m/>
    <s v="1"/>
    <s v="per DD - it is £1763.76"/>
    <n v="90.87"/>
    <n v="1763.7600000000002"/>
    <m/>
    <n v="1763.7600000000002"/>
  </r>
  <r>
    <x v="12"/>
    <s v="No"/>
    <s v="SOU131"/>
    <s v="1323"/>
    <s v="St Thomas of Canterbury RC Church"/>
    <s v="SEVENOAKS"/>
    <s v="Y"/>
    <n v="2629.65"/>
    <m/>
    <s v="1"/>
    <m/>
    <m/>
    <n v="2629.65"/>
    <n v="835"/>
    <n v="3464.65"/>
  </r>
  <r>
    <x v="12"/>
    <s v="No"/>
    <s v="SOU131A"/>
    <s v="0444629"/>
    <s v="Holy Trinity RC Church"/>
    <s v="OTFORD"/>
    <m/>
    <m/>
    <m/>
    <s v=" "/>
    <m/>
    <m/>
    <n v="0"/>
    <m/>
    <n v="0"/>
  </r>
  <r>
    <x v="12"/>
    <s v="No"/>
    <s v="SOU131S"/>
    <s v="0444633"/>
    <s v="St Joseph"/>
    <s v="BOROUGH GREEN"/>
    <m/>
    <m/>
    <m/>
    <s v=" "/>
    <m/>
    <m/>
    <n v="0"/>
    <m/>
    <n v="0"/>
  </r>
  <r>
    <x v="12"/>
    <s v="No"/>
    <s v="SOU131S2"/>
    <s v="0444637"/>
    <s v="St. Bernadette"/>
    <s v="WEST KINGSDOWN"/>
    <m/>
    <m/>
    <m/>
    <s v=" "/>
    <m/>
    <m/>
    <n v="0"/>
    <m/>
    <n v="0"/>
  </r>
  <r>
    <x v="12"/>
    <s v="No"/>
    <s v="SOU132"/>
    <s v="1324"/>
    <s v="St Henry &amp; St Elizabeth"/>
    <s v="SHEPPEY"/>
    <s v="Y"/>
    <n v="634.61"/>
    <m/>
    <s v="1"/>
    <s v="per DD - it is £684.61"/>
    <n v="50"/>
    <n v="684.61"/>
    <n v="150"/>
    <n v="834.61"/>
  </r>
  <r>
    <x v="12"/>
    <s v="No"/>
    <s v="SOU132S"/>
    <s v="0444639"/>
    <s v="Immaculate Heart of Mary"/>
    <s v="MINSTER"/>
    <m/>
    <m/>
    <m/>
    <s v=" "/>
    <m/>
    <m/>
    <n v="0"/>
    <m/>
    <n v="0"/>
  </r>
  <r>
    <x v="12"/>
    <s v="No"/>
    <s v="SOU133"/>
    <s v="1325"/>
    <s v="St Joseph's RC Church"/>
    <s v="SHOOTERS HILL"/>
    <m/>
    <m/>
    <m/>
    <s v=" "/>
    <s v="banking per DD"/>
    <n v="274.97000000000003"/>
    <n v="274.97000000000003"/>
    <n v="55"/>
    <n v="329.97"/>
  </r>
  <r>
    <x v="12"/>
    <s v="No"/>
    <s v="SOU136"/>
    <s v="1326"/>
    <s v="St Lawrence of Canterbury"/>
    <s v="SIDCUP"/>
    <m/>
    <m/>
    <m/>
    <s v=" "/>
    <s v="banking per DD"/>
    <n v="621.32000000000005"/>
    <n v="621.32000000000005"/>
    <n v="365"/>
    <n v="986.32"/>
  </r>
  <r>
    <x v="12"/>
    <s v="No"/>
    <s v="SOU137"/>
    <s v="1327"/>
    <s v="The Sacred Heart"/>
    <s v="SITTINGBOURNE"/>
    <s v="Y"/>
    <n v="1559.9299999999998"/>
    <m/>
    <s v="1"/>
    <m/>
    <m/>
    <n v="1559.9299999999998"/>
    <n v="110"/>
    <n v="1669.9299999999998"/>
  </r>
  <r>
    <x v="12"/>
    <s v="No"/>
    <s v="SOU138"/>
    <s v="1328"/>
    <s v="St Dunstan's RC Church"/>
    <s v="SOUTHBOROUGH"/>
    <s v="Y"/>
    <n v="617.04"/>
    <m/>
    <s v="1"/>
    <s v="per DD - it is £616.34"/>
    <n v="-0.7"/>
    <n v="616.33999999999992"/>
    <n v="110"/>
    <n v="726.33999999999992"/>
  </r>
  <r>
    <x v="12"/>
    <s v="No"/>
    <s v="SOU139"/>
    <s v="1329"/>
    <s v="Our Lady of the Rosary"/>
    <s v="BRIXTON"/>
    <m/>
    <m/>
    <m/>
    <s v=" "/>
    <m/>
    <m/>
    <n v="0"/>
    <m/>
    <n v="0"/>
  </r>
  <r>
    <x v="12"/>
    <s v="No"/>
    <s v="SOU140"/>
    <s v="1330"/>
    <s v="English Martyrs RC Church"/>
    <s v="STREATHAM"/>
    <s v="Y"/>
    <n v="2929.21"/>
    <m/>
    <s v="1"/>
    <m/>
    <m/>
    <n v="2929.21"/>
    <n v="25"/>
    <n v="2954.21"/>
  </r>
  <r>
    <x v="12"/>
    <s v="No"/>
    <s v="SOU141"/>
    <s v="1331"/>
    <s v="St Simon &amp; St Jude"/>
    <s v="STREATHAM HILL"/>
    <m/>
    <m/>
    <m/>
    <s v=" "/>
    <s v="banking per DD"/>
    <n v="702.18"/>
    <n v="702.18"/>
    <n v="203.94"/>
    <n v="906.11999999999989"/>
  </r>
  <r>
    <x v="12"/>
    <s v="No"/>
    <s v="SOU142"/>
    <s v="1332"/>
    <s v="English Martyrs RC Church"/>
    <s v="STROOD"/>
    <m/>
    <m/>
    <m/>
    <s v=" "/>
    <m/>
    <m/>
    <n v="0"/>
    <n v="75"/>
    <n v="75"/>
  </r>
  <r>
    <x v="12"/>
    <s v="No"/>
    <s v="SOU142S"/>
    <s v="0443062"/>
    <s v="Holy Family"/>
    <s v="ROCHESTER"/>
    <m/>
    <m/>
    <m/>
    <s v=" "/>
    <m/>
    <m/>
    <n v="0"/>
    <m/>
    <n v="0"/>
  </r>
  <r>
    <x v="12"/>
    <s v="No"/>
    <s v="SOU143"/>
    <s v="1333"/>
    <s v="St Raphael RC Church"/>
    <s v="KINGSTON-UPON-THAMES"/>
    <m/>
    <m/>
    <m/>
    <s v=" "/>
    <m/>
    <m/>
    <n v="0"/>
    <n v="240.31"/>
    <n v="240.31"/>
  </r>
  <r>
    <x v="12"/>
    <s v="No"/>
    <s v="SOU143X"/>
    <s v="1335"/>
    <s v="Our Lady of  Immaculate Conception"/>
    <s v="SURREY DOCKS"/>
    <m/>
    <m/>
    <m/>
    <s v=" "/>
    <m/>
    <m/>
    <n v="0"/>
    <m/>
    <n v="0"/>
  </r>
  <r>
    <x v="12"/>
    <s v="No"/>
    <s v="SOU144"/>
    <s v="1336"/>
    <s v="Our Lady of the Rosary"/>
    <s v="SUTTON"/>
    <s v="Y"/>
    <n v="845.52"/>
    <m/>
    <s v="1"/>
    <s v="per DD - it is £802.05  (2x Letter only: banked into sort code 16-00-16, account: 11666930)"/>
    <n v="-43.47"/>
    <n v="802.05"/>
    <n v="395"/>
    <n v="1197.05"/>
  </r>
  <r>
    <x v="12"/>
    <s v="No"/>
    <s v="SOU144X"/>
    <s v="1337"/>
    <s v="Holy Family RC Church"/>
    <s v="SUTTON GREEN"/>
    <m/>
    <m/>
    <m/>
    <s v=" "/>
    <m/>
    <m/>
    <n v="0"/>
    <n v="240"/>
    <n v="240"/>
  </r>
  <r>
    <x v="12"/>
    <s v="No"/>
    <s v="SOU145"/>
    <s v="1338"/>
    <s v="Church of the Apostles"/>
    <s v="SWANLEY"/>
    <s v="Y"/>
    <n v="1191.23"/>
    <m/>
    <s v="1"/>
    <m/>
    <m/>
    <n v="1191.23"/>
    <n v="235"/>
    <n v="1426.23"/>
  </r>
  <r>
    <x v="12"/>
    <s v="No"/>
    <s v="SOU146"/>
    <s v="1339"/>
    <s v="Our Lady &amp; St Philip Neri"/>
    <s v="SYDENHAM"/>
    <m/>
    <m/>
    <m/>
    <s v=" "/>
    <m/>
    <m/>
    <n v="0"/>
    <n v="551"/>
    <n v="551"/>
  </r>
  <r>
    <x v="12"/>
    <s v="No"/>
    <s v="SOU146A"/>
    <s v="0444622"/>
    <s v="St Justus"/>
    <s v="TEMPLE FARM"/>
    <m/>
    <m/>
    <m/>
    <s v=" "/>
    <m/>
    <m/>
    <n v="0"/>
    <m/>
    <n v="0"/>
  </r>
  <r>
    <x v="12"/>
    <s v="No"/>
    <s v="SOU146X"/>
    <s v="1340"/>
    <s v="Church of the Resurrection of Our Lord"/>
    <s v="SYDENHAM KIRKDALE"/>
    <m/>
    <m/>
    <m/>
    <s v=" "/>
    <m/>
    <m/>
    <n v="0"/>
    <n v="70"/>
    <n v="70"/>
  </r>
  <r>
    <x v="12"/>
    <s v="No"/>
    <s v="SOU147"/>
    <s v="1341"/>
    <s v="St Andrew"/>
    <s v="TENTERDEN"/>
    <m/>
    <m/>
    <m/>
    <s v=" "/>
    <m/>
    <m/>
    <n v="0"/>
    <n v="45"/>
    <n v="45"/>
  </r>
  <r>
    <x v="12"/>
    <s v="No"/>
    <s v="SOU147X"/>
    <s v="1342"/>
    <s v="St Paul RC Church"/>
    <s v="THAMESMEAD CENTRAL"/>
    <s v="Y"/>
    <n v="360.29"/>
    <m/>
    <s v="1"/>
    <m/>
    <m/>
    <n v="360.29"/>
    <n v="340"/>
    <n v="700.29"/>
  </r>
  <r>
    <x v="12"/>
    <s v="No"/>
    <s v="SOU148"/>
    <s v="1344"/>
    <s v="St Andrew RC Church"/>
    <s v="THORNTON HEATH"/>
    <m/>
    <m/>
    <m/>
    <s v=" "/>
    <s v="banking per DD"/>
    <n v="663.86"/>
    <n v="663.86"/>
    <n v="1276.2"/>
    <n v="1940.06"/>
  </r>
  <r>
    <x v="12"/>
    <s v="No"/>
    <s v="SOU149"/>
    <s v="1345"/>
    <s v="Our Lady Immaculate"/>
    <s v="TOLWORTH"/>
    <s v="Y"/>
    <n v="1098.8899999999999"/>
    <m/>
    <s v="1"/>
    <m/>
    <m/>
    <n v="1098.8899999999999"/>
    <n v="395"/>
    <n v="1493.8899999999999"/>
  </r>
  <r>
    <x v="12"/>
    <s v="No"/>
    <s v="SOU150"/>
    <s v="1346"/>
    <s v="Corpus Christi RC Church"/>
    <s v="TONBRIDGE"/>
    <s v="Y"/>
    <n v="694.08000000000015"/>
    <n v="50"/>
    <s v="1"/>
    <m/>
    <m/>
    <n v="694.08000000000015"/>
    <n v="470"/>
    <n v="1164.0800000000002"/>
  </r>
  <r>
    <x v="12"/>
    <s v="No"/>
    <s v="SOU150S"/>
    <s v="0444634"/>
    <s v="St Peter's Chapel"/>
    <s v="HADLOW"/>
    <m/>
    <m/>
    <m/>
    <s v=" "/>
    <m/>
    <m/>
    <n v="0"/>
    <m/>
    <n v="0"/>
  </r>
  <r>
    <x v="12"/>
    <s v="No"/>
    <s v="SOU151"/>
    <s v="1347"/>
    <s v="St Boniface RC Church"/>
    <s v="TOOTING"/>
    <m/>
    <m/>
    <m/>
    <s v=" "/>
    <s v="banking per DD"/>
    <n v="1148.8699999999999"/>
    <n v="1148.8699999999999"/>
    <n v="62"/>
    <n v="1210.8699999999999"/>
  </r>
  <r>
    <x v="12"/>
    <s v="No"/>
    <s v="SOU152"/>
    <s v="1348"/>
    <s v="Our Lady of Assumption"/>
    <s v="TOOTING"/>
    <s v="Y"/>
    <m/>
    <n v="263.65999999999997"/>
    <s v="1"/>
    <m/>
    <m/>
    <n v="0"/>
    <n v="263.66000000000003"/>
    <n v="263.66000000000003"/>
  </r>
  <r>
    <x v="12"/>
    <s v="No"/>
    <s v="SOU153"/>
    <s v="1349"/>
    <s v="St Anselm RC Church"/>
    <s v="TOOTING BEC"/>
    <m/>
    <m/>
    <m/>
    <s v=" "/>
    <m/>
    <m/>
    <n v="0"/>
    <n v="121"/>
    <n v="121"/>
  </r>
  <r>
    <x v="12"/>
    <s v="No"/>
    <s v="SOU154"/>
    <s v="1350"/>
    <s v="St Augustine RC Church"/>
    <s v="TUNBRIDGE WELLS"/>
    <m/>
    <m/>
    <m/>
    <s v=" "/>
    <m/>
    <m/>
    <n v="0"/>
    <n v="445"/>
    <n v="445"/>
  </r>
  <r>
    <x v="12"/>
    <s v="No"/>
    <s v="SOU155"/>
    <s v="1351"/>
    <s v="St Anne RC Church"/>
    <s v="VAUXHALL"/>
    <s v="Y"/>
    <n v="817"/>
    <m/>
    <s v="1"/>
    <s v="Diff £5 - Annual form stated £330+482 in Dio Acc column"/>
    <m/>
    <n v="817"/>
    <n v="310"/>
    <n v="1127"/>
  </r>
  <r>
    <x v="12"/>
    <s v="No"/>
    <s v="SOU156"/>
    <s v="1352"/>
    <s v="St Dominic RC Church"/>
    <s v="WADDON"/>
    <s v="Y"/>
    <n v="2041"/>
    <m/>
    <s v="1"/>
    <m/>
    <m/>
    <n v="2041"/>
    <n v="140"/>
    <n v="2181"/>
  </r>
  <r>
    <x v="12"/>
    <s v="No"/>
    <s v="SOU157"/>
    <s v="1353"/>
    <s v="St Simon Stock RC Church"/>
    <s v="WALDERSLADE"/>
    <s v="Y"/>
    <n v="1758.0600000000002"/>
    <m/>
    <s v="1"/>
    <m/>
    <m/>
    <n v="1758.0600000000002"/>
    <n v="150"/>
    <n v="1908.0600000000002"/>
  </r>
  <r>
    <x v="12"/>
    <s v="No"/>
    <s v="SOU158"/>
    <s v="1354"/>
    <s v="St Elphege RC Church"/>
    <s v="WALLINGTON"/>
    <s v="Y"/>
    <m/>
    <n v="1470.52"/>
    <s v="1"/>
    <m/>
    <m/>
    <n v="0"/>
    <n v="2100.02"/>
    <n v="2100.02"/>
  </r>
  <r>
    <x v="12"/>
    <s v="No"/>
    <s v="SOU159"/>
    <s v="1355"/>
    <s v="English Martyrs RC Church"/>
    <s v="WALWORTH"/>
    <m/>
    <m/>
    <m/>
    <s v=" "/>
    <m/>
    <m/>
    <n v="0"/>
    <m/>
    <n v="0"/>
  </r>
  <r>
    <x v="12"/>
    <s v="No"/>
    <s v="SOU160"/>
    <s v="1356"/>
    <s v="St Thomas a Becket"/>
    <s v="WANDSWORTH"/>
    <s v="Y"/>
    <m/>
    <n v="654.15"/>
    <s v="1"/>
    <m/>
    <m/>
    <n v="0"/>
    <n v="669.15"/>
    <n v="669.15"/>
  </r>
  <r>
    <x v="12"/>
    <s v="No"/>
    <s v="SOU161"/>
    <s v="1357"/>
    <s v="St Mary Magdalen"/>
    <s v="WANDSWORTH EAST HILL"/>
    <s v="Y"/>
    <m/>
    <n v="1208.58"/>
    <s v="1"/>
    <s v="banking per DD"/>
    <n v="1208.58"/>
    <n v="1208.58"/>
    <n v="365"/>
    <n v="1573.58"/>
  </r>
  <r>
    <x v="12"/>
    <s v="No"/>
    <s v="SOU162"/>
    <s v="1358"/>
    <s v="St Patrick's Friary"/>
    <s v="WATERLOO"/>
    <m/>
    <m/>
    <m/>
    <s v=" "/>
    <m/>
    <m/>
    <n v="0"/>
    <n v="5"/>
    <n v="5"/>
  </r>
  <r>
    <x v="12"/>
    <s v="No"/>
    <s v="SOU163"/>
    <s v="1359"/>
    <s v="St Stephen RC Church"/>
    <s v="WELLING"/>
    <s v="Y"/>
    <n v="1501.67"/>
    <m/>
    <s v="1"/>
    <m/>
    <m/>
    <n v="1501.67"/>
    <n v="490"/>
    <n v="1991.67"/>
  </r>
  <r>
    <x v="12"/>
    <s v="No"/>
    <s v="SOU164"/>
    <s v="1360"/>
    <s v="St John the Baptist"/>
    <s v="WESTERHAM"/>
    <m/>
    <m/>
    <m/>
    <s v=" "/>
    <m/>
    <m/>
    <n v="0"/>
    <n v="68"/>
    <n v="68"/>
  </r>
  <r>
    <x v="12"/>
    <s v="No"/>
    <s v="SOU165"/>
    <s v="1361"/>
    <s v="St Peter (Holy Family Parish)"/>
    <s v="WESTGATE ON SEA"/>
    <m/>
    <m/>
    <m/>
    <s v=" "/>
    <m/>
    <m/>
    <n v="0"/>
    <n v="70"/>
    <n v="70"/>
  </r>
  <r>
    <x v="12"/>
    <s v="No"/>
    <s v="SOU166"/>
    <s v="1362"/>
    <s v="St Thomas More Church"/>
    <s v="WEST MALLING"/>
    <s v="Y"/>
    <n v="2213.2399999999998"/>
    <m/>
    <s v="1"/>
    <m/>
    <m/>
    <n v="2213.2399999999998"/>
    <n v="145"/>
    <n v="2358.2399999999998"/>
  </r>
  <r>
    <x v="12"/>
    <s v="No"/>
    <s v="SOU167"/>
    <s v="1363"/>
    <s v="St Mark RC Church"/>
    <s v="WEST WICKHAM"/>
    <s v="Y"/>
    <n v="599.58000000000004"/>
    <m/>
    <s v="1"/>
    <s v="per DD - it is £999.58"/>
    <n v="400"/>
    <n v="999.58"/>
    <n v="530"/>
    <n v="1529.58"/>
  </r>
  <r>
    <x v="12"/>
    <s v="No"/>
    <s v="SOU168"/>
    <s v="1364"/>
    <s v="Our Lady Immaculate"/>
    <s v="WHITSTABLE"/>
    <m/>
    <m/>
    <m/>
    <s v=" "/>
    <m/>
    <m/>
    <n v="0"/>
    <n v="96.66"/>
    <n v="96.66"/>
  </r>
  <r>
    <x v="12"/>
    <s v="No"/>
    <s v="SOU168S"/>
    <s v="0444385"/>
    <s v="St Joseph"/>
    <s v="CHESTFIELD"/>
    <m/>
    <m/>
    <m/>
    <s v=" "/>
    <m/>
    <m/>
    <n v="0"/>
    <m/>
    <n v="0"/>
  </r>
  <r>
    <x v="12"/>
    <s v="No"/>
    <s v="SOU169"/>
    <s v="1365"/>
    <s v="The Sacred Heart"/>
    <s v="WIMBLEDON"/>
    <m/>
    <m/>
    <m/>
    <s v=" "/>
    <m/>
    <m/>
    <n v="0"/>
    <n v="857.61"/>
    <n v="857.61"/>
  </r>
  <r>
    <x v="12"/>
    <s v="No"/>
    <s v="SOU169S"/>
    <s v="0444396"/>
    <s v="Sacred Heart School Mass Centre"/>
    <s v="NEW MALDEN"/>
    <m/>
    <m/>
    <m/>
    <s v=" "/>
    <m/>
    <m/>
    <n v="0"/>
    <m/>
    <n v="0"/>
  </r>
  <r>
    <x v="12"/>
    <s v="No"/>
    <s v="SOU170"/>
    <s v="1366"/>
    <s v="Our Lady &amp;  St Peter"/>
    <s v="WIMBLEDON COMMON"/>
    <s v="Y"/>
    <n v="372.04"/>
    <m/>
    <s v="1"/>
    <s v="per DD - it is £133.05  (Diff 2p: Grand Total stated £372.02)"/>
    <n v="-238.99"/>
    <n v="133.05000000000001"/>
    <n v="300"/>
    <n v="433.05"/>
  </r>
  <r>
    <x v="12"/>
    <s v="No"/>
    <s v="SOU171"/>
    <s v="1367"/>
    <s v="St Winefride's RC Church"/>
    <s v="WIMBLEDON SOUTH"/>
    <s v="Y"/>
    <n v="1581.52"/>
    <m/>
    <s v="1"/>
    <s v="per DD - it is £1591.13"/>
    <n v="9.61"/>
    <n v="1591.1299999999999"/>
    <n v="190"/>
    <n v="1781.1299999999999"/>
  </r>
  <r>
    <x v="12"/>
    <s v="No"/>
    <s v="SOU172"/>
    <s v="1368"/>
    <s v="Christ the King RC Church"/>
    <s v="WIMBLEDON PARK"/>
    <m/>
    <m/>
    <m/>
    <s v=" "/>
    <m/>
    <m/>
    <n v="0"/>
    <n v="1941.66"/>
    <n v="1941.66"/>
  </r>
  <r>
    <x v="12"/>
    <s v="No"/>
    <s v="SOU173"/>
    <s v="1369"/>
    <s v="St Peter the Apostle"/>
    <s v="WOOLWICH"/>
    <m/>
    <m/>
    <m/>
    <s v=" "/>
    <m/>
    <m/>
    <n v="0"/>
    <n v="245.34"/>
    <n v="245.34"/>
  </r>
  <r>
    <x v="12"/>
    <s v="No"/>
    <s v="SOU174"/>
    <s v="0444375"/>
    <s v="St Catherine  Laboure"/>
    <s v="WOOLWICH"/>
    <m/>
    <m/>
    <m/>
    <s v=" "/>
    <m/>
    <m/>
    <n v="0"/>
    <m/>
    <n v="0"/>
  </r>
  <r>
    <x v="12"/>
    <s v="No"/>
    <s v="SOU175"/>
    <s v="1370"/>
    <s v="St Matthias"/>
    <s v="WORCESTER PARK"/>
    <s v="Y"/>
    <n v="1215"/>
    <m/>
    <s v="1"/>
    <m/>
    <m/>
    <n v="1215"/>
    <n v="110"/>
    <n v="1325"/>
  </r>
  <r>
    <x v="12"/>
    <s v="No"/>
    <s v="SOU176"/>
    <s v="1343"/>
    <s v="St John Fisher RC Church"/>
    <s v="ERITH"/>
    <m/>
    <m/>
    <m/>
    <s v=" "/>
    <m/>
    <m/>
    <n v="0"/>
    <m/>
    <n v="0"/>
  </r>
  <r>
    <x v="12"/>
    <s v="No"/>
    <s v="SOU177"/>
    <s v="201867"/>
    <s v="St Anselm's"/>
    <s v="PEMBURY"/>
    <m/>
    <m/>
    <m/>
    <s v=" "/>
    <m/>
    <m/>
    <n v="0"/>
    <m/>
    <n v="0"/>
  </r>
  <r>
    <x v="12"/>
    <s v="No"/>
    <s v="SOU999"/>
    <s v="1373"/>
    <s v="Southwark Diocese Various"/>
    <m/>
    <m/>
    <m/>
    <m/>
    <s v=" "/>
    <m/>
    <n v="1499.52"/>
    <n v="1499.52"/>
    <n v="30"/>
    <n v="1529.52"/>
  </r>
  <r>
    <x v="13"/>
    <s v="No"/>
    <s v="WES001"/>
    <s v="1376"/>
    <s v="Metropolitan Cathedral of the Most Precious Blood"/>
    <s v="LONDON"/>
    <m/>
    <m/>
    <m/>
    <s v=" "/>
    <m/>
    <m/>
    <n v="0"/>
    <n v="3473.1400000000003"/>
    <n v="3473.1400000000003"/>
  </r>
  <r>
    <x v="13"/>
    <s v="No"/>
    <s v="WES001S"/>
    <s v="0442926"/>
    <s v="Sacred Heart Church, Chapel of Ease"/>
    <s v="LONDON"/>
    <m/>
    <m/>
    <m/>
    <s v=" "/>
    <m/>
    <m/>
    <n v="0"/>
    <m/>
    <n v="0"/>
  </r>
  <r>
    <x v="13"/>
    <s v="No"/>
    <s v="WES002"/>
    <s v="1377"/>
    <s v="St Saviour the Crescent RC Church"/>
    <s v="ABBOTS LANGLEY"/>
    <s v="Y"/>
    <n v="936.68"/>
    <m/>
    <s v="1"/>
    <m/>
    <m/>
    <n v="936.68"/>
    <n v="1750"/>
    <n v="2686.68"/>
  </r>
  <r>
    <x v="13"/>
    <s v="No"/>
    <s v="WES003"/>
    <s v="1378"/>
    <s v="Our Lady of Lourdes RC Church"/>
    <s v="LONDON"/>
    <s v="Y"/>
    <n v="646.74"/>
    <m/>
    <s v="1"/>
    <m/>
    <m/>
    <n v="646.74"/>
    <n v="135"/>
    <n v="781.74"/>
  </r>
  <r>
    <x v="13"/>
    <s v="No"/>
    <s v="WES004"/>
    <s v="1379"/>
    <s v="St Aidan of Lindisfarne"/>
    <s v="LONDON"/>
    <m/>
    <m/>
    <m/>
    <s v=" "/>
    <m/>
    <m/>
    <n v="0"/>
    <n v="757.84"/>
    <n v="757.84"/>
  </r>
  <r>
    <x v="13"/>
    <s v="No"/>
    <s v="WES005"/>
    <s v="1380"/>
    <s v="The Holy Family RC Church"/>
    <s v="LONDON"/>
    <m/>
    <m/>
    <m/>
    <s v=" "/>
    <m/>
    <m/>
    <n v="0"/>
    <n v="500"/>
    <n v="500"/>
  </r>
  <r>
    <x v="13"/>
    <s v="No"/>
    <s v="WES006"/>
    <s v="1381"/>
    <s v="St Michael RC Parish"/>
    <s v="ASHFORD"/>
    <s v="Y"/>
    <n v="2084.44"/>
    <m/>
    <s v="1"/>
    <m/>
    <m/>
    <n v="2084.44"/>
    <n v="120"/>
    <n v="2204.44"/>
  </r>
  <r>
    <x v="13"/>
    <s v="No"/>
    <s v="WES007"/>
    <s v="1382"/>
    <s v="Holy Trinity &amp; St Augustine of Canterbury"/>
    <s v="BALDOCK  "/>
    <s v="Y"/>
    <m/>
    <n v="945.71"/>
    <s v="1"/>
    <m/>
    <m/>
    <n v="0"/>
    <n v="995.71"/>
    <n v="995.71"/>
  </r>
  <r>
    <x v="13"/>
    <s v="No"/>
    <s v="WES008"/>
    <s v="1383"/>
    <s v="Mary Immaculate &amp; St Gregory the Great"/>
    <s v="BARNET"/>
    <m/>
    <m/>
    <m/>
    <s v=" "/>
    <s v="banking per DD"/>
    <n v="125.29"/>
    <n v="125.29"/>
    <n v="490.15999999999997"/>
    <n v="615.44999999999993"/>
  </r>
  <r>
    <x v="13"/>
    <s v="No"/>
    <s v="WES009"/>
    <s v="1384"/>
    <s v="St Mary of the Angels"/>
    <s v="LONDON"/>
    <s v="Y"/>
    <n v="327.52999999999997"/>
    <m/>
    <s v="1"/>
    <m/>
    <m/>
    <n v="327.52999999999997"/>
    <n v="190"/>
    <n v="517.53"/>
  </r>
  <r>
    <x v="13"/>
    <s v="Yes"/>
    <s v="WES010"/>
    <s v="1385"/>
    <s v="Sacred Heart RC Church"/>
    <s v="BERKHAMSTED  "/>
    <s v="Y"/>
    <n v="908"/>
    <m/>
    <s v="1"/>
    <m/>
    <m/>
    <n v="908"/>
    <n v="186"/>
    <n v="1094"/>
  </r>
  <r>
    <x v="13"/>
    <s v="No"/>
    <s v="WES011"/>
    <s v="1386"/>
    <s v="Our Lady of the Assumption"/>
    <s v="LONDON"/>
    <m/>
    <m/>
    <m/>
    <s v=" "/>
    <m/>
    <m/>
    <n v="0"/>
    <n v="435"/>
    <n v="435"/>
  </r>
  <r>
    <x v="13"/>
    <s v="No"/>
    <s v="WES012"/>
    <s v="1387"/>
    <s v="St Joseph &amp; The English Martyrs"/>
    <s v="BISHOP'S STORTFORD "/>
    <s v="Y"/>
    <n v="2227.9699999999998"/>
    <n v="70"/>
    <s v="1"/>
    <s v="per DD - it is £2227.88"/>
    <n v="-0.09"/>
    <n v="2227.8799999999997"/>
    <n v="935"/>
    <n v="3162.8799999999997"/>
  </r>
  <r>
    <x v="13"/>
    <s v="No"/>
    <s v="WES013"/>
    <s v="1388"/>
    <s v="Parish of Borehamwood (St Teresa of the Child Jesus)"/>
    <s v="BOREHAMWOOD"/>
    <s v="Y"/>
    <n v="1396"/>
    <m/>
    <s v="1"/>
    <s v="per DD - it is £1628"/>
    <n v="232"/>
    <n v="1628"/>
    <n v="125"/>
    <n v="1753"/>
  </r>
  <r>
    <x v="13"/>
    <s v="No"/>
    <s v="WES014"/>
    <s v="1389"/>
    <s v="Parish of Borehamwood (St John &amp; St Thomas More)"/>
    <s v="BOREHAMWOOD"/>
    <s v="Y"/>
    <n v="714"/>
    <m/>
    <s v="1"/>
    <m/>
    <m/>
    <n v="714"/>
    <n v="156"/>
    <n v="870"/>
  </r>
  <r>
    <x v="13"/>
    <s v="No"/>
    <s v="WES015"/>
    <s v="1390"/>
    <s v="Our Lady, Mother of the Saviour"/>
    <s v="KINGS LANGLEY"/>
    <m/>
    <m/>
    <m/>
    <s v=" "/>
    <m/>
    <m/>
    <n v="0"/>
    <n v="25"/>
    <n v="25"/>
  </r>
  <r>
    <x v="13"/>
    <s v="No"/>
    <s v="WES016"/>
    <s v="1391"/>
    <s v="Our Lady &amp; St Catherine of Siena"/>
    <s v="LONDON"/>
    <m/>
    <m/>
    <m/>
    <s v=" "/>
    <m/>
    <m/>
    <n v="0"/>
    <n v="220"/>
    <n v="220"/>
  </r>
  <r>
    <x v="13"/>
    <s v="No"/>
    <s v="WES017"/>
    <s v="1392"/>
    <s v="Holy Name &amp; Our Lady of the Sacred Heart"/>
    <s v="LONDON"/>
    <m/>
    <m/>
    <m/>
    <s v=" "/>
    <m/>
    <m/>
    <n v="0"/>
    <m/>
    <n v="0"/>
  </r>
  <r>
    <x v="13"/>
    <s v="No"/>
    <s v="WES018"/>
    <s v="1393"/>
    <s v="St John The Evangelist"/>
    <s v="BRENTFORD"/>
    <s v="Y"/>
    <n v="52.05"/>
    <m/>
    <s v="1"/>
    <m/>
    <m/>
    <n v="52.05"/>
    <n v="345"/>
    <n v="397.05"/>
  </r>
  <r>
    <x v="13"/>
    <s v="No"/>
    <s v="WES019"/>
    <s v="1394"/>
    <s v="Holy Trinity RC Church"/>
    <s v="LONDON"/>
    <m/>
    <m/>
    <m/>
    <s v=" "/>
    <m/>
    <m/>
    <n v="0"/>
    <n v="115"/>
    <n v="115"/>
  </r>
  <r>
    <x v="13"/>
    <s v="No"/>
    <s v="WES020"/>
    <s v="1395"/>
    <s v="St Joseph RC Church"/>
    <s v="LONDON"/>
    <m/>
    <m/>
    <m/>
    <s v=" "/>
    <m/>
    <m/>
    <n v="0"/>
    <n v="130"/>
    <n v="130"/>
  </r>
  <r>
    <x v="13"/>
    <s v="No"/>
    <s v="WES021"/>
    <s v="1396"/>
    <s v="St Richard of Chichester"/>
    <s v="BUNTINGFORD "/>
    <s v="Y"/>
    <m/>
    <n v="146.80000000000001"/>
    <s v="1"/>
    <m/>
    <m/>
    <n v="0"/>
    <n v="397.74"/>
    <n v="397.74"/>
  </r>
  <r>
    <x v="13"/>
    <s v="No"/>
    <s v="WES022"/>
    <s v="1397"/>
    <s v="The Annunciation RC Church"/>
    <s v="EDGWARE"/>
    <s v="Y"/>
    <n v="721.71"/>
    <m/>
    <s v="1"/>
    <m/>
    <m/>
    <n v="721.71"/>
    <n v="70"/>
    <n v="791.71"/>
  </r>
  <r>
    <x v="13"/>
    <s v="No"/>
    <s v="WES023"/>
    <s v="1398"/>
    <s v="The Sacred Heart &amp; St John the Evangelist"/>
    <s v="WATFORD"/>
    <m/>
    <m/>
    <m/>
    <s v=" "/>
    <s v="banking per DD"/>
    <n v="1218.8"/>
    <n v="1218.8"/>
    <n v="290"/>
    <n v="1508.8"/>
  </r>
  <r>
    <x v="13"/>
    <s v="No"/>
    <s v="WES024"/>
    <s v="1399"/>
    <s v="Our Lady of Hal"/>
    <s v="LONDON"/>
    <m/>
    <m/>
    <m/>
    <s v=" "/>
    <m/>
    <m/>
    <n v="0"/>
    <n v="117"/>
    <n v="117"/>
  </r>
  <r>
    <x v="13"/>
    <s v="No"/>
    <s v="WES025"/>
    <s v="1400"/>
    <s v="St Joseph RC Church"/>
    <s v="WATFORD"/>
    <m/>
    <m/>
    <m/>
    <s v=" "/>
    <m/>
    <m/>
    <n v="0"/>
    <n v="60"/>
    <n v="60"/>
  </r>
  <r>
    <x v="13"/>
    <s v="No"/>
    <s v="WES026"/>
    <s v="1401"/>
    <s v="St Mary RC Church"/>
    <s v="LONDON"/>
    <m/>
    <m/>
    <m/>
    <s v=" "/>
    <m/>
    <m/>
    <n v="0"/>
    <n v="890"/>
    <n v="890"/>
  </r>
  <r>
    <x v="13"/>
    <s v="No"/>
    <s v="WES027"/>
    <s v="1402"/>
    <s v="Our Most Holy Redeemer &amp; St Thomas More"/>
    <s v="LONDON"/>
    <s v="Y"/>
    <n v="636.86"/>
    <m/>
    <s v="1"/>
    <s v="per DD - it is £963.36"/>
    <n v="326.5"/>
    <n v="963.36"/>
    <n v="1056.72"/>
    <n v="2020.08"/>
  </r>
  <r>
    <x v="13"/>
    <s v="No"/>
    <s v="WES028A"/>
    <s v="1404"/>
    <s v="St Paul RC Church"/>
    <s v="WALTHAM CROSS"/>
    <m/>
    <m/>
    <m/>
    <s v=" "/>
    <m/>
    <m/>
    <n v="0"/>
    <n v="75"/>
    <n v="75"/>
  </r>
  <r>
    <x v="13"/>
    <s v="Yes"/>
    <s v="WES029"/>
    <s v="1405"/>
    <s v="Our Lady of Grace &amp; St Edward"/>
    <s v="LONDON"/>
    <s v="Y"/>
    <m/>
    <n v="25.37"/>
    <s v="1"/>
    <m/>
    <m/>
    <n v="0"/>
    <n v="1055.3699999999999"/>
    <n v="1055.3699999999999"/>
  </r>
  <r>
    <x v="13"/>
    <s v="No"/>
    <s v="WES030"/>
    <s v="1406"/>
    <s v="St John Fisher RC Church"/>
    <s v="RICKMANSWORTH"/>
    <s v="Y"/>
    <n v="543.49"/>
    <m/>
    <s v="1"/>
    <s v="per DD - it is £542.69"/>
    <n v="-0.8"/>
    <n v="542.69000000000005"/>
    <n v="30"/>
    <n v="572.69000000000005"/>
  </r>
  <r>
    <x v="13"/>
    <s v="No"/>
    <s v="WES031"/>
    <s v="1407"/>
    <s v="St Scholastica RC Church"/>
    <s v="LONDON"/>
    <s v="Y"/>
    <m/>
    <n v="941.41000000000008"/>
    <s v="1"/>
    <m/>
    <m/>
    <n v="0"/>
    <n v="1151.4099999999999"/>
    <n v="1151.4099999999999"/>
  </r>
  <r>
    <x v="13"/>
    <s v="No"/>
    <s v="WES032"/>
    <s v="1408"/>
    <s v="St Jude RC Church"/>
    <s v="LONDON"/>
    <m/>
    <m/>
    <m/>
    <s v=" "/>
    <m/>
    <m/>
    <n v="0"/>
    <m/>
    <n v="0"/>
  </r>
  <r>
    <x v="13"/>
    <s v="No"/>
    <s v="WES033"/>
    <s v="1409"/>
    <s v="St Peter &amp; St Paul RC Church"/>
    <s v="LONDON"/>
    <m/>
    <m/>
    <m/>
    <s v=" "/>
    <m/>
    <m/>
    <n v="0"/>
    <n v="30"/>
    <n v="30"/>
  </r>
  <r>
    <x v="13"/>
    <s v="No"/>
    <s v="WES034"/>
    <s v="1410"/>
    <s v="Church of Christ the King"/>
    <s v="LONDON"/>
    <m/>
    <m/>
    <m/>
    <s v=" "/>
    <m/>
    <m/>
    <n v="0"/>
    <n v="790"/>
    <n v="790"/>
  </r>
  <r>
    <x v="13"/>
    <s v="No"/>
    <s v="WES035"/>
    <s v="1411"/>
    <s v="St Mary &amp; St Michael"/>
    <s v="LONDON"/>
    <s v="Y"/>
    <m/>
    <n v="1404"/>
    <s v="1"/>
    <m/>
    <m/>
    <n v="0"/>
    <n v="1474"/>
    <n v="1474"/>
  </r>
  <r>
    <x v="13"/>
    <s v="No"/>
    <s v="WES036"/>
    <s v="1412"/>
    <s v="The Blessed Sacrament"/>
    <s v="LONDON"/>
    <m/>
    <m/>
    <m/>
    <s v=" "/>
    <m/>
    <m/>
    <n v="0"/>
    <m/>
    <n v="0"/>
  </r>
  <r>
    <x v="13"/>
    <s v="No"/>
    <s v="WES037"/>
    <s v="1413"/>
    <s v="Our Lady &amp; St Christopher RC Church"/>
    <s v="HOUNSLOW"/>
    <m/>
    <m/>
    <m/>
    <s v=" "/>
    <m/>
    <m/>
    <n v="0"/>
    <n v="80"/>
    <n v="80"/>
  </r>
  <r>
    <x v="13"/>
    <s v="No"/>
    <s v="WES038"/>
    <s v="1414"/>
    <s v="St Agnes RC Church"/>
    <s v="LONDON"/>
    <s v="Y"/>
    <n v="875.15"/>
    <m/>
    <s v="1"/>
    <m/>
    <m/>
    <n v="875.15"/>
    <n v="95"/>
    <n v="970.15"/>
  </r>
  <r>
    <x v="13"/>
    <s v="No"/>
    <s v="WES039"/>
    <s v="1415"/>
    <s v="St Bede RC Church"/>
    <s v="RICKMANSWORTH"/>
    <s v="Y"/>
    <m/>
    <n v="500.21000000000004"/>
    <s v="1"/>
    <m/>
    <m/>
    <n v="0"/>
    <n v="565.21"/>
    <n v="565.21"/>
  </r>
  <r>
    <x v="13"/>
    <s v="No"/>
    <s v="WES040"/>
    <s v="1416"/>
    <s v="St Martin de Porres"/>
    <s v="POTTERS BAR"/>
    <m/>
    <m/>
    <m/>
    <s v=" "/>
    <m/>
    <m/>
    <n v="0"/>
    <n v="130"/>
    <n v="130"/>
  </r>
  <r>
    <x v="13"/>
    <s v="No"/>
    <s v="WES041"/>
    <s v="1417"/>
    <s v="St Mary &amp; St Andrew"/>
    <s v="LONDON"/>
    <s v="Y"/>
    <n v="12.14"/>
    <m/>
    <s v="1"/>
    <m/>
    <m/>
    <n v="12.14"/>
    <n v="331"/>
    <n v="343.14"/>
  </r>
  <r>
    <x v="13"/>
    <s v="No"/>
    <s v="WES042"/>
    <s v="1418"/>
    <s v="Abbey Church of St Benedict"/>
    <s v="LONDON"/>
    <s v="Y"/>
    <n v="1573.84"/>
    <m/>
    <s v="1"/>
    <s v="per DD - it is £1794.36  (hand written long list of banking)"/>
    <n v="220.52"/>
    <n v="1794.36"/>
    <n v="3479"/>
    <n v="5273.36"/>
  </r>
  <r>
    <x v="13"/>
    <s v="No"/>
    <s v="WES044"/>
    <s v="1420"/>
    <s v="St Thomas More RC Church"/>
    <s v="PINNER  "/>
    <m/>
    <m/>
    <m/>
    <s v=" "/>
    <s v="banking per DD"/>
    <n v="821.98"/>
    <n v="821.98"/>
    <n v="65"/>
    <n v="886.98"/>
  </r>
  <r>
    <x v="13"/>
    <s v="No"/>
    <s v="WES045"/>
    <s v="1421"/>
    <s v="St Anthony of Padua RC Church"/>
    <s v="EDGWARE"/>
    <m/>
    <m/>
    <m/>
    <s v=" "/>
    <m/>
    <m/>
    <n v="0"/>
    <n v="845"/>
    <n v="845"/>
  </r>
  <r>
    <x v="13"/>
    <s v="No"/>
    <s v="WES046"/>
    <s v="1423"/>
    <s v="The Most Precious Blood &amp; St Edmund"/>
    <s v="LONDON"/>
    <m/>
    <m/>
    <m/>
    <s v=" "/>
    <m/>
    <m/>
    <n v="0"/>
    <n v="637.18000000000006"/>
    <n v="637.18000000000006"/>
  </r>
  <r>
    <x v="13"/>
    <s v="No"/>
    <s v="WES047"/>
    <s v="1424"/>
    <s v="St Etheldreda's RC Church"/>
    <s v="LONDON"/>
    <m/>
    <m/>
    <m/>
    <s v=" "/>
    <m/>
    <m/>
    <n v="0"/>
    <n v="76.25"/>
    <n v="76.25"/>
  </r>
  <r>
    <x v="13"/>
    <s v="No"/>
    <s v="WES048"/>
    <s v="1425"/>
    <s v="Our Lady of Mount Carmel &amp; St George RC Church"/>
    <s v="ENFIELD  "/>
    <s v="Y"/>
    <n v="1465.83"/>
    <m/>
    <s v="1"/>
    <m/>
    <m/>
    <n v="1465.83"/>
    <n v="1162"/>
    <n v="2627.83"/>
  </r>
  <r>
    <x v="13"/>
    <s v="No"/>
    <s v="WES048S"/>
    <s v="0479516"/>
    <s v="Our Lady of Walsingham and the English Martyrs"/>
    <s v="ENFIELD"/>
    <m/>
    <m/>
    <m/>
    <s v=" "/>
    <m/>
    <m/>
    <n v="0"/>
    <m/>
    <n v="0"/>
  </r>
  <r>
    <x v="13"/>
    <s v="No"/>
    <s v="WES051"/>
    <s v="1427"/>
    <s v="The Immaculate Conception"/>
    <s v="LONDON"/>
    <m/>
    <m/>
    <m/>
    <s v=" "/>
    <m/>
    <m/>
    <n v="0"/>
    <m/>
    <n v="0"/>
  </r>
  <r>
    <x v="13"/>
    <s v="No"/>
    <s v="WES052"/>
    <s v="1428"/>
    <s v="St Lawrence RC Church"/>
    <s v="FELTHAM "/>
    <s v="Y"/>
    <n v="1273.9199999999998"/>
    <m/>
    <s v="1"/>
    <m/>
    <m/>
    <n v="1273.9199999999998"/>
    <n v="134.62"/>
    <n v="1408.54"/>
  </r>
  <r>
    <x v="13"/>
    <s v="No"/>
    <s v="WES053"/>
    <s v="1429"/>
    <s v="St Philip the Apostle"/>
    <s v="LONDON"/>
    <m/>
    <m/>
    <m/>
    <s v=" "/>
    <m/>
    <m/>
    <n v="0"/>
    <n v="1210.4099999999999"/>
    <n v="1210.4099999999999"/>
  </r>
  <r>
    <x v="13"/>
    <s v="No"/>
    <s v="WES054"/>
    <s v="1430"/>
    <s v="St Mary RC Church"/>
    <s v="LONDON"/>
    <s v="Y"/>
    <n v="480.34"/>
    <m/>
    <s v="1"/>
    <m/>
    <m/>
    <n v="480.34"/>
    <n v="381"/>
    <n v="861.33999999999992"/>
  </r>
  <r>
    <x v="13"/>
    <s v="No"/>
    <s v="WES055"/>
    <s v="1431"/>
    <s v="St Alban RC Church"/>
    <s v="LONDON"/>
    <m/>
    <m/>
    <m/>
    <s v=" "/>
    <m/>
    <m/>
    <n v="0"/>
    <n v="290"/>
    <n v="290"/>
  </r>
  <r>
    <x v="13"/>
    <s v="No"/>
    <s v="WES056"/>
    <s v="1432"/>
    <s v="Notre Dame de France RC Church"/>
    <s v="LONDON"/>
    <m/>
    <m/>
    <m/>
    <s v=" "/>
    <m/>
    <m/>
    <n v="0"/>
    <n v="50"/>
    <n v="50"/>
  </r>
  <r>
    <x v="13"/>
    <s v="No"/>
    <s v="WES056S"/>
    <s v="0443208"/>
    <s v="Notre Dame de France Parish (Christ Church)"/>
    <s v="LONDON"/>
    <m/>
    <m/>
    <m/>
    <s v=" "/>
    <m/>
    <m/>
    <n v="0"/>
    <m/>
    <n v="0"/>
  </r>
  <r>
    <x v="13"/>
    <s v="No"/>
    <s v="WES057"/>
    <s v="1433"/>
    <s v="St Thomas of Canterbury RC Church"/>
    <s v="LONDON"/>
    <m/>
    <m/>
    <m/>
    <s v=" "/>
    <m/>
    <m/>
    <n v="0"/>
    <n v="395"/>
    <n v="395"/>
  </r>
  <r>
    <x v="13"/>
    <s v="No"/>
    <s v="WES058"/>
    <s v="1434"/>
    <s v="Our Lady of Dolours RC Church"/>
    <s v="LONDON"/>
    <m/>
    <m/>
    <m/>
    <s v=" "/>
    <m/>
    <m/>
    <n v="0"/>
    <n v="80"/>
    <n v="80"/>
  </r>
  <r>
    <x v="13"/>
    <s v="No"/>
    <s v="WES059"/>
    <s v="1435"/>
    <s v="Our Lady &amp; St Michael"/>
    <s v="WATFORD"/>
    <s v="Y"/>
    <n v="1640.54"/>
    <m/>
    <s v="1"/>
    <s v="per DD - it is £1682.06"/>
    <n v="41.52"/>
    <n v="1682.06"/>
    <n v="375"/>
    <n v="2057.06"/>
  </r>
  <r>
    <x v="13"/>
    <s v="No"/>
    <s v="WES060"/>
    <s v="1436"/>
    <s v="St Boniface RC Church"/>
    <s v="LONDON"/>
    <m/>
    <m/>
    <m/>
    <s v=" "/>
    <m/>
    <m/>
    <n v="0"/>
    <m/>
    <n v="0"/>
  </r>
  <r>
    <x v="13"/>
    <s v="No"/>
    <s v="WES061"/>
    <s v="1437"/>
    <s v="St Edward the Confessor"/>
    <s v="LONDON"/>
    <s v="Y"/>
    <n v="248.4"/>
    <m/>
    <s v="1"/>
    <m/>
    <m/>
    <n v="248.4"/>
    <n v="335"/>
    <n v="583.4"/>
  </r>
  <r>
    <x v="13"/>
    <s v="No"/>
    <s v="WES062"/>
    <s v="1438"/>
    <s v="St Margaret Clitherow"/>
    <s v="LONDON"/>
    <s v="Y"/>
    <m/>
    <n v="100"/>
    <s v="1"/>
    <m/>
    <m/>
    <n v="0"/>
    <n v="135"/>
    <n v="135"/>
  </r>
  <r>
    <x v="13"/>
    <s v="No"/>
    <s v="WES063"/>
    <s v="1439"/>
    <s v="Our Lady of the Visitation"/>
    <s v="GREENFORD"/>
    <s v="Y"/>
    <n v="2228.06"/>
    <m/>
    <s v="1"/>
    <m/>
    <m/>
    <n v="2228.06"/>
    <n v="461"/>
    <n v="2689.06"/>
  </r>
  <r>
    <x v="13"/>
    <s v="No"/>
    <s v="WES064"/>
    <s v="1440"/>
    <s v="St Joseph RC Church"/>
    <s v="LONDON"/>
    <m/>
    <m/>
    <m/>
    <s v=" "/>
    <m/>
    <m/>
    <n v="0"/>
    <n v="10"/>
    <n v="10"/>
  </r>
  <r>
    <x v="13"/>
    <s v="Yes"/>
    <s v="WES065"/>
    <s v="1441"/>
    <s v="St Dunstan RC Church"/>
    <s v="LONDON"/>
    <s v="Y"/>
    <n v="528.35"/>
    <m/>
    <s v="1"/>
    <m/>
    <m/>
    <n v="528.35"/>
    <n v="60"/>
    <n v="588.35"/>
  </r>
  <r>
    <x v="13"/>
    <s v="No"/>
    <s v="WES066"/>
    <s v="1443"/>
    <s v="St John the Baptist"/>
    <s v="LONDON"/>
    <m/>
    <m/>
    <m/>
    <s v=" "/>
    <m/>
    <m/>
    <n v="0"/>
    <n v="80"/>
    <n v="80"/>
  </r>
  <r>
    <x v="13"/>
    <s v="No"/>
    <s v="WES067"/>
    <s v="1444"/>
    <s v="St Augustine RC Church"/>
    <s v="LONDON"/>
    <m/>
    <m/>
    <m/>
    <s v=" "/>
    <m/>
    <m/>
    <n v="0"/>
    <n v="10"/>
    <n v="10"/>
  </r>
  <r>
    <x v="13"/>
    <s v="No"/>
    <s v="WES068"/>
    <s v="1445"/>
    <s v="St Mary RC Church"/>
    <s v="LONDON"/>
    <m/>
    <m/>
    <m/>
    <s v=" "/>
    <m/>
    <m/>
    <n v="0"/>
    <n v="25"/>
    <n v="25"/>
  </r>
  <r>
    <x v="13"/>
    <s v="No"/>
    <s v="WES069"/>
    <s v="1446"/>
    <s v="St Francis de Sales Parish"/>
    <s v="HAMPTON"/>
    <m/>
    <m/>
    <m/>
    <s v=" "/>
    <s v="banking per DD"/>
    <n v="175.07"/>
    <n v="175.07"/>
    <n v="80"/>
    <n v="255.07"/>
  </r>
  <r>
    <x v="13"/>
    <s v="No"/>
    <s v="WES070"/>
    <s v="1447"/>
    <s v="St Theodore of Canterbury"/>
    <s v="HAMPTON"/>
    <s v="Y"/>
    <n v="1751.05"/>
    <m/>
    <s v="1"/>
    <m/>
    <m/>
    <n v="1751.05"/>
    <n v="669"/>
    <n v="2420.0500000000002"/>
  </r>
  <r>
    <x v="13"/>
    <s v="No"/>
    <s v="WES071"/>
    <s v="1448"/>
    <s v="Our Lady &amp; St Joseph"/>
    <s v="LONDON"/>
    <s v="Y"/>
    <n v="1454.79"/>
    <m/>
    <s v="1"/>
    <m/>
    <m/>
    <n v="1454.79"/>
    <n v="795"/>
    <n v="2249.79"/>
  </r>
  <r>
    <x v="13"/>
    <s v="No"/>
    <s v="WES072"/>
    <s v="1449"/>
    <s v="St Paul RC Church"/>
    <s v="UXBRIDGE"/>
    <m/>
    <m/>
    <m/>
    <s v=" "/>
    <m/>
    <m/>
    <n v="0"/>
    <n v="60"/>
    <n v="60"/>
  </r>
  <r>
    <x v="13"/>
    <s v="No"/>
    <s v="WES073"/>
    <s v="1450"/>
    <s v="Our Lady of Lourdes"/>
    <s v="HARPENDEN"/>
    <s v="Y"/>
    <n v="424.2"/>
    <m/>
    <s v="1"/>
    <m/>
    <m/>
    <n v="424.2"/>
    <n v="770"/>
    <n v="1194.2"/>
  </r>
  <r>
    <x v="13"/>
    <s v="No"/>
    <s v="WES075"/>
    <s v="1452"/>
    <s v="Our Lady &amp; St Thomas of Canterbury RC Church"/>
    <s v="HARROW"/>
    <s v="Y"/>
    <n v="1629.1799999999998"/>
    <m/>
    <s v="1"/>
    <m/>
    <m/>
    <n v="1629.1799999999998"/>
    <n v="912.38"/>
    <n v="2541.56"/>
  </r>
  <r>
    <x v="13"/>
    <s v="No"/>
    <s v="WES076"/>
    <s v="1453"/>
    <s v="St John Fisher"/>
    <s v="HARROW"/>
    <m/>
    <m/>
    <m/>
    <s v=" "/>
    <m/>
    <m/>
    <n v="0"/>
    <n v="232.5"/>
    <n v="232.5"/>
  </r>
  <r>
    <x v="13"/>
    <s v="No"/>
    <s v="WES077"/>
    <s v="1454"/>
    <s v="St Gabriel &amp; St Bernard RC Church"/>
    <s v="HARROW"/>
    <s v="Y"/>
    <n v="1042.2800000000002"/>
    <m/>
    <s v="1"/>
    <m/>
    <m/>
    <n v="1042.2800000000002"/>
    <n v="630"/>
    <n v="1672.2800000000002"/>
  </r>
  <r>
    <x v="13"/>
    <s v="No"/>
    <s v="WES077S"/>
    <s v="0479517"/>
    <s v="St Bernard"/>
    <s v="NORTHOLT"/>
    <m/>
    <m/>
    <m/>
    <s v=" "/>
    <m/>
    <m/>
    <n v="0"/>
    <m/>
    <n v="0"/>
  </r>
  <r>
    <x v="13"/>
    <s v="No"/>
    <s v="WES078"/>
    <s v="1455"/>
    <s v="Our Lady of Lourdes &amp; St Vincent de Paul"/>
    <s v="LONDON"/>
    <m/>
    <m/>
    <m/>
    <s v=" "/>
    <m/>
    <m/>
    <n v="0"/>
    <n v="550.5"/>
    <n v="550.5"/>
  </r>
  <r>
    <x v="13"/>
    <s v="No"/>
    <s v="WES079"/>
    <s v="1456"/>
    <s v="Marychurch with St Thomas More"/>
    <s v="HATFIELD"/>
    <s v="Y"/>
    <n v="506.7"/>
    <m/>
    <s v="1"/>
    <m/>
    <m/>
    <n v="506.7"/>
    <n v="1443.1399999999999"/>
    <n v="1949.84"/>
  </r>
  <r>
    <x v="13"/>
    <s v="No"/>
    <s v="WES079S"/>
    <s v="0479518"/>
    <s v="St Thomas More"/>
    <s v="WELHAM GREEN"/>
    <m/>
    <m/>
    <m/>
    <s v=" "/>
    <m/>
    <m/>
    <n v="0"/>
    <m/>
    <n v="0"/>
  </r>
  <r>
    <x v="13"/>
    <s v="No"/>
    <s v="WES080"/>
    <s v="1457"/>
    <s v="St Peter's Catholic Church"/>
    <s v="HATFIELD  "/>
    <m/>
    <m/>
    <m/>
    <s v=" "/>
    <m/>
    <m/>
    <n v="0"/>
    <m/>
    <n v="0"/>
  </r>
  <r>
    <x v="13"/>
    <s v="No"/>
    <s v="WES081"/>
    <s v="1458"/>
    <s v="Our Lady of the Rosary &amp; St Dominic"/>
    <s v="LONDON"/>
    <m/>
    <m/>
    <m/>
    <s v=" "/>
    <m/>
    <m/>
    <n v="0"/>
    <n v="636.04"/>
    <n v="636.04"/>
  </r>
  <r>
    <x v="13"/>
    <s v="No"/>
    <s v="WES082"/>
    <s v="1459"/>
    <s v="The Immaculate Heart of Mary"/>
    <s v="HAYES  "/>
    <m/>
    <m/>
    <m/>
    <s v=" "/>
    <m/>
    <m/>
    <n v="0"/>
    <n v="148"/>
    <n v="148"/>
  </r>
  <r>
    <x v="13"/>
    <s v="No"/>
    <s v="WES083"/>
    <s v="1460"/>
    <s v="St Theresa of the Child Jesus"/>
    <s v="HARROW  "/>
    <s v="Y"/>
    <n v="77"/>
    <m/>
    <s v="1"/>
    <m/>
    <m/>
    <n v="77"/>
    <n v="140"/>
    <n v="217"/>
  </r>
  <r>
    <x v="13"/>
    <s v="No"/>
    <s v="WES084"/>
    <s v="1461"/>
    <s v="Hemel Hempstead West Parishes (St Mary &amp; St Joseph)"/>
    <s v="HEMEL HEMPSTEAD               "/>
    <m/>
    <m/>
    <m/>
    <s v=" "/>
    <m/>
    <m/>
    <n v="0"/>
    <n v="397"/>
    <n v="397"/>
  </r>
  <r>
    <x v="13"/>
    <s v="No"/>
    <s v="WES085"/>
    <s v="1462"/>
    <s v="Hemel Hempstead West Parishes (St Mark RC Church)"/>
    <s v="HEMEL HEMPSTEAD"/>
    <m/>
    <m/>
    <m/>
    <s v=" "/>
    <m/>
    <m/>
    <n v="0"/>
    <n v="305"/>
    <n v="305"/>
  </r>
  <r>
    <x v="13"/>
    <s v="No"/>
    <s v="WES086"/>
    <s v="1463"/>
    <s v="Hemel Hempstead East Parishes (Our Lady Queen of All Creation RC Church)"/>
    <s v="HEMEL HEMPSTEAD"/>
    <s v="Y"/>
    <n v="1598.25"/>
    <m/>
    <s v="1"/>
    <s v="per DD - it is £571.61"/>
    <n v="-1026.6400000000001"/>
    <n v="571.6099999999999"/>
    <n v="210"/>
    <n v="781.6099999999999"/>
  </r>
  <r>
    <x v="13"/>
    <s v="No"/>
    <s v="WES087"/>
    <s v="1464"/>
    <s v="Hemel Hempstead East Parishes (Church of the Resurrection)"/>
    <s v="HEMEL HEMPSTEAD"/>
    <m/>
    <m/>
    <m/>
    <s v=" "/>
    <m/>
    <m/>
    <n v="0"/>
    <n v="101"/>
    <n v="101"/>
  </r>
  <r>
    <x v="13"/>
    <s v="No"/>
    <s v="WES088"/>
    <s v="1465"/>
    <s v="Our Lady of Dolours"/>
    <s v="LONDON"/>
    <s v="Y"/>
    <m/>
    <n v="329.78999999999996"/>
    <s v="1"/>
    <m/>
    <m/>
    <n v="0"/>
    <n v="510.57000000000005"/>
    <n v="510.57000000000005"/>
  </r>
  <r>
    <x v="13"/>
    <s v="No"/>
    <s v="WES089"/>
    <s v="1466"/>
    <s v="St Patrick RC Church"/>
    <s v="LONDON"/>
    <m/>
    <m/>
    <m/>
    <s v=" "/>
    <m/>
    <m/>
    <n v="0"/>
    <n v="110"/>
    <n v="110"/>
  </r>
  <r>
    <x v="13"/>
    <s v="No"/>
    <s v="WES090"/>
    <s v="1467"/>
    <s v="The Immaculate Conception &amp; St Joseph"/>
    <s v="HERTFORD"/>
    <s v="Y"/>
    <n v="791.56"/>
    <m/>
    <s v="1"/>
    <m/>
    <m/>
    <n v="791.56"/>
    <n v="245"/>
    <n v="1036.56"/>
  </r>
  <r>
    <x v="13"/>
    <s v="No"/>
    <s v="WES091"/>
    <s v="1468"/>
    <s v="Our Lady Queen of Apostles"/>
    <s v="HESTON"/>
    <m/>
    <m/>
    <m/>
    <s v=" "/>
    <s v="banking per DD"/>
    <n v="1034.31"/>
    <n v="1034.31"/>
    <n v="456"/>
    <n v="1490.31"/>
  </r>
  <r>
    <x v="13"/>
    <s v="No"/>
    <s v="WES092"/>
    <s v="1469"/>
    <s v="St Joan of Arc"/>
    <s v="LONDON"/>
    <s v="Y"/>
    <n v="669.5"/>
    <m/>
    <s v="1"/>
    <s v="per DD - it is £669.55"/>
    <n v="0.05"/>
    <n v="669.55"/>
    <n v="10"/>
    <n v="679.55"/>
  </r>
  <r>
    <x v="13"/>
    <s v="No"/>
    <s v="WES093"/>
    <s v="1470"/>
    <s v="St Joseph's Church"/>
    <s v="LONDON"/>
    <m/>
    <m/>
    <m/>
    <s v=" "/>
    <m/>
    <m/>
    <n v="0"/>
    <n v="165"/>
    <n v="165"/>
  </r>
  <r>
    <x v="13"/>
    <s v="No"/>
    <s v="WES094"/>
    <s v="1471"/>
    <s v="St Bernadette RC Church"/>
    <s v="UXBRIDGE"/>
    <m/>
    <m/>
    <m/>
    <s v=" "/>
    <m/>
    <m/>
    <n v="0"/>
    <n v="384.81"/>
    <n v="384.81"/>
  </r>
  <r>
    <x v="13"/>
    <s v="No"/>
    <s v="WES095"/>
    <s v="1472"/>
    <s v="Our Lady Immaculate &amp; St Andrew RC Church"/>
    <s v="HITCHIN  "/>
    <m/>
    <m/>
    <m/>
    <s v=" "/>
    <m/>
    <m/>
    <n v="0"/>
    <n v="1271.78"/>
    <n v="1271.78"/>
  </r>
  <r>
    <x v="13"/>
    <s v="No"/>
    <s v="WES096"/>
    <s v="1473"/>
    <s v="St Augustine RC Church"/>
    <s v="HODDESDON"/>
    <m/>
    <m/>
    <m/>
    <s v=" "/>
    <s v="banking per DD"/>
    <n v="1887.1"/>
    <n v="1887.1"/>
    <n v="497"/>
    <n v="2384.1"/>
  </r>
  <r>
    <x v="13"/>
    <s v="No"/>
    <s v="WES097"/>
    <s v="1474"/>
    <s v="Sacred Heart of Jesus RC Church"/>
    <s v="LONDON"/>
    <m/>
    <m/>
    <m/>
    <s v=" "/>
    <m/>
    <m/>
    <n v="0"/>
    <n v="119.78999999999999"/>
    <n v="119.78999999999999"/>
  </r>
  <r>
    <x v="13"/>
    <s v="No"/>
    <s v="WES098"/>
    <s v="1475"/>
    <s v="Immaculate Heart of Mary &amp; St Dominic"/>
    <s v="LONDON"/>
    <s v="Y"/>
    <n v="360.10999999999996"/>
    <m/>
    <s v="1"/>
    <m/>
    <m/>
    <n v="360.10999999999996"/>
    <n v="650"/>
    <n v="1010.1099999999999"/>
  </r>
  <r>
    <x v="13"/>
    <s v="No"/>
    <s v="WES099"/>
    <s v="1476"/>
    <s v="St Michael &amp; St Martin"/>
    <s v="HOUNSLOW"/>
    <m/>
    <m/>
    <m/>
    <s v=" "/>
    <m/>
    <m/>
    <n v="0"/>
    <n v="522"/>
    <n v="522"/>
  </r>
  <r>
    <x v="13"/>
    <s v="No"/>
    <s v="WES100"/>
    <s v="1477"/>
    <s v="St Monica's Priory"/>
    <s v="LONDON"/>
    <m/>
    <m/>
    <m/>
    <s v=" "/>
    <s v="banking per DD"/>
    <n v="536.63"/>
    <n v="536.63"/>
    <n v="625"/>
    <n v="1161.6300000000001"/>
  </r>
  <r>
    <x v="13"/>
    <s v="No"/>
    <s v="WES101"/>
    <s v="1478"/>
    <s v="Our Lady of Sorrows &amp; St Bridget of Sweden"/>
    <s v="ISLEWORTH"/>
    <s v="Y"/>
    <n v="1746.2199999999996"/>
    <m/>
    <s v="1"/>
    <s v="per DD - it is £1612.94"/>
    <n v="-133.28"/>
    <n v="1612.9399999999996"/>
    <n v="100"/>
    <n v="1712.9399999999996"/>
  </r>
  <r>
    <x v="13"/>
    <s v="No"/>
    <s v="WES102"/>
    <s v="1479"/>
    <s v="St John the Evangelist"/>
    <s v="LONDON"/>
    <m/>
    <m/>
    <m/>
    <s v=" "/>
    <s v="banking per DD"/>
    <n v="29"/>
    <n v="29"/>
    <n v="25"/>
    <n v="54"/>
  </r>
  <r>
    <x v="13"/>
    <s v="No"/>
    <s v="WES103"/>
    <s v="1480"/>
    <s v="St Peter RC Church"/>
    <s v="LONDON"/>
    <m/>
    <m/>
    <m/>
    <s v=" "/>
    <m/>
    <m/>
    <n v="0"/>
    <m/>
    <n v="0"/>
  </r>
  <r>
    <x v="13"/>
    <s v="No"/>
    <s v="WES104"/>
    <s v="1481"/>
    <s v="Our Lady of the Holy Souls"/>
    <s v="LONDON"/>
    <s v="Y"/>
    <n v="959.87"/>
    <m/>
    <s v="1"/>
    <m/>
    <m/>
    <n v="959.87"/>
    <n v="70"/>
    <n v="1029.8699999999999"/>
  </r>
  <r>
    <x v="13"/>
    <s v="No"/>
    <s v="WES105"/>
    <s v="1482"/>
    <s v="Church of the Transfiguration"/>
    <s v="LONDON"/>
    <m/>
    <m/>
    <m/>
    <s v=" "/>
    <s v="banking per DD"/>
    <n v="383.35"/>
    <n v="383.35"/>
    <n v="310"/>
    <n v="693.35"/>
  </r>
  <r>
    <x v="13"/>
    <s v="No"/>
    <s v="WES106"/>
    <s v="1483"/>
    <s v="Our Lady of Victories RC Church"/>
    <s v="LONDON"/>
    <s v="Y"/>
    <m/>
    <n v="362.38"/>
    <s v="1"/>
    <m/>
    <m/>
    <n v="0"/>
    <n v="1217.3800000000001"/>
    <n v="1217.3800000000001"/>
  </r>
  <r>
    <x v="13"/>
    <s v="No"/>
    <s v="WES108"/>
    <s v="1484"/>
    <s v="Our Lady of Mount Carmel &amp; St Simon Stock"/>
    <s v="LONDON"/>
    <m/>
    <m/>
    <m/>
    <s v=" "/>
    <m/>
    <m/>
    <n v="0"/>
    <n v="133"/>
    <n v="133"/>
  </r>
  <r>
    <x v="13"/>
    <s v="No"/>
    <s v="WES109"/>
    <s v="1485"/>
    <s v="Our Lady Help of Christians"/>
    <s v="LONDON"/>
    <m/>
    <m/>
    <m/>
    <s v=" "/>
    <m/>
    <m/>
    <n v="0"/>
    <n v="461.21000000000004"/>
    <n v="461.21000000000004"/>
  </r>
  <r>
    <x v="13"/>
    <s v="No"/>
    <s v="WES110"/>
    <s v="1486"/>
    <s v="All Saints"/>
    <s v="HARROW"/>
    <s v="Y"/>
    <n v="1212.81"/>
    <m/>
    <s v="1"/>
    <m/>
    <m/>
    <n v="1212.81"/>
    <n v="682"/>
    <n v="1894.81"/>
  </r>
  <r>
    <x v="13"/>
    <s v="No"/>
    <s v="WES111"/>
    <s v="1487"/>
    <s v="Sacred Heart of Jesus"/>
    <s v="LONDON"/>
    <m/>
    <m/>
    <m/>
    <s v=" "/>
    <m/>
    <m/>
    <n v="0"/>
    <n v="319.89999999999998"/>
    <n v="319.89999999999998"/>
  </r>
  <r>
    <x v="13"/>
    <s v="No"/>
    <s v="WES111X"/>
    <s v="1488"/>
    <s v="Immaculate Heart of Mary"/>
    <s v="LONDON"/>
    <m/>
    <m/>
    <m/>
    <s v=" "/>
    <m/>
    <m/>
    <n v="0"/>
    <m/>
    <n v="0"/>
  </r>
  <r>
    <x v="13"/>
    <s v="No"/>
    <s v="WES112"/>
    <s v="1489"/>
    <s v="St Sebastian &amp; St Pancras RC Church"/>
    <s v="LONDON"/>
    <m/>
    <m/>
    <m/>
    <s v=" "/>
    <s v="banking per DD"/>
    <n v="483.2"/>
    <n v="483.2"/>
    <n v="1130"/>
    <n v="1613.2"/>
  </r>
  <r>
    <x v="13"/>
    <s v="No"/>
    <s v="WES113"/>
    <s v="1490"/>
    <s v="Our Lady &amp; St Joseph"/>
    <s v="LONDON"/>
    <m/>
    <m/>
    <m/>
    <s v=" "/>
    <m/>
    <m/>
    <n v="0"/>
    <n v="429.53"/>
    <n v="429.53"/>
  </r>
  <r>
    <x v="13"/>
    <s v="No"/>
    <s v="WES114"/>
    <s v="1491"/>
    <s v="St Thomas More RC Church"/>
    <s v="KNEBWORTH"/>
    <s v="Y"/>
    <m/>
    <n v="900.95"/>
    <s v="1"/>
    <s v="banking per DD"/>
    <n v="487.5"/>
    <n v="487.5"/>
    <n v="478.45"/>
    <n v="965.95"/>
  </r>
  <r>
    <x v="13"/>
    <s v="No"/>
    <s v="WES116"/>
    <s v="1493"/>
    <s v="St Hugh of Lincoln RC Church"/>
    <s v="LETCHWORTH GARDEN CITY"/>
    <s v="Y"/>
    <m/>
    <n v="767.87"/>
    <s v="1"/>
    <m/>
    <m/>
    <n v="0"/>
    <n v="1918.78"/>
    <n v="1918.78"/>
  </r>
  <r>
    <x v="13"/>
    <s v="No"/>
    <s v="WES117"/>
    <s v="1494"/>
    <s v="Our Lady Immaculate &amp; St Frederick"/>
    <s v="LONDON"/>
    <m/>
    <m/>
    <m/>
    <s v=" "/>
    <m/>
    <m/>
    <n v="0"/>
    <n v="238.98000000000002"/>
    <n v="238.98000000000002"/>
  </r>
  <r>
    <x v="13"/>
    <s v="No"/>
    <s v="WES118"/>
    <s v="1495"/>
    <s v="St Anselm &amp; St Cecilia RC Church"/>
    <s v="LONDON"/>
    <s v="Y"/>
    <n v="1999.59"/>
    <m/>
    <s v="1"/>
    <m/>
    <m/>
    <n v="1999.59"/>
    <n v="325"/>
    <n v="2324.59"/>
  </r>
  <r>
    <x v="13"/>
    <s v="No"/>
    <s v="WES119"/>
    <s v="0479519"/>
    <s v="St Casimir"/>
    <s v="LONDON"/>
    <m/>
    <m/>
    <m/>
    <s v=" "/>
    <m/>
    <m/>
    <n v="0"/>
    <m/>
    <n v="0"/>
  </r>
  <r>
    <x v="13"/>
    <s v="No"/>
    <s v="WES121"/>
    <s v="1499"/>
    <s v="Our Lady, St Mary of Walsingham"/>
    <s v="RADLETT"/>
    <s v="Y"/>
    <n v="492"/>
    <m/>
    <s v="1"/>
    <m/>
    <m/>
    <n v="492"/>
    <n v="65"/>
    <n v="557"/>
  </r>
  <r>
    <x v="13"/>
    <s v="No"/>
    <s v="WES123"/>
    <s v="1502"/>
    <s v="Corpus Christi RC Church"/>
    <s v="LONDON"/>
    <m/>
    <m/>
    <m/>
    <s v=" "/>
    <m/>
    <m/>
    <n v="0"/>
    <m/>
    <n v="0"/>
  </r>
  <r>
    <x v="13"/>
    <s v="No"/>
    <s v="WES124"/>
    <s v="1503"/>
    <s v="St Thomas More RC Church"/>
    <s v="LONDON"/>
    <m/>
    <m/>
    <m/>
    <s v=" "/>
    <m/>
    <m/>
    <n v="0"/>
    <n v="387.68"/>
    <n v="387.68"/>
  </r>
  <r>
    <x v="13"/>
    <s v="No"/>
    <s v="WES126"/>
    <s v="1504"/>
    <s v="Church of Our Lady of the Rosary"/>
    <s v="LONDON"/>
    <s v="Y"/>
    <n v="194.41"/>
    <m/>
    <s v="1"/>
    <m/>
    <m/>
    <n v="194.41"/>
    <n v="170"/>
    <n v="364.40999999999997"/>
  </r>
  <r>
    <x v="13"/>
    <s v="No"/>
    <s v="WES127"/>
    <s v="1505"/>
    <s v="The Guardian Angels RC Church"/>
    <s v="LONDON"/>
    <m/>
    <m/>
    <m/>
    <s v=" "/>
    <m/>
    <m/>
    <n v="0"/>
    <n v="357.87"/>
    <n v="357.87"/>
  </r>
  <r>
    <x v="13"/>
    <s v="No"/>
    <s v="WES128"/>
    <s v="1506"/>
    <s v="St John the Evangelist"/>
    <s v="RICKMANSWORTH"/>
    <s v="Y"/>
    <n v="744.93"/>
    <m/>
    <s v="1"/>
    <m/>
    <m/>
    <n v="744.93"/>
    <n v="162.18"/>
    <n v="907.1099999999999"/>
  </r>
  <r>
    <x v="13"/>
    <s v="No"/>
    <s v="WES129"/>
    <s v="1507"/>
    <s v="Sacred Heart &amp; Mary Immaculate RC Church"/>
    <s v="LONDON"/>
    <s v="Y"/>
    <n v="2203.0700000000002"/>
    <m/>
    <s v="1"/>
    <m/>
    <m/>
    <n v="2203.0700000000002"/>
    <n v="1470"/>
    <n v="3673.07"/>
  </r>
  <r>
    <x v="13"/>
    <s v="No"/>
    <s v="WES132"/>
    <s v="1509"/>
    <s v="St Edmunds RC Church"/>
    <s v="LONDON"/>
    <m/>
    <m/>
    <m/>
    <s v=" "/>
    <m/>
    <m/>
    <n v="0"/>
    <n v="139.59"/>
    <n v="139.59"/>
  </r>
  <r>
    <x v="13"/>
    <s v="No"/>
    <s v="WES133"/>
    <s v="1510"/>
    <s v="St Mary Moorfields"/>
    <s v="LONDON"/>
    <m/>
    <m/>
    <m/>
    <s v=" "/>
    <m/>
    <m/>
    <n v="0"/>
    <m/>
    <n v="0"/>
  </r>
  <r>
    <x v="13"/>
    <s v="No"/>
    <s v="WES133A"/>
    <s v="1511"/>
    <s v="Holy Cross &amp; Most Holy Redeemer RC Church"/>
    <s v="MUCH HADHAM"/>
    <m/>
    <m/>
    <m/>
    <s v=" "/>
    <m/>
    <m/>
    <n v="0"/>
    <n v="513.56999999999994"/>
    <n v="513.56999999999994"/>
  </r>
  <r>
    <x v="13"/>
    <s v="No"/>
    <s v="WES133AS"/>
    <s v="0479520"/>
    <s v="Most Holy Redeemer"/>
    <s v="SAWBRIDGEWORTH"/>
    <m/>
    <m/>
    <m/>
    <s v=" "/>
    <m/>
    <m/>
    <n v="0"/>
    <m/>
    <n v="0"/>
  </r>
  <r>
    <x v="13"/>
    <s v="No"/>
    <s v="WES134"/>
    <s v="1512"/>
    <s v="St Patrick RC Church"/>
    <s v="LONDON"/>
    <m/>
    <m/>
    <m/>
    <s v=" "/>
    <m/>
    <m/>
    <n v="0"/>
    <n v="70"/>
    <n v="70"/>
  </r>
  <r>
    <x v="13"/>
    <s v="No"/>
    <s v="WES135"/>
    <s v="1513"/>
    <s v="Our Lady of Muswell Hill RC Church"/>
    <s v="LONDON"/>
    <m/>
    <m/>
    <m/>
    <s v=" "/>
    <m/>
    <m/>
    <n v="0"/>
    <n v="735"/>
    <n v="735"/>
  </r>
  <r>
    <x v="13"/>
    <s v="No"/>
    <s v="WES136"/>
    <s v="1514"/>
    <s v="Mary Immaculate &amp; St Peter RC Church"/>
    <s v="BARNET"/>
    <s v="Y"/>
    <n v="1005"/>
    <m/>
    <s v="1"/>
    <s v="per DD - it is £910"/>
    <n v="-95"/>
    <n v="910"/>
    <n v="145"/>
    <n v="1055"/>
  </r>
  <r>
    <x v="13"/>
    <s v="No"/>
    <s v="WES137"/>
    <s v="1515"/>
    <s v="Our Lady of Lourdes"/>
    <s v="LONDON"/>
    <m/>
    <m/>
    <m/>
    <s v=" "/>
    <m/>
    <m/>
    <n v="0"/>
    <n v="759"/>
    <n v="759"/>
  </r>
  <r>
    <x v="13"/>
    <s v="No"/>
    <s v="WES138"/>
    <s v="1516"/>
    <s v="SS Peter &amp; Paul"/>
    <s v="LONDON"/>
    <m/>
    <m/>
    <m/>
    <s v=" "/>
    <m/>
    <m/>
    <n v="0"/>
    <n v="625"/>
    <n v="625"/>
  </r>
  <r>
    <x v="13"/>
    <s v="No"/>
    <s v="WES139"/>
    <s v="1517"/>
    <s v="St Matthew's RC Church"/>
    <s v="NORTHWOOD"/>
    <s v="Y"/>
    <n v="332"/>
    <m/>
    <s v="1"/>
    <s v="per DD - it is £352"/>
    <n v="20"/>
    <n v="352"/>
    <n v="405"/>
    <n v="757"/>
  </r>
  <r>
    <x v="13"/>
    <s v="No"/>
    <s v="WES140"/>
    <s v="1518"/>
    <s v="St Francis of Assisi RC Church"/>
    <s v="LONDON"/>
    <m/>
    <m/>
    <m/>
    <s v=" "/>
    <m/>
    <m/>
    <n v="0"/>
    <n v="70"/>
    <n v="70"/>
  </r>
  <r>
    <x v="13"/>
    <s v="No"/>
    <s v="WES141"/>
    <s v="1519"/>
    <s v="St Charles Borromeo RC Church"/>
    <s v="LONDON"/>
    <m/>
    <m/>
    <m/>
    <s v=" "/>
    <m/>
    <m/>
    <n v="0"/>
    <n v="20"/>
    <n v="20"/>
  </r>
  <r>
    <x v="13"/>
    <s v="No"/>
    <s v="WES142"/>
    <s v="1520"/>
    <s v="St Edmund &amp; English Martyrs"/>
    <s v="BUNTINGFORD"/>
    <s v="Y"/>
    <n v="73.16"/>
    <m/>
    <s v="1"/>
    <m/>
    <m/>
    <n v="73.16"/>
    <n v="345"/>
    <n v="418.15999999999997"/>
  </r>
  <r>
    <x v="13"/>
    <s v="No"/>
    <s v="WES142S"/>
    <s v="0479521"/>
    <s v="St Thomas of Canterbury"/>
    <s v="PUCKERIDGE"/>
    <m/>
    <m/>
    <m/>
    <s v=" "/>
    <m/>
    <m/>
    <n v="0"/>
    <m/>
    <n v="0"/>
  </r>
  <r>
    <x v="13"/>
    <s v="No"/>
    <s v="WES143"/>
    <s v="1521"/>
    <s v="Immaculate Heart of Mary"/>
    <s v="LONDON"/>
    <m/>
    <m/>
    <m/>
    <s v=" "/>
    <m/>
    <m/>
    <n v="0"/>
    <n v="742"/>
    <n v="742"/>
  </r>
  <r>
    <x v="13"/>
    <s v="No"/>
    <s v="WES144"/>
    <s v="1522"/>
    <s v="St Vincent de Paul RC Church"/>
    <s v="OSTERLEY"/>
    <s v="Y"/>
    <n v="221.38000000000002"/>
    <m/>
    <s v="1"/>
    <m/>
    <m/>
    <n v="221.38000000000002"/>
    <n v="280"/>
    <n v="501.38"/>
  </r>
  <r>
    <x v="13"/>
    <s v="No"/>
    <s v="WES146"/>
    <s v="1524"/>
    <s v="Our Lady of Sorrows RC Church"/>
    <s v="LONDON"/>
    <m/>
    <m/>
    <m/>
    <s v=" "/>
    <m/>
    <m/>
    <n v="0"/>
    <n v="16"/>
    <n v="16"/>
  </r>
  <r>
    <x v="13"/>
    <s v="No"/>
    <s v="WES147"/>
    <s v="1525"/>
    <s v="St Monica RC Church"/>
    <s v="LONDON"/>
    <s v="Y"/>
    <n v="832.98"/>
    <m/>
    <s v="1"/>
    <s v="per DD - it is £ zero.  (£832.98 appear in both columns - need to check if amount/cheque has come in)"/>
    <n v="-832.98"/>
    <n v="0"/>
    <n v="2950.83"/>
    <n v="2950.83"/>
  </r>
  <r>
    <x v="13"/>
    <s v="No"/>
    <s v="WES148"/>
    <s v="1526"/>
    <s v="Holy Cross RC Church"/>
    <s v="LONDON"/>
    <m/>
    <m/>
    <m/>
    <s v=" "/>
    <m/>
    <m/>
    <n v="0"/>
    <n v="245"/>
    <n v="245"/>
  </r>
  <r>
    <x v="13"/>
    <s v="No"/>
    <s v="WES149"/>
    <s v="1527"/>
    <s v="St John Fisher RC Church"/>
    <s v="GREENFORD"/>
    <s v="Y"/>
    <n v="459.24"/>
    <m/>
    <s v="1"/>
    <s v="per DD - it is £473.25"/>
    <n v="14.01"/>
    <n v="473.25"/>
    <n v="316.97000000000003"/>
    <n v="790.22"/>
  </r>
  <r>
    <x v="13"/>
    <s v="No"/>
    <s v="WES150"/>
    <s v="1528"/>
    <s v="Holy Apostles RC Church"/>
    <s v="LONDON"/>
    <m/>
    <m/>
    <m/>
    <s v=" "/>
    <m/>
    <m/>
    <n v="0"/>
    <n v="2848.4"/>
    <n v="2848.4"/>
  </r>
  <r>
    <x v="13"/>
    <s v="No"/>
    <s v="WES151"/>
    <s v="1529"/>
    <s v="St Luke RC Church"/>
    <s v="PINNER"/>
    <m/>
    <m/>
    <m/>
    <s v=" "/>
    <m/>
    <m/>
    <n v="0"/>
    <n v="1231.5"/>
    <n v="1231.5"/>
  </r>
  <r>
    <x v="13"/>
    <s v="No"/>
    <s v="WES152"/>
    <s v="1530"/>
    <s v="Our Lady of Czestochowa &amp; St Casimir"/>
    <s v="LONDON"/>
    <m/>
    <m/>
    <m/>
    <s v=" "/>
    <m/>
    <m/>
    <n v="0"/>
    <m/>
    <n v="0"/>
  </r>
  <r>
    <x v="13"/>
    <s v="No"/>
    <s v="WES153"/>
    <s v="1531"/>
    <s v="Mary, Mother of God RC Church"/>
    <s v="ENFIELD"/>
    <m/>
    <m/>
    <m/>
    <s v=" "/>
    <m/>
    <m/>
    <n v="0"/>
    <n v="1875.6799999999998"/>
    <n v="1875.6799999999998"/>
  </r>
  <r>
    <x v="13"/>
    <s v="No"/>
    <s v="WES154"/>
    <s v="1532"/>
    <s v="St Mary &amp; St Joseph"/>
    <s v="LONDON"/>
    <m/>
    <m/>
    <m/>
    <s v=" "/>
    <m/>
    <m/>
    <n v="0"/>
    <n v="367.09999999999997"/>
    <n v="367.09999999999997"/>
  </r>
  <r>
    <x v="13"/>
    <s v="No"/>
    <s v="WES155"/>
    <s v="1533"/>
    <s v="Our Lady &amp; St Vincent"/>
    <s v="POTTERS BAR"/>
    <s v="Y"/>
    <n v="248"/>
    <m/>
    <s v="1"/>
    <m/>
    <m/>
    <n v="248"/>
    <n v="137.5"/>
    <n v="385.5"/>
  </r>
  <r>
    <x v="13"/>
    <s v="No"/>
    <s v="WES157"/>
    <s v="1535"/>
    <s v="St Erconwald RC Church"/>
    <s v="WEMBLEY"/>
    <s v="Y"/>
    <n v="1081.8499999999999"/>
    <m/>
    <s v="1"/>
    <m/>
    <m/>
    <n v="1081.8499999999999"/>
    <n v="409"/>
    <n v="1490.85"/>
  </r>
  <r>
    <x v="13"/>
    <s v="No"/>
    <s v="WES158"/>
    <s v="1536"/>
    <s v="Our Lady, Queen of Heaven"/>
    <s v="LONDON"/>
    <m/>
    <m/>
    <m/>
    <s v=" "/>
    <m/>
    <m/>
    <n v="0"/>
    <m/>
    <n v="0"/>
  </r>
  <r>
    <x v="13"/>
    <s v="No"/>
    <s v="WES159"/>
    <s v="1537"/>
    <s v="St Anthony of Padua"/>
    <s v="RADLETT  "/>
    <s v="Y"/>
    <n v="589"/>
    <m/>
    <s v="1"/>
    <m/>
    <m/>
    <n v="589"/>
    <n v="150"/>
    <n v="739"/>
  </r>
  <r>
    <x v="13"/>
    <s v="No"/>
    <s v="WES160"/>
    <s v="1538"/>
    <s v="St John Fisher RC Church"/>
    <s v="ST ALBANS  "/>
    <m/>
    <m/>
    <m/>
    <s v=" "/>
    <m/>
    <m/>
    <n v="0"/>
    <n v="125.8"/>
    <n v="125.8"/>
  </r>
  <r>
    <x v="13"/>
    <s v="No"/>
    <s v="WES161"/>
    <s v="1539"/>
    <s v="Our Lady Help of Christians"/>
    <s v="RICKMANSWORTH"/>
    <s v="Y"/>
    <n v="285.32"/>
    <m/>
    <s v="1"/>
    <m/>
    <m/>
    <n v="285.32"/>
    <n v="375"/>
    <n v="660.31999999999994"/>
  </r>
  <r>
    <x v="13"/>
    <s v="No"/>
    <s v="WES162"/>
    <s v="1540"/>
    <s v="St Thomas &amp; The English Martyrs"/>
    <s v="ROYSTON"/>
    <s v="Y"/>
    <n v="1196.05"/>
    <m/>
    <s v="1"/>
    <s v="per DD - it is £1096.05 (£100 recorded in Ecc Sq coilumn. Checked ThankQ and can't find this amount. Chq number is the next counterfoil number.)"/>
    <n v="-100"/>
    <n v="1096.05"/>
    <n v="560.25"/>
    <n v="1656.3"/>
  </r>
  <r>
    <x v="13"/>
    <s v="No"/>
    <s v="WES163"/>
    <s v="1541"/>
    <s v="Most Sacred Heart RC Church"/>
    <s v="RUISLIP"/>
    <m/>
    <m/>
    <m/>
    <s v=" "/>
    <s v="banking per DD"/>
    <n v="874.64"/>
    <n v="874.64"/>
    <n v="770"/>
    <n v="1644.6399999999999"/>
  </r>
  <r>
    <x v="13"/>
    <s v="No"/>
    <s v="WES164"/>
    <s v="1542"/>
    <s v="St Gregory the Great"/>
    <s v="RUISLIP                       "/>
    <s v="Y"/>
    <m/>
    <m/>
    <s v="1"/>
    <s v="Chq 108515 £637.68 received 22 Jan 2020 (=29.89+24.19+483.6+100)"/>
    <m/>
    <n v="0"/>
    <n v="325.8"/>
    <n v="325.8"/>
  </r>
  <r>
    <x v="13"/>
    <s v="No"/>
    <s v="WES165"/>
    <s v="1543"/>
    <s v="SS Alban &amp; Stephen"/>
    <s v="ST ALBANS"/>
    <s v="Y"/>
    <n v="2407.52"/>
    <m/>
    <s v="1"/>
    <m/>
    <m/>
    <n v="2407.52"/>
    <n v="764.5"/>
    <n v="3172.02"/>
  </r>
  <r>
    <x v="13"/>
    <s v="No"/>
    <s v="WES165S"/>
    <s v="0479522"/>
    <s v="St John Fisher School"/>
    <s v="ST ALBANS"/>
    <m/>
    <m/>
    <m/>
    <s v=" "/>
    <m/>
    <m/>
    <n v="0"/>
    <m/>
    <n v="0"/>
  </r>
  <r>
    <x v="13"/>
    <s v="No"/>
    <s v="WES166"/>
    <s v="1544"/>
    <s v="St Bartholomew RC Church"/>
    <s v="ST ALBANS "/>
    <m/>
    <m/>
    <m/>
    <s v=" "/>
    <m/>
    <m/>
    <n v="0"/>
    <n v="468"/>
    <n v="468"/>
  </r>
  <r>
    <x v="13"/>
    <s v="No"/>
    <s v="WES167"/>
    <s v="1545"/>
    <s v="St Pius X RC Church"/>
    <s v="LONDON"/>
    <m/>
    <m/>
    <m/>
    <s v=" "/>
    <s v="banking per DD"/>
    <n v="255.51"/>
    <n v="255.51"/>
    <n v="1030.3800000000001"/>
    <n v="1285.8900000000001"/>
  </r>
  <r>
    <x v="13"/>
    <s v="No"/>
    <s v="WES168"/>
    <s v="1546"/>
    <s v="Our Lady RC Church"/>
    <s v="LONDON"/>
    <m/>
    <m/>
    <m/>
    <s v=" "/>
    <m/>
    <m/>
    <n v="0"/>
    <n v="1876.9099999999999"/>
    <n v="1876.9099999999999"/>
  </r>
  <r>
    <x v="13"/>
    <s v="No"/>
    <s v="WES169"/>
    <s v="1547"/>
    <s v="St Margaret of Scotland"/>
    <s v="TWICKENHAM"/>
    <m/>
    <m/>
    <m/>
    <s v=" "/>
    <m/>
    <m/>
    <n v="0"/>
    <n v="630"/>
    <n v="630"/>
  </r>
  <r>
    <x v="13"/>
    <s v="No"/>
    <s v="WES170"/>
    <s v="1548"/>
    <s v="The Good Shepherd"/>
    <s v="SHENLEY"/>
    <m/>
    <m/>
    <m/>
    <s v=" "/>
    <m/>
    <m/>
    <n v="0"/>
    <n v="855"/>
    <n v="855"/>
  </r>
  <r>
    <x v="13"/>
    <s v="No"/>
    <s v="WES171"/>
    <s v="1549"/>
    <s v="The Holy Ghost &amp; St Stephen"/>
    <s v="LONDON"/>
    <s v="Y"/>
    <n v="1968.3"/>
    <m/>
    <s v="1"/>
    <m/>
    <m/>
    <n v="1968.3"/>
    <n v="160"/>
    <n v="2128.3000000000002"/>
  </r>
  <r>
    <x v="13"/>
    <s v="No"/>
    <s v="WES172"/>
    <s v="1550"/>
    <s v="Polish Church"/>
    <s v="LONDON"/>
    <m/>
    <m/>
    <m/>
    <s v=" "/>
    <m/>
    <m/>
    <n v="0"/>
    <m/>
    <n v="0"/>
  </r>
  <r>
    <x v="13"/>
    <s v="No"/>
    <s v="WES173"/>
    <s v="1551"/>
    <s v="St John Fisher RC Church"/>
    <s v="SHEPPERTON"/>
    <s v="Y"/>
    <n v="816.04"/>
    <m/>
    <s v="1"/>
    <s v="per DD - it is £779.14"/>
    <n v="-36.9"/>
    <n v="779.14"/>
    <n v="248"/>
    <n v="1027.1399999999999"/>
  </r>
  <r>
    <x v="13"/>
    <s v="No"/>
    <s v="WES174"/>
    <s v="1552"/>
    <s v="St Patrick RC Church"/>
    <s v="LONDON"/>
    <m/>
    <m/>
    <m/>
    <s v=" "/>
    <m/>
    <m/>
    <n v="0"/>
    <n v="120"/>
    <n v="120"/>
  </r>
  <r>
    <x v="13"/>
    <s v="No"/>
    <s v="WES175"/>
    <s v="1554"/>
    <s v="St Aloysius RC Church"/>
    <s v="LONDON"/>
    <m/>
    <m/>
    <m/>
    <s v=" "/>
    <m/>
    <m/>
    <n v="0"/>
    <n v="609.41999999999996"/>
    <n v="609.41999999999996"/>
  </r>
  <r>
    <x v="13"/>
    <s v="No"/>
    <s v="WES176"/>
    <s v="1555"/>
    <s v="St Anselm RC Church"/>
    <s v="SOUTHALL"/>
    <m/>
    <m/>
    <m/>
    <s v=" "/>
    <m/>
    <m/>
    <n v="0"/>
    <n v="547.70000000000005"/>
    <n v="547.70000000000005"/>
  </r>
  <r>
    <x v="13"/>
    <s v="No"/>
    <s v="WES177"/>
    <s v="1556"/>
    <s v="St James RC Church"/>
    <s v="LONDON"/>
    <m/>
    <m/>
    <m/>
    <s v=" "/>
    <m/>
    <m/>
    <n v="0"/>
    <n v="185"/>
    <n v="185"/>
  </r>
  <r>
    <x v="13"/>
    <s v="No"/>
    <s v="WES178"/>
    <s v="1557"/>
    <s v="Our Lady of the Rosary"/>
    <s v="STAINES"/>
    <s v="Y"/>
    <n v="1250.92"/>
    <m/>
    <s v="1"/>
    <m/>
    <m/>
    <n v="1250.92"/>
    <n v="160"/>
    <n v="1410.92"/>
  </r>
  <r>
    <x v="13"/>
    <s v="No"/>
    <s v="WES179"/>
    <s v="1558"/>
    <s v="St Ignatius RC Church"/>
    <s v="LONDON"/>
    <m/>
    <m/>
    <m/>
    <s v=" "/>
    <m/>
    <m/>
    <n v="0"/>
    <n v="10"/>
    <n v="10"/>
  </r>
  <r>
    <x v="13"/>
    <s v="No"/>
    <s v="WES180"/>
    <s v="1559"/>
    <s v="St William of York RC Church"/>
    <s v="STANMORE"/>
    <s v="Y"/>
    <n v="1766.1"/>
    <m/>
    <s v="1"/>
    <s v="per DD - it is £1765.89"/>
    <n v="-0.21"/>
    <n v="1765.8899999999999"/>
    <n v="287.97000000000003"/>
    <n v="2053.8599999999997"/>
  </r>
  <r>
    <x v="13"/>
    <s v="No"/>
    <s v="WES181"/>
    <s v="1560"/>
    <s v="St David RC Church"/>
    <s v="STAINES "/>
    <m/>
    <m/>
    <m/>
    <s v=" "/>
    <m/>
    <m/>
    <n v="0"/>
    <n v="170"/>
    <n v="170"/>
  </r>
  <r>
    <x v="13"/>
    <s v="No"/>
    <s v="WES182"/>
    <s v="1561"/>
    <s v="Our Lady of Perpetual Help"/>
    <s v="LONDON"/>
    <m/>
    <m/>
    <m/>
    <s v=" "/>
    <m/>
    <m/>
    <n v="0"/>
    <n v="150.46"/>
    <n v="150.46"/>
  </r>
  <r>
    <x v="13"/>
    <s v="No"/>
    <s v="WES183"/>
    <s v="1562"/>
    <s v="Stevenage Parishes (Transfiguration of Our Lord)"/>
    <s v="STEVENAGE"/>
    <s v="Y"/>
    <n v="218.57"/>
    <m/>
    <s v="1"/>
    <m/>
    <m/>
    <n v="218.57"/>
    <n v="75"/>
    <n v="293.57"/>
  </r>
  <r>
    <x v="13"/>
    <s v="No"/>
    <s v="WES185"/>
    <s v="1563"/>
    <s v="Stevenage Parishes (St Joseph)"/>
    <s v="STEVENAGE"/>
    <s v="Y"/>
    <n v="75.8"/>
    <m/>
    <s v="1"/>
    <s v="per DD - it is £297.24.  (there is a counterfoil attached for £75.80 (this amount is in Ecc Sq column))"/>
    <n v="221.44"/>
    <n v="297.24"/>
    <n v="355"/>
    <n v="652.24"/>
  </r>
  <r>
    <x v="13"/>
    <s v="No"/>
    <s v="WES186"/>
    <s v="1564"/>
    <s v="Stevenage Parishes (St Hilda RC Church)"/>
    <s v="STEVENAGE  "/>
    <s v="Y"/>
    <n v="986.54"/>
    <m/>
    <s v="1"/>
    <m/>
    <m/>
    <n v="986.54"/>
    <n v="685"/>
    <n v="1671.54"/>
  </r>
  <r>
    <x v="13"/>
    <s v="No"/>
    <s v="WES187"/>
    <s v="1565"/>
    <s v="Our Lady of Good Counsel"/>
    <s v="LONDON"/>
    <m/>
    <m/>
    <m/>
    <s v=" "/>
    <m/>
    <m/>
    <n v="0"/>
    <n v="820"/>
    <n v="820"/>
  </r>
  <r>
    <x v="13"/>
    <s v="No"/>
    <s v="WES188"/>
    <s v="1566"/>
    <s v="The Five Precious Wounds RC Church"/>
    <s v="LONDON"/>
    <m/>
    <m/>
    <m/>
    <s v=" "/>
    <s v="banking per DD"/>
    <n v="1051.48"/>
    <n v="1051.48"/>
    <n v="110"/>
    <n v="1161.48"/>
  </r>
  <r>
    <x v="13"/>
    <s v="No"/>
    <s v="WES189"/>
    <s v="1567"/>
    <s v="St Peter-in-Chains"/>
    <s v="LONDON"/>
    <s v="Y"/>
    <m/>
    <n v="137.63999999999999"/>
    <s v="1"/>
    <m/>
    <m/>
    <n v="0"/>
    <n v="247.64"/>
    <n v="247.64"/>
  </r>
  <r>
    <x v="13"/>
    <s v="No"/>
    <s v="WES190"/>
    <s v="1568"/>
    <s v="St George RC Church"/>
    <s v="WEMBLEY"/>
    <m/>
    <m/>
    <m/>
    <s v=" "/>
    <m/>
    <m/>
    <n v="0"/>
    <n v="558.34"/>
    <n v="558.34"/>
  </r>
  <r>
    <x v="13"/>
    <s v="No"/>
    <s v="WES191"/>
    <s v="1569"/>
    <s v="St Ignatius of Loyola"/>
    <s v="SUNBURY-ON-THAMES"/>
    <s v="Y"/>
    <n v="731.78"/>
    <m/>
    <s v="1"/>
    <m/>
    <m/>
    <n v="731.78"/>
    <n v="90"/>
    <n v="821.78"/>
  </r>
  <r>
    <x v="13"/>
    <s v="No"/>
    <s v="WES192"/>
    <s v="1570"/>
    <s v="St Thomas More RC Church"/>
    <s v="LONDON"/>
    <m/>
    <m/>
    <m/>
    <s v=" "/>
    <m/>
    <m/>
    <n v="0"/>
    <n v="1216.56"/>
    <n v="1216.56"/>
  </r>
  <r>
    <x v="13"/>
    <s v="No"/>
    <s v="WES193"/>
    <s v="1571"/>
    <s v="The Sacred Heart RC Church"/>
    <s v="TEDDINGTON"/>
    <s v="Y"/>
    <m/>
    <n v="103.24"/>
    <s v="1"/>
    <m/>
    <m/>
    <n v="0"/>
    <n v="753.43000000000006"/>
    <n v="753.43000000000006"/>
  </r>
  <r>
    <x v="13"/>
    <s v="No"/>
    <s v="WES194"/>
    <s v="1572"/>
    <s v="St Mellitus Church"/>
    <s v="LONDON"/>
    <m/>
    <m/>
    <m/>
    <s v=" "/>
    <m/>
    <m/>
    <n v="0"/>
    <m/>
    <n v="0"/>
  </r>
  <r>
    <x v="13"/>
    <s v="No"/>
    <s v="WES195"/>
    <s v="1573"/>
    <s v="St Francis de Sales"/>
    <s v="LONDON"/>
    <m/>
    <m/>
    <m/>
    <s v=" "/>
    <m/>
    <m/>
    <n v="0"/>
    <n v="1455.28"/>
    <n v="1455.28"/>
  </r>
  <r>
    <x v="13"/>
    <s v="No"/>
    <s v="WES196"/>
    <s v="1574"/>
    <s v="The English Martyrs"/>
    <s v="LONDON"/>
    <m/>
    <m/>
    <m/>
    <s v=" "/>
    <m/>
    <m/>
    <n v="0"/>
    <n v="45"/>
    <n v="45"/>
  </r>
  <r>
    <x v="13"/>
    <s v="Yes"/>
    <s v="WES197"/>
    <s v="1575"/>
    <s v="Corpus Christi RC Church"/>
    <s v="TRING"/>
    <s v="Y"/>
    <n v="411.3"/>
    <m/>
    <s v="1"/>
    <m/>
    <m/>
    <n v="411.3"/>
    <n v="170"/>
    <n v="581.29999999999995"/>
  </r>
  <r>
    <x v="13"/>
    <s v="No"/>
    <s v="WES198"/>
    <s v="1576"/>
    <s v="St James RC Church"/>
    <s v="TWICKENHAM"/>
    <m/>
    <m/>
    <m/>
    <s v=" "/>
    <s v="banking per DD"/>
    <n v="242.54"/>
    <n v="242.54"/>
    <n v="415"/>
    <n v="657.54"/>
  </r>
  <r>
    <x v="13"/>
    <s v="No"/>
    <s v="WES200"/>
    <s v="1578"/>
    <s v="St Anne RC Church"/>
    <s v="LONDON"/>
    <m/>
    <m/>
    <m/>
    <s v=" "/>
    <m/>
    <m/>
    <n v="0"/>
    <m/>
    <n v="0"/>
  </r>
  <r>
    <x v="13"/>
    <s v="No"/>
    <s v="WES204"/>
    <s v="1587"/>
    <s v="St Gabriel of Our Lady of Sorrows RC Church"/>
    <s v="LONDON"/>
    <m/>
    <m/>
    <m/>
    <s v=" "/>
    <m/>
    <m/>
    <n v="0"/>
    <n v="380"/>
    <n v="380"/>
  </r>
  <r>
    <x v="13"/>
    <s v="No"/>
    <s v="WES205"/>
    <s v="1589"/>
    <s v="Our Lady of Lourdes &amp; St Michael"/>
    <s v="UXBRIDGE  "/>
    <s v="Y"/>
    <n v="557.72"/>
    <m/>
    <s v="1"/>
    <m/>
    <m/>
    <n v="557.72"/>
    <n v="610.19000000000005"/>
    <n v="1167.9100000000001"/>
  </r>
  <r>
    <x v="13"/>
    <s v="No"/>
    <s v="WES206"/>
    <s v="1591"/>
    <s v="Our Lady of the Immaculate Conception &amp; St Joseph"/>
    <s v="WALTHAM CROSS"/>
    <s v="Y"/>
    <n v="938.73"/>
    <n v="33"/>
    <s v="1"/>
    <s v="per DD - it is £971.73"/>
    <n v="33"/>
    <n v="971.73"/>
    <n v="316.05"/>
    <n v="1287.78"/>
  </r>
  <r>
    <x v="13"/>
    <s v="No"/>
    <s v="WES207"/>
    <s v="1592"/>
    <s v="St Patrick RC Church"/>
    <s v="LONDON"/>
    <m/>
    <m/>
    <m/>
    <s v=" "/>
    <m/>
    <m/>
    <n v="0"/>
    <n v="230"/>
    <n v="230"/>
  </r>
  <r>
    <x v="13"/>
    <s v="No"/>
    <s v="WES208"/>
    <s v="1593"/>
    <s v="Sacred Heart of Jesus &amp; St Joseph RC Church"/>
    <s v="WARE"/>
    <s v="Y"/>
    <n v="1073.07"/>
    <m/>
    <s v="1"/>
    <s v="per DD - it is £1072.57"/>
    <n v="-0.5"/>
    <n v="1072.57"/>
    <n v="795"/>
    <n v="1867.57"/>
  </r>
  <r>
    <x v="13"/>
    <s v="No"/>
    <s v="WES209"/>
    <s v="1594"/>
    <s v="Our Lady of the Assumption &amp; St Gregory"/>
    <s v="LONDON"/>
    <m/>
    <m/>
    <m/>
    <s v=" "/>
    <m/>
    <m/>
    <n v="0"/>
    <m/>
    <n v="0"/>
  </r>
  <r>
    <x v="13"/>
    <s v="No"/>
    <s v="WES210"/>
    <s v="1595"/>
    <s v="Holy Rood RC Church"/>
    <s v="WATFORD"/>
    <s v="Y"/>
    <n v="538.96"/>
    <m/>
    <s v="1"/>
    <s v="per DD - it is £393.70"/>
    <n v="-145.26"/>
    <n v="393.70000000000005"/>
    <n v="95"/>
    <n v="488.70000000000005"/>
  </r>
  <r>
    <x v="13"/>
    <s v="No"/>
    <s v="WES211"/>
    <s v="1596"/>
    <s v="St Helen RC Church"/>
    <s v="WATFORD"/>
    <s v="Y"/>
    <m/>
    <n v="589.79"/>
    <s v="1"/>
    <m/>
    <m/>
    <n v="0"/>
    <n v="861.82999999999947"/>
    <n v="861.82999999999947"/>
  </r>
  <r>
    <x v="13"/>
    <s v="No"/>
    <s v="WES212"/>
    <s v="1597"/>
    <s v="St Joseph RC Church"/>
    <s v="HARROW"/>
    <m/>
    <m/>
    <m/>
    <s v=" "/>
    <s v="banking per DD"/>
    <n v="26.95"/>
    <n v="26.95"/>
    <n v="515"/>
    <n v="541.95000000000005"/>
  </r>
  <r>
    <x v="13"/>
    <s v="No"/>
    <s v="WES213"/>
    <s v="1598"/>
    <s v="Welwyn Garden City Parishes (St Bonaventure RC Church)"/>
    <s v="WELWYN GARDEN CITY"/>
    <s v="Y"/>
    <n v="1268"/>
    <m/>
    <s v="1"/>
    <m/>
    <m/>
    <n v="1268"/>
    <n v="160"/>
    <n v="1428"/>
  </r>
  <r>
    <x v="13"/>
    <s v="No"/>
    <s v="WES214"/>
    <s v="1599"/>
    <s v="Welwyn Garden City Parishes (Our Lady, Queen of Apostles)"/>
    <s v="WELWYN GARDEN CITY"/>
    <s v="Y"/>
    <n v="974.07999999999993"/>
    <m/>
    <s v="1"/>
    <m/>
    <m/>
    <n v="974.07999999999993"/>
    <n v="636"/>
    <n v="1610.08"/>
  </r>
  <r>
    <x v="13"/>
    <s v="No"/>
    <s v="WES215"/>
    <s v="1600"/>
    <s v="Welwyn Garden City Parishes (Holy Family RC Church)"/>
    <s v="WELWYN GARDEN CITY"/>
    <m/>
    <m/>
    <m/>
    <s v=" "/>
    <s v="banking per DD"/>
    <n v="70.38"/>
    <n v="70.38"/>
    <n v="240"/>
    <n v="310.38"/>
  </r>
  <r>
    <x v="13"/>
    <s v="No"/>
    <s v="WES216"/>
    <s v="1601"/>
    <s v="St Joseph RC Church"/>
    <s v="WEMBLEY  "/>
    <m/>
    <m/>
    <m/>
    <s v=" "/>
    <s v="banking per DD"/>
    <n v="315.57"/>
    <n v="315.57"/>
    <n v="1929"/>
    <n v="2244.5700000000002"/>
  </r>
  <r>
    <x v="13"/>
    <s v="No"/>
    <s v="WES217"/>
    <s v="1602"/>
    <s v="English Martyrs RC Church"/>
    <s v="WEMBLEY"/>
    <m/>
    <m/>
    <m/>
    <s v=" "/>
    <s v="banking per DD"/>
    <n v="385"/>
    <n v="385"/>
    <n v="644"/>
    <n v="1029"/>
  </r>
  <r>
    <x v="13"/>
    <s v="No"/>
    <s v="WES218"/>
    <s v="1603"/>
    <s v="St Catherine of Alexandria RC Church"/>
    <s v="WEST DRAYTON"/>
    <m/>
    <m/>
    <m/>
    <s v=" "/>
    <s v="banking per DD"/>
    <n v="44.34"/>
    <n v="44.34"/>
    <n v="538"/>
    <n v="582.34"/>
  </r>
  <r>
    <x v="13"/>
    <s v="No"/>
    <s v="WES219"/>
    <s v="1604"/>
    <s v="St John Vianney RC Church"/>
    <s v="LONDON"/>
    <s v="Y"/>
    <m/>
    <n v="60.87"/>
    <s v="1"/>
    <m/>
    <m/>
    <n v="0"/>
    <n v="410.87"/>
    <n v="410.87"/>
  </r>
  <r>
    <x v="13"/>
    <s v="No"/>
    <s v="WES220"/>
    <s v="1605"/>
    <s v="St Thomas More"/>
    <s v="WHEATHAMPSTEAD "/>
    <m/>
    <m/>
    <m/>
    <s v=" "/>
    <m/>
    <m/>
    <n v="0"/>
    <n v="340"/>
    <n v="340"/>
  </r>
  <r>
    <x v="13"/>
    <s v="No"/>
    <s v="WES221"/>
    <s v="1606"/>
    <s v="St Mary Magdalen RC Church"/>
    <s v="LONDON"/>
    <m/>
    <m/>
    <m/>
    <s v=" "/>
    <m/>
    <m/>
    <n v="0"/>
    <n v="235"/>
    <n v="235"/>
  </r>
  <r>
    <x v="13"/>
    <s v="No"/>
    <s v="WES222"/>
    <s v="1607"/>
    <s v="Our Lady of Fatima"/>
    <s v="LONDON"/>
    <m/>
    <m/>
    <m/>
    <s v=" "/>
    <m/>
    <m/>
    <n v="0"/>
    <n v="421.97"/>
    <n v="421.97"/>
  </r>
  <r>
    <x v="13"/>
    <s v="No"/>
    <s v="WES223"/>
    <s v="1608"/>
    <s v="St Edmund of Canterbury"/>
    <s v="TWICKENHAM"/>
    <m/>
    <m/>
    <m/>
    <s v=" "/>
    <s v="banking per DD"/>
    <n v="938.64"/>
    <n v="938.64"/>
    <n v="120"/>
    <n v="1058.6399999999999"/>
  </r>
  <r>
    <x v="13"/>
    <s v="No"/>
    <s v="WES224"/>
    <s v="1609"/>
    <s v="Our Lady of Willesden"/>
    <s v="LONDON"/>
    <m/>
    <m/>
    <m/>
    <s v=" "/>
    <m/>
    <m/>
    <n v="0"/>
    <n v="230"/>
    <n v="230"/>
  </r>
  <r>
    <x v="13"/>
    <s v="No"/>
    <s v="WES225"/>
    <s v="1610"/>
    <s v="St Magdalen RC Church"/>
    <s v="LONDON"/>
    <m/>
    <m/>
    <m/>
    <s v=" "/>
    <m/>
    <m/>
    <n v="0"/>
    <n v="1931.99"/>
    <n v="1931.99"/>
  </r>
  <r>
    <x v="13"/>
    <s v="No"/>
    <s v="WES226"/>
    <s v="1611"/>
    <s v="St Paul the Apostle"/>
    <s v="LONDON"/>
    <m/>
    <m/>
    <m/>
    <s v=" "/>
    <s v="banking per DD"/>
    <n v="341.84"/>
    <n v="341.84"/>
    <n v="1298"/>
    <n v="1639.84"/>
  </r>
  <r>
    <x v="13"/>
    <s v="No"/>
    <s v="WES227"/>
    <s v="1613"/>
    <s v="St Raphael's RC Church"/>
    <s v="YEADING"/>
    <m/>
    <m/>
    <m/>
    <s v=" "/>
    <m/>
    <m/>
    <n v="0"/>
    <n v="365"/>
    <n v="365"/>
  </r>
  <r>
    <x v="13"/>
    <s v="No"/>
    <s v="WES229"/>
    <s v="202027"/>
    <s v="St Barnabas - Melkite Church"/>
    <s v="LONDON"/>
    <m/>
    <m/>
    <m/>
    <s v=" "/>
    <m/>
    <m/>
    <n v="0"/>
    <m/>
    <n v="0"/>
  </r>
  <r>
    <x v="13"/>
    <s v="No"/>
    <s v="WES999"/>
    <s v="1616"/>
    <s v="Westminster Diocese Various"/>
    <m/>
    <m/>
    <m/>
    <m/>
    <s v=" "/>
    <s v="unidentified items in DD's return"/>
    <n v="118.15"/>
    <n v="118.15"/>
    <n v="487"/>
    <n v="605.15"/>
  </r>
  <r>
    <x v="14"/>
    <s v="No"/>
    <s v="WRX001"/>
    <s v="1618"/>
    <s v="Cathedral Church of Our Lady of Sorrows"/>
    <s v="WREXHAM  "/>
    <s v="Y"/>
    <n v="1707.5700000000002"/>
    <m/>
    <s v="1"/>
    <s v="£332.61 should be £333.61"/>
    <n v="1"/>
    <n v="1708.5700000000002"/>
    <n v="570"/>
    <n v="2278.5700000000002"/>
  </r>
  <r>
    <x v="14"/>
    <s v="No"/>
    <s v="WRX001S"/>
    <s v="0442914"/>
    <s v="The Holy Family RC Church"/>
    <s v="WREXHAM"/>
    <m/>
    <m/>
    <m/>
    <s v=" "/>
    <m/>
    <m/>
    <n v="0"/>
    <m/>
    <n v="0"/>
  </r>
  <r>
    <x v="14"/>
    <s v="Yes"/>
    <s v="WRX002"/>
    <s v="1619"/>
    <s v="St Anne RC Church - Wrexham Maelor"/>
    <s v="WREXHAM "/>
    <m/>
    <m/>
    <m/>
    <s v=" "/>
    <m/>
    <m/>
    <n v="0"/>
    <n v="390"/>
    <n v="390"/>
  </r>
  <r>
    <x v="14"/>
    <s v="Yes"/>
    <s v="WRX003"/>
    <s v="1620"/>
    <s v="St Therese of Lisieux RC Church"/>
    <s v="ABERGELE"/>
    <s v="Y"/>
    <n v="559.49"/>
    <m/>
    <s v="1"/>
    <m/>
    <m/>
    <n v="559.49"/>
    <n v="10"/>
    <n v="569.49"/>
  </r>
  <r>
    <x v="14"/>
    <s v="Yes"/>
    <s v="WRX003S"/>
    <s v="0442921"/>
    <s v="Christ the King RC Church"/>
    <s v="ABERGELE"/>
    <m/>
    <m/>
    <m/>
    <s v=" "/>
    <m/>
    <m/>
    <n v="0"/>
    <m/>
    <n v="0"/>
  </r>
  <r>
    <x v="14"/>
    <s v="Yes"/>
    <s v="WRX005"/>
    <s v="1621"/>
    <s v="Our Lady Star of the Sea &amp; St Winefride - Mission on Anglesey"/>
    <s v="AMLWCH"/>
    <m/>
    <m/>
    <m/>
    <s v=" "/>
    <m/>
    <m/>
    <n v="0"/>
    <n v="50"/>
    <n v="50"/>
  </r>
  <r>
    <x v="14"/>
    <s v="No"/>
    <s v="WRX005S"/>
    <s v="0479523"/>
    <s v="St David"/>
    <s v="CEMAES BAY"/>
    <m/>
    <m/>
    <m/>
    <s v=" "/>
    <m/>
    <m/>
    <n v="0"/>
    <m/>
    <n v="0"/>
  </r>
  <r>
    <x v="14"/>
    <s v="Yes"/>
    <s v="WRX007"/>
    <s v="1622"/>
    <s v="Our Lady of Fatima RC Church"/>
    <s v="BALA"/>
    <m/>
    <m/>
    <m/>
    <s v=" "/>
    <m/>
    <m/>
    <n v="0"/>
    <m/>
    <n v="0"/>
  </r>
  <r>
    <x v="14"/>
    <s v="Yes"/>
    <s v="WRX008"/>
    <s v="1623"/>
    <s v="Our Lady &amp; St James - Bangor and Caernarfon"/>
    <s v="BANGOR"/>
    <m/>
    <m/>
    <m/>
    <s v=" "/>
    <s v="banking identified based on counterfoil number series"/>
    <n v="361.34"/>
    <n v="361.34"/>
    <n v="260"/>
    <n v="621.33999999999992"/>
  </r>
  <r>
    <x v="14"/>
    <s v="No"/>
    <s v="WRX008S"/>
    <s v="0479524"/>
    <s v="St Pius X and St Richard Gwyn"/>
    <s v="BETHESDA"/>
    <m/>
    <m/>
    <m/>
    <s v=" "/>
    <m/>
    <m/>
    <n v="0"/>
    <m/>
    <n v="0"/>
  </r>
  <r>
    <x v="14"/>
    <s v="No"/>
    <s v="WRX010"/>
    <s v="1625"/>
    <s v="St Tudwal RC Church"/>
    <s v="BARMOUTH  "/>
    <s v="Y"/>
    <n v="153.82999999999998"/>
    <m/>
    <s v="1"/>
    <m/>
    <m/>
    <n v="153.82999999999998"/>
    <m/>
    <n v="153.82999999999998"/>
  </r>
  <r>
    <x v="14"/>
    <s v="No"/>
    <s v="WRX010S"/>
    <s v="0442946"/>
    <s v="St David in Seion"/>
    <s v="HARLECH"/>
    <m/>
    <m/>
    <m/>
    <s v=" "/>
    <m/>
    <m/>
    <n v="0"/>
    <m/>
    <n v="0"/>
  </r>
  <r>
    <x v="14"/>
    <s v="Yes"/>
    <s v="WRX011"/>
    <s v="1626"/>
    <s v="Our Lady Queen of Martyrs - Mission on Anglesey"/>
    <s v="BEAUMARIS"/>
    <m/>
    <m/>
    <m/>
    <s v=" "/>
    <m/>
    <m/>
    <n v="0"/>
    <m/>
    <n v="0"/>
  </r>
  <r>
    <x v="14"/>
    <s v="Yes"/>
    <s v="WRX011A"/>
    <s v="147919"/>
    <s v="Our Lady of Lourdes RC Church - Mission on Anglesey"/>
    <s v="TYN-Y-GONGL"/>
    <m/>
    <m/>
    <m/>
    <s v=" "/>
    <m/>
    <m/>
    <n v="0"/>
    <m/>
    <n v="0"/>
  </r>
  <r>
    <x v="14"/>
    <s v="Yes"/>
    <s v="WRX011S"/>
    <s v="0442943"/>
    <s v="St Anne's - Mission on Anglesey"/>
    <s v="MENAI BRIDGE"/>
    <m/>
    <m/>
    <m/>
    <s v=" "/>
    <m/>
    <m/>
    <n v="0"/>
    <m/>
    <n v="0"/>
  </r>
  <r>
    <x v="14"/>
    <s v="Yes"/>
    <s v="WRX011S2"/>
    <s v="0442944"/>
    <s v="St Joseph's - Mission on Anglesey"/>
    <s v="LLANGEFNI"/>
    <m/>
    <m/>
    <m/>
    <s v=" "/>
    <m/>
    <m/>
    <n v="0"/>
    <m/>
    <n v="0"/>
  </r>
  <r>
    <x v="14"/>
    <s v="No"/>
    <s v="WRX012"/>
    <s v="1627"/>
    <s v="St Mary Magdalene RC Church"/>
    <s v="BLAENAU FFESTINIOG"/>
    <m/>
    <m/>
    <m/>
    <s v=" "/>
    <s v="banking identified based on counterfoil number series"/>
    <n v="169.21"/>
    <n v="169.21"/>
    <n v="118.08"/>
    <n v="287.29000000000002"/>
  </r>
  <r>
    <x v="14"/>
    <s v="No"/>
    <s v="WRX012S"/>
    <s v="0442948"/>
    <s v="Holy Cross"/>
    <s v="BLAENAU FFESTINIOG"/>
    <m/>
    <m/>
    <m/>
    <s v=" "/>
    <m/>
    <m/>
    <n v="0"/>
    <m/>
    <n v="0"/>
  </r>
  <r>
    <x v="14"/>
    <s v="No"/>
    <s v="WRX014"/>
    <s v="1628"/>
    <s v="Our Lady of the Rosary"/>
    <s v="BUCKLEY"/>
    <s v="Y"/>
    <n v="258.23"/>
    <m/>
    <s v="1"/>
    <s v="less £40.69 not found in bank stattement"/>
    <n v="-40.69"/>
    <n v="217.54000000000002"/>
    <n v="80"/>
    <n v="297.54000000000002"/>
  </r>
  <r>
    <x v="14"/>
    <s v="Yes"/>
    <s v="WRX016"/>
    <s v="1629"/>
    <s v="St David &amp; St Helen - Bangor and Caernarfon"/>
    <s v="CAERNARFON "/>
    <s v="Y"/>
    <n v="571.41"/>
    <m/>
    <s v="1"/>
    <m/>
    <m/>
    <n v="571.41"/>
    <n v="60"/>
    <n v="631.41"/>
  </r>
  <r>
    <x v="14"/>
    <s v="No"/>
    <s v="WRX016S"/>
    <s v="0479525"/>
    <s v="St John Jones RC Church"/>
    <s v="LLANBERIS"/>
    <m/>
    <m/>
    <m/>
    <s v=" "/>
    <m/>
    <m/>
    <n v="0"/>
    <m/>
    <n v="0"/>
  </r>
  <r>
    <x v="14"/>
    <s v="Yes"/>
    <s v="WRX020"/>
    <s v="1630"/>
    <s v="Sacred Heart of Jesus - St Richard Gwyn, Chirk, Llangollen &amp; Ruabon"/>
    <s v="WREXHAM"/>
    <s v="Y"/>
    <n v="278.07"/>
    <m/>
    <s v="1"/>
    <m/>
    <m/>
    <n v="278.07"/>
    <n v="143"/>
    <n v="421.07"/>
  </r>
  <r>
    <x v="14"/>
    <s v="Yes"/>
    <s v="WRX021"/>
    <s v="1631"/>
    <s v="St Joseph RC Church - Colwyn Bay &amp; Old Colwyn"/>
    <s v="COLWYN BAY"/>
    <m/>
    <m/>
    <m/>
    <s v=" "/>
    <m/>
    <m/>
    <n v="0"/>
    <n v="5"/>
    <n v="5"/>
  </r>
  <r>
    <x v="14"/>
    <s v="No"/>
    <s v="WRX022"/>
    <s v="1632"/>
    <s v="Church of the Blessed Sacrament"/>
    <s v="DEESIDE "/>
    <s v="Y"/>
    <n v="497.81"/>
    <m/>
    <s v="1"/>
    <s v="banking diff of 20p"/>
    <n v="-0.2"/>
    <n v="497.61"/>
    <m/>
    <n v="497.61"/>
  </r>
  <r>
    <x v="14"/>
    <s v="No"/>
    <s v="WRX023"/>
    <s v="1633"/>
    <s v="St Michael &amp; All Angels - Llandudno Junction, Llanfairfechan &amp; Llanrwst"/>
    <s v="CONWY"/>
    <m/>
    <m/>
    <m/>
    <s v=" "/>
    <m/>
    <m/>
    <n v="0"/>
    <n v="195"/>
    <n v="195"/>
  </r>
  <r>
    <x v="14"/>
    <s v="Yes"/>
    <s v="WRX026"/>
    <s v="1635"/>
    <s v="St Joseph - Vale of Clwyd Catholic Parish"/>
    <s v="DENBIGH"/>
    <s v="Y"/>
    <n v="342.29999999999995"/>
    <m/>
    <s v="1"/>
    <s v="£154.67 should be £152.32 per bank statemnet"/>
    <n v="-2.35"/>
    <n v="339.94999999999993"/>
    <n v="60"/>
    <n v="399.94999999999993"/>
  </r>
  <r>
    <x v="14"/>
    <s v="Yes"/>
    <s v="WRX027"/>
    <s v="1636"/>
    <s v="Our Lady of Seven Sorrows - Bala and Dolgellau"/>
    <s v="DOLGELLAU  "/>
    <s v="Y"/>
    <m/>
    <n v="218.05"/>
    <s v="1"/>
    <m/>
    <m/>
    <n v="0"/>
    <n v="218.05"/>
    <n v="218.05"/>
  </r>
  <r>
    <x v="14"/>
    <s v="No"/>
    <s v="WRX029"/>
    <s v="1637"/>
    <s v="Church of the Immaculate Conception"/>
    <s v="FLINT"/>
    <s v="Y"/>
    <n v="1848.4199999999998"/>
    <m/>
    <s v="1"/>
    <m/>
    <m/>
    <n v="1848.4199999999998"/>
    <n v="280"/>
    <n v="2128.42"/>
  </r>
  <r>
    <x v="14"/>
    <s v="No"/>
    <s v="WRX031"/>
    <s v="1638"/>
    <s v="The Sacred Heart RC Church"/>
    <s v="DEESIDE"/>
    <m/>
    <m/>
    <m/>
    <s v=" "/>
    <s v="per statement analysis it should be £"/>
    <n v="127.45"/>
    <n v="127.45"/>
    <n v="100"/>
    <n v="227.45"/>
  </r>
  <r>
    <x v="14"/>
    <s v="Yes"/>
    <s v="WRX033"/>
    <s v="1639"/>
    <s v="St Mary Help of Christians RC Church - Mission on Anglesey"/>
    <s v="HOLYHEAD  "/>
    <m/>
    <m/>
    <m/>
    <s v=" "/>
    <m/>
    <m/>
    <n v="0"/>
    <n v="5"/>
    <n v="5"/>
  </r>
  <r>
    <x v="14"/>
    <s v="Yes"/>
    <s v="WRX033S"/>
    <s v="0442941"/>
    <s v="St Therese - Mission on Anglesey"/>
    <s v="RHOSNEIGR"/>
    <m/>
    <m/>
    <m/>
    <s v=" "/>
    <m/>
    <m/>
    <n v="0"/>
    <m/>
    <n v="0"/>
  </r>
  <r>
    <x v="14"/>
    <s v="No"/>
    <s v="WRX034"/>
    <s v="1640"/>
    <s v="St Winefride RC Church"/>
    <s v="HOLYWELL"/>
    <s v="Y"/>
    <n v="649.96"/>
    <m/>
    <s v="1"/>
    <m/>
    <m/>
    <n v="649.96"/>
    <m/>
    <n v="649.96"/>
  </r>
  <r>
    <x v="14"/>
    <s v="No"/>
    <s v="WRX038"/>
    <s v="1641"/>
    <s v="Our Lady Star of the Sea"/>
    <s v="LLANDUDNO"/>
    <s v="Y"/>
    <n v="1123.25"/>
    <m/>
    <s v="1"/>
    <m/>
    <m/>
    <n v="1123.25"/>
    <n v="10"/>
    <n v="1133.25"/>
  </r>
  <r>
    <x v="14"/>
    <s v="Yes"/>
    <s v="WRX039"/>
    <s v="1642"/>
    <s v="Most Holy Family RC Church - Llandudno Junction, Llanfairfechan &amp; Llanrwst"/>
    <s v="LLANDUDNO JUNCTION"/>
    <m/>
    <m/>
    <m/>
    <s v=" "/>
    <s v="banking identified based on counterfoil number series"/>
    <n v="586.6"/>
    <n v="586.6"/>
    <m/>
    <n v="586.6"/>
  </r>
  <r>
    <x v="14"/>
    <s v="Yes"/>
    <s v="WRX039S"/>
    <s v="0443037"/>
    <s v="St Mary of the Angels - Llandudno Junction, Llanfairfechan &amp; Llanrwst"/>
    <s v="LLANFAIRFECHAN"/>
    <m/>
    <m/>
    <m/>
    <s v=" "/>
    <m/>
    <m/>
    <n v="0"/>
    <m/>
    <n v="0"/>
  </r>
  <r>
    <x v="14"/>
    <s v="Yes"/>
    <s v="WRX041"/>
    <s v="1644"/>
    <s v="Eglwys Y Groes (Holy Cross) - St Richard Gwyn, Chirk, Llangollen &amp; Ruabon"/>
    <s v="LLANGOLLEN"/>
    <s v="Y"/>
    <n v="365"/>
    <m/>
    <s v="1"/>
    <m/>
    <m/>
    <n v="365"/>
    <m/>
    <n v="365"/>
  </r>
  <r>
    <x v="14"/>
    <s v="Yes"/>
    <s v="WRX043"/>
    <s v="1645"/>
    <s v="Eglwys Y Bugail Da RC Church - Llandudno Junction, Llanfairfechan &amp; Llanrwst"/>
    <s v="LLANRWST"/>
    <s v="Y"/>
    <n v="156.82"/>
    <m/>
    <s v="1"/>
    <m/>
    <m/>
    <n v="156.82"/>
    <m/>
    <n v="156.82"/>
  </r>
  <r>
    <x v="14"/>
    <s v="Yes"/>
    <s v="WRX044"/>
    <s v="1646"/>
    <s v="St Francis of Assisi RC Church"/>
    <s v="WREXHAM  "/>
    <s v="Y"/>
    <n v="725.41000000000008"/>
    <m/>
    <s v="1"/>
    <m/>
    <m/>
    <n v="725.41000000000008"/>
    <m/>
    <n v="725.41000000000008"/>
  </r>
  <r>
    <x v="14"/>
    <s v="Yes"/>
    <s v="WRX044S"/>
    <s v="0443042"/>
    <s v="Christ the King - Llay &amp; Rossett"/>
    <s v="WREXHAM"/>
    <m/>
    <m/>
    <m/>
    <s v=" "/>
    <m/>
    <m/>
    <n v="0"/>
    <m/>
    <n v="0"/>
  </r>
  <r>
    <x v="14"/>
    <s v="Yes"/>
    <s v="WRX045"/>
    <s v="1647"/>
    <s v="St Mair (Our Lady Help of Christians)"/>
    <s v="MACHYNLLETH"/>
    <m/>
    <m/>
    <m/>
    <s v=" "/>
    <m/>
    <m/>
    <n v="0"/>
    <n v="50"/>
    <n v="50"/>
  </r>
  <r>
    <x v="14"/>
    <s v="No"/>
    <s v="WRX048"/>
    <s v="1649"/>
    <s v="St David RC Church"/>
    <s v="MOLD  "/>
    <s v="Y"/>
    <n v="1592.7"/>
    <m/>
    <s v="1"/>
    <m/>
    <m/>
    <n v="1592.7"/>
    <n v="275"/>
    <n v="1867.7"/>
  </r>
  <r>
    <x v="14"/>
    <s v="Yes"/>
    <s v="WRX050"/>
    <s v="1650"/>
    <s v="God the Holy Spirit - Welshpool, Newtown &amp; Llanidloes"/>
    <s v="NEWTOWN "/>
    <m/>
    <m/>
    <m/>
    <s v=" "/>
    <s v="banking identified based on counterfoil number series"/>
    <n v="445"/>
    <n v="445"/>
    <n v="119"/>
    <n v="564"/>
  </r>
  <r>
    <x v="14"/>
    <s v="Yes"/>
    <s v="WRX050L"/>
    <s v="0443041"/>
    <s v="Our Lady and St Richard Gwyn - Welshpool, Newtown &amp; Llanidloes"/>
    <s v="LLANIDLOES"/>
    <m/>
    <m/>
    <m/>
    <s v=" "/>
    <m/>
    <m/>
    <n v="0"/>
    <m/>
    <n v="0"/>
  </r>
  <r>
    <x v="14"/>
    <s v="Yes"/>
    <s v="WRX051"/>
    <s v="1651"/>
    <s v="The Sacred Heart RC Church - Colwyn Bay &amp; Old Colwyn"/>
    <s v="COLWYN BAY"/>
    <s v="Y"/>
    <n v="426"/>
    <m/>
    <s v="1"/>
    <m/>
    <m/>
    <n v="426"/>
    <m/>
    <n v="426"/>
  </r>
  <r>
    <x v="14"/>
    <s v="Yes"/>
    <s v="WRX052"/>
    <s v="1652"/>
    <s v="Our Lady &amp; The Welsh Martyrs RC Church - Wrexham Maelor"/>
    <s v="WREXHAM"/>
    <s v="Y"/>
    <n v="665.4"/>
    <m/>
    <s v="1"/>
    <m/>
    <m/>
    <n v="665.4"/>
    <m/>
    <n v="665.4"/>
  </r>
  <r>
    <x v="14"/>
    <s v="No"/>
    <s v="WRX053"/>
    <s v="1653"/>
    <s v="St David RC Church"/>
    <s v="HOLYWELL  "/>
    <m/>
    <m/>
    <m/>
    <s v=" "/>
    <m/>
    <m/>
    <n v="0"/>
    <m/>
    <n v="0"/>
  </r>
  <r>
    <x v="14"/>
    <s v="Yes"/>
    <s v="WRX056"/>
    <s v="1656"/>
    <s v="Most Holy Redeemer RC Church - Pwllehli &amp; Porthmadog"/>
    <s v="PORTHMADOG"/>
    <s v="Y"/>
    <n v="144"/>
    <m/>
    <s v="1"/>
    <m/>
    <m/>
    <n v="144"/>
    <n v="40"/>
    <n v="184"/>
  </r>
  <r>
    <x v="14"/>
    <s v="No"/>
    <s v="WRX056S"/>
    <s v="0479526"/>
    <s v="St  Mary (Anglican Church in Wales)"/>
    <s v="BEDDGELERT"/>
    <m/>
    <m/>
    <m/>
    <s v=" "/>
    <m/>
    <m/>
    <n v="0"/>
    <m/>
    <n v="0"/>
  </r>
  <r>
    <x v="14"/>
    <s v="No"/>
    <s v="WRX056S2"/>
    <s v="0479527"/>
    <s v="The Holy Spirit"/>
    <s v="CRICCIETH"/>
    <m/>
    <m/>
    <m/>
    <s v=" "/>
    <m/>
    <m/>
    <n v="0"/>
    <m/>
    <n v="0"/>
  </r>
  <r>
    <x v="14"/>
    <s v="No"/>
    <s v="WRX057"/>
    <s v="1657"/>
    <s v="St Peter &amp; St Frances"/>
    <s v="PRESTATYN "/>
    <m/>
    <m/>
    <m/>
    <s v=" "/>
    <m/>
    <m/>
    <n v="0"/>
    <m/>
    <n v="0"/>
  </r>
  <r>
    <x v="14"/>
    <s v="Yes"/>
    <s v="WRX058"/>
    <s v="1658"/>
    <s v="St Joseph RC Church - Pwllehli &amp; Porthmadog"/>
    <s v="PWLLHELI"/>
    <s v="Y"/>
    <n v="923.18"/>
    <m/>
    <s v="1"/>
    <m/>
    <m/>
    <n v="923.18"/>
    <n v="39"/>
    <n v="962.18"/>
  </r>
  <r>
    <x v="14"/>
    <s v="No"/>
    <s v="WRX058S"/>
    <s v="0479528"/>
    <s v="St Garmon R C Church"/>
    <s v="ABERSOCH"/>
    <m/>
    <m/>
    <m/>
    <s v=" "/>
    <m/>
    <m/>
    <n v="0"/>
    <m/>
    <n v="0"/>
  </r>
  <r>
    <x v="14"/>
    <s v="No"/>
    <s v="WRX058S2"/>
    <s v="0479529"/>
    <s v="The Resurrection of Our Saviour"/>
    <s v="MORFA NEFYN"/>
    <m/>
    <m/>
    <m/>
    <s v=" "/>
    <m/>
    <m/>
    <n v="0"/>
    <m/>
    <n v="0"/>
  </r>
  <r>
    <x v="14"/>
    <s v="No"/>
    <s v="WRX059"/>
    <s v="1659"/>
    <s v="The Blessed Trinity RC Church"/>
    <s v="DEESIDE"/>
    <m/>
    <m/>
    <m/>
    <s v=" "/>
    <m/>
    <m/>
    <n v="0"/>
    <m/>
    <n v="0"/>
  </r>
  <r>
    <x v="14"/>
    <s v="No"/>
    <s v="WRX060"/>
    <s v="1660"/>
    <s v="St Mary's Church"/>
    <s v="RHYL  "/>
    <s v="Y"/>
    <n v="3707.33"/>
    <m/>
    <s v="1"/>
    <m/>
    <m/>
    <n v="3707.33"/>
    <n v="10"/>
    <n v="3717.33"/>
  </r>
  <r>
    <x v="14"/>
    <s v="Yes"/>
    <s v="WRX061"/>
    <s v="1661"/>
    <s v="St Mary The Virgin RC Church - St Richard Gwyn, Chirk, Llangollen &amp; Ruabon"/>
    <s v="WREXHAM"/>
    <s v="Y"/>
    <n v="791.59999999999991"/>
    <m/>
    <s v="1"/>
    <s v="£47.05 should be £212.05 per bank statement"/>
    <n v="165"/>
    <n v="956.59999999999991"/>
    <m/>
    <n v="956.59999999999991"/>
  </r>
  <r>
    <x v="14"/>
    <s v="Yes"/>
    <s v="WRX062"/>
    <s v="1662"/>
    <s v="Our Lady Help of Christians - Vale of Clwyd Catholic Parish"/>
    <s v="RUTHIN  "/>
    <s v="Y"/>
    <n v="703.51"/>
    <s v=" "/>
    <s v="1"/>
    <m/>
    <m/>
    <n v="703.51"/>
    <n v="1225"/>
    <n v="1928.51"/>
  </r>
  <r>
    <x v="14"/>
    <s v="Yes"/>
    <s v="WRX063"/>
    <s v="1663"/>
    <s v="St Winefride RC Church"/>
    <s v="ST ASAPH"/>
    <s v="Y"/>
    <n v="195.48999999999998"/>
    <m/>
    <s v="1"/>
    <m/>
    <m/>
    <n v="195.48999999999998"/>
    <m/>
    <n v="195.48999999999998"/>
  </r>
  <r>
    <x v="14"/>
    <s v="No"/>
    <s v="WRX063S"/>
    <s v="0443051"/>
    <s v="St Illtyd RC Church"/>
    <s v="RHYL"/>
    <m/>
    <m/>
    <m/>
    <s v=" "/>
    <m/>
    <m/>
    <n v="0"/>
    <m/>
    <n v="0"/>
  </r>
  <r>
    <x v="14"/>
    <s v="No"/>
    <s v="WRX063S2"/>
    <s v="1665"/>
    <s v="St Beuno's Jesuit Community"/>
    <s v="ST ASAPH"/>
    <m/>
    <m/>
    <m/>
    <s v=" "/>
    <m/>
    <m/>
    <n v="0"/>
    <m/>
    <n v="0"/>
  </r>
  <r>
    <x v="14"/>
    <s v="No"/>
    <s v="WRX065"/>
    <s v="1664"/>
    <s v="St Anthony of Padua RC Church"/>
    <s v="SALTNEY"/>
    <s v="Y"/>
    <n v="335.61"/>
    <m/>
    <s v="1"/>
    <m/>
    <m/>
    <n v="335.61"/>
    <m/>
    <n v="335.61"/>
  </r>
  <r>
    <x v="14"/>
    <s v="Yes"/>
    <s v="WRX068"/>
    <s v="1666"/>
    <s v="St David RC Church"/>
    <s v="TYWYN  "/>
    <s v="Y"/>
    <n v="459.2"/>
    <m/>
    <s v="1"/>
    <m/>
    <m/>
    <n v="459.2"/>
    <m/>
    <n v="459.2"/>
  </r>
  <r>
    <x v="14"/>
    <s v="No"/>
    <s v="WRX068S"/>
    <s v="0479530"/>
    <s v="Christ the King"/>
    <s v="ABERDYFI"/>
    <m/>
    <m/>
    <m/>
    <s v=" "/>
    <m/>
    <m/>
    <n v="0"/>
    <m/>
    <n v="0"/>
  </r>
  <r>
    <x v="14"/>
    <s v="Yes"/>
    <s v="WRX069"/>
    <s v="1667"/>
    <s v="St Winefride RC Church - Welshpool, Newtown &amp; Llanidloes"/>
    <s v="WELSHPOOL"/>
    <m/>
    <m/>
    <m/>
    <s v=" "/>
    <m/>
    <m/>
    <n v="0"/>
    <n v="872.51"/>
    <n v="872.51"/>
  </r>
  <r>
    <x v="14"/>
    <s v="No"/>
    <s v="WRX069S"/>
    <s v="0479531"/>
    <s v="St Garmon (Church in Wales)"/>
    <s v="LLANFECHAIN"/>
    <m/>
    <m/>
    <m/>
    <s v=" "/>
    <m/>
    <m/>
    <n v="0"/>
    <m/>
    <n v="0"/>
  </r>
  <r>
    <x v="14"/>
    <s v="No"/>
    <s v="WRX999"/>
    <s v="1670"/>
    <s v="Wrexham Diocese Various"/>
    <m/>
    <m/>
    <m/>
    <m/>
    <s v=" "/>
    <s v="unidentified items in bank statements"/>
    <n v="360.17"/>
    <n v="360.17"/>
    <n v="0"/>
    <n v="360.17"/>
  </r>
  <r>
    <x v="0"/>
    <s v="No"/>
    <m/>
    <s v="254888"/>
    <s v="St Theodore of Canterbury"/>
    <s v="CRAWLEY"/>
    <m/>
    <m/>
    <m/>
    <s v=" "/>
    <m/>
    <m/>
    <n v="0"/>
    <m/>
    <n v="0"/>
  </r>
  <r>
    <x v="1"/>
    <s v="No"/>
    <m/>
    <s v="0330746"/>
    <s v="The Ordinariate of Our Lady of Walsingham - Coventry"/>
    <s v="COVENTRY"/>
    <m/>
    <m/>
    <m/>
    <s v=" "/>
    <m/>
    <m/>
    <n v="0"/>
    <m/>
    <n v="0"/>
  </r>
  <r>
    <x v="1"/>
    <s v="Yes"/>
    <m/>
    <s v="0554983"/>
    <s v="St John The Baptist"/>
    <s v="BIRMINGHAM"/>
    <m/>
    <m/>
    <m/>
    <s v=" "/>
    <m/>
    <m/>
    <n v="0"/>
    <m/>
    <n v="0"/>
  </r>
  <r>
    <x v="2"/>
    <s v="No"/>
    <m/>
    <s v="0413058"/>
    <s v="Brentwood Catholic Youth Service"/>
    <s v="BRENTWOOD"/>
    <m/>
    <m/>
    <m/>
    <s v=" "/>
    <m/>
    <m/>
    <n v="0"/>
    <m/>
    <n v="0"/>
  </r>
  <r>
    <x v="2"/>
    <s v="Yes"/>
    <m/>
    <s v="0443590"/>
    <s v="St Margaret &amp; All Saints (Convent Chapel)"/>
    <s v="LONDON"/>
    <m/>
    <m/>
    <m/>
    <s v=" "/>
    <m/>
    <m/>
    <n v="0"/>
    <m/>
    <n v="0"/>
  </r>
  <r>
    <x v="5"/>
    <s v="No"/>
    <m/>
    <s v="0554213"/>
    <s v="St John Fisher Church"/>
    <s v="CAMBRIDGE"/>
    <m/>
    <m/>
    <m/>
    <s v=" "/>
    <m/>
    <m/>
    <n v="0"/>
    <m/>
    <n v="0"/>
  </r>
  <r>
    <x v="8"/>
    <s v="No"/>
    <m/>
    <s v="248690"/>
    <s v="The Briars Catholic Youth Retreat Centre"/>
    <s v="MATLOCK"/>
    <m/>
    <m/>
    <m/>
    <s v=" "/>
    <m/>
    <m/>
    <n v="0"/>
    <m/>
    <n v="0"/>
  </r>
  <r>
    <x v="8"/>
    <s v="No"/>
    <m/>
    <s v="254877"/>
    <s v="St. Ralph Sherwin Centre"/>
    <s v="DERBY                         "/>
    <m/>
    <m/>
    <m/>
    <s v=" "/>
    <m/>
    <m/>
    <n v="0"/>
    <m/>
    <n v="0"/>
  </r>
  <r>
    <x v="15"/>
    <m/>
    <m/>
    <m/>
    <m/>
    <m/>
    <m/>
    <m/>
    <m/>
    <m/>
    <m/>
    <m/>
    <n v="0"/>
    <m/>
    <n v="0"/>
  </r>
  <r>
    <x v="15"/>
    <m/>
    <m/>
    <m/>
    <m/>
    <m/>
    <m/>
    <m/>
    <m/>
    <m/>
    <m/>
    <m/>
    <m/>
    <m/>
    <n v="0"/>
  </r>
  <r>
    <x v="15"/>
    <m/>
    <m/>
    <m/>
    <m/>
    <m/>
    <m/>
    <m/>
    <m/>
    <m/>
    <m/>
    <m/>
    <m/>
    <m/>
    <n v="0"/>
  </r>
  <r>
    <x v="15"/>
    <m/>
    <m/>
    <m/>
    <m/>
    <m/>
    <m/>
    <m/>
    <m/>
    <m/>
    <m/>
    <m/>
    <m/>
    <m/>
    <n v="0"/>
  </r>
  <r>
    <x v="16"/>
    <m/>
    <s v="Totals"/>
    <m/>
    <m/>
    <m/>
    <m/>
    <n v="991309.37999999966"/>
    <n v="66221.87000000001"/>
    <m/>
    <m/>
    <n v="134957.21999999991"/>
    <n v="1126266.6000000001"/>
    <n v="633063.19000000029"/>
    <n v="1759329.7900000005"/>
  </r>
  <r>
    <x v="15"/>
    <m/>
    <m/>
    <m/>
    <m/>
    <m/>
    <m/>
    <m/>
    <m/>
    <m/>
    <m/>
    <m/>
    <m/>
    <m/>
    <m/>
  </r>
  <r>
    <x v="17"/>
    <m/>
    <m/>
    <m/>
    <m/>
    <m/>
    <m/>
    <m/>
    <m/>
    <m/>
    <m/>
    <m/>
    <m/>
    <m/>
    <m/>
  </r>
  <r>
    <x v="0"/>
    <m/>
    <s v="ARU005"/>
    <m/>
    <m/>
    <m/>
    <m/>
    <m/>
    <m/>
    <m/>
    <m/>
    <m/>
    <m/>
    <m/>
    <m/>
  </r>
  <r>
    <x v="0"/>
    <m/>
    <s v="ARU006"/>
    <m/>
    <m/>
    <m/>
    <m/>
    <m/>
    <m/>
    <m/>
    <m/>
    <m/>
    <m/>
    <m/>
    <m/>
  </r>
  <r>
    <x v="0"/>
    <m/>
    <s v="ARU015"/>
    <m/>
    <m/>
    <m/>
    <m/>
    <m/>
    <m/>
    <m/>
    <m/>
    <m/>
    <m/>
    <m/>
    <m/>
  </r>
  <r>
    <x v="0"/>
    <m/>
    <s v="ARU021"/>
    <m/>
    <m/>
    <m/>
    <m/>
    <m/>
    <m/>
    <m/>
    <m/>
    <m/>
    <m/>
    <m/>
    <m/>
  </r>
  <r>
    <x v="0"/>
    <m/>
    <s v="ARU023"/>
    <m/>
    <m/>
    <m/>
    <m/>
    <m/>
    <m/>
    <m/>
    <m/>
    <m/>
    <m/>
    <m/>
    <m/>
  </r>
  <r>
    <x v="0"/>
    <m/>
    <s v="ARU050"/>
    <m/>
    <m/>
    <m/>
    <m/>
    <m/>
    <m/>
    <m/>
    <m/>
    <m/>
    <m/>
    <m/>
    <m/>
  </r>
  <r>
    <x v="0"/>
    <m/>
    <s v="ARU052"/>
    <m/>
    <m/>
    <m/>
    <m/>
    <m/>
    <m/>
    <m/>
    <m/>
    <m/>
    <m/>
    <m/>
    <m/>
  </r>
  <r>
    <x v="0"/>
    <m/>
    <s v="ARU057"/>
    <m/>
    <m/>
    <m/>
    <m/>
    <m/>
    <m/>
    <m/>
    <m/>
    <m/>
    <m/>
    <m/>
    <m/>
  </r>
  <r>
    <x v="0"/>
    <m/>
    <s v="ARU082"/>
    <m/>
    <m/>
    <m/>
    <m/>
    <m/>
    <m/>
    <m/>
    <m/>
    <m/>
    <m/>
    <m/>
    <m/>
  </r>
  <r>
    <x v="0"/>
    <m/>
    <s v="ARU095"/>
    <m/>
    <m/>
    <m/>
    <m/>
    <m/>
    <m/>
    <m/>
    <m/>
    <m/>
    <m/>
    <m/>
    <m/>
  </r>
  <r>
    <x v="0"/>
    <m/>
    <s v="ARU106"/>
    <m/>
    <m/>
    <m/>
    <m/>
    <m/>
    <m/>
    <m/>
    <m/>
    <m/>
    <m/>
    <m/>
    <m/>
  </r>
  <r>
    <x v="0"/>
    <m/>
    <s v="ARU108"/>
    <m/>
    <m/>
    <m/>
    <m/>
    <m/>
    <m/>
    <m/>
    <m/>
    <m/>
    <m/>
    <m/>
    <m/>
  </r>
  <r>
    <x v="2"/>
    <m/>
    <s v="BRE012"/>
    <m/>
    <m/>
    <m/>
    <m/>
    <m/>
    <m/>
    <m/>
    <m/>
    <m/>
    <m/>
    <m/>
    <m/>
  </r>
  <r>
    <x v="2"/>
    <m/>
    <s v="BRE015"/>
    <m/>
    <m/>
    <m/>
    <m/>
    <m/>
    <m/>
    <m/>
    <m/>
    <m/>
    <m/>
    <m/>
    <m/>
  </r>
  <r>
    <x v="2"/>
    <m/>
    <s v="BRE018"/>
    <m/>
    <m/>
    <m/>
    <m/>
    <m/>
    <m/>
    <m/>
    <m/>
    <m/>
    <m/>
    <m/>
    <m/>
  </r>
  <r>
    <x v="9"/>
    <m/>
    <s v="PLYxxx"/>
    <n v="651"/>
    <s v="CoNvent - No Parish tab in ThankQ  "/>
    <s v="PLY053 ?"/>
    <m/>
    <m/>
    <m/>
    <m/>
    <m/>
    <m/>
    <m/>
    <m/>
    <m/>
  </r>
  <r>
    <x v="9"/>
    <m/>
    <s v="PLY053"/>
    <m/>
    <s v="does not exsist"/>
    <m/>
    <m/>
    <m/>
    <m/>
    <m/>
    <m/>
    <m/>
    <m/>
    <m/>
    <m/>
  </r>
  <r>
    <x v="15"/>
    <m/>
    <s v="POR028"/>
    <m/>
    <m/>
    <m/>
    <m/>
    <m/>
    <m/>
    <m/>
    <m/>
    <m/>
    <m/>
    <m/>
    <m/>
  </r>
  <r>
    <x v="15"/>
    <m/>
    <s v="WES201"/>
    <m/>
    <m/>
    <m/>
    <m/>
    <m/>
    <m/>
    <m/>
    <m/>
    <m/>
    <m/>
    <m/>
    <m/>
  </r>
  <r>
    <x v="15"/>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600-000000000000}" name="PivotTable4" cacheId="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C18" firstHeaderRow="1" firstDataRow="1" firstDataCol="1"/>
  <pivotFields count="15">
    <pivotField axis="axisRow" showAll="0">
      <items count="19">
        <item x="0"/>
        <item x="1"/>
        <item x="2"/>
        <item x="3"/>
        <item x="4"/>
        <item x="5"/>
        <item x="6"/>
        <item h="1" x="17"/>
        <item x="7"/>
        <item x="8"/>
        <item x="9"/>
        <item x="10"/>
        <item x="11"/>
        <item x="12"/>
        <item h="1" x="16"/>
        <item x="13"/>
        <item x="14"/>
        <item h="1" x="1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0"/>
  </rowFields>
  <rowItems count="16">
    <i>
      <x/>
    </i>
    <i>
      <x v="1"/>
    </i>
    <i>
      <x v="2"/>
    </i>
    <i>
      <x v="3"/>
    </i>
    <i>
      <x v="4"/>
    </i>
    <i>
      <x v="5"/>
    </i>
    <i>
      <x v="6"/>
    </i>
    <i>
      <x v="8"/>
    </i>
    <i>
      <x v="9"/>
    </i>
    <i>
      <x v="10"/>
    </i>
    <i>
      <x v="11"/>
    </i>
    <i>
      <x v="12"/>
    </i>
    <i>
      <x v="13"/>
    </i>
    <i>
      <x v="15"/>
    </i>
    <i>
      <x v="16"/>
    </i>
    <i t="grand">
      <x/>
    </i>
  </rowItems>
  <colItems count="1">
    <i/>
  </colItems>
  <dataFields count="1">
    <dataField name="Sum of Total for each parish (current year)" fld="14" baseField="0" baseItem="0" numFmtId="4"/>
  </dataFields>
  <formats count="2">
    <format dxfId="101">
      <pivotArea outline="0" collapsedLevelsAreSubtotals="1" fieldPosition="0"/>
    </format>
    <format dxfId="10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Y3" dT="2020-02-27T09:43:50.75" personId="{63078F72-1346-4228-BA1C-6C35F6A46012}" id="{0831617E-10E9-4143-8389-9B57ABC3D790}">
    <text>stated as NOR029/008?</text>
  </threadedComment>
  <threadedComment ref="M5" dT="2020-02-25T15:26:08.25" personId="{63078F72-1346-4228-BA1C-6C35F6A46012}" id="{7F6CB831-1B77-433A-AAC8-FB6BE8CCAE4B}">
    <text>Current year</text>
  </threadedComment>
</ThreadedComments>
</file>

<file path=xl/threadedComments/threadedComment2.xml><?xml version="1.0" encoding="utf-8"?>
<ThreadedComments xmlns="http://schemas.microsoft.com/office/spreadsheetml/2018/threadedcomments" xmlns:x="http://schemas.openxmlformats.org/spreadsheetml/2006/main">
  <threadedComment ref="H114" dT="2020-01-20T13:32:53.30" personId="{63078F72-1346-4228-BA1C-6C35F6A46012}" id="{DC4B789E-0B7F-4E47-A89E-FE210B51F9DC}">
    <text>DD's Return Summary shows £1223.34</text>
  </threadedComment>
  <threadedComment ref="H204" dT="2020-01-22T16:34:23.03" personId="{63078F72-1346-4228-BA1C-6C35F6A46012}" id="{A0B2847E-0B4F-4E5C-9913-A30948DACDC8}">
    <text>£416.40 banked on 16 Jul 19 to account 10824230 - so it is included in Ecc Sq column</text>
  </threadedComment>
  <threadedComment ref="I235" dT="2019-12-13T11:05:00.35" personId="{B3CEC88F-0CE6-4471-892B-EBDF65F7C8DC}" id="{D7852BDD-3539-4613-95A8-5AC7C1620839}">
    <text>exclude £840.43 realting to Feb 2019 or Oct 2018 - to check please</text>
  </threadedComment>
  <threadedComment ref="L408" dT="2020-02-26T09:43:15.27" personId="{63078F72-1346-4228-BA1C-6C35F6A46012}" id="{37902826-B24E-483D-8556-D427E77BBC4D}">
    <text>Misc diff of £4.28 to write off to Dio Various 999 account. (Agreed by Cedric)</text>
  </threadedComment>
  <threadedComment ref="I414" dT="2020-01-03T10:08:57.52" personId="{B3CEC88F-0CE6-4471-892B-EBDF65F7C8DC}" id="{26A3D3EA-2E66-4162-9DF4-187D683B13EB}">
    <text>£30 in page 1 not included in total here</text>
  </threadedComment>
  <threadedComment ref="D429" dT="2020-03-10T15:39:55.92" personId="{63078F72-1346-4228-BA1C-6C35F6A46012}" id="{F096DD13-4D6C-4150-9725-97101485AEEC}">
    <text>was 2081. Should be 2083 based on printed Green Form</text>
  </threadedComment>
  <threadedComment ref="I606" dT="2020-02-06T17:01:48.01" personId="{63078F72-1346-4228-BA1C-6C35F6A46012}" id="{408765EB-A7F9-44AA-8DB7-ECE78322A2D4}">
    <text>Chq 701503 dated 29-01-2020 for £150.56 was received on 06-02-2020</text>
  </threadedComment>
  <threadedComment ref="L618" dT="2020-02-26T09:44:28.66" personId="{63078F72-1346-4228-BA1C-6C35F6A46012}" id="{DF33A0C1-CDCB-4409-A1AC-7DC6817F3C1E}">
    <text>Misc diff of £779.63 to write off to Dio Various 999 account. (Agreed by Cedric)</text>
  </threadedComment>
  <threadedComment ref="H919" dT="2020-02-03T14:57:27.22" personId="{63078F72-1346-4228-BA1C-6C35F6A46012}" id="{4F330C60-D5EE-411D-89D3-E4DD8D603793}">
    <text>was
=(85+166+333+176+154+317+230+150)+48+40+52+46+106+41+1000+31+101+55</text>
  </threadedComment>
  <threadedComment ref="K919" dT="2020-02-03T15:13:25.79" personId="{63078F72-1346-4228-BA1C-6C35F6A46012}" id="{C976515D-3FCE-4B43-A0A0-F3342A4F9B83}">
    <text>was
Diff £84: Grand total is £3047 in return (casting error? Have not to include 1st 3 items in Ecc  Sq column)</text>
  </threadedComment>
  <threadedComment ref="L1013" dT="2020-02-26T09:45:08.15" personId="{63078F72-1346-4228-BA1C-6C35F6A46012}" id="{1467BF3F-0BCA-4A88-84DB-B088F34E9014}">
    <text>Misc diff of £2619.64 to write off to Dio Various 999 account. (Agreed by Cedric)</text>
  </threadedComment>
  <threadedComment ref="L1165" dT="2020-02-26T09:45:48.22" personId="{63078F72-1346-4228-BA1C-6C35F6A46012}" id="{0C2E6D31-8FB4-4A57-993D-152A0E006354}">
    <text>Misc diff of £0.10 to write off to Dio Various 999 account. (Agreed by Cedric)</text>
  </threadedComment>
  <threadedComment ref="L1277" dT="2020-02-26T09:46:32.57" personId="{63078F72-1346-4228-BA1C-6C35F6A46012}" id="{3A1B147C-DF98-4E11-BFF5-4973A4577AF5}">
    <text>Misc diff of £169.88 to write off to Dio Various 999 account. (Agreed by Cedric)</text>
  </threadedComment>
  <threadedComment ref="D1282" dT="2020-03-12T09:55:30.52" personId="{63078F72-1346-4228-BA1C-6C35F6A46012}" id="{8CFE97E4-5F21-4340-AB9C-BF98A9955ECB}">
    <text>changed to 704 (was 701 which is incorrect)</text>
  </threadedComment>
  <threadedComment ref="I1361" dT="2019-12-12T12:55:43.41" personId="{B3CEC88F-0CE6-4471-892B-EBDF65F7C8DC}" id="{9740EDDC-3175-4C6C-A242-BC207E425DF8}">
    <text>exclude £20 chq in Ecc Sq column on 01-04-19</text>
  </threadedComment>
  <threadedComment ref="I1398" dT="2020-01-03T16:21:35.30" personId="{B3CEC88F-0CE6-4471-892B-EBDF65F7C8DC}" id="{50724941-1AA7-4DF4-B46F-6A15268E2144}">
    <text>CAF voucher: G. Poulter £100</text>
  </threadedComment>
  <threadedComment ref="L1427" dT="2020-02-26T09:47:34.88" personId="{63078F72-1346-4228-BA1C-6C35F6A46012}" id="{282FDDC7-0005-4EC5-8954-B59F2EB5622D}">
    <text>Misc diff of £51.05 to write off to Dio Various 999 account. (Agreed by Cedric)</text>
  </threadedComment>
  <threadedComment ref="H1505" dT="2019-12-09T10:32:20.35" personId="{B3CEC88F-0CE6-4471-892B-EBDF65F7C8DC}" id="{537334E4-512E-41DB-BF7D-8E786A34FC1C}">
    <text>1x counterfoil total</text>
  </threadedComment>
  <threadedComment ref="L1549" dT="2020-02-26T09:48:25.61" personId="{63078F72-1346-4228-BA1C-6C35F6A46012}" id="{B3B92AF9-3FAE-489F-B49A-2B70F83A016D}">
    <text>Misc diff of £420.69 to write off to Dio Various 999 account. (Agreed by Cedric)</text>
  </threadedComment>
  <threadedComment ref="H1741" dT="2019-12-18T15:14:50.10" personId="{B3CEC88F-0CE6-4471-892B-EBDF65F7C8DC}" id="{61258D06-55DA-4BA3-B2FD-5B1BCB8E5172}">
    <text>based on counterfoils attached</text>
  </threadedComment>
  <threadedComment ref="I1746" dT="2020-02-12T14:21:25.04" personId="{63078F72-1346-4228-BA1C-6C35F6A46012}" id="{41D0B13B-2FFA-49D8-9885-8628DD003589}">
    <text>chq received in Ecc Sq with green foem</text>
  </threadedComment>
  <threadedComment ref="L1766" dT="2020-02-26T09:49:03.14" personId="{63078F72-1346-4228-BA1C-6C35F6A46012}" id="{E9331710-BECA-42A0-9E2F-ADEE6074A2BE}">
    <text>Misc diff of £1499.52 to write off to Dio Various 999 account. (Agreed by Cedric)</text>
  </threadedComment>
  <threadedComment ref="I1774" dT="2020-03-03T10:02:05.07" personId="{63078F72-1346-4228-BA1C-6C35F6A46012}" id="{FDBC62FF-E9A6-480E-85B3-6754B44A5DFC}">
    <text>amended based on LocSec email received 27-02-2020</text>
  </threadedComment>
  <threadedComment ref="K1910" dT="2020-01-09T12:51:21.02" personId="{63078F72-1346-4228-BA1C-6C35F6A46012}" id="{6A43B55A-ABC8-46BF-981E-E3F11C955A04}">
    <text>handed in by ex-LS (09-01-2020)</text>
  </threadedComment>
  <threadedComment ref="H1926" dT="2020-01-22T14:13:37.95" personId="{63078F72-1346-4228-BA1C-6C35F6A46012}" id="{23B76D4B-D34F-4A4A-A72D-BC1905C6A52B}">
    <text>Chq 108515 £637.68 received 22 Jan 2020 (=29.89+24.19+483.6+100)</text>
  </threadedComment>
  <threadedComment ref="L2053" dT="2020-02-26T09:49:49.86" personId="{63078F72-1346-4228-BA1C-6C35F6A46012}" id="{A8945037-8AAC-4C3C-8B96-CEEE96AA4C37}">
    <text>Misc diff of £285.91 to write off to Dio Various 999 account. (Agreed by Cedric)</text>
  </threadedComment>
</ThreadedComments>
</file>

<file path=xl/threadedComments/threadedComment3.xml><?xml version="1.0" encoding="utf-8"?>
<ThreadedComments xmlns="http://schemas.microsoft.com/office/spreadsheetml/2018/threadedcomments" xmlns:x="http://schemas.openxmlformats.org/spreadsheetml/2006/main">
  <threadedComment ref="R2" dT="2020-02-25T15:26:59.53" personId="{63078F72-1346-4228-BA1C-6C35F6A46012}" id="{3B3E004A-7816-44C3-B70F-2BE435D5BD21}">
    <text>Input current year here and the other worksheets will be updated</text>
  </threadedComment>
  <threadedComment ref="A44" dT="2020-03-03T15:37:41.71" personId="{63078F72-1346-4228-BA1C-6C35F6A46012}" id="{E123F266-3A1B-4008-A702-C6ACE82F090A}">
    <text>newly inserted</text>
  </threadedComment>
  <threadedComment ref="C45" dT="2020-03-03T15:30:53.30" personId="{63078F72-1346-4228-BA1C-6C35F6A46012}" id="{8E29B617-A498-4112-B0F1-46A34BE5BEED}">
    <text>was English Martyrs, Horley</text>
  </threadedComment>
  <threadedComment ref="A114" dT="2020-03-03T15:37:41.71" personId="{63078F72-1346-4228-BA1C-6C35F6A46012}" id="{7A26945E-9726-4D3F-A734-E9A6A02957BE}">
    <text>newly inserted</text>
  </threadedComment>
</ThreadedComments>
</file>

<file path=xl/threadedComments/threadedComment4.xml><?xml version="1.0" encoding="utf-8"?>
<ThreadedComments xmlns="http://schemas.microsoft.com/office/spreadsheetml/2018/threadedcomments" xmlns:x="http://schemas.openxmlformats.org/spreadsheetml/2006/main">
  <threadedComment ref="O39" dT="2020-03-12T14:48:35.12" personId="{63078F72-1346-4228-BA1C-6C35F6A46012}" id="{5074864C-2149-46C9-842E-0C27FCB90A15}">
    <text>To add £381.01 from foreign coins per letter - see Annual Return</text>
  </threadedComment>
  <threadedComment ref="P39" dT="2020-03-12T14:46:54.21" personId="{63078F72-1346-4228-BA1C-6C35F6A46012}" id="{B0BCAD7E-0D8D-40EF-BFA6-C87AF8A6DB2C}">
    <text>Added £381.01 from foreign coins per letter - see Annual Return</text>
  </threadedComment>
</ThreadedComments>
</file>

<file path=xl/threadedComments/threadedComment5.xml><?xml version="1.0" encoding="utf-8"?>
<ThreadedComments xmlns="http://schemas.microsoft.com/office/spreadsheetml/2018/threadedcomments" xmlns:x="http://schemas.openxmlformats.org/spreadsheetml/2006/main">
  <threadedComment ref="O29" dT="2020-03-10T14:34:52.04" personId="{63078F72-1346-4228-BA1C-6C35F6A46012}" id="{B3CEBFB2-2066-4169-9E37-A7D2AA309971}">
    <text>Red Box collection incl PLY024/623</text>
  </threadedComment>
  <threadedComment ref="C30" dT="2020-02-27T16:10:04.04" personId="{63078F72-1346-4228-BA1C-6C35F6A46012}" id="{AFDD9C6A-8A5C-4427-BB15-636333E8ED51}">
    <text>Convent and therefore no PCN</text>
  </threadedComment>
  <threadedComment ref="E80" dT="2020-03-04T13:12:17.87" personId="{63078F72-1346-4228-BA1C-6C35F6A46012}" id="{EF4454FC-C337-44AE-96DD-15DFB58692A1}">
    <text>should be 678</text>
  </threadedComment>
</ThreadedComments>
</file>

<file path=xl/threadedComments/threadedComment6.xml><?xml version="1.0" encoding="utf-8"?>
<ThreadedComments xmlns="http://schemas.microsoft.com/office/spreadsheetml/2018/threadedcomments" xmlns:x="http://schemas.openxmlformats.org/spreadsheetml/2006/main">
  <threadedComment ref="B47" dT="2020-03-12T10:26:25.70" personId="{63078F72-1346-4228-BA1C-6C35F6A46012}" id="{A76AB0CD-7A01-48A7-8B9D-002547EAE8FD}">
    <text>one poster for all 3 parishes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 Id="rId4" Type="http://schemas.microsoft.com/office/2017/10/relationships/threadedComment" Target="../threadedComments/threadedComment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 Id="rId4" Type="http://schemas.microsoft.com/office/2017/10/relationships/threadedComment" Target="../threadedComments/threadedComment5.x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 Id="rId4" Type="http://schemas.microsoft.com/office/2017/10/relationships/threadedComment" Target="../threadedComments/threadedComment6.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Y92"/>
  <sheetViews>
    <sheetView topLeftCell="A25" workbookViewId="0">
      <selection activeCell="N9" sqref="N9"/>
    </sheetView>
  </sheetViews>
  <sheetFormatPr defaultColWidth="9.140625" defaultRowHeight="15" x14ac:dyDescent="0.2"/>
  <cols>
    <col min="1" max="1" width="9.140625" style="347"/>
    <col min="2" max="2" width="3.42578125" style="263" customWidth="1"/>
    <col min="3" max="3" width="26.28515625" style="263" customWidth="1"/>
    <col min="4" max="5" width="9.140625" style="263"/>
    <col min="6" max="6" width="26.85546875" style="263" customWidth="1"/>
    <col min="7" max="9" width="1.28515625" style="263" customWidth="1"/>
    <col min="10" max="10" width="9.140625" style="273"/>
    <col min="11" max="11" width="9.140625" style="263"/>
    <col min="12" max="12" width="18.140625" style="263" customWidth="1"/>
    <col min="13" max="13" width="22" style="263" customWidth="1"/>
    <col min="14" max="19" width="9.140625" style="263"/>
    <col min="20" max="21" width="2.5703125" style="263" customWidth="1"/>
    <col min="22" max="22" width="15.85546875" style="263" bestFit="1" customWidth="1"/>
    <col min="23" max="23" width="51.28515625" style="263" customWidth="1"/>
    <col min="24" max="24" width="36.42578125" style="263" bestFit="1" customWidth="1"/>
    <col min="25" max="25" width="14.140625" style="263" customWidth="1"/>
    <col min="26" max="16384" width="9.140625" style="263"/>
  </cols>
  <sheetData>
    <row r="1" spans="1:25" ht="15.75" x14ac:dyDescent="0.2">
      <c r="B1" s="353" t="s">
        <v>8160</v>
      </c>
      <c r="C1" s="271"/>
      <c r="K1" s="272" t="s">
        <v>8152</v>
      </c>
      <c r="V1" s="272" t="s">
        <v>8238</v>
      </c>
    </row>
    <row r="2" spans="1:25" ht="15.75" x14ac:dyDescent="0.2">
      <c r="B2" s="263" t="s">
        <v>8153</v>
      </c>
      <c r="K2" s="373" t="s">
        <v>8153</v>
      </c>
      <c r="V2" s="263" t="s">
        <v>3500</v>
      </c>
      <c r="W2" s="263" t="s">
        <v>8239</v>
      </c>
    </row>
    <row r="3" spans="1:25" x14ac:dyDescent="0.2">
      <c r="A3" s="348">
        <v>1</v>
      </c>
      <c r="B3" s="263" t="s">
        <v>8151</v>
      </c>
      <c r="J3" s="273">
        <v>1</v>
      </c>
      <c r="K3" s="263" t="s">
        <v>8154</v>
      </c>
      <c r="V3" s="291" t="s">
        <v>8240</v>
      </c>
      <c r="W3" s="89" t="s">
        <v>3627</v>
      </c>
      <c r="X3" s="455" t="s">
        <v>3626</v>
      </c>
      <c r="Y3" s="456" t="s">
        <v>3624</v>
      </c>
    </row>
    <row r="4" spans="1:25" ht="15.75" x14ac:dyDescent="0.25">
      <c r="C4" s="264" t="s">
        <v>7259</v>
      </c>
      <c r="L4" s="327" t="s">
        <v>7176</v>
      </c>
      <c r="M4" s="327" t="s">
        <v>7177</v>
      </c>
      <c r="X4" s="263" t="s">
        <v>8243</v>
      </c>
    </row>
    <row r="5" spans="1:25" x14ac:dyDescent="0.2">
      <c r="C5" s="264" t="s">
        <v>7362</v>
      </c>
      <c r="K5" s="263" t="s">
        <v>8155</v>
      </c>
      <c r="L5" s="273" t="s">
        <v>8165</v>
      </c>
      <c r="M5" s="273">
        <v>2019</v>
      </c>
    </row>
    <row r="6" spans="1:25" x14ac:dyDescent="0.2">
      <c r="C6" s="265" t="s">
        <v>2188</v>
      </c>
      <c r="V6" s="459" t="s">
        <v>8245</v>
      </c>
      <c r="W6" s="462" t="s">
        <v>7726</v>
      </c>
      <c r="X6" s="460" t="s">
        <v>532</v>
      </c>
      <c r="Y6" s="461" t="s">
        <v>4221</v>
      </c>
    </row>
    <row r="7" spans="1:25" x14ac:dyDescent="0.2">
      <c r="C7" s="264" t="s">
        <v>7418</v>
      </c>
      <c r="X7" s="263" t="s">
        <v>8246</v>
      </c>
    </row>
    <row r="8" spans="1:25" x14ac:dyDescent="0.2">
      <c r="C8" s="264" t="s">
        <v>7461</v>
      </c>
      <c r="J8" s="274">
        <v>2</v>
      </c>
    </row>
    <row r="9" spans="1:25" x14ac:dyDescent="0.2">
      <c r="C9" s="266" t="s">
        <v>7606</v>
      </c>
    </row>
    <row r="10" spans="1:25" x14ac:dyDescent="0.2">
      <c r="C10" s="266" t="s">
        <v>3497</v>
      </c>
      <c r="V10" s="364" t="s">
        <v>4720</v>
      </c>
      <c r="W10" s="364" t="s">
        <v>8270</v>
      </c>
      <c r="X10" s="263" t="s">
        <v>8290</v>
      </c>
    </row>
    <row r="11" spans="1:25" x14ac:dyDescent="0.2">
      <c r="C11" s="266" t="s">
        <v>8149</v>
      </c>
    </row>
    <row r="12" spans="1:25" x14ac:dyDescent="0.2">
      <c r="C12" s="266" t="s">
        <v>7733</v>
      </c>
      <c r="V12" s="364" t="s">
        <v>8272</v>
      </c>
      <c r="W12" s="364" t="s">
        <v>8271</v>
      </c>
      <c r="X12" s="263" t="s">
        <v>8289</v>
      </c>
    </row>
    <row r="13" spans="1:25" x14ac:dyDescent="0.2">
      <c r="C13" s="266" t="s">
        <v>4717</v>
      </c>
    </row>
    <row r="14" spans="1:25" ht="15.75" x14ac:dyDescent="0.2">
      <c r="C14" s="269" t="s">
        <v>304</v>
      </c>
      <c r="K14" s="373" t="s">
        <v>8156</v>
      </c>
    </row>
    <row r="15" spans="1:25" ht="15.75" x14ac:dyDescent="0.2">
      <c r="C15" s="269" t="s">
        <v>306</v>
      </c>
      <c r="D15" s="270" t="s">
        <v>8150</v>
      </c>
      <c r="J15" s="273" t="s">
        <v>8157</v>
      </c>
      <c r="K15" s="271" t="s">
        <v>8161</v>
      </c>
    </row>
    <row r="16" spans="1:25" x14ac:dyDescent="0.2">
      <c r="C16" s="267" t="s">
        <v>7830</v>
      </c>
      <c r="K16" s="263" t="s">
        <v>8158</v>
      </c>
    </row>
    <row r="17" spans="1:24" x14ac:dyDescent="0.2">
      <c r="C17" s="268" t="s">
        <v>6262</v>
      </c>
      <c r="K17" s="263" t="s">
        <v>8247</v>
      </c>
      <c r="V17" s="479"/>
      <c r="W17" s="479"/>
      <c r="X17" s="479"/>
    </row>
    <row r="18" spans="1:24" x14ac:dyDescent="0.2">
      <c r="C18" s="266" t="s">
        <v>8104</v>
      </c>
      <c r="L18" s="263" t="s">
        <v>8209</v>
      </c>
      <c r="V18" s="589" t="s">
        <v>8241</v>
      </c>
      <c r="W18" s="589"/>
    </row>
    <row r="19" spans="1:24" x14ac:dyDescent="0.2">
      <c r="C19" s="266" t="s">
        <v>7154</v>
      </c>
      <c r="L19" s="263" t="s">
        <v>8208</v>
      </c>
    </row>
    <row r="20" spans="1:24" x14ac:dyDescent="0.2">
      <c r="C20" s="264"/>
      <c r="L20" s="463" t="s">
        <v>8190</v>
      </c>
      <c r="V20" s="263" t="s">
        <v>8242</v>
      </c>
    </row>
    <row r="21" spans="1:24" x14ac:dyDescent="0.2">
      <c r="C21" s="264"/>
      <c r="L21" s="463" t="s">
        <v>8188</v>
      </c>
    </row>
    <row r="22" spans="1:24" x14ac:dyDescent="0.2">
      <c r="A22" s="348">
        <v>2</v>
      </c>
      <c r="B22" s="263" t="s">
        <v>8171</v>
      </c>
      <c r="V22" s="589" t="s">
        <v>8244</v>
      </c>
      <c r="W22" s="589"/>
    </row>
    <row r="23" spans="1:24" x14ac:dyDescent="0.2">
      <c r="B23" s="263" t="s">
        <v>8172</v>
      </c>
      <c r="L23" s="440" t="s">
        <v>8258</v>
      </c>
    </row>
    <row r="24" spans="1:24" x14ac:dyDescent="0.2">
      <c r="B24" s="263" t="s">
        <v>8194</v>
      </c>
      <c r="L24" s="440"/>
    </row>
    <row r="25" spans="1:24" x14ac:dyDescent="0.2">
      <c r="L25" s="440"/>
    </row>
    <row r="26" spans="1:24" x14ac:dyDescent="0.2">
      <c r="A26" s="348">
        <v>3</v>
      </c>
      <c r="B26" s="263" t="s">
        <v>8173</v>
      </c>
      <c r="L26" s="440"/>
    </row>
    <row r="27" spans="1:24" x14ac:dyDescent="0.2">
      <c r="C27" s="263" t="s">
        <v>8177</v>
      </c>
      <c r="L27" s="440"/>
    </row>
    <row r="28" spans="1:24" x14ac:dyDescent="0.2">
      <c r="B28" s="263" t="s">
        <v>8176</v>
      </c>
      <c r="C28" s="263" t="s">
        <v>8175</v>
      </c>
      <c r="L28" s="440"/>
    </row>
    <row r="29" spans="1:24" x14ac:dyDescent="0.2">
      <c r="C29" s="263" t="s">
        <v>8174</v>
      </c>
    </row>
    <row r="30" spans="1:24" ht="15.75" x14ac:dyDescent="0.2">
      <c r="C30" s="263" t="s">
        <v>8181</v>
      </c>
      <c r="J30" s="273" t="s">
        <v>8210</v>
      </c>
      <c r="K30" s="272" t="s">
        <v>8164</v>
      </c>
    </row>
    <row r="31" spans="1:24" ht="15.75" x14ac:dyDescent="0.2">
      <c r="K31" s="364" t="s">
        <v>8250</v>
      </c>
    </row>
    <row r="32" spans="1:24" x14ac:dyDescent="0.2">
      <c r="B32" s="263" t="s">
        <v>8178</v>
      </c>
      <c r="C32" s="263" t="s">
        <v>8179</v>
      </c>
      <c r="K32" s="464" t="s">
        <v>8215</v>
      </c>
    </row>
    <row r="33" spans="2:12" x14ac:dyDescent="0.2">
      <c r="C33" s="263" t="s">
        <v>8183</v>
      </c>
      <c r="L33" s="263" t="s">
        <v>8248</v>
      </c>
    </row>
    <row r="34" spans="2:12" x14ac:dyDescent="0.2">
      <c r="C34" s="263" t="s">
        <v>8182</v>
      </c>
      <c r="L34" s="263" t="s">
        <v>8251</v>
      </c>
    </row>
    <row r="35" spans="2:12" x14ac:dyDescent="0.2">
      <c r="L35" s="263" t="s">
        <v>8249</v>
      </c>
    </row>
    <row r="37" spans="2:12" x14ac:dyDescent="0.2">
      <c r="C37" s="263" t="s">
        <v>8180</v>
      </c>
    </row>
    <row r="38" spans="2:12" x14ac:dyDescent="0.2">
      <c r="B38" s="263" t="s">
        <v>8178</v>
      </c>
      <c r="C38" s="263" t="s">
        <v>8186</v>
      </c>
      <c r="L38" s="465" t="s">
        <v>8252</v>
      </c>
    </row>
    <row r="39" spans="2:12" x14ac:dyDescent="0.2">
      <c r="L39" s="263" t="s">
        <v>8253</v>
      </c>
    </row>
    <row r="40" spans="2:12" x14ac:dyDescent="0.2">
      <c r="L40" s="263" t="s">
        <v>8254</v>
      </c>
    </row>
    <row r="45" spans="2:12" x14ac:dyDescent="0.2">
      <c r="J45" s="273" t="s">
        <v>8159</v>
      </c>
    </row>
    <row r="49" spans="10:14" ht="15.75" x14ac:dyDescent="0.2">
      <c r="J49" s="274" t="s">
        <v>8162</v>
      </c>
      <c r="K49" s="263" t="s">
        <v>8154</v>
      </c>
      <c r="N49" s="373" t="s">
        <v>8193</v>
      </c>
    </row>
    <row r="50" spans="10:14" ht="15.75" x14ac:dyDescent="0.25">
      <c r="L50" s="327" t="s">
        <v>7176</v>
      </c>
      <c r="M50" s="327" t="s">
        <v>7177</v>
      </c>
    </row>
    <row r="51" spans="10:14" x14ac:dyDescent="0.2">
      <c r="K51" s="263" t="s">
        <v>8155</v>
      </c>
      <c r="L51" s="273" t="s">
        <v>7262</v>
      </c>
      <c r="M51" s="273" t="s">
        <v>8165</v>
      </c>
    </row>
    <row r="52" spans="10:14" x14ac:dyDescent="0.2">
      <c r="K52" s="263" t="s">
        <v>8198</v>
      </c>
    </row>
    <row r="53" spans="10:14" ht="15.75" x14ac:dyDescent="0.2">
      <c r="K53" s="263" t="s">
        <v>8187</v>
      </c>
    </row>
    <row r="54" spans="10:14" x14ac:dyDescent="0.2">
      <c r="K54" s="263" t="s">
        <v>8199</v>
      </c>
    </row>
    <row r="55" spans="10:14" ht="15.75" x14ac:dyDescent="0.2">
      <c r="L55" s="271" t="s">
        <v>8200</v>
      </c>
    </row>
    <row r="56" spans="10:14" ht="15.75" x14ac:dyDescent="0.2">
      <c r="L56" s="271" t="s">
        <v>8201</v>
      </c>
    </row>
    <row r="57" spans="10:14" ht="15.75" x14ac:dyDescent="0.2">
      <c r="L57" s="271" t="s">
        <v>8202</v>
      </c>
    </row>
    <row r="62" spans="10:14" x14ac:dyDescent="0.2">
      <c r="J62" s="274" t="s">
        <v>8189</v>
      </c>
      <c r="K62" s="263" t="s">
        <v>8163</v>
      </c>
    </row>
    <row r="63" spans="10:14" x14ac:dyDescent="0.2">
      <c r="K63" s="263" t="s">
        <v>8166</v>
      </c>
    </row>
    <row r="64" spans="10:14" x14ac:dyDescent="0.2">
      <c r="K64" s="263" t="s">
        <v>8167</v>
      </c>
    </row>
    <row r="66" spans="10:12" x14ac:dyDescent="0.2">
      <c r="K66" s="364" t="s">
        <v>8191</v>
      </c>
    </row>
    <row r="67" spans="10:12" x14ac:dyDescent="0.2">
      <c r="L67" s="365" t="s">
        <v>8192</v>
      </c>
    </row>
    <row r="70" spans="10:12" x14ac:dyDescent="0.2">
      <c r="J70" s="274" t="s">
        <v>8231</v>
      </c>
      <c r="K70" s="440" t="s">
        <v>8232</v>
      </c>
    </row>
    <row r="73" spans="10:12" x14ac:dyDescent="0.2">
      <c r="J73" s="274" t="s">
        <v>8211</v>
      </c>
      <c r="K73" s="263" t="s">
        <v>8212</v>
      </c>
    </row>
    <row r="74" spans="10:12" x14ac:dyDescent="0.2">
      <c r="K74" s="263" t="s">
        <v>8213</v>
      </c>
    </row>
    <row r="79" spans="10:12" x14ac:dyDescent="0.2">
      <c r="J79" s="274" t="s">
        <v>8197</v>
      </c>
      <c r="K79" s="263" t="s">
        <v>8195</v>
      </c>
    </row>
    <row r="80" spans="10:12" x14ac:dyDescent="0.2">
      <c r="K80" s="263" t="s">
        <v>8196</v>
      </c>
    </row>
    <row r="81" spans="10:12" x14ac:dyDescent="0.2">
      <c r="L81" s="263" t="s">
        <v>1776</v>
      </c>
    </row>
    <row r="82" spans="10:12" x14ac:dyDescent="0.2">
      <c r="L82" s="263" t="s">
        <v>2502</v>
      </c>
    </row>
    <row r="83" spans="10:12" x14ac:dyDescent="0.2">
      <c r="L83" s="263" t="s">
        <v>4720</v>
      </c>
    </row>
    <row r="84" spans="10:12" x14ac:dyDescent="0.2">
      <c r="L84" s="263" t="s">
        <v>5055</v>
      </c>
    </row>
    <row r="89" spans="10:12" x14ac:dyDescent="0.2">
      <c r="J89" s="274" t="s">
        <v>8206</v>
      </c>
      <c r="K89" s="263" t="s">
        <v>8203</v>
      </c>
    </row>
    <row r="90" spans="10:12" x14ac:dyDescent="0.2">
      <c r="K90" s="263" t="s">
        <v>8204</v>
      </c>
    </row>
    <row r="91" spans="10:12" ht="15.75" x14ac:dyDescent="0.2">
      <c r="K91" s="263" t="s">
        <v>8205</v>
      </c>
    </row>
    <row r="92" spans="10:12" x14ac:dyDescent="0.2">
      <c r="K92" s="263" t="s">
        <v>8207</v>
      </c>
    </row>
  </sheetData>
  <conditionalFormatting sqref="C6">
    <cfRule type="duplicateValues" dxfId="122" priority="1" stopIfTrue="1"/>
  </conditionalFormatting>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Q272"/>
  <sheetViews>
    <sheetView zoomScaleNormal="100" workbookViewId="0">
      <pane ySplit="2" topLeftCell="A3" activePane="bottomLeft" state="frozen"/>
      <selection pane="bottomLeft" activeCell="K1" sqref="K1:M1"/>
    </sheetView>
  </sheetViews>
  <sheetFormatPr defaultColWidth="9.140625" defaultRowHeight="15" outlineLevelCol="1" x14ac:dyDescent="0.2"/>
  <cols>
    <col min="1" max="1" width="21.85546875" style="74" customWidth="1"/>
    <col min="2" max="2" width="47.85546875" style="74" customWidth="1"/>
    <col min="3" max="3" width="48.7109375" style="74" bestFit="1" customWidth="1"/>
    <col min="4" max="4" width="18.5703125" style="370" hidden="1" customWidth="1" outlineLevel="1"/>
    <col min="5" max="5" width="28.28515625" style="370" hidden="1" customWidth="1" outlineLevel="1"/>
    <col min="6" max="6" width="9" style="85" hidden="1" customWidth="1" outlineLevel="1"/>
    <col min="7" max="7" width="7.28515625" style="85" hidden="1" customWidth="1" collapsed="1"/>
    <col min="8" max="8" width="17.28515625" style="444" hidden="1" customWidth="1"/>
    <col min="9" max="10" width="0" style="74" hidden="1" customWidth="1"/>
    <col min="11" max="11" width="12.85546875" style="74" bestFit="1" customWidth="1"/>
    <col min="12" max="12" width="16" style="74" bestFit="1" customWidth="1"/>
    <col min="13" max="13" width="15.42578125" style="74" bestFit="1" customWidth="1"/>
    <col min="14" max="14" width="14.28515625" style="74" bestFit="1" customWidth="1"/>
    <col min="15" max="15" width="0" style="74" hidden="1" customWidth="1"/>
    <col min="16" max="17" width="14.28515625" style="74" bestFit="1" customWidth="1"/>
    <col min="18" max="16384" width="9.140625" style="74"/>
  </cols>
  <sheetData>
    <row r="1" spans="1:17" ht="24.95" customHeight="1" x14ac:dyDescent="0.25">
      <c r="A1" s="838" t="str">
        <f>"Missio and Mill Hill Red Box Parish Results 2020 - Archdiocese of Birmingham"</f>
        <v>Missio and Mill Hill Red Box Parish Results 2020 - Archdiocese of Birmingham</v>
      </c>
      <c r="B1" s="367"/>
      <c r="C1" s="367"/>
      <c r="D1" s="368"/>
      <c r="E1" s="368"/>
      <c r="K1" s="757">
        <v>2020</v>
      </c>
      <c r="L1" s="757">
        <v>2020</v>
      </c>
      <c r="M1" s="757">
        <v>2020</v>
      </c>
      <c r="O1" s="367"/>
      <c r="P1" s="367"/>
      <c r="Q1" s="441"/>
    </row>
    <row r="2" spans="1:17" ht="24.95" customHeight="1" x14ac:dyDescent="0.3">
      <c r="A2" s="622" t="s">
        <v>1</v>
      </c>
      <c r="B2" s="622" t="s">
        <v>2</v>
      </c>
      <c r="C2" s="622" t="s">
        <v>3</v>
      </c>
      <c r="D2" s="622" t="s">
        <v>8214</v>
      </c>
      <c r="E2" s="622" t="s">
        <v>8165</v>
      </c>
      <c r="F2" s="747" t="s">
        <v>7809</v>
      </c>
      <c r="G2" s="747" t="s">
        <v>311</v>
      </c>
      <c r="H2" s="747" t="s">
        <v>312</v>
      </c>
      <c r="I2" s="748" t="s">
        <v>2</v>
      </c>
      <c r="J2" s="747" t="s">
        <v>10989</v>
      </c>
      <c r="K2" s="622" t="s">
        <v>308</v>
      </c>
      <c r="L2" s="622" t="s">
        <v>11319</v>
      </c>
      <c r="M2" s="622" t="s">
        <v>10991</v>
      </c>
      <c r="N2" s="622">
        <v>2020</v>
      </c>
      <c r="O2" s="622">
        <f>ARU!P2</f>
        <v>2019</v>
      </c>
      <c r="P2" s="622">
        <v>2019</v>
      </c>
      <c r="Q2" s="622">
        <v>2018</v>
      </c>
    </row>
    <row r="3" spans="1:17" ht="24.95" customHeight="1" x14ac:dyDescent="0.2">
      <c r="A3" s="68" t="str">
        <f>D3&amp;" / "&amp;E3</f>
        <v>BIR001 / 1806</v>
      </c>
      <c r="B3" s="75" t="s">
        <v>7265</v>
      </c>
      <c r="C3" s="75" t="s">
        <v>5141</v>
      </c>
      <c r="D3" s="369" t="s">
        <v>829</v>
      </c>
      <c r="E3" s="369" t="str">
        <f>VLOOKUP(D:D,'Master Table'!C:D,2,FALSE)</f>
        <v>1806</v>
      </c>
      <c r="F3" s="766" t="s">
        <v>829</v>
      </c>
      <c r="G3" s="766" t="s">
        <v>830</v>
      </c>
      <c r="H3" s="769" t="s">
        <v>831</v>
      </c>
      <c r="I3" s="769" t="s">
        <v>832</v>
      </c>
      <c r="J3" s="766" t="s">
        <v>324</v>
      </c>
      <c r="K3" s="758">
        <v>0</v>
      </c>
      <c r="L3" s="758">
        <v>437</v>
      </c>
      <c r="M3" s="758">
        <v>165.22</v>
      </c>
      <c r="N3" s="69">
        <f>K3+L3+M3</f>
        <v>602.22</v>
      </c>
      <c r="O3" s="69">
        <f>VLOOKUP(D:D,'Master Table'!C:O,13,FALSE)</f>
        <v>1429.08</v>
      </c>
      <c r="P3" s="446">
        <v>1429.08</v>
      </c>
      <c r="Q3" s="103">
        <v>635.09</v>
      </c>
    </row>
    <row r="4" spans="1:17" ht="24.95" customHeight="1" x14ac:dyDescent="0.2">
      <c r="A4" s="68" t="str">
        <f t="shared" ref="A4:A69" si="0">D4&amp;" / "&amp;E4</f>
        <v>BIR002 / 1807</v>
      </c>
      <c r="B4" s="75" t="s">
        <v>836</v>
      </c>
      <c r="C4" s="75" t="s">
        <v>1634</v>
      </c>
      <c r="D4" s="369" t="s">
        <v>833</v>
      </c>
      <c r="E4" s="369" t="str">
        <f>VLOOKUP(D:D,'Master Table'!C:D,2,FALSE)</f>
        <v>1807</v>
      </c>
      <c r="F4" s="766" t="s">
        <v>833</v>
      </c>
      <c r="G4" s="766" t="s">
        <v>834</v>
      </c>
      <c r="H4" s="769" t="s">
        <v>835</v>
      </c>
      <c r="I4" s="769" t="s">
        <v>836</v>
      </c>
      <c r="J4" s="766" t="s">
        <v>324</v>
      </c>
      <c r="K4" s="758">
        <v>8000</v>
      </c>
      <c r="L4" s="758">
        <v>80</v>
      </c>
      <c r="M4" s="758"/>
      <c r="N4" s="69">
        <f t="shared" ref="N4:N64" si="1">K4+L4+M4</f>
        <v>8080</v>
      </c>
      <c r="O4" s="69">
        <f>VLOOKUP(D:D,'Master Table'!C:O,13,FALSE)</f>
        <v>9492.57</v>
      </c>
      <c r="P4" s="446">
        <v>9492.57</v>
      </c>
      <c r="Q4" s="103">
        <v>10846</v>
      </c>
    </row>
    <row r="5" spans="1:17" ht="24.95" customHeight="1" x14ac:dyDescent="0.2">
      <c r="A5" s="68" t="str">
        <f t="shared" si="0"/>
        <v>BIR003 / 1808</v>
      </c>
      <c r="B5" s="78" t="s">
        <v>840</v>
      </c>
      <c r="C5" s="75" t="s">
        <v>7267</v>
      </c>
      <c r="D5" s="369" t="s">
        <v>837</v>
      </c>
      <c r="E5" s="369" t="str">
        <f>VLOOKUP(D:D,'Master Table'!C:D,2,FALSE)</f>
        <v>1808</v>
      </c>
      <c r="F5" s="766" t="s">
        <v>837</v>
      </c>
      <c r="G5" s="766" t="s">
        <v>838</v>
      </c>
      <c r="H5" s="769" t="s">
        <v>839</v>
      </c>
      <c r="I5" s="769" t="s">
        <v>840</v>
      </c>
      <c r="J5" s="766" t="s">
        <v>324</v>
      </c>
      <c r="K5" s="758">
        <v>0</v>
      </c>
      <c r="L5" s="758">
        <v>55</v>
      </c>
      <c r="M5" s="758"/>
      <c r="N5" s="69">
        <f t="shared" si="1"/>
        <v>55</v>
      </c>
      <c r="O5" s="69">
        <f>VLOOKUP(D:D,'Master Table'!C:O,13,FALSE)</f>
        <v>75</v>
      </c>
      <c r="P5" s="446">
        <v>75</v>
      </c>
      <c r="Q5" s="103">
        <v>191.88</v>
      </c>
    </row>
    <row r="6" spans="1:17" ht="24.95" customHeight="1" x14ac:dyDescent="0.2">
      <c r="A6" s="68" t="str">
        <f t="shared" si="0"/>
        <v>BIR004 / 1809</v>
      </c>
      <c r="B6" s="75" t="s">
        <v>843</v>
      </c>
      <c r="C6" s="75" t="s">
        <v>246</v>
      </c>
      <c r="D6" s="369" t="s">
        <v>841</v>
      </c>
      <c r="E6" s="369" t="str">
        <f>VLOOKUP(D:D,'Master Table'!C:D,2,FALSE)</f>
        <v>1809</v>
      </c>
      <c r="F6" s="766" t="s">
        <v>841</v>
      </c>
      <c r="G6" s="766" t="s">
        <v>842</v>
      </c>
      <c r="H6" s="769" t="s">
        <v>246</v>
      </c>
      <c r="I6" s="769" t="s">
        <v>843</v>
      </c>
      <c r="J6" s="766" t="s">
        <v>324</v>
      </c>
      <c r="K6" s="758">
        <v>304.98</v>
      </c>
      <c r="L6" s="758">
        <v>10</v>
      </c>
      <c r="M6" s="758"/>
      <c r="N6" s="69">
        <f t="shared" si="1"/>
        <v>314.98</v>
      </c>
      <c r="O6" s="69">
        <f>VLOOKUP(D:D,'Master Table'!C:O,13,FALSE)</f>
        <v>494.22</v>
      </c>
      <c r="P6" s="446">
        <v>494.22</v>
      </c>
      <c r="Q6" s="103">
        <v>492.67</v>
      </c>
    </row>
    <row r="7" spans="1:17" ht="24.95" customHeight="1" x14ac:dyDescent="0.2">
      <c r="A7" s="68" t="str">
        <f t="shared" si="0"/>
        <v>BIR005 / 1810</v>
      </c>
      <c r="B7" s="75" t="s">
        <v>847</v>
      </c>
      <c r="C7" s="75" t="s">
        <v>846</v>
      </c>
      <c r="D7" s="369" t="s">
        <v>844</v>
      </c>
      <c r="E7" s="369" t="str">
        <f>VLOOKUP(D:D,'Master Table'!C:D,2,FALSE)</f>
        <v>1810</v>
      </c>
      <c r="F7" s="766" t="s">
        <v>844</v>
      </c>
      <c r="G7" s="766" t="s">
        <v>845</v>
      </c>
      <c r="H7" s="769" t="s">
        <v>846</v>
      </c>
      <c r="I7" s="769" t="s">
        <v>847</v>
      </c>
      <c r="J7" s="766" t="s">
        <v>324</v>
      </c>
      <c r="K7" s="758">
        <v>0</v>
      </c>
      <c r="L7" s="758">
        <v>69</v>
      </c>
      <c r="M7" s="758"/>
      <c r="N7" s="69">
        <f t="shared" si="1"/>
        <v>69</v>
      </c>
      <c r="O7" s="69">
        <f>VLOOKUP(D:D,'Master Table'!C:O,13,FALSE)</f>
        <v>425.17</v>
      </c>
      <c r="P7" s="446">
        <v>425.17</v>
      </c>
      <c r="Q7" s="103">
        <v>336.93</v>
      </c>
    </row>
    <row r="8" spans="1:17" ht="24.95" customHeight="1" x14ac:dyDescent="0.2">
      <c r="A8" s="68" t="str">
        <f t="shared" si="0"/>
        <v>BIR006 / 1811</v>
      </c>
      <c r="B8" s="78" t="s">
        <v>851</v>
      </c>
      <c r="C8" s="78" t="s">
        <v>7268</v>
      </c>
      <c r="D8" s="369" t="s">
        <v>848</v>
      </c>
      <c r="E8" s="369" t="str">
        <f>VLOOKUP(D:D,'Master Table'!C:D,2,FALSE)</f>
        <v>1811</v>
      </c>
      <c r="F8" s="766" t="s">
        <v>848</v>
      </c>
      <c r="G8" s="766" t="s">
        <v>849</v>
      </c>
      <c r="H8" s="769" t="s">
        <v>850</v>
      </c>
      <c r="I8" s="769" t="s">
        <v>851</v>
      </c>
      <c r="J8" s="766" t="s">
        <v>324</v>
      </c>
      <c r="K8" s="758">
        <v>0</v>
      </c>
      <c r="L8" s="758"/>
      <c r="M8" s="758"/>
      <c r="N8" s="69">
        <f t="shared" si="1"/>
        <v>0</v>
      </c>
      <c r="O8" s="69">
        <f>VLOOKUP(D:D,'Master Table'!C:O,13,FALSE)</f>
        <v>42.84</v>
      </c>
      <c r="P8" s="446">
        <v>42.84</v>
      </c>
      <c r="Q8" s="103">
        <v>139.57</v>
      </c>
    </row>
    <row r="9" spans="1:17" ht="24.95" customHeight="1" x14ac:dyDescent="0.2">
      <c r="A9" s="68" t="str">
        <f t="shared" si="0"/>
        <v>BIR007 / 1812</v>
      </c>
      <c r="B9" s="75" t="s">
        <v>854</v>
      </c>
      <c r="C9" s="75" t="s">
        <v>1065</v>
      </c>
      <c r="D9" s="369" t="s">
        <v>852</v>
      </c>
      <c r="E9" s="369" t="str">
        <f>VLOOKUP(D:D,'Master Table'!C:D,2,FALSE)</f>
        <v>1812</v>
      </c>
      <c r="F9" s="766" t="s">
        <v>852</v>
      </c>
      <c r="G9" s="766" t="s">
        <v>853</v>
      </c>
      <c r="H9" s="769" t="s">
        <v>276</v>
      </c>
      <c r="I9" s="769" t="s">
        <v>854</v>
      </c>
      <c r="J9" s="766" t="s">
        <v>324</v>
      </c>
      <c r="K9" s="758">
        <v>352.76</v>
      </c>
      <c r="L9" s="758">
        <v>25</v>
      </c>
      <c r="M9" s="758"/>
      <c r="N9" s="69">
        <f t="shared" si="1"/>
        <v>377.76</v>
      </c>
      <c r="O9" s="69">
        <f>VLOOKUP(D:D,'Master Table'!C:O,13,FALSE)</f>
        <v>577.91</v>
      </c>
      <c r="P9" s="446">
        <v>577.91</v>
      </c>
      <c r="Q9" s="103">
        <v>640.53</v>
      </c>
    </row>
    <row r="10" spans="1:17" ht="24.95" customHeight="1" x14ac:dyDescent="0.2">
      <c r="A10" s="68" t="str">
        <f t="shared" si="0"/>
        <v>BIR008 / 1814</v>
      </c>
      <c r="B10" s="75" t="s">
        <v>858</v>
      </c>
      <c r="C10" s="75" t="s">
        <v>5667</v>
      </c>
      <c r="D10" s="369" t="s">
        <v>855</v>
      </c>
      <c r="E10" s="369" t="str">
        <f>VLOOKUP(D:D,'Master Table'!C:D,2,FALSE)</f>
        <v>1814</v>
      </c>
      <c r="F10" s="766" t="s">
        <v>855</v>
      </c>
      <c r="G10" s="766" t="s">
        <v>856</v>
      </c>
      <c r="H10" s="769" t="s">
        <v>857</v>
      </c>
      <c r="I10" s="769" t="s">
        <v>858</v>
      </c>
      <c r="J10" s="766" t="s">
        <v>324</v>
      </c>
      <c r="K10" s="758">
        <v>0</v>
      </c>
      <c r="L10" s="758">
        <v>285.7</v>
      </c>
      <c r="M10" s="758"/>
      <c r="N10" s="69">
        <f t="shared" si="1"/>
        <v>285.7</v>
      </c>
      <c r="O10" s="69">
        <f>VLOOKUP(D:D,'Master Table'!C:O,13,FALSE)</f>
        <v>149.04999999999998</v>
      </c>
      <c r="P10" s="446">
        <v>149.04999999999998</v>
      </c>
      <c r="Q10" s="103">
        <v>1113.81</v>
      </c>
    </row>
    <row r="11" spans="1:17" ht="24.95" customHeight="1" x14ac:dyDescent="0.2">
      <c r="A11" s="68" t="str">
        <f t="shared" si="0"/>
        <v>BIR009 / 1815</v>
      </c>
      <c r="B11" s="75" t="s">
        <v>864</v>
      </c>
      <c r="C11" s="75" t="s">
        <v>7269</v>
      </c>
      <c r="D11" s="369" t="s">
        <v>859</v>
      </c>
      <c r="E11" s="369" t="str">
        <f>VLOOKUP(D:D,'Master Table'!C:D,2,FALSE)</f>
        <v>1815</v>
      </c>
      <c r="F11" s="766" t="s">
        <v>859</v>
      </c>
      <c r="G11" s="766" t="s">
        <v>860</v>
      </c>
      <c r="H11" s="769" t="s">
        <v>861</v>
      </c>
      <c r="I11" s="769" t="s">
        <v>832</v>
      </c>
      <c r="J11" s="766" t="s">
        <v>324</v>
      </c>
      <c r="K11" s="758">
        <v>1037.44</v>
      </c>
      <c r="L11" s="758">
        <v>515</v>
      </c>
      <c r="M11" s="758"/>
      <c r="N11" s="69">
        <f t="shared" si="1"/>
        <v>1552.44</v>
      </c>
      <c r="O11" s="69">
        <f>VLOOKUP(D:D,'Master Table'!C:O,13,FALSE)</f>
        <v>1825</v>
      </c>
      <c r="P11" s="446">
        <v>1825</v>
      </c>
      <c r="Q11" s="103">
        <v>1835.45</v>
      </c>
    </row>
    <row r="12" spans="1:17" ht="24.95" customHeight="1" x14ac:dyDescent="0.2">
      <c r="A12" s="68" t="str">
        <f t="shared" si="0"/>
        <v>BIR010 / 1817</v>
      </c>
      <c r="B12" s="75" t="s">
        <v>864</v>
      </c>
      <c r="C12" s="75" t="s">
        <v>7193</v>
      </c>
      <c r="D12" s="369" t="s">
        <v>862</v>
      </c>
      <c r="E12" s="369" t="str">
        <f>VLOOKUP(D:D,'Master Table'!C:D,2,FALSE)</f>
        <v>1817</v>
      </c>
      <c r="F12" s="766" t="s">
        <v>862</v>
      </c>
      <c r="G12" s="766" t="s">
        <v>863</v>
      </c>
      <c r="H12" s="769" t="s">
        <v>412</v>
      </c>
      <c r="I12" s="769" t="s">
        <v>864</v>
      </c>
      <c r="J12" s="766" t="s">
        <v>324</v>
      </c>
      <c r="K12" s="758">
        <v>0</v>
      </c>
      <c r="L12" s="758">
        <v>30</v>
      </c>
      <c r="M12" s="758"/>
      <c r="N12" s="69">
        <f t="shared" si="1"/>
        <v>30</v>
      </c>
      <c r="O12" s="69">
        <f>VLOOKUP(D:D,'Master Table'!C:O,13,FALSE)</f>
        <v>308.23</v>
      </c>
      <c r="P12" s="446">
        <v>308.23</v>
      </c>
      <c r="Q12" s="103">
        <v>370.59</v>
      </c>
    </row>
    <row r="13" spans="1:17" ht="24.95" customHeight="1" x14ac:dyDescent="0.2">
      <c r="A13" s="68" t="str">
        <f t="shared" si="0"/>
        <v>BIR011 / 1818</v>
      </c>
      <c r="B13" s="75" t="s">
        <v>868</v>
      </c>
      <c r="C13" s="75" t="s">
        <v>7270</v>
      </c>
      <c r="D13" s="369" t="s">
        <v>865</v>
      </c>
      <c r="E13" s="369" t="str">
        <f>VLOOKUP(D:D,'Master Table'!C:D,2,FALSE)</f>
        <v>1818</v>
      </c>
      <c r="F13" s="766" t="s">
        <v>865</v>
      </c>
      <c r="G13" s="766" t="s">
        <v>866</v>
      </c>
      <c r="H13" s="769" t="s">
        <v>867</v>
      </c>
      <c r="I13" s="769" t="s">
        <v>868</v>
      </c>
      <c r="J13" s="766" t="s">
        <v>324</v>
      </c>
      <c r="K13" s="758">
        <v>460.57</v>
      </c>
      <c r="L13" s="758">
        <v>16</v>
      </c>
      <c r="M13" s="758">
        <v>12</v>
      </c>
      <c r="N13" s="69">
        <f t="shared" si="1"/>
        <v>488.57</v>
      </c>
      <c r="O13" s="69">
        <f>VLOOKUP(D:D,'Master Table'!C:O,13,FALSE)</f>
        <v>742.51</v>
      </c>
      <c r="P13" s="446">
        <v>742.51</v>
      </c>
      <c r="Q13" s="103">
        <v>802.13</v>
      </c>
    </row>
    <row r="14" spans="1:17" ht="24.95" customHeight="1" x14ac:dyDescent="0.2">
      <c r="A14" s="68" t="str">
        <f t="shared" si="0"/>
        <v>BIR012 / 1819</v>
      </c>
      <c r="B14" s="75" t="s">
        <v>7271</v>
      </c>
      <c r="C14" s="75" t="s">
        <v>7267</v>
      </c>
      <c r="D14" s="369" t="s">
        <v>870</v>
      </c>
      <c r="E14" s="369" t="str">
        <f>VLOOKUP(D:D,'Master Table'!C:D,2,FALSE)</f>
        <v>1819</v>
      </c>
      <c r="F14" s="766" t="s">
        <v>870</v>
      </c>
      <c r="G14" s="766" t="s">
        <v>871</v>
      </c>
      <c r="H14" s="769" t="s">
        <v>839</v>
      </c>
      <c r="I14" s="769" t="s">
        <v>872</v>
      </c>
      <c r="J14" s="766" t="s">
        <v>324</v>
      </c>
      <c r="K14" s="758">
        <v>0</v>
      </c>
      <c r="L14" s="758">
        <v>220</v>
      </c>
      <c r="M14" s="758"/>
      <c r="N14" s="69">
        <f t="shared" si="1"/>
        <v>220</v>
      </c>
      <c r="O14" s="69">
        <f>VLOOKUP(D:D,'Master Table'!C:O,13,FALSE)</f>
        <v>140</v>
      </c>
      <c r="P14" s="446">
        <v>140</v>
      </c>
      <c r="Q14" s="103">
        <v>145.80000000000001</v>
      </c>
    </row>
    <row r="15" spans="1:17" s="283" customFormat="1" ht="24.95" customHeight="1" x14ac:dyDescent="0.2">
      <c r="A15" s="362" t="str">
        <f t="shared" si="0"/>
        <v>BIR014 / 1820</v>
      </c>
      <c r="B15" s="282" t="s">
        <v>7272</v>
      </c>
      <c r="C15" s="282" t="s">
        <v>158</v>
      </c>
      <c r="D15" s="369" t="s">
        <v>873</v>
      </c>
      <c r="E15" s="369" t="str">
        <f>VLOOKUP(D:D,'Master Table'!C:D,2,FALSE)</f>
        <v>1820</v>
      </c>
      <c r="F15" s="766" t="s">
        <v>873</v>
      </c>
      <c r="G15" s="766" t="s">
        <v>874</v>
      </c>
      <c r="H15" s="769" t="s">
        <v>124</v>
      </c>
      <c r="I15" s="769" t="s">
        <v>875</v>
      </c>
      <c r="J15" s="766" t="s">
        <v>324</v>
      </c>
      <c r="K15" s="758">
        <v>0</v>
      </c>
      <c r="L15" s="758"/>
      <c r="M15" s="758"/>
      <c r="N15" s="69">
        <f t="shared" si="1"/>
        <v>0</v>
      </c>
      <c r="O15" s="467">
        <f>VLOOKUP(D:D,'Master Table'!C:O,13,FALSE)</f>
        <v>0</v>
      </c>
      <c r="P15" s="657">
        <v>0</v>
      </c>
      <c r="Q15" s="514">
        <v>0</v>
      </c>
    </row>
    <row r="16" spans="1:17" ht="24.95" customHeight="1" x14ac:dyDescent="0.2">
      <c r="A16" s="68" t="str">
        <f t="shared" si="0"/>
        <v>BIR015 / 1821</v>
      </c>
      <c r="B16" s="75" t="s">
        <v>879</v>
      </c>
      <c r="C16" s="75" t="s">
        <v>4227</v>
      </c>
      <c r="D16" s="369" t="s">
        <v>876</v>
      </c>
      <c r="E16" s="369" t="str">
        <f>VLOOKUP(D:D,'Master Table'!C:D,2,FALSE)</f>
        <v>1821</v>
      </c>
      <c r="F16" s="766" t="s">
        <v>876</v>
      </c>
      <c r="G16" s="766" t="s">
        <v>877</v>
      </c>
      <c r="H16" s="769" t="s">
        <v>878</v>
      </c>
      <c r="I16" s="769" t="s">
        <v>879</v>
      </c>
      <c r="J16" s="766" t="s">
        <v>324</v>
      </c>
      <c r="K16" s="758">
        <v>0</v>
      </c>
      <c r="L16" s="758">
        <v>151</v>
      </c>
      <c r="M16" s="758">
        <v>5032</v>
      </c>
      <c r="N16" s="69">
        <f t="shared" si="1"/>
        <v>5183</v>
      </c>
      <c r="O16" s="69">
        <f>VLOOKUP(D:D,'Master Table'!C:O,13,FALSE)</f>
        <v>7096</v>
      </c>
      <c r="P16" s="446">
        <v>7096</v>
      </c>
      <c r="Q16" s="103">
        <v>6795.29</v>
      </c>
    </row>
    <row r="17" spans="1:17" ht="24.95" customHeight="1" x14ac:dyDescent="0.2">
      <c r="A17" s="68" t="str">
        <f t="shared" si="0"/>
        <v>BIR016 / 1823</v>
      </c>
      <c r="B17" s="75" t="s">
        <v>883</v>
      </c>
      <c r="C17" s="75" t="s">
        <v>7273</v>
      </c>
      <c r="D17" s="369" t="s">
        <v>880</v>
      </c>
      <c r="E17" s="369" t="str">
        <f>VLOOKUP(D:D,'Master Table'!C:D,2,FALSE)</f>
        <v>1823</v>
      </c>
      <c r="F17" s="766" t="s">
        <v>880</v>
      </c>
      <c r="G17" s="766" t="s">
        <v>881</v>
      </c>
      <c r="H17" s="769" t="s">
        <v>882</v>
      </c>
      <c r="I17" s="769" t="s">
        <v>883</v>
      </c>
      <c r="J17" s="766" t="s">
        <v>324</v>
      </c>
      <c r="K17" s="758">
        <v>3145.9</v>
      </c>
      <c r="L17" s="758">
        <v>655.17999999999995</v>
      </c>
      <c r="M17" s="758">
        <v>100</v>
      </c>
      <c r="N17" s="69">
        <f t="shared" si="1"/>
        <v>3901.08</v>
      </c>
      <c r="O17" s="69">
        <f>VLOOKUP(D:D,'Master Table'!C:O,13,FALSE)</f>
        <v>5786.77</v>
      </c>
      <c r="P17" s="446">
        <v>5786.77</v>
      </c>
      <c r="Q17" s="103">
        <v>5398.48</v>
      </c>
    </row>
    <row r="18" spans="1:17" ht="24.95" customHeight="1" x14ac:dyDescent="0.2">
      <c r="A18" s="68" t="str">
        <f t="shared" si="0"/>
        <v>BIR017 / 1824</v>
      </c>
      <c r="B18" s="75" t="s">
        <v>888</v>
      </c>
      <c r="C18" s="75" t="s">
        <v>1724</v>
      </c>
      <c r="D18" s="369" t="s">
        <v>885</v>
      </c>
      <c r="E18" s="369" t="str">
        <f>VLOOKUP(D:D,'Master Table'!C:D,2,FALSE)</f>
        <v>1824</v>
      </c>
      <c r="F18" s="766" t="s">
        <v>885</v>
      </c>
      <c r="G18" s="766" t="s">
        <v>886</v>
      </c>
      <c r="H18" s="769" t="s">
        <v>887</v>
      </c>
      <c r="I18" s="769" t="s">
        <v>888</v>
      </c>
      <c r="J18" s="766" t="s">
        <v>324</v>
      </c>
      <c r="K18" s="758">
        <v>900</v>
      </c>
      <c r="L18" s="758">
        <v>5</v>
      </c>
      <c r="M18" s="758"/>
      <c r="N18" s="69">
        <f t="shared" si="1"/>
        <v>905</v>
      </c>
      <c r="O18" s="69">
        <f>VLOOKUP(D:D,'Master Table'!C:O,13,FALSE)</f>
        <v>1864.63</v>
      </c>
      <c r="P18" s="446">
        <v>1864.63</v>
      </c>
      <c r="Q18" s="103">
        <v>1935</v>
      </c>
    </row>
    <row r="19" spans="1:17" ht="24.95" customHeight="1" x14ac:dyDescent="0.2">
      <c r="A19" s="68" t="str">
        <f t="shared" si="0"/>
        <v>BIR018 / 1825</v>
      </c>
      <c r="B19" s="75" t="s">
        <v>893</v>
      </c>
      <c r="C19" s="75" t="s">
        <v>7274</v>
      </c>
      <c r="D19" s="369" t="s">
        <v>890</v>
      </c>
      <c r="E19" s="369" t="str">
        <f>VLOOKUP(D:D,'Master Table'!C:D,2,FALSE)</f>
        <v>1825</v>
      </c>
      <c r="F19" s="766" t="s">
        <v>890</v>
      </c>
      <c r="G19" s="766" t="s">
        <v>891</v>
      </c>
      <c r="H19" s="769" t="s">
        <v>892</v>
      </c>
      <c r="I19" s="769" t="s">
        <v>893</v>
      </c>
      <c r="J19" s="766" t="s">
        <v>324</v>
      </c>
      <c r="K19" s="758">
        <v>477.99</v>
      </c>
      <c r="L19" s="758">
        <v>515</v>
      </c>
      <c r="M19" s="758"/>
      <c r="N19" s="69">
        <f t="shared" si="1"/>
        <v>992.99</v>
      </c>
      <c r="O19" s="69">
        <f>VLOOKUP(D:D,'Master Table'!C:O,13,FALSE)</f>
        <v>1589.35</v>
      </c>
      <c r="P19" s="446">
        <v>1589.35</v>
      </c>
      <c r="Q19" s="103">
        <v>1461.45</v>
      </c>
    </row>
    <row r="20" spans="1:17" ht="24.95" customHeight="1" x14ac:dyDescent="0.2">
      <c r="A20" s="68" t="str">
        <f t="shared" si="0"/>
        <v>BIR019 / 1826</v>
      </c>
      <c r="B20" s="75" t="s">
        <v>7275</v>
      </c>
      <c r="C20" s="75" t="s">
        <v>5152</v>
      </c>
      <c r="D20" s="369" t="s">
        <v>894</v>
      </c>
      <c r="E20" s="369" t="str">
        <f>VLOOKUP(D:D,'Master Table'!C:D,2,FALSE)</f>
        <v>1826</v>
      </c>
      <c r="F20" s="766" t="s">
        <v>894</v>
      </c>
      <c r="G20" s="766" t="s">
        <v>895</v>
      </c>
      <c r="H20" s="769" t="s">
        <v>896</v>
      </c>
      <c r="I20" s="769" t="s">
        <v>897</v>
      </c>
      <c r="J20" s="766" t="s">
        <v>324</v>
      </c>
      <c r="K20" s="758">
        <v>0</v>
      </c>
      <c r="L20" s="758">
        <v>25</v>
      </c>
      <c r="M20" s="758">
        <v>358.71</v>
      </c>
      <c r="N20" s="69">
        <f t="shared" si="1"/>
        <v>383.71</v>
      </c>
      <c r="O20" s="69">
        <f>VLOOKUP(D:D,'Master Table'!C:O,13,FALSE)</f>
        <v>744.08</v>
      </c>
      <c r="P20" s="446">
        <v>744.08</v>
      </c>
      <c r="Q20" s="103">
        <v>55</v>
      </c>
    </row>
    <row r="21" spans="1:17" ht="24.95" customHeight="1" x14ac:dyDescent="0.2">
      <c r="A21" s="68" t="str">
        <f t="shared" si="0"/>
        <v>BIR020 / 1827</v>
      </c>
      <c r="B21" s="75" t="s">
        <v>897</v>
      </c>
      <c r="C21" s="75" t="s">
        <v>1484</v>
      </c>
      <c r="D21" s="369" t="s">
        <v>898</v>
      </c>
      <c r="E21" s="369" t="str">
        <f>VLOOKUP(D:D,'Master Table'!C:D,2,FALSE)</f>
        <v>1827</v>
      </c>
      <c r="F21" s="766" t="s">
        <v>898</v>
      </c>
      <c r="G21" s="766" t="s">
        <v>899</v>
      </c>
      <c r="H21" s="769" t="s">
        <v>900</v>
      </c>
      <c r="I21" s="769" t="s">
        <v>897</v>
      </c>
      <c r="J21" s="766" t="s">
        <v>324</v>
      </c>
      <c r="K21" s="758">
        <v>194.5</v>
      </c>
      <c r="L21" s="758">
        <v>25</v>
      </c>
      <c r="M21" s="758"/>
      <c r="N21" s="69">
        <f t="shared" si="1"/>
        <v>219.5</v>
      </c>
      <c r="O21" s="69">
        <f>VLOOKUP(D:D,'Master Table'!C:O,13,FALSE)</f>
        <v>1266.5999999999997</v>
      </c>
      <c r="P21" s="446">
        <v>1266.5999999999997</v>
      </c>
      <c r="Q21" s="103">
        <v>836.23</v>
      </c>
    </row>
    <row r="22" spans="1:17" ht="24.95" customHeight="1" x14ac:dyDescent="0.2">
      <c r="A22" s="68" t="str">
        <f t="shared" si="0"/>
        <v>BIR021 / 1828</v>
      </c>
      <c r="B22" s="75" t="s">
        <v>7276</v>
      </c>
      <c r="C22" s="75" t="s">
        <v>226</v>
      </c>
      <c r="D22" s="369" t="s">
        <v>902</v>
      </c>
      <c r="E22" s="369" t="str">
        <f>VLOOKUP(D:D,'Master Table'!C:D,2,FALSE)</f>
        <v>1828</v>
      </c>
      <c r="F22" s="766" t="s">
        <v>902</v>
      </c>
      <c r="G22" s="766" t="s">
        <v>903</v>
      </c>
      <c r="H22" s="769" t="s">
        <v>31</v>
      </c>
      <c r="I22" s="769" t="s">
        <v>904</v>
      </c>
      <c r="J22" s="766" t="s">
        <v>324</v>
      </c>
      <c r="K22" s="758">
        <v>0</v>
      </c>
      <c r="L22" s="758">
        <v>130</v>
      </c>
      <c r="M22" s="758"/>
      <c r="N22" s="69">
        <f t="shared" si="1"/>
        <v>130</v>
      </c>
      <c r="O22" s="69">
        <f>VLOOKUP(D:D,'Master Table'!C:O,13,FALSE)</f>
        <v>110</v>
      </c>
      <c r="P22" s="446">
        <v>110</v>
      </c>
      <c r="Q22" s="103">
        <v>110</v>
      </c>
    </row>
    <row r="23" spans="1:17" ht="24.95" customHeight="1" x14ac:dyDescent="0.2">
      <c r="A23" s="68" t="str">
        <f t="shared" si="0"/>
        <v>BIR022 / 1829</v>
      </c>
      <c r="B23" s="75" t="s">
        <v>907</v>
      </c>
      <c r="C23" s="75" t="s">
        <v>2759</v>
      </c>
      <c r="D23" s="369" t="s">
        <v>905</v>
      </c>
      <c r="E23" s="369" t="str">
        <f>VLOOKUP(D:D,'Master Table'!C:D,2,FALSE)</f>
        <v>1829</v>
      </c>
      <c r="F23" s="766" t="s">
        <v>905</v>
      </c>
      <c r="G23" s="766" t="s">
        <v>906</v>
      </c>
      <c r="H23" s="769" t="s">
        <v>796</v>
      </c>
      <c r="I23" s="769" t="s">
        <v>907</v>
      </c>
      <c r="J23" s="766" t="s">
        <v>324</v>
      </c>
      <c r="K23" s="758">
        <v>2959.38</v>
      </c>
      <c r="L23" s="758">
        <v>310.35000000000002</v>
      </c>
      <c r="M23" s="758">
        <v>434.48</v>
      </c>
      <c r="N23" s="69">
        <f t="shared" si="1"/>
        <v>3704.21</v>
      </c>
      <c r="O23" s="69">
        <f>VLOOKUP(D:D,'Master Table'!C:O,13,FALSE)</f>
        <v>4051.84</v>
      </c>
      <c r="P23" s="446">
        <v>4051.84</v>
      </c>
      <c r="Q23" s="103">
        <v>3889.46</v>
      </c>
    </row>
    <row r="24" spans="1:17" ht="24.95" customHeight="1" x14ac:dyDescent="0.2">
      <c r="A24" s="68" t="str">
        <f t="shared" si="0"/>
        <v>BIR023 / 1830</v>
      </c>
      <c r="B24" s="75" t="s">
        <v>911</v>
      </c>
      <c r="C24" s="75" t="s">
        <v>7277</v>
      </c>
      <c r="D24" s="369" t="s">
        <v>908</v>
      </c>
      <c r="E24" s="369" t="str">
        <f>VLOOKUP(D:D,'Master Table'!C:D,2,FALSE)</f>
        <v>1830</v>
      </c>
      <c r="F24" s="766" t="s">
        <v>908</v>
      </c>
      <c r="G24" s="766" t="s">
        <v>909</v>
      </c>
      <c r="H24" s="769" t="s">
        <v>910</v>
      </c>
      <c r="I24" s="769" t="s">
        <v>911</v>
      </c>
      <c r="J24" s="766" t="s">
        <v>324</v>
      </c>
      <c r="K24" s="758">
        <v>3267.22</v>
      </c>
      <c r="L24" s="758">
        <v>120</v>
      </c>
      <c r="M24" s="758"/>
      <c r="N24" s="69">
        <f t="shared" si="1"/>
        <v>3387.22</v>
      </c>
      <c r="O24" s="69">
        <f>VLOOKUP(D:D,'Master Table'!C:O,13,FALSE)</f>
        <v>3399.36</v>
      </c>
      <c r="P24" s="446">
        <v>3399.36</v>
      </c>
      <c r="Q24" s="103">
        <v>3813.06</v>
      </c>
    </row>
    <row r="25" spans="1:17" ht="24.95" customHeight="1" x14ac:dyDescent="0.2">
      <c r="A25" s="68" t="str">
        <f t="shared" si="0"/>
        <v>BIR024 / 1831</v>
      </c>
      <c r="B25" s="75" t="s">
        <v>911</v>
      </c>
      <c r="C25" s="75" t="s">
        <v>2667</v>
      </c>
      <c r="D25" s="369" t="s">
        <v>912</v>
      </c>
      <c r="E25" s="369" t="str">
        <f>VLOOKUP(D:D,'Master Table'!C:D,2,FALSE)</f>
        <v>1831</v>
      </c>
      <c r="F25" s="766" t="s">
        <v>912</v>
      </c>
      <c r="G25" s="766" t="s">
        <v>913</v>
      </c>
      <c r="H25" s="769" t="s">
        <v>564</v>
      </c>
      <c r="I25" s="769" t="s">
        <v>911</v>
      </c>
      <c r="J25" s="766" t="s">
        <v>324</v>
      </c>
      <c r="K25" s="758">
        <v>191.06</v>
      </c>
      <c r="L25" s="758"/>
      <c r="M25" s="758"/>
      <c r="N25" s="69">
        <f t="shared" si="1"/>
        <v>191.06</v>
      </c>
      <c r="O25" s="69">
        <f>VLOOKUP(D:D,'Master Table'!C:O,13,FALSE)</f>
        <v>220.34</v>
      </c>
      <c r="P25" s="446">
        <v>220.34</v>
      </c>
      <c r="Q25" s="103">
        <v>565.22</v>
      </c>
    </row>
    <row r="26" spans="1:17" ht="24.95" customHeight="1" x14ac:dyDescent="0.2">
      <c r="A26" s="68" t="str">
        <f t="shared" si="0"/>
        <v>BIR025 / 1832</v>
      </c>
      <c r="B26" s="75" t="s">
        <v>917</v>
      </c>
      <c r="C26" s="75" t="s">
        <v>7278</v>
      </c>
      <c r="D26" s="369" t="s">
        <v>914</v>
      </c>
      <c r="E26" s="369" t="str">
        <f>VLOOKUP(D:D,'Master Table'!C:D,2,FALSE)</f>
        <v>1832</v>
      </c>
      <c r="F26" s="766" t="s">
        <v>914</v>
      </c>
      <c r="G26" s="766" t="s">
        <v>915</v>
      </c>
      <c r="H26" s="769" t="s">
        <v>916</v>
      </c>
      <c r="I26" s="769" t="s">
        <v>917</v>
      </c>
      <c r="J26" s="766" t="s">
        <v>324</v>
      </c>
      <c r="K26" s="758">
        <v>772.51</v>
      </c>
      <c r="L26" s="758">
        <v>152</v>
      </c>
      <c r="M26" s="758"/>
      <c r="N26" s="69">
        <f t="shared" si="1"/>
        <v>924.51</v>
      </c>
      <c r="O26" s="69">
        <f>VLOOKUP(D:D,'Master Table'!C:O,13,FALSE)</f>
        <v>763.29</v>
      </c>
      <c r="P26" s="446">
        <v>763.29</v>
      </c>
      <c r="Q26" s="103">
        <v>1083.7</v>
      </c>
    </row>
    <row r="27" spans="1:17" ht="24.95" customHeight="1" x14ac:dyDescent="0.2">
      <c r="A27" s="68" t="str">
        <f t="shared" si="0"/>
        <v>BIR026 / 1833</v>
      </c>
      <c r="B27" s="75" t="s">
        <v>920</v>
      </c>
      <c r="C27" s="75" t="s">
        <v>127</v>
      </c>
      <c r="D27" s="369" t="s">
        <v>918</v>
      </c>
      <c r="E27" s="369" t="str">
        <f>VLOOKUP(D:D,'Master Table'!C:D,2,FALSE)</f>
        <v>1833</v>
      </c>
      <c r="F27" s="766" t="s">
        <v>918</v>
      </c>
      <c r="G27" s="766" t="s">
        <v>919</v>
      </c>
      <c r="H27" s="769" t="s">
        <v>127</v>
      </c>
      <c r="I27" s="769" t="s">
        <v>920</v>
      </c>
      <c r="J27" s="766" t="s">
        <v>324</v>
      </c>
      <c r="K27" s="758">
        <v>900</v>
      </c>
      <c r="L27" s="758">
        <v>421</v>
      </c>
      <c r="M27" s="758">
        <v>400</v>
      </c>
      <c r="N27" s="69">
        <f t="shared" si="1"/>
        <v>1721</v>
      </c>
      <c r="O27" s="69">
        <f>VLOOKUP(D:D,'Master Table'!C:O,13,FALSE)</f>
        <v>2761</v>
      </c>
      <c r="P27" s="446">
        <v>2761</v>
      </c>
      <c r="Q27" s="103">
        <v>3376</v>
      </c>
    </row>
    <row r="28" spans="1:17" s="283" customFormat="1" ht="24.95" customHeight="1" x14ac:dyDescent="0.2">
      <c r="A28" s="68"/>
      <c r="B28" s="75"/>
      <c r="C28" s="75"/>
      <c r="D28" s="369"/>
      <c r="E28" s="369"/>
      <c r="F28" s="766" t="s">
        <v>921</v>
      </c>
      <c r="G28" s="766" t="s">
        <v>922</v>
      </c>
      <c r="H28" s="769" t="s">
        <v>252</v>
      </c>
      <c r="I28" s="769" t="s">
        <v>923</v>
      </c>
      <c r="J28" s="766" t="s">
        <v>324</v>
      </c>
      <c r="K28" s="758">
        <v>0</v>
      </c>
      <c r="L28" s="758"/>
      <c r="M28" s="758">
        <v>110.86</v>
      </c>
      <c r="N28" s="69">
        <f t="shared" si="1"/>
        <v>110.86</v>
      </c>
      <c r="O28" s="69"/>
      <c r="P28" s="446"/>
      <c r="Q28" s="103"/>
    </row>
    <row r="29" spans="1:17" ht="24.95" customHeight="1" x14ac:dyDescent="0.2">
      <c r="A29" s="362" t="str">
        <f t="shared" si="0"/>
        <v>BIR028 / 1835</v>
      </c>
      <c r="B29" s="515" t="s">
        <v>926</v>
      </c>
      <c r="C29" s="515" t="s">
        <v>7279</v>
      </c>
      <c r="D29" s="369" t="s">
        <v>924</v>
      </c>
      <c r="E29" s="369" t="str">
        <f>VLOOKUP(D:D,'Master Table'!C:D,2,FALSE)</f>
        <v>1835</v>
      </c>
      <c r="F29" s="766" t="s">
        <v>924</v>
      </c>
      <c r="G29" s="766" t="s">
        <v>925</v>
      </c>
      <c r="H29" s="769" t="s">
        <v>532</v>
      </c>
      <c r="I29" s="769" t="s">
        <v>926</v>
      </c>
      <c r="J29" s="766" t="s">
        <v>324</v>
      </c>
      <c r="K29" s="758">
        <v>0</v>
      </c>
      <c r="L29" s="758">
        <v>20</v>
      </c>
      <c r="M29" s="758"/>
      <c r="N29" s="69">
        <f t="shared" si="1"/>
        <v>20</v>
      </c>
      <c r="O29" s="467">
        <f>VLOOKUP(D:D,'Master Table'!C:O,13,FALSE)</f>
        <v>0</v>
      </c>
      <c r="P29" s="657">
        <v>0</v>
      </c>
      <c r="Q29" s="514">
        <v>34.549999999999997</v>
      </c>
    </row>
    <row r="30" spans="1:17" s="283" customFormat="1" ht="24.95" customHeight="1" x14ac:dyDescent="0.2">
      <c r="A30" s="68" t="str">
        <f t="shared" si="0"/>
        <v>BIR029 / 1836</v>
      </c>
      <c r="B30" s="75" t="s">
        <v>930</v>
      </c>
      <c r="C30" s="75" t="s">
        <v>929</v>
      </c>
      <c r="D30" s="369" t="s">
        <v>927</v>
      </c>
      <c r="E30" s="369" t="str">
        <f>VLOOKUP(D:D,'Master Table'!C:D,2,FALSE)</f>
        <v>1836</v>
      </c>
      <c r="F30" s="766" t="s">
        <v>927</v>
      </c>
      <c r="G30" s="766" t="s">
        <v>928</v>
      </c>
      <c r="H30" s="769" t="s">
        <v>929</v>
      </c>
      <c r="I30" s="769" t="s">
        <v>930</v>
      </c>
      <c r="J30" s="766" t="s">
        <v>324</v>
      </c>
      <c r="K30" s="758">
        <v>485.47</v>
      </c>
      <c r="L30" s="758">
        <v>56</v>
      </c>
      <c r="M30" s="758"/>
      <c r="N30" s="69">
        <f t="shared" si="1"/>
        <v>541.47</v>
      </c>
      <c r="O30" s="69">
        <f>VLOOKUP(D:D,'Master Table'!C:O,13,FALSE)</f>
        <v>1163.6000000000001</v>
      </c>
      <c r="P30" s="446">
        <v>1163.6000000000001</v>
      </c>
      <c r="Q30" s="103">
        <v>1052.4099999999999</v>
      </c>
    </row>
    <row r="31" spans="1:17" ht="24.95" customHeight="1" x14ac:dyDescent="0.2">
      <c r="A31" s="362" t="str">
        <f t="shared" si="0"/>
        <v>BIR031 / 1837</v>
      </c>
      <c r="B31" s="282" t="s">
        <v>935</v>
      </c>
      <c r="C31" s="282" t="s">
        <v>7280</v>
      </c>
      <c r="D31" s="369" t="s">
        <v>932</v>
      </c>
      <c r="E31" s="369" t="str">
        <f>VLOOKUP(D:D,'Master Table'!C:D,2,FALSE)</f>
        <v>1837</v>
      </c>
      <c r="F31" s="766" t="s">
        <v>932</v>
      </c>
      <c r="G31" s="766" t="s">
        <v>933</v>
      </c>
      <c r="H31" s="769" t="s">
        <v>934</v>
      </c>
      <c r="I31" s="769" t="s">
        <v>935</v>
      </c>
      <c r="J31" s="766" t="s">
        <v>324</v>
      </c>
      <c r="K31" s="758">
        <v>0</v>
      </c>
      <c r="L31" s="758">
        <v>20</v>
      </c>
      <c r="M31" s="758"/>
      <c r="N31" s="69">
        <f t="shared" si="1"/>
        <v>20</v>
      </c>
      <c r="O31" s="467">
        <f>VLOOKUP(D:D,'Master Table'!C:O,13,FALSE)</f>
        <v>40</v>
      </c>
      <c r="P31" s="657">
        <v>40</v>
      </c>
      <c r="Q31" s="514">
        <v>90</v>
      </c>
    </row>
    <row r="32" spans="1:17" ht="24.95" customHeight="1" x14ac:dyDescent="0.2">
      <c r="A32" s="68" t="str">
        <f t="shared" si="0"/>
        <v>BIR032 / 1839</v>
      </c>
      <c r="B32" s="75" t="s">
        <v>939</v>
      </c>
      <c r="C32" s="75" t="s">
        <v>938</v>
      </c>
      <c r="D32" s="369" t="s">
        <v>936</v>
      </c>
      <c r="E32" s="369" t="str">
        <f>VLOOKUP(D:D,'Master Table'!C:D,2,FALSE)</f>
        <v>1839</v>
      </c>
      <c r="F32" s="766" t="s">
        <v>936</v>
      </c>
      <c r="G32" s="766" t="s">
        <v>937</v>
      </c>
      <c r="H32" s="769" t="s">
        <v>938</v>
      </c>
      <c r="I32" s="769" t="s">
        <v>939</v>
      </c>
      <c r="J32" s="766" t="s">
        <v>324</v>
      </c>
      <c r="K32" s="758">
        <v>636.54</v>
      </c>
      <c r="L32" s="758">
        <v>50</v>
      </c>
      <c r="M32" s="758"/>
      <c r="N32" s="69">
        <f t="shared" si="1"/>
        <v>686.54</v>
      </c>
      <c r="O32" s="69">
        <f>VLOOKUP(D:D,'Master Table'!C:O,13,FALSE)</f>
        <v>1114.02</v>
      </c>
      <c r="P32" s="446">
        <v>1114.02</v>
      </c>
      <c r="Q32" s="103">
        <v>877</v>
      </c>
    </row>
    <row r="33" spans="1:17" ht="24.95" customHeight="1" x14ac:dyDescent="0.2">
      <c r="A33" s="68" t="str">
        <f t="shared" si="0"/>
        <v>BIR033 / 1840</v>
      </c>
      <c r="B33" s="75" t="s">
        <v>943</v>
      </c>
      <c r="C33" s="75" t="s">
        <v>942</v>
      </c>
      <c r="D33" s="369" t="s">
        <v>940</v>
      </c>
      <c r="E33" s="369" t="str">
        <f>VLOOKUP(D:D,'Master Table'!C:D,2,FALSE)</f>
        <v>1840</v>
      </c>
      <c r="F33" s="766" t="s">
        <v>940</v>
      </c>
      <c r="G33" s="766" t="s">
        <v>941</v>
      </c>
      <c r="H33" s="769" t="s">
        <v>942</v>
      </c>
      <c r="I33" s="769" t="s">
        <v>943</v>
      </c>
      <c r="J33" s="766" t="s">
        <v>324</v>
      </c>
      <c r="K33" s="758">
        <v>0</v>
      </c>
      <c r="L33" s="758">
        <v>155</v>
      </c>
      <c r="M33" s="758"/>
      <c r="N33" s="69">
        <f t="shared" si="1"/>
        <v>155</v>
      </c>
      <c r="O33" s="69">
        <f>VLOOKUP(D:D,'Master Table'!C:O,13,FALSE)</f>
        <v>1639.1</v>
      </c>
      <c r="P33" s="446">
        <v>1639.1</v>
      </c>
      <c r="Q33" s="103">
        <v>1292</v>
      </c>
    </row>
    <row r="34" spans="1:17" ht="24.95" customHeight="1" x14ac:dyDescent="0.2">
      <c r="A34" s="68" t="str">
        <f t="shared" si="0"/>
        <v>BIR034 / 1841</v>
      </c>
      <c r="B34" s="75" t="s">
        <v>946</v>
      </c>
      <c r="C34" s="75" t="s">
        <v>740</v>
      </c>
      <c r="D34" s="369" t="s">
        <v>944</v>
      </c>
      <c r="E34" s="369" t="str">
        <f>VLOOKUP(D:D,'Master Table'!C:D,2,FALSE)</f>
        <v>1841</v>
      </c>
      <c r="F34" s="766" t="s">
        <v>944</v>
      </c>
      <c r="G34" s="766" t="s">
        <v>945</v>
      </c>
      <c r="H34" s="769" t="s">
        <v>740</v>
      </c>
      <c r="I34" s="769" t="s">
        <v>946</v>
      </c>
      <c r="J34" s="766" t="s">
        <v>324</v>
      </c>
      <c r="K34" s="758">
        <v>1024.77</v>
      </c>
      <c r="L34" s="758">
        <v>205</v>
      </c>
      <c r="M34" s="758">
        <v>61.62</v>
      </c>
      <c r="N34" s="69">
        <f t="shared" si="1"/>
        <v>1291.3899999999999</v>
      </c>
      <c r="O34" s="69">
        <f>VLOOKUP(D:D,'Master Table'!C:O,13,FALSE)</f>
        <v>1740.21</v>
      </c>
      <c r="P34" s="446">
        <v>1740.21</v>
      </c>
      <c r="Q34" s="103">
        <v>1912.14</v>
      </c>
    </row>
    <row r="35" spans="1:17" ht="24.95" customHeight="1" x14ac:dyDescent="0.2">
      <c r="A35" s="68" t="str">
        <f t="shared" si="0"/>
        <v>BIR035 / 1842</v>
      </c>
      <c r="B35" s="75" t="s">
        <v>951</v>
      </c>
      <c r="C35" s="75" t="s">
        <v>7281</v>
      </c>
      <c r="D35" s="369" t="s">
        <v>948</v>
      </c>
      <c r="E35" s="369" t="str">
        <f>VLOOKUP(D:D,'Master Table'!C:D,2,FALSE)</f>
        <v>1842</v>
      </c>
      <c r="F35" s="766" t="s">
        <v>948</v>
      </c>
      <c r="G35" s="766" t="s">
        <v>949</v>
      </c>
      <c r="H35" s="769" t="s">
        <v>950</v>
      </c>
      <c r="I35" s="769" t="s">
        <v>951</v>
      </c>
      <c r="J35" s="766" t="s">
        <v>324</v>
      </c>
      <c r="K35" s="758">
        <v>235</v>
      </c>
      <c r="L35" s="758">
        <v>75</v>
      </c>
      <c r="M35" s="758"/>
      <c r="N35" s="69">
        <f t="shared" si="1"/>
        <v>310</v>
      </c>
      <c r="O35" s="69">
        <f>VLOOKUP(D:D,'Master Table'!C:O,13,FALSE)</f>
        <v>1366.54</v>
      </c>
      <c r="P35" s="446">
        <v>1366.54</v>
      </c>
      <c r="Q35" s="103">
        <v>1043.98</v>
      </c>
    </row>
    <row r="36" spans="1:17" ht="24.95" customHeight="1" x14ac:dyDescent="0.2">
      <c r="A36" s="68" t="str">
        <f t="shared" si="0"/>
        <v>BIR036 / 1843</v>
      </c>
      <c r="B36" s="75" t="s">
        <v>956</v>
      </c>
      <c r="C36" s="75" t="s">
        <v>955</v>
      </c>
      <c r="D36" s="369" t="s">
        <v>953</v>
      </c>
      <c r="E36" s="369" t="str">
        <f>VLOOKUP(D:D,'Master Table'!C:D,2,FALSE)</f>
        <v>1843</v>
      </c>
      <c r="F36" s="766" t="s">
        <v>953</v>
      </c>
      <c r="G36" s="766" t="s">
        <v>954</v>
      </c>
      <c r="H36" s="769" t="s">
        <v>955</v>
      </c>
      <c r="I36" s="769" t="s">
        <v>956</v>
      </c>
      <c r="J36" s="766" t="s">
        <v>324</v>
      </c>
      <c r="K36" s="758">
        <v>0</v>
      </c>
      <c r="L36" s="758">
        <v>380</v>
      </c>
      <c r="M36" s="758"/>
      <c r="N36" s="69">
        <f t="shared" si="1"/>
        <v>380</v>
      </c>
      <c r="O36" s="69">
        <f>VLOOKUP(D:D,'Master Table'!C:O,13,FALSE)</f>
        <v>366.77</v>
      </c>
      <c r="P36" s="446">
        <v>366.77</v>
      </c>
      <c r="Q36" s="103">
        <v>535.79</v>
      </c>
    </row>
    <row r="37" spans="1:17" ht="24.95" customHeight="1" x14ac:dyDescent="0.2">
      <c r="A37" s="68" t="str">
        <f t="shared" si="0"/>
        <v>BIR037 / 1844</v>
      </c>
      <c r="B37" s="75" t="s">
        <v>960</v>
      </c>
      <c r="C37" s="75" t="s">
        <v>7282</v>
      </c>
      <c r="D37" s="369" t="s">
        <v>957</v>
      </c>
      <c r="E37" s="369" t="str">
        <f>VLOOKUP(D:D,'Master Table'!C:D,2,FALSE)</f>
        <v>1844</v>
      </c>
      <c r="F37" s="766" t="s">
        <v>957</v>
      </c>
      <c r="G37" s="766" t="s">
        <v>958</v>
      </c>
      <c r="H37" s="769" t="s">
        <v>959</v>
      </c>
      <c r="I37" s="769" t="s">
        <v>960</v>
      </c>
      <c r="J37" s="766" t="s">
        <v>324</v>
      </c>
      <c r="K37" s="758">
        <v>2292.96</v>
      </c>
      <c r="L37" s="758">
        <v>274</v>
      </c>
      <c r="M37" s="758"/>
      <c r="N37" s="69">
        <f t="shared" si="1"/>
        <v>2566.96</v>
      </c>
      <c r="O37" s="69">
        <f>VLOOKUP(D:D,'Master Table'!C:O,13,FALSE)</f>
        <v>4788.7</v>
      </c>
      <c r="P37" s="446">
        <v>4788.7</v>
      </c>
      <c r="Q37" s="103">
        <v>4591.33</v>
      </c>
    </row>
    <row r="38" spans="1:17" ht="24.95" customHeight="1" x14ac:dyDescent="0.2">
      <c r="A38" s="68" t="str">
        <f t="shared" si="0"/>
        <v>BIR038 / 1845</v>
      </c>
      <c r="B38" s="75" t="s">
        <v>963</v>
      </c>
      <c r="C38" s="75" t="s">
        <v>453</v>
      </c>
      <c r="D38" s="369" t="s">
        <v>961</v>
      </c>
      <c r="E38" s="369" t="str">
        <f>VLOOKUP(D:D,'Master Table'!C:D,2,FALSE)</f>
        <v>1845</v>
      </c>
      <c r="F38" s="766" t="s">
        <v>961</v>
      </c>
      <c r="G38" s="766" t="s">
        <v>962</v>
      </c>
      <c r="H38" s="769" t="s">
        <v>56</v>
      </c>
      <c r="I38" s="769" t="s">
        <v>963</v>
      </c>
      <c r="J38" s="766" t="s">
        <v>324</v>
      </c>
      <c r="K38" s="758">
        <v>485.5</v>
      </c>
      <c r="L38" s="758">
        <v>56</v>
      </c>
      <c r="M38" s="758"/>
      <c r="N38" s="69">
        <f t="shared" si="1"/>
        <v>541.5</v>
      </c>
      <c r="O38" s="69">
        <f>VLOOKUP(D:D,'Master Table'!C:O,13,FALSE)</f>
        <v>1286.24</v>
      </c>
      <c r="P38" s="446">
        <v>1286.24</v>
      </c>
      <c r="Q38" s="103">
        <v>1251.6300000000001</v>
      </c>
    </row>
    <row r="39" spans="1:17" ht="24.95" customHeight="1" x14ac:dyDescent="0.2">
      <c r="A39" s="68" t="str">
        <f t="shared" si="0"/>
        <v>BIR039 / 1846</v>
      </c>
      <c r="B39" s="75" t="s">
        <v>967</v>
      </c>
      <c r="C39" s="75" t="s">
        <v>1165</v>
      </c>
      <c r="D39" s="369" t="s">
        <v>965</v>
      </c>
      <c r="E39" s="369" t="str">
        <f>VLOOKUP(D:D,'Master Table'!C:D,2,FALSE)</f>
        <v>1846</v>
      </c>
      <c r="F39" s="766" t="s">
        <v>965</v>
      </c>
      <c r="G39" s="766" t="s">
        <v>966</v>
      </c>
      <c r="H39" s="769" t="s">
        <v>238</v>
      </c>
      <c r="I39" s="769" t="s">
        <v>967</v>
      </c>
      <c r="J39" s="766" t="s">
        <v>324</v>
      </c>
      <c r="K39" s="758">
        <v>4148.4400000000005</v>
      </c>
      <c r="L39" s="758">
        <v>80</v>
      </c>
      <c r="M39" s="758"/>
      <c r="N39" s="69">
        <f t="shared" si="1"/>
        <v>4228.4400000000005</v>
      </c>
      <c r="O39" s="69">
        <f>VLOOKUP(D:D,'Master Table'!C:O,13,FALSE)</f>
        <v>4418.45</v>
      </c>
      <c r="P39" s="446">
        <v>4418.45</v>
      </c>
      <c r="Q39" s="103">
        <v>5888.77</v>
      </c>
    </row>
    <row r="40" spans="1:17" ht="24.95" customHeight="1" x14ac:dyDescent="0.2">
      <c r="A40" s="68" t="str">
        <f t="shared" si="0"/>
        <v>BIR040 / 1847</v>
      </c>
      <c r="B40" s="75" t="s">
        <v>970</v>
      </c>
      <c r="C40" s="75" t="s">
        <v>1047</v>
      </c>
      <c r="D40" s="369" t="s">
        <v>968</v>
      </c>
      <c r="E40" s="369" t="str">
        <f>VLOOKUP(D:D,'Master Table'!C:D,2,FALSE)</f>
        <v>1847</v>
      </c>
      <c r="F40" s="766" t="s">
        <v>968</v>
      </c>
      <c r="G40" s="766" t="s">
        <v>969</v>
      </c>
      <c r="H40" s="769" t="s">
        <v>83</v>
      </c>
      <c r="I40" s="769" t="s">
        <v>970</v>
      </c>
      <c r="J40" s="766" t="s">
        <v>324</v>
      </c>
      <c r="K40" s="758">
        <v>0</v>
      </c>
      <c r="L40" s="758">
        <v>145</v>
      </c>
      <c r="M40" s="758"/>
      <c r="N40" s="69">
        <f t="shared" si="1"/>
        <v>145</v>
      </c>
      <c r="O40" s="69">
        <f>VLOOKUP(D:D,'Master Table'!C:O,13,FALSE)</f>
        <v>516.37</v>
      </c>
      <c r="P40" s="446">
        <v>516.37</v>
      </c>
      <c r="Q40" s="103">
        <v>366.16</v>
      </c>
    </row>
    <row r="41" spans="1:17" ht="24.95" customHeight="1" x14ac:dyDescent="0.2">
      <c r="A41" s="68" t="str">
        <f t="shared" si="0"/>
        <v>BIR041 / 1848</v>
      </c>
      <c r="B41" s="75" t="s">
        <v>974</v>
      </c>
      <c r="C41" s="75" t="s">
        <v>7216</v>
      </c>
      <c r="D41" s="369" t="s">
        <v>972</v>
      </c>
      <c r="E41" s="369" t="str">
        <f>VLOOKUP(D:D,'Master Table'!C:D,2,FALSE)</f>
        <v>1848</v>
      </c>
      <c r="F41" s="766" t="s">
        <v>972</v>
      </c>
      <c r="G41" s="766" t="s">
        <v>973</v>
      </c>
      <c r="H41" s="769" t="s">
        <v>11</v>
      </c>
      <c r="I41" s="769" t="s">
        <v>974</v>
      </c>
      <c r="J41" s="766" t="s">
        <v>324</v>
      </c>
      <c r="K41" s="758">
        <v>1600.28</v>
      </c>
      <c r="L41" s="758">
        <v>75</v>
      </c>
      <c r="M41" s="758"/>
      <c r="N41" s="69">
        <f t="shared" si="1"/>
        <v>1675.28</v>
      </c>
      <c r="O41" s="69">
        <f>VLOOKUP(D:D,'Master Table'!C:O,13,FALSE)</f>
        <v>4549.47</v>
      </c>
      <c r="P41" s="446">
        <v>4549.47</v>
      </c>
      <c r="Q41" s="103">
        <v>6463.9400000000005</v>
      </c>
    </row>
    <row r="42" spans="1:17" ht="24.95" customHeight="1" x14ac:dyDescent="0.2">
      <c r="A42" s="68" t="str">
        <f t="shared" si="0"/>
        <v>BIR042 / 1849</v>
      </c>
      <c r="B42" s="75" t="s">
        <v>978</v>
      </c>
      <c r="C42" s="75" t="s">
        <v>783</v>
      </c>
      <c r="D42" s="369" t="s">
        <v>975</v>
      </c>
      <c r="E42" s="369" t="str">
        <f>VLOOKUP(D:D,'Master Table'!C:D,2,FALSE)</f>
        <v>1849</v>
      </c>
      <c r="F42" s="766" t="s">
        <v>975</v>
      </c>
      <c r="G42" s="766" t="s">
        <v>976</v>
      </c>
      <c r="H42" s="769" t="s">
        <v>977</v>
      </c>
      <c r="I42" s="769" t="s">
        <v>978</v>
      </c>
      <c r="J42" s="766" t="s">
        <v>324</v>
      </c>
      <c r="K42" s="758">
        <v>583.54999999999995</v>
      </c>
      <c r="L42" s="758"/>
      <c r="M42" s="758"/>
      <c r="N42" s="69">
        <f t="shared" si="1"/>
        <v>583.54999999999995</v>
      </c>
      <c r="O42" s="69">
        <f>VLOOKUP(D:D,'Master Table'!C:O,13,FALSE)</f>
        <v>943.25</v>
      </c>
      <c r="P42" s="446">
        <v>943.25</v>
      </c>
      <c r="Q42" s="103">
        <v>753.65</v>
      </c>
    </row>
    <row r="43" spans="1:17" ht="24.95" customHeight="1" x14ac:dyDescent="0.2">
      <c r="A43" s="68" t="str">
        <f t="shared" si="0"/>
        <v>BIR043 / 1850</v>
      </c>
      <c r="B43" s="75" t="s">
        <v>982</v>
      </c>
      <c r="C43" s="75" t="s">
        <v>7283</v>
      </c>
      <c r="D43" s="369" t="s">
        <v>979</v>
      </c>
      <c r="E43" s="369" t="str">
        <f>VLOOKUP(D:D,'Master Table'!C:D,2,FALSE)</f>
        <v>1850</v>
      </c>
      <c r="F43" s="766" t="s">
        <v>979</v>
      </c>
      <c r="G43" s="766" t="s">
        <v>980</v>
      </c>
      <c r="H43" s="769" t="s">
        <v>981</v>
      </c>
      <c r="I43" s="769" t="s">
        <v>982</v>
      </c>
      <c r="J43" s="766" t="s">
        <v>324</v>
      </c>
      <c r="K43" s="758">
        <v>872.45</v>
      </c>
      <c r="L43" s="758"/>
      <c r="M43" s="758">
        <v>117.68</v>
      </c>
      <c r="N43" s="69">
        <f t="shared" si="1"/>
        <v>990.13000000000011</v>
      </c>
      <c r="O43" s="69">
        <f>VLOOKUP(D:D,'Master Table'!C:O,13,FALSE)</f>
        <v>1368.55</v>
      </c>
      <c r="P43" s="446">
        <v>1368.55</v>
      </c>
      <c r="Q43" s="103">
        <v>1109.76</v>
      </c>
    </row>
    <row r="44" spans="1:17" ht="24.95" customHeight="1" x14ac:dyDescent="0.2">
      <c r="A44" s="68" t="str">
        <f t="shared" si="0"/>
        <v>BIR044 / 1851</v>
      </c>
      <c r="B44" s="75" t="s">
        <v>986</v>
      </c>
      <c r="C44" s="75" t="s">
        <v>7284</v>
      </c>
      <c r="D44" s="369" t="s">
        <v>983</v>
      </c>
      <c r="E44" s="369" t="str">
        <f>VLOOKUP(D:D,'Master Table'!C:D,2,FALSE)</f>
        <v>1851</v>
      </c>
      <c r="F44" s="766" t="s">
        <v>983</v>
      </c>
      <c r="G44" s="766" t="s">
        <v>984</v>
      </c>
      <c r="H44" s="769" t="s">
        <v>985</v>
      </c>
      <c r="I44" s="769" t="s">
        <v>986</v>
      </c>
      <c r="J44" s="766" t="s">
        <v>324</v>
      </c>
      <c r="K44" s="758">
        <v>796.25</v>
      </c>
      <c r="L44" s="758">
        <v>120</v>
      </c>
      <c r="M44" s="758"/>
      <c r="N44" s="69">
        <f t="shared" si="1"/>
        <v>916.25</v>
      </c>
      <c r="O44" s="69">
        <f>VLOOKUP(D:D,'Master Table'!C:O,13,FALSE)</f>
        <v>696</v>
      </c>
      <c r="P44" s="446">
        <v>696</v>
      </c>
      <c r="Q44" s="103">
        <v>747.97</v>
      </c>
    </row>
    <row r="45" spans="1:17" ht="24.95" customHeight="1" x14ac:dyDescent="0.2">
      <c r="A45" s="68" t="str">
        <f t="shared" si="0"/>
        <v>BIR045 / 1852</v>
      </c>
      <c r="B45" s="75" t="s">
        <v>990</v>
      </c>
      <c r="C45" s="75" t="s">
        <v>2578</v>
      </c>
      <c r="D45" s="369" t="s">
        <v>987</v>
      </c>
      <c r="E45" s="369" t="str">
        <f>VLOOKUP(D:D,'Master Table'!C:D,2,FALSE)</f>
        <v>1852</v>
      </c>
      <c r="F45" s="766" t="s">
        <v>987</v>
      </c>
      <c r="G45" s="766" t="s">
        <v>988</v>
      </c>
      <c r="H45" s="769" t="s">
        <v>989</v>
      </c>
      <c r="I45" s="769" t="s">
        <v>990</v>
      </c>
      <c r="J45" s="766" t="s">
        <v>324</v>
      </c>
      <c r="K45" s="758">
        <v>1286.5899999999999</v>
      </c>
      <c r="L45" s="758">
        <v>120</v>
      </c>
      <c r="M45" s="758"/>
      <c r="N45" s="69">
        <f t="shared" si="1"/>
        <v>1406.59</v>
      </c>
      <c r="O45" s="69">
        <f>VLOOKUP(D:D,'Master Table'!C:O,13,FALSE)</f>
        <v>2421.5500000000006</v>
      </c>
      <c r="P45" s="446">
        <v>2421.5500000000006</v>
      </c>
      <c r="Q45" s="103">
        <v>3531.45</v>
      </c>
    </row>
    <row r="46" spans="1:17" ht="24.95" customHeight="1" x14ac:dyDescent="0.2">
      <c r="A46" s="68" t="str">
        <f t="shared" si="0"/>
        <v>BIR046 / 1853</v>
      </c>
      <c r="B46" s="75" t="s">
        <v>994</v>
      </c>
      <c r="C46" s="75" t="s">
        <v>1203</v>
      </c>
      <c r="D46" s="369" t="s">
        <v>992</v>
      </c>
      <c r="E46" s="369" t="str">
        <f>VLOOKUP(D:D,'Master Table'!C:D,2,FALSE)</f>
        <v>1853</v>
      </c>
      <c r="F46" s="766" t="s">
        <v>992</v>
      </c>
      <c r="G46" s="766" t="s">
        <v>993</v>
      </c>
      <c r="H46" s="769" t="s">
        <v>193</v>
      </c>
      <c r="I46" s="769" t="s">
        <v>994</v>
      </c>
      <c r="J46" s="766" t="s">
        <v>324</v>
      </c>
      <c r="K46" s="758">
        <v>1042.56</v>
      </c>
      <c r="L46" s="758">
        <v>649.16</v>
      </c>
      <c r="M46" s="758"/>
      <c r="N46" s="69">
        <f t="shared" si="1"/>
        <v>1691.7199999999998</v>
      </c>
      <c r="O46" s="69">
        <f>VLOOKUP(D:D,'Master Table'!C:O,13,FALSE)</f>
        <v>4026.51</v>
      </c>
      <c r="P46" s="446">
        <v>4026.51</v>
      </c>
      <c r="Q46" s="103">
        <v>3100.07</v>
      </c>
    </row>
    <row r="47" spans="1:17" ht="24.95" customHeight="1" x14ac:dyDescent="0.2">
      <c r="A47" s="68" t="str">
        <f t="shared" si="0"/>
        <v>BIR047 / 1854</v>
      </c>
      <c r="B47" s="75" t="s">
        <v>7285</v>
      </c>
      <c r="C47" s="75" t="s">
        <v>7286</v>
      </c>
      <c r="D47" s="369" t="s">
        <v>995</v>
      </c>
      <c r="E47" s="369" t="str">
        <f>VLOOKUP(D:D,'Master Table'!C:D,2,FALSE)</f>
        <v>1854</v>
      </c>
      <c r="F47" s="766" t="s">
        <v>995</v>
      </c>
      <c r="G47" s="766" t="s">
        <v>996</v>
      </c>
      <c r="H47" s="769" t="s">
        <v>173</v>
      </c>
      <c r="I47" s="769" t="s">
        <v>997</v>
      </c>
      <c r="J47" s="766" t="s">
        <v>324</v>
      </c>
      <c r="K47" s="758">
        <v>0</v>
      </c>
      <c r="L47" s="758">
        <v>20</v>
      </c>
      <c r="M47" s="758"/>
      <c r="N47" s="69">
        <f t="shared" si="1"/>
        <v>20</v>
      </c>
      <c r="O47" s="69">
        <f>VLOOKUP(D:D,'Master Table'!C:O,13,FALSE)</f>
        <v>40</v>
      </c>
      <c r="P47" s="446">
        <v>40</v>
      </c>
      <c r="Q47" s="103">
        <v>40</v>
      </c>
    </row>
    <row r="48" spans="1:17" ht="24.95" customHeight="1" x14ac:dyDescent="0.2">
      <c r="A48" s="68" t="str">
        <f t="shared" si="0"/>
        <v>BIR048 / 1855</v>
      </c>
      <c r="B48" s="75" t="s">
        <v>1005</v>
      </c>
      <c r="C48" s="75" t="s">
        <v>1004</v>
      </c>
      <c r="D48" s="369" t="s">
        <v>1002</v>
      </c>
      <c r="E48" s="369" t="str">
        <f>VLOOKUP(D:D,'Master Table'!C:D,2,FALSE)</f>
        <v>1855</v>
      </c>
      <c r="F48" s="766" t="s">
        <v>1002</v>
      </c>
      <c r="G48" s="766" t="s">
        <v>1003</v>
      </c>
      <c r="H48" s="769" t="s">
        <v>1004</v>
      </c>
      <c r="I48" s="769" t="s">
        <v>1005</v>
      </c>
      <c r="J48" s="766" t="s">
        <v>324</v>
      </c>
      <c r="K48" s="758">
        <v>551.03</v>
      </c>
      <c r="L48" s="758">
        <v>500</v>
      </c>
      <c r="M48" s="758"/>
      <c r="N48" s="69">
        <f t="shared" si="1"/>
        <v>1051.03</v>
      </c>
      <c r="O48" s="69">
        <f>VLOOKUP(D:D,'Master Table'!C:O,13,FALSE)</f>
        <v>1448.5700000000002</v>
      </c>
      <c r="P48" s="446">
        <v>1448.5700000000002</v>
      </c>
      <c r="Q48" s="103">
        <v>1621.91</v>
      </c>
    </row>
    <row r="49" spans="1:17" ht="24.95" customHeight="1" x14ac:dyDescent="0.2">
      <c r="A49" s="68" t="str">
        <f t="shared" si="0"/>
        <v>BIR049 / 1856</v>
      </c>
      <c r="B49" s="79" t="s">
        <v>30</v>
      </c>
      <c r="C49" s="79" t="s">
        <v>1008</v>
      </c>
      <c r="D49" s="369" t="s">
        <v>1006</v>
      </c>
      <c r="E49" s="369" t="str">
        <f>VLOOKUP(D:D,'Master Table'!C:D,2,FALSE)</f>
        <v>1856</v>
      </c>
      <c r="F49" s="766" t="s">
        <v>1006</v>
      </c>
      <c r="G49" s="766" t="s">
        <v>1007</v>
      </c>
      <c r="H49" s="769" t="s">
        <v>1008</v>
      </c>
      <c r="I49" s="769" t="s">
        <v>30</v>
      </c>
      <c r="J49" s="766" t="s">
        <v>324</v>
      </c>
      <c r="K49" s="758">
        <v>233</v>
      </c>
      <c r="L49" s="758">
        <v>440</v>
      </c>
      <c r="M49" s="758"/>
      <c r="N49" s="69">
        <f t="shared" si="1"/>
        <v>673</v>
      </c>
      <c r="O49" s="69">
        <f>VLOOKUP(D:D,'Master Table'!C:O,13,FALSE)</f>
        <v>598.12</v>
      </c>
      <c r="P49" s="446">
        <v>598.12</v>
      </c>
      <c r="Q49" s="103">
        <v>616.34</v>
      </c>
    </row>
    <row r="50" spans="1:17" ht="24.95" customHeight="1" x14ac:dyDescent="0.2">
      <c r="A50" s="68" t="str">
        <f t="shared" si="0"/>
        <v>BIR051 / 1859</v>
      </c>
      <c r="B50" s="75" t="s">
        <v>1016</v>
      </c>
      <c r="C50" s="75" t="s">
        <v>5211</v>
      </c>
      <c r="D50" s="369" t="s">
        <v>1013</v>
      </c>
      <c r="E50" s="369" t="str">
        <f>VLOOKUP(D:D,'Master Table'!C:D,2,FALSE)</f>
        <v>1859</v>
      </c>
      <c r="F50" s="766" t="s">
        <v>1013</v>
      </c>
      <c r="G50" s="766" t="s">
        <v>1014</v>
      </c>
      <c r="H50" s="769" t="s">
        <v>1015</v>
      </c>
      <c r="I50" s="769" t="s">
        <v>1016</v>
      </c>
      <c r="J50" s="766" t="s">
        <v>324</v>
      </c>
      <c r="K50" s="758">
        <v>0</v>
      </c>
      <c r="L50" s="758">
        <v>5</v>
      </c>
      <c r="M50" s="758">
        <v>55.67</v>
      </c>
      <c r="N50" s="69">
        <f t="shared" si="1"/>
        <v>60.67</v>
      </c>
      <c r="O50" s="69">
        <f>VLOOKUP(D:D,'Master Table'!C:O,13,FALSE)</f>
        <v>62</v>
      </c>
      <c r="P50" s="446">
        <v>62</v>
      </c>
      <c r="Q50" s="103">
        <v>225</v>
      </c>
    </row>
    <row r="51" spans="1:17" ht="24.95" customHeight="1" x14ac:dyDescent="0.2">
      <c r="A51" s="68" t="str">
        <f t="shared" si="0"/>
        <v>BIR052 / 1860</v>
      </c>
      <c r="B51" s="75" t="s">
        <v>1019</v>
      </c>
      <c r="C51" s="75" t="s">
        <v>896</v>
      </c>
      <c r="D51" s="369" t="s">
        <v>1017</v>
      </c>
      <c r="E51" s="369" t="str">
        <f>VLOOKUP(D:D,'Master Table'!C:D,2,FALSE)</f>
        <v>1860</v>
      </c>
      <c r="F51" s="766" t="s">
        <v>1017</v>
      </c>
      <c r="G51" s="766" t="s">
        <v>1018</v>
      </c>
      <c r="H51" s="769" t="s">
        <v>896</v>
      </c>
      <c r="I51" s="769" t="s">
        <v>1019</v>
      </c>
      <c r="J51" s="766" t="s">
        <v>324</v>
      </c>
      <c r="K51" s="758">
        <v>0</v>
      </c>
      <c r="L51" s="758">
        <v>10</v>
      </c>
      <c r="M51" s="758"/>
      <c r="N51" s="69">
        <f t="shared" si="1"/>
        <v>10</v>
      </c>
      <c r="O51" s="69">
        <f>VLOOKUP(D:D,'Master Table'!C:O,13,FALSE)</f>
        <v>295.92</v>
      </c>
      <c r="P51" s="446">
        <v>295.92</v>
      </c>
      <c r="Q51" s="103">
        <v>256.19</v>
      </c>
    </row>
    <row r="52" spans="1:17" ht="24.95" customHeight="1" x14ac:dyDescent="0.2">
      <c r="A52" s="68" t="str">
        <f t="shared" si="0"/>
        <v>BIR053 / 1861</v>
      </c>
      <c r="B52" s="75" t="s">
        <v>1022</v>
      </c>
      <c r="C52" s="75" t="s">
        <v>164</v>
      </c>
      <c r="D52" s="369" t="s">
        <v>1020</v>
      </c>
      <c r="E52" s="369" t="str">
        <f>VLOOKUP(D:D,'Master Table'!C:D,2,FALSE)</f>
        <v>1861</v>
      </c>
      <c r="F52" s="766" t="s">
        <v>1020</v>
      </c>
      <c r="G52" s="766" t="s">
        <v>1021</v>
      </c>
      <c r="H52" s="769" t="s">
        <v>755</v>
      </c>
      <c r="I52" s="769" t="s">
        <v>1022</v>
      </c>
      <c r="J52" s="766" t="s">
        <v>324</v>
      </c>
      <c r="K52" s="758">
        <v>396.51</v>
      </c>
      <c r="L52" s="758">
        <v>170</v>
      </c>
      <c r="M52" s="758"/>
      <c r="N52" s="69">
        <f t="shared" si="1"/>
        <v>566.51</v>
      </c>
      <c r="O52" s="69">
        <f>VLOOKUP(D:D,'Master Table'!C:O,13,FALSE)</f>
        <v>1619.31</v>
      </c>
      <c r="P52" s="446">
        <v>1619.31</v>
      </c>
      <c r="Q52" s="103">
        <v>1449.01</v>
      </c>
    </row>
    <row r="53" spans="1:17" ht="24.95" customHeight="1" x14ac:dyDescent="0.2">
      <c r="A53" s="68" t="str">
        <f t="shared" si="0"/>
        <v>BIR054 / 1862</v>
      </c>
      <c r="B53" s="75" t="s">
        <v>1022</v>
      </c>
      <c r="C53" s="75" t="s">
        <v>1026</v>
      </c>
      <c r="D53" s="369" t="s">
        <v>1024</v>
      </c>
      <c r="E53" s="369" t="str">
        <f>VLOOKUP(D:D,'Master Table'!C:D,2,FALSE)</f>
        <v>1862</v>
      </c>
      <c r="F53" s="766" t="s">
        <v>1024</v>
      </c>
      <c r="G53" s="766" t="s">
        <v>1025</v>
      </c>
      <c r="H53" s="769" t="s">
        <v>1026</v>
      </c>
      <c r="I53" s="769" t="s">
        <v>1022</v>
      </c>
      <c r="J53" s="766" t="s">
        <v>324</v>
      </c>
      <c r="K53" s="758">
        <v>290.55</v>
      </c>
      <c r="L53" s="758">
        <v>281</v>
      </c>
      <c r="M53" s="758"/>
      <c r="N53" s="69">
        <f t="shared" si="1"/>
        <v>571.54999999999995</v>
      </c>
      <c r="O53" s="69">
        <f>VLOOKUP(D:D,'Master Table'!C:O,13,FALSE)</f>
        <v>920.98</v>
      </c>
      <c r="P53" s="446">
        <v>920.98</v>
      </c>
      <c r="Q53" s="103">
        <v>1182.83</v>
      </c>
    </row>
    <row r="54" spans="1:17" ht="24.95" customHeight="1" x14ac:dyDescent="0.2">
      <c r="A54" s="68" t="str">
        <f t="shared" si="0"/>
        <v>BIR055 / 1863</v>
      </c>
      <c r="B54" s="75" t="s">
        <v>1033</v>
      </c>
      <c r="C54" s="75" t="s">
        <v>1032</v>
      </c>
      <c r="D54" s="369" t="s">
        <v>1030</v>
      </c>
      <c r="E54" s="369" t="str">
        <f>VLOOKUP(D:D,'Master Table'!C:D,2,FALSE)</f>
        <v>1863</v>
      </c>
      <c r="F54" s="766" t="s">
        <v>1030</v>
      </c>
      <c r="G54" s="766" t="s">
        <v>1031</v>
      </c>
      <c r="H54" s="769" t="s">
        <v>1032</v>
      </c>
      <c r="I54" s="769" t="s">
        <v>1033</v>
      </c>
      <c r="J54" s="766" t="s">
        <v>324</v>
      </c>
      <c r="K54" s="758">
        <v>127.72</v>
      </c>
      <c r="L54" s="758">
        <v>200</v>
      </c>
      <c r="M54" s="758"/>
      <c r="N54" s="69">
        <f t="shared" si="1"/>
        <v>327.72</v>
      </c>
      <c r="O54" s="69">
        <f>VLOOKUP(D:D,'Master Table'!C:O,13,FALSE)</f>
        <v>361.32</v>
      </c>
      <c r="P54" s="446">
        <v>361.32</v>
      </c>
      <c r="Q54" s="103">
        <v>380.9</v>
      </c>
    </row>
    <row r="55" spans="1:17" s="283" customFormat="1" ht="24.95" customHeight="1" x14ac:dyDescent="0.2">
      <c r="A55" s="68" t="str">
        <f t="shared" si="0"/>
        <v>BIR056 / 1864</v>
      </c>
      <c r="B55" s="75" t="s">
        <v>1037</v>
      </c>
      <c r="C55" s="75" t="s">
        <v>7287</v>
      </c>
      <c r="D55" s="369" t="s">
        <v>1034</v>
      </c>
      <c r="E55" s="369" t="str">
        <f>VLOOKUP(D:D,'Master Table'!C:D,2,FALSE)</f>
        <v>1864</v>
      </c>
      <c r="F55" s="766" t="s">
        <v>1034</v>
      </c>
      <c r="G55" s="766" t="s">
        <v>1035</v>
      </c>
      <c r="H55" s="769" t="s">
        <v>1036</v>
      </c>
      <c r="I55" s="769" t="s">
        <v>1037</v>
      </c>
      <c r="J55" s="766" t="s">
        <v>324</v>
      </c>
      <c r="K55" s="758">
        <v>1183</v>
      </c>
      <c r="L55" s="758">
        <v>230</v>
      </c>
      <c r="M55" s="758">
        <v>60</v>
      </c>
      <c r="N55" s="69">
        <f t="shared" si="1"/>
        <v>1473</v>
      </c>
      <c r="O55" s="69">
        <f>VLOOKUP(D:D,'Master Table'!C:O,13,FALSE)</f>
        <v>3052</v>
      </c>
      <c r="P55" s="446">
        <v>3052</v>
      </c>
      <c r="Q55" s="103">
        <v>2456</v>
      </c>
    </row>
    <row r="56" spans="1:17" ht="24.95" customHeight="1" x14ac:dyDescent="0.2">
      <c r="A56" s="68" t="str">
        <f t="shared" si="0"/>
        <v>BIR057 / 1865</v>
      </c>
      <c r="B56" s="75" t="s">
        <v>1041</v>
      </c>
      <c r="C56" s="75" t="s">
        <v>896</v>
      </c>
      <c r="D56" s="369" t="s">
        <v>1039</v>
      </c>
      <c r="E56" s="369" t="str">
        <f>VLOOKUP(D:D,'Master Table'!C:D,2,FALSE)</f>
        <v>1865</v>
      </c>
      <c r="F56" s="766" t="s">
        <v>1039</v>
      </c>
      <c r="G56" s="766" t="s">
        <v>1040</v>
      </c>
      <c r="H56" s="769" t="s">
        <v>183</v>
      </c>
      <c r="I56" s="769" t="s">
        <v>1041</v>
      </c>
      <c r="J56" s="766" t="s">
        <v>324</v>
      </c>
      <c r="K56" s="758">
        <v>228</v>
      </c>
      <c r="L56" s="758">
        <v>235</v>
      </c>
      <c r="M56" s="758">
        <v>172</v>
      </c>
      <c r="N56" s="69">
        <f t="shared" si="1"/>
        <v>635</v>
      </c>
      <c r="O56" s="69">
        <f>VLOOKUP(D:D,'Master Table'!C:O,13,FALSE)</f>
        <v>1354.5</v>
      </c>
      <c r="P56" s="446">
        <v>1354.5</v>
      </c>
      <c r="Q56" s="103">
        <v>1372</v>
      </c>
    </row>
    <row r="57" spans="1:17" ht="24.95" customHeight="1" x14ac:dyDescent="0.2">
      <c r="A57" s="362" t="str">
        <f t="shared" si="0"/>
        <v>BIR059 / 1867</v>
      </c>
      <c r="B57" s="282" t="s">
        <v>1044</v>
      </c>
      <c r="C57" s="282" t="s">
        <v>297</v>
      </c>
      <c r="D57" s="369" t="s">
        <v>1042</v>
      </c>
      <c r="E57" s="369" t="str">
        <f>VLOOKUP(D:D,'Master Table'!C:D,2,FALSE)</f>
        <v>1867</v>
      </c>
      <c r="F57" s="766" t="s">
        <v>1042</v>
      </c>
      <c r="G57" s="766" t="s">
        <v>1043</v>
      </c>
      <c r="H57" s="769" t="s">
        <v>297</v>
      </c>
      <c r="I57" s="769" t="s">
        <v>1044</v>
      </c>
      <c r="J57" s="766" t="s">
        <v>324</v>
      </c>
      <c r="K57" s="758">
        <v>374.9</v>
      </c>
      <c r="L57" s="758">
        <v>200</v>
      </c>
      <c r="M57" s="758"/>
      <c r="N57" s="69">
        <f t="shared" si="1"/>
        <v>574.9</v>
      </c>
      <c r="O57" s="467">
        <f>VLOOKUP(D:D,'Master Table'!C:O,13,FALSE)</f>
        <v>1302.1400000000001</v>
      </c>
      <c r="P57" s="657">
        <v>1302.1400000000001</v>
      </c>
      <c r="Q57" s="514">
        <v>1080.6399999999999</v>
      </c>
    </row>
    <row r="58" spans="1:17" ht="24.95" customHeight="1" x14ac:dyDescent="0.2">
      <c r="A58" s="68" t="str">
        <f t="shared" si="0"/>
        <v>BIR060 / 1868</v>
      </c>
      <c r="B58" s="75" t="s">
        <v>1048</v>
      </c>
      <c r="C58" s="75" t="s">
        <v>1047</v>
      </c>
      <c r="D58" s="369" t="s">
        <v>1045</v>
      </c>
      <c r="E58" s="369" t="str">
        <f>VLOOKUP(D:D,'Master Table'!C:D,2,FALSE)</f>
        <v>1868</v>
      </c>
      <c r="F58" s="766" t="s">
        <v>1045</v>
      </c>
      <c r="G58" s="766" t="s">
        <v>1046</v>
      </c>
      <c r="H58" s="769" t="s">
        <v>1047</v>
      </c>
      <c r="I58" s="769" t="s">
        <v>1048</v>
      </c>
      <c r="J58" s="766" t="s">
        <v>324</v>
      </c>
      <c r="K58" s="758">
        <v>1450</v>
      </c>
      <c r="L58" s="758"/>
      <c r="M58" s="758"/>
      <c r="N58" s="69">
        <f t="shared" si="1"/>
        <v>1450</v>
      </c>
      <c r="O58" s="69">
        <f>VLOOKUP(D:D,'Master Table'!C:O,13,FALSE)</f>
        <v>2050</v>
      </c>
      <c r="P58" s="446">
        <v>2050</v>
      </c>
      <c r="Q58" s="103">
        <v>1830</v>
      </c>
    </row>
    <row r="59" spans="1:17" ht="24.95" customHeight="1" x14ac:dyDescent="0.2">
      <c r="A59" s="68" t="str">
        <f t="shared" si="0"/>
        <v>BIR061 / 1869</v>
      </c>
      <c r="B59" s="78" t="s">
        <v>7288</v>
      </c>
      <c r="C59" s="78" t="s">
        <v>7289</v>
      </c>
      <c r="D59" s="369" t="s">
        <v>1049</v>
      </c>
      <c r="E59" s="369" t="str">
        <f>VLOOKUP(D:D,'Master Table'!C:D,2,FALSE)</f>
        <v>1869</v>
      </c>
      <c r="F59" s="766" t="s">
        <v>1049</v>
      </c>
      <c r="G59" s="766" t="s">
        <v>1050</v>
      </c>
      <c r="H59" s="769" t="s">
        <v>1026</v>
      </c>
      <c r="I59" s="769" t="s">
        <v>1051</v>
      </c>
      <c r="J59" s="766" t="s">
        <v>324</v>
      </c>
      <c r="K59" s="758">
        <v>0</v>
      </c>
      <c r="L59" s="758">
        <v>30</v>
      </c>
      <c r="M59" s="758"/>
      <c r="N59" s="69">
        <f t="shared" si="1"/>
        <v>30</v>
      </c>
      <c r="O59" s="69">
        <f>VLOOKUP(D:D,'Master Table'!C:O,13,FALSE)</f>
        <v>34.65</v>
      </c>
      <c r="P59" s="446">
        <v>34.65</v>
      </c>
      <c r="Q59" s="103">
        <v>0</v>
      </c>
    </row>
    <row r="60" spans="1:17" s="283" customFormat="1" ht="24.95" customHeight="1" x14ac:dyDescent="0.2">
      <c r="A60" s="431" t="str">
        <f t="shared" si="0"/>
        <v>BIR062 / 1870</v>
      </c>
      <c r="B60" s="432" t="s">
        <v>1055</v>
      </c>
      <c r="C60" s="432" t="s">
        <v>1371</v>
      </c>
      <c r="D60" s="433" t="s">
        <v>1052</v>
      </c>
      <c r="E60" s="433" t="str">
        <f>VLOOKUP(D:D,'Master Table'!C:D,2,FALSE)</f>
        <v>1870</v>
      </c>
      <c r="F60" s="766" t="s">
        <v>1052</v>
      </c>
      <c r="G60" s="766" t="s">
        <v>1053</v>
      </c>
      <c r="H60" s="769" t="s">
        <v>1054</v>
      </c>
      <c r="I60" s="769" t="s">
        <v>1055</v>
      </c>
      <c r="J60" s="766" t="s">
        <v>351</v>
      </c>
      <c r="K60" s="758">
        <v>470.82</v>
      </c>
      <c r="L60" s="758">
        <v>40</v>
      </c>
      <c r="M60" s="758"/>
      <c r="N60" s="69">
        <f t="shared" si="1"/>
        <v>510.82</v>
      </c>
      <c r="O60" s="434">
        <f>VLOOKUP(D:D,'Master Table'!C:O,13,FALSE)</f>
        <v>681.79</v>
      </c>
      <c r="P60" s="851">
        <v>681.79</v>
      </c>
      <c r="Q60" s="442">
        <v>2074.58</v>
      </c>
    </row>
    <row r="61" spans="1:17" s="283" customFormat="1" ht="24.95" customHeight="1" x14ac:dyDescent="0.2">
      <c r="A61" s="68" t="str">
        <f t="shared" si="0"/>
        <v>BIR063 / 0444462</v>
      </c>
      <c r="B61" s="864" t="s">
        <v>7291</v>
      </c>
      <c r="C61" s="570" t="s">
        <v>8414</v>
      </c>
      <c r="D61" s="369" t="s">
        <v>1060</v>
      </c>
      <c r="E61" s="369" t="str">
        <f>VLOOKUP(D:D,'Master Table'!C:D,2,FALSE)</f>
        <v>0444462</v>
      </c>
      <c r="F61" s="766" t="s">
        <v>1060</v>
      </c>
      <c r="G61" s="766" t="s">
        <v>1061</v>
      </c>
      <c r="H61" s="769" t="s">
        <v>1047</v>
      </c>
      <c r="I61" s="769" t="s">
        <v>1062</v>
      </c>
      <c r="J61" s="766" t="s">
        <v>324</v>
      </c>
      <c r="K61" s="758">
        <v>0</v>
      </c>
      <c r="L61" s="758"/>
      <c r="M61" s="758"/>
      <c r="N61" s="69">
        <f t="shared" si="1"/>
        <v>0</v>
      </c>
      <c r="O61" s="69">
        <f>VLOOKUP(D:D,'Master Table'!C:O,13,FALSE)</f>
        <v>0</v>
      </c>
      <c r="P61" s="869">
        <f>O61+O62</f>
        <v>120</v>
      </c>
      <c r="Q61" s="869">
        <v>175</v>
      </c>
    </row>
    <row r="62" spans="1:17" ht="24.95" customHeight="1" x14ac:dyDescent="0.2">
      <c r="A62" s="362" t="str">
        <f t="shared" ref="A62" si="2">D62&amp;" / "&amp;E62</f>
        <v>BIR141 / 1959</v>
      </c>
      <c r="B62" s="865"/>
      <c r="C62" s="571" t="s">
        <v>8415</v>
      </c>
      <c r="D62" s="369" t="s">
        <v>1384</v>
      </c>
      <c r="E62" s="369" t="str">
        <f>VLOOKUP(D:D,'Master Table'!C:D,2,FALSE)</f>
        <v>1959</v>
      </c>
      <c r="F62" s="766" t="s">
        <v>1384</v>
      </c>
      <c r="G62" s="766" t="s">
        <v>1385</v>
      </c>
      <c r="H62" s="769" t="s">
        <v>1386</v>
      </c>
      <c r="I62" s="769" t="s">
        <v>1387</v>
      </c>
      <c r="J62" s="766" t="s">
        <v>324</v>
      </c>
      <c r="K62" s="758">
        <v>0</v>
      </c>
      <c r="L62" s="758">
        <v>170</v>
      </c>
      <c r="M62" s="758"/>
      <c r="N62" s="69">
        <f>K62+L62+M62</f>
        <v>170</v>
      </c>
      <c r="O62" s="467">
        <f>VLOOKUP(D:D,'Master Table'!C:O,13,FALSE)</f>
        <v>120</v>
      </c>
      <c r="P62" s="870"/>
      <c r="Q62" s="870"/>
    </row>
    <row r="63" spans="1:17" ht="24.95" customHeight="1" x14ac:dyDescent="0.2">
      <c r="A63" s="516" t="str">
        <f t="shared" si="0"/>
        <v>BIR065 / 1873</v>
      </c>
      <c r="B63" s="517" t="s">
        <v>1066</v>
      </c>
      <c r="C63" s="517" t="s">
        <v>1065</v>
      </c>
      <c r="D63" s="437" t="s">
        <v>1063</v>
      </c>
      <c r="E63" s="437" t="str">
        <f>VLOOKUP(D:D,'Master Table'!C:D,2,FALSE)</f>
        <v>1873</v>
      </c>
      <c r="F63" s="766" t="s">
        <v>1063</v>
      </c>
      <c r="G63" s="766" t="s">
        <v>1064</v>
      </c>
      <c r="H63" s="769" t="s">
        <v>1065</v>
      </c>
      <c r="I63" s="769" t="s">
        <v>1066</v>
      </c>
      <c r="J63" s="766" t="s">
        <v>324</v>
      </c>
      <c r="K63" s="758">
        <v>0</v>
      </c>
      <c r="L63" s="758">
        <v>60</v>
      </c>
      <c r="M63" s="758"/>
      <c r="N63" s="69">
        <f t="shared" si="1"/>
        <v>60</v>
      </c>
      <c r="O63" s="518">
        <f>VLOOKUP(D:D,'Master Table'!C:O,13,FALSE)</f>
        <v>746.4</v>
      </c>
      <c r="P63" s="852">
        <v>746.4</v>
      </c>
      <c r="Q63" s="519">
        <v>654.37</v>
      </c>
    </row>
    <row r="64" spans="1:17" ht="24.95" customHeight="1" x14ac:dyDescent="0.2">
      <c r="A64" s="68" t="str">
        <f t="shared" si="0"/>
        <v>BIR066 / 1874</v>
      </c>
      <c r="B64" s="75" t="s">
        <v>1069</v>
      </c>
      <c r="C64" s="75" t="s">
        <v>226</v>
      </c>
      <c r="D64" s="369" t="s">
        <v>1067</v>
      </c>
      <c r="E64" s="369" t="str">
        <f>VLOOKUP(D:D,'Master Table'!C:D,2,FALSE)</f>
        <v>1874</v>
      </c>
      <c r="F64" s="766" t="s">
        <v>1067</v>
      </c>
      <c r="G64" s="766" t="s">
        <v>1068</v>
      </c>
      <c r="H64" s="769" t="s">
        <v>31</v>
      </c>
      <c r="I64" s="769" t="s">
        <v>1069</v>
      </c>
      <c r="J64" s="766" t="s">
        <v>324</v>
      </c>
      <c r="K64" s="758">
        <v>335.3</v>
      </c>
      <c r="L64" s="758">
        <v>25</v>
      </c>
      <c r="M64" s="758"/>
      <c r="N64" s="69">
        <f t="shared" si="1"/>
        <v>360.3</v>
      </c>
      <c r="O64" s="69">
        <f>VLOOKUP(D:D,'Master Table'!C:O,13,FALSE)</f>
        <v>1030</v>
      </c>
      <c r="P64" s="446">
        <v>1030</v>
      </c>
      <c r="Q64" s="103">
        <v>907.2</v>
      </c>
    </row>
    <row r="65" spans="1:17" ht="24.95" customHeight="1" x14ac:dyDescent="0.2">
      <c r="A65" s="68" t="str">
        <f t="shared" si="0"/>
        <v>BIR067 / 1875</v>
      </c>
      <c r="B65" s="75" t="s">
        <v>1073</v>
      </c>
      <c r="C65" s="75" t="s">
        <v>226</v>
      </c>
      <c r="D65" s="369" t="s">
        <v>1071</v>
      </c>
      <c r="E65" s="369" t="str">
        <f>VLOOKUP(D:D,'Master Table'!C:D,2,FALSE)</f>
        <v>1875</v>
      </c>
      <c r="F65" s="766" t="s">
        <v>1071</v>
      </c>
      <c r="G65" s="766" t="s">
        <v>1072</v>
      </c>
      <c r="H65" s="769" t="s">
        <v>31</v>
      </c>
      <c r="I65" s="769" t="s">
        <v>1073</v>
      </c>
      <c r="J65" s="766" t="s">
        <v>324</v>
      </c>
      <c r="K65" s="758">
        <v>368.76</v>
      </c>
      <c r="L65" s="758">
        <v>52.5</v>
      </c>
      <c r="M65" s="758"/>
      <c r="N65" s="69">
        <f t="shared" ref="N65:N123" si="3">K65+L65+M65</f>
        <v>421.26</v>
      </c>
      <c r="O65" s="69">
        <f>VLOOKUP(D:D,'Master Table'!C:O,13,FALSE)</f>
        <v>349.76</v>
      </c>
      <c r="P65" s="446">
        <v>349.76</v>
      </c>
      <c r="Q65" s="103">
        <v>468.56</v>
      </c>
    </row>
    <row r="66" spans="1:17" ht="24.95" customHeight="1" x14ac:dyDescent="0.2">
      <c r="A66" s="68" t="str">
        <f t="shared" si="0"/>
        <v>BIR068 / 1876</v>
      </c>
      <c r="B66" s="75" t="s">
        <v>1077</v>
      </c>
      <c r="C66" s="75" t="s">
        <v>1076</v>
      </c>
      <c r="D66" s="369" t="s">
        <v>1074</v>
      </c>
      <c r="E66" s="369" t="str">
        <f>VLOOKUP(D:D,'Master Table'!C:D,2,FALSE)</f>
        <v>1876</v>
      </c>
      <c r="F66" s="766" t="s">
        <v>1074</v>
      </c>
      <c r="G66" s="766" t="s">
        <v>1075</v>
      </c>
      <c r="H66" s="769" t="s">
        <v>1076</v>
      </c>
      <c r="I66" s="769" t="s">
        <v>1077</v>
      </c>
      <c r="J66" s="766" t="s">
        <v>324</v>
      </c>
      <c r="K66" s="758">
        <v>0</v>
      </c>
      <c r="L66" s="758">
        <v>100</v>
      </c>
      <c r="M66" s="758"/>
      <c r="N66" s="69">
        <f t="shared" si="3"/>
        <v>100</v>
      </c>
      <c r="O66" s="69">
        <f>VLOOKUP(D:D,'Master Table'!C:O,13,FALSE)</f>
        <v>1082.25</v>
      </c>
      <c r="P66" s="446">
        <v>1082.25</v>
      </c>
      <c r="Q66" s="103">
        <v>1099.58</v>
      </c>
    </row>
    <row r="67" spans="1:17" ht="24.95" customHeight="1" x14ac:dyDescent="0.2">
      <c r="A67" s="68" t="str">
        <f t="shared" si="0"/>
        <v>BIR069 / 1877</v>
      </c>
      <c r="B67" s="75" t="s">
        <v>1080</v>
      </c>
      <c r="C67" s="75" t="s">
        <v>1065</v>
      </c>
      <c r="D67" s="369" t="s">
        <v>1078</v>
      </c>
      <c r="E67" s="369" t="str">
        <f>VLOOKUP(D:D,'Master Table'!C:D,2,FALSE)</f>
        <v>1877</v>
      </c>
      <c r="F67" s="766" t="s">
        <v>1078</v>
      </c>
      <c r="G67" s="766" t="s">
        <v>1079</v>
      </c>
      <c r="H67" s="769" t="s">
        <v>276</v>
      </c>
      <c r="I67" s="769" t="s">
        <v>1080</v>
      </c>
      <c r="J67" s="766" t="s">
        <v>324</v>
      </c>
      <c r="K67" s="758">
        <v>2289.7199999999998</v>
      </c>
      <c r="L67" s="758">
        <v>891</v>
      </c>
      <c r="M67" s="758">
        <v>259.23</v>
      </c>
      <c r="N67" s="69">
        <f t="shared" si="3"/>
        <v>3439.95</v>
      </c>
      <c r="O67" s="69">
        <f>VLOOKUP(D:D,'Master Table'!C:O,13,FALSE)</f>
        <v>3602.5400000000004</v>
      </c>
      <c r="P67" s="446">
        <v>3602.5400000000004</v>
      </c>
      <c r="Q67" s="103">
        <v>3360.04</v>
      </c>
    </row>
    <row r="68" spans="1:17" ht="24.95" customHeight="1" x14ac:dyDescent="0.2">
      <c r="A68" s="68" t="str">
        <f t="shared" si="0"/>
        <v>BIR070 / 1878</v>
      </c>
      <c r="B68" s="75" t="s">
        <v>1084</v>
      </c>
      <c r="C68" s="75" t="s">
        <v>2896</v>
      </c>
      <c r="D68" s="369" t="s">
        <v>1082</v>
      </c>
      <c r="E68" s="369" t="str">
        <f>VLOOKUP(D:D,'Master Table'!C:D,2,FALSE)</f>
        <v>1878</v>
      </c>
      <c r="F68" s="766" t="s">
        <v>1082</v>
      </c>
      <c r="G68" s="766" t="s">
        <v>1083</v>
      </c>
      <c r="H68" s="769" t="s">
        <v>822</v>
      </c>
      <c r="I68" s="769" t="s">
        <v>1084</v>
      </c>
      <c r="J68" s="766" t="s">
        <v>324</v>
      </c>
      <c r="K68" s="758">
        <v>295.86</v>
      </c>
      <c r="L68" s="758">
        <v>30</v>
      </c>
      <c r="M68" s="758"/>
      <c r="N68" s="69">
        <f t="shared" si="3"/>
        <v>325.86</v>
      </c>
      <c r="O68" s="69">
        <f>VLOOKUP(D:D,'Master Table'!C:O,13,FALSE)</f>
        <v>855.81</v>
      </c>
      <c r="P68" s="446">
        <v>855.81</v>
      </c>
      <c r="Q68" s="103">
        <v>862.87</v>
      </c>
    </row>
    <row r="69" spans="1:17" ht="24.95" customHeight="1" x14ac:dyDescent="0.2">
      <c r="A69" s="68" t="str">
        <f t="shared" si="0"/>
        <v>BIR071 / 1879</v>
      </c>
      <c r="B69" s="75" t="s">
        <v>1088</v>
      </c>
      <c r="C69" s="75" t="s">
        <v>1087</v>
      </c>
      <c r="D69" s="369" t="s">
        <v>1085</v>
      </c>
      <c r="E69" s="369" t="str">
        <f>VLOOKUP(D:D,'Master Table'!C:D,2,FALSE)</f>
        <v>1879</v>
      </c>
      <c r="F69" s="766" t="s">
        <v>1085</v>
      </c>
      <c r="G69" s="766" t="s">
        <v>1086</v>
      </c>
      <c r="H69" s="769" t="s">
        <v>1087</v>
      </c>
      <c r="I69" s="769" t="s">
        <v>1088</v>
      </c>
      <c r="J69" s="766" t="s">
        <v>324</v>
      </c>
      <c r="K69" s="758">
        <v>295.46999999999997</v>
      </c>
      <c r="L69" s="758">
        <v>300</v>
      </c>
      <c r="M69" s="758"/>
      <c r="N69" s="69">
        <f t="shared" si="3"/>
        <v>595.47</v>
      </c>
      <c r="O69" s="69">
        <f>VLOOKUP(D:D,'Master Table'!C:O,13,FALSE)</f>
        <v>433.81</v>
      </c>
      <c r="P69" s="446">
        <v>433.81</v>
      </c>
      <c r="Q69" s="103">
        <v>679.87</v>
      </c>
    </row>
    <row r="70" spans="1:17" ht="24.95" customHeight="1" x14ac:dyDescent="0.2">
      <c r="A70" s="68" t="str">
        <f t="shared" ref="A70:A137" si="4">D70&amp;" / "&amp;E70</f>
        <v>BIR072 / 1880</v>
      </c>
      <c r="B70" s="75" t="s">
        <v>1092</v>
      </c>
      <c r="C70" s="75" t="s">
        <v>7293</v>
      </c>
      <c r="D70" s="369" t="s">
        <v>1089</v>
      </c>
      <c r="E70" s="369" t="str">
        <f>VLOOKUP(D:D,'Master Table'!C:D,2,FALSE)</f>
        <v>1880</v>
      </c>
      <c r="F70" s="766" t="s">
        <v>1089</v>
      </c>
      <c r="G70" s="766" t="s">
        <v>1090</v>
      </c>
      <c r="H70" s="769" t="s">
        <v>1091</v>
      </c>
      <c r="I70" s="769" t="s">
        <v>1092</v>
      </c>
      <c r="J70" s="766" t="s">
        <v>324</v>
      </c>
      <c r="K70" s="758">
        <v>0</v>
      </c>
      <c r="L70" s="758">
        <v>320</v>
      </c>
      <c r="M70" s="758"/>
      <c r="N70" s="69">
        <f t="shared" si="3"/>
        <v>320</v>
      </c>
      <c r="O70" s="69">
        <f>VLOOKUP(D:D,'Master Table'!C:O,13,FALSE)</f>
        <v>1318.43</v>
      </c>
      <c r="P70" s="446">
        <v>1318.43</v>
      </c>
      <c r="Q70" s="103">
        <v>1492.23</v>
      </c>
    </row>
    <row r="71" spans="1:17" ht="24.95" customHeight="1" x14ac:dyDescent="0.2">
      <c r="A71" s="68" t="str">
        <f t="shared" si="4"/>
        <v>BIR073 / 1881</v>
      </c>
      <c r="B71" s="75" t="s">
        <v>1097</v>
      </c>
      <c r="C71" s="75" t="s">
        <v>1096</v>
      </c>
      <c r="D71" s="369" t="s">
        <v>1094</v>
      </c>
      <c r="E71" s="369" t="str">
        <f>VLOOKUP(D:D,'Master Table'!C:D,2,FALSE)</f>
        <v>1881</v>
      </c>
      <c r="F71" s="766" t="s">
        <v>1094</v>
      </c>
      <c r="G71" s="766" t="s">
        <v>1095</v>
      </c>
      <c r="H71" s="769" t="s">
        <v>1096</v>
      </c>
      <c r="I71" s="769" t="s">
        <v>1097</v>
      </c>
      <c r="J71" s="766" t="s">
        <v>324</v>
      </c>
      <c r="K71" s="758">
        <v>835.84</v>
      </c>
      <c r="L71" s="758">
        <v>63</v>
      </c>
      <c r="M71" s="758"/>
      <c r="N71" s="69">
        <f t="shared" si="3"/>
        <v>898.84</v>
      </c>
      <c r="O71" s="69">
        <f>VLOOKUP(D:D,'Master Table'!C:O,13,FALSE)</f>
        <v>2159.9</v>
      </c>
      <c r="P71" s="446">
        <v>2159.9</v>
      </c>
      <c r="Q71" s="103">
        <v>2673.6</v>
      </c>
    </row>
    <row r="72" spans="1:17" ht="24.95" customHeight="1" x14ac:dyDescent="0.2">
      <c r="A72" s="68" t="str">
        <f t="shared" si="4"/>
        <v>BIR074 / 1882</v>
      </c>
      <c r="B72" s="75" t="s">
        <v>1100</v>
      </c>
      <c r="C72" s="75" t="s">
        <v>532</v>
      </c>
      <c r="D72" s="369" t="s">
        <v>1098</v>
      </c>
      <c r="E72" s="369" t="str">
        <f>VLOOKUP(D:D,'Master Table'!C:D,2,FALSE)</f>
        <v>1882</v>
      </c>
      <c r="F72" s="766" t="s">
        <v>1098</v>
      </c>
      <c r="G72" s="766" t="s">
        <v>1099</v>
      </c>
      <c r="H72" s="769" t="s">
        <v>532</v>
      </c>
      <c r="I72" s="769" t="s">
        <v>1100</v>
      </c>
      <c r="J72" s="766" t="s">
        <v>324</v>
      </c>
      <c r="K72" s="758">
        <v>0</v>
      </c>
      <c r="L72" s="758">
        <v>920</v>
      </c>
      <c r="M72" s="758">
        <v>589</v>
      </c>
      <c r="N72" s="69">
        <f t="shared" si="3"/>
        <v>1509</v>
      </c>
      <c r="O72" s="69">
        <f>VLOOKUP(D:D,'Master Table'!C:O,13,FALSE)</f>
        <v>2285.7399999999998</v>
      </c>
      <c r="P72" s="446">
        <v>2285.7399999999998</v>
      </c>
      <c r="Q72" s="103">
        <v>2201</v>
      </c>
    </row>
    <row r="73" spans="1:17" ht="24.95" customHeight="1" x14ac:dyDescent="0.2">
      <c r="A73" s="68" t="str">
        <f t="shared" si="4"/>
        <v>BIR075 / 1883</v>
      </c>
      <c r="B73" s="78" t="s">
        <v>1108</v>
      </c>
      <c r="C73" s="78" t="s">
        <v>7294</v>
      </c>
      <c r="D73" s="369" t="s">
        <v>1105</v>
      </c>
      <c r="E73" s="369" t="str">
        <f>VLOOKUP(D:D,'Master Table'!C:D,2,FALSE)</f>
        <v>1883</v>
      </c>
      <c r="F73" s="766" t="s">
        <v>1105</v>
      </c>
      <c r="G73" s="766" t="s">
        <v>1106</v>
      </c>
      <c r="H73" s="769" t="s">
        <v>1107</v>
      </c>
      <c r="I73" s="769" t="s">
        <v>1108</v>
      </c>
      <c r="J73" s="766" t="s">
        <v>324</v>
      </c>
      <c r="K73" s="758">
        <v>0</v>
      </c>
      <c r="L73" s="758">
        <v>202</v>
      </c>
      <c r="M73" s="758"/>
      <c r="N73" s="69">
        <f t="shared" si="3"/>
        <v>202</v>
      </c>
      <c r="O73" s="69">
        <f>VLOOKUP(D:D,'Master Table'!C:O,13,FALSE)</f>
        <v>468.31</v>
      </c>
      <c r="P73" s="446">
        <v>468.31</v>
      </c>
      <c r="Q73" s="103">
        <v>849.99</v>
      </c>
    </row>
    <row r="74" spans="1:17" ht="24.95" customHeight="1" x14ac:dyDescent="0.2">
      <c r="A74" s="68" t="str">
        <f t="shared" si="4"/>
        <v>BIR076 / 1884</v>
      </c>
      <c r="B74" s="75" t="s">
        <v>1112</v>
      </c>
      <c r="C74" s="75" t="s">
        <v>7295</v>
      </c>
      <c r="D74" s="369" t="s">
        <v>1109</v>
      </c>
      <c r="E74" s="369" t="str">
        <f>VLOOKUP(D:D,'Master Table'!C:D,2,FALSE)</f>
        <v>1884</v>
      </c>
      <c r="F74" s="766" t="s">
        <v>1109</v>
      </c>
      <c r="G74" s="766" t="s">
        <v>1110</v>
      </c>
      <c r="H74" s="769" t="s">
        <v>1111</v>
      </c>
      <c r="I74" s="769" t="s">
        <v>1112</v>
      </c>
      <c r="J74" s="766" t="s">
        <v>324</v>
      </c>
      <c r="K74" s="758">
        <v>2200</v>
      </c>
      <c r="L74" s="758">
        <v>75</v>
      </c>
      <c r="M74" s="758"/>
      <c r="N74" s="69">
        <f t="shared" si="3"/>
        <v>2275</v>
      </c>
      <c r="O74" s="69">
        <f>VLOOKUP(D:D,'Master Table'!C:O,13,FALSE)</f>
        <v>3080</v>
      </c>
      <c r="P74" s="446">
        <v>3080</v>
      </c>
      <c r="Q74" s="103">
        <v>2950</v>
      </c>
    </row>
    <row r="75" spans="1:17" ht="24.95" customHeight="1" x14ac:dyDescent="0.2">
      <c r="A75" s="68" t="str">
        <f t="shared" si="4"/>
        <v>BIR077 / 1885</v>
      </c>
      <c r="B75" s="75" t="s">
        <v>7296</v>
      </c>
      <c r="C75" s="75" t="s">
        <v>7297</v>
      </c>
      <c r="D75" s="369" t="s">
        <v>1113</v>
      </c>
      <c r="E75" s="369" t="str">
        <f>VLOOKUP(D:D,'Master Table'!C:D,2,FALSE)</f>
        <v>1885</v>
      </c>
      <c r="F75" s="766" t="s">
        <v>1113</v>
      </c>
      <c r="G75" s="766" t="s">
        <v>1114</v>
      </c>
      <c r="H75" s="769" t="s">
        <v>1115</v>
      </c>
      <c r="I75" s="769" t="s">
        <v>1116</v>
      </c>
      <c r="J75" s="766" t="s">
        <v>324</v>
      </c>
      <c r="K75" s="758">
        <v>0</v>
      </c>
      <c r="L75" s="758">
        <v>80</v>
      </c>
      <c r="M75" s="758">
        <v>50.42</v>
      </c>
      <c r="N75" s="69">
        <f t="shared" si="3"/>
        <v>130.42000000000002</v>
      </c>
      <c r="O75" s="69">
        <f>VLOOKUP(D:D,'Master Table'!C:O,13,FALSE)</f>
        <v>55</v>
      </c>
      <c r="P75" s="446">
        <v>55</v>
      </c>
      <c r="Q75" s="103">
        <v>337.32</v>
      </c>
    </row>
    <row r="76" spans="1:17" ht="24.95" customHeight="1" x14ac:dyDescent="0.2">
      <c r="A76" s="431" t="str">
        <f t="shared" si="4"/>
        <v>BIR078 / 1886</v>
      </c>
      <c r="B76" s="432" t="s">
        <v>1124</v>
      </c>
      <c r="C76" s="432" t="s">
        <v>532</v>
      </c>
      <c r="D76" s="433" t="s">
        <v>1122</v>
      </c>
      <c r="E76" s="433" t="str">
        <f>VLOOKUP(D:D,'Master Table'!C:D,2,FALSE)</f>
        <v>1886</v>
      </c>
      <c r="F76" s="766" t="s">
        <v>1122</v>
      </c>
      <c r="G76" s="766" t="s">
        <v>1123</v>
      </c>
      <c r="H76" s="769" t="s">
        <v>532</v>
      </c>
      <c r="I76" s="769" t="s">
        <v>1124</v>
      </c>
      <c r="J76" s="766" t="s">
        <v>324</v>
      </c>
      <c r="K76" s="758">
        <v>331</v>
      </c>
      <c r="L76" s="758">
        <v>154</v>
      </c>
      <c r="M76" s="758"/>
      <c r="N76" s="69">
        <f t="shared" si="3"/>
        <v>485</v>
      </c>
      <c r="O76" s="434">
        <f>VLOOKUP(D:D,'Master Table'!C:O,13,FALSE)</f>
        <v>1931.5</v>
      </c>
      <c r="P76" s="851">
        <v>1931.5</v>
      </c>
      <c r="Q76" s="442">
        <v>1432.7</v>
      </c>
    </row>
    <row r="77" spans="1:17" ht="24.95" customHeight="1" x14ac:dyDescent="0.2">
      <c r="A77" s="68" t="str">
        <f t="shared" si="4"/>
        <v>BIR079 / 1887</v>
      </c>
      <c r="B77" s="864" t="s">
        <v>7299</v>
      </c>
      <c r="C77" s="570" t="s">
        <v>8412</v>
      </c>
      <c r="D77" s="369" t="s">
        <v>1125</v>
      </c>
      <c r="E77" s="369" t="str">
        <f>VLOOKUP(D:D,'Master Table'!C:D,2,FALSE)</f>
        <v>1887</v>
      </c>
      <c r="F77" s="766" t="s">
        <v>1125</v>
      </c>
      <c r="G77" s="766" t="s">
        <v>1126</v>
      </c>
      <c r="H77" s="769" t="s">
        <v>1127</v>
      </c>
      <c r="I77" s="769" t="s">
        <v>1128</v>
      </c>
      <c r="J77" s="766" t="s">
        <v>324</v>
      </c>
      <c r="K77" s="758">
        <v>429</v>
      </c>
      <c r="L77" s="758">
        <v>15</v>
      </c>
      <c r="M77" s="758">
        <v>20</v>
      </c>
      <c r="N77" s="69">
        <f t="shared" si="3"/>
        <v>464</v>
      </c>
      <c r="O77" s="69">
        <f>VLOOKUP(D:D,'Master Table'!C:O,13,FALSE)</f>
        <v>928</v>
      </c>
      <c r="P77" s="446">
        <v>928</v>
      </c>
      <c r="Q77" s="103">
        <v>1162.0899999999999</v>
      </c>
    </row>
    <row r="78" spans="1:17" ht="24.95" customHeight="1" x14ac:dyDescent="0.2">
      <c r="A78" s="68" t="str">
        <f t="shared" ref="A78" si="5">D78&amp;" / "&amp;E78</f>
        <v>BIR197 / 2019</v>
      </c>
      <c r="B78" s="865"/>
      <c r="C78" s="571" t="s">
        <v>8413</v>
      </c>
      <c r="D78" s="369" t="s">
        <v>1622</v>
      </c>
      <c r="E78" s="369" t="str">
        <f>VLOOKUP(D:D,'Master Table'!C:D,2,FALSE)</f>
        <v>2019</v>
      </c>
      <c r="F78" s="766" t="s">
        <v>1622</v>
      </c>
      <c r="G78" s="766" t="s">
        <v>1623</v>
      </c>
      <c r="H78" s="769" t="s">
        <v>78</v>
      </c>
      <c r="I78" s="769" t="s">
        <v>1624</v>
      </c>
      <c r="J78" s="766" t="s">
        <v>324</v>
      </c>
      <c r="K78" s="758">
        <v>0</v>
      </c>
      <c r="L78" s="758"/>
      <c r="M78" s="758"/>
      <c r="N78" s="69">
        <f>K78+L78+M78</f>
        <v>0</v>
      </c>
      <c r="O78" s="69">
        <f>VLOOKUP(D:D,'Master Table'!C:O,13,FALSE)</f>
        <v>0</v>
      </c>
      <c r="P78" s="446">
        <v>0</v>
      </c>
      <c r="Q78" s="103">
        <v>0</v>
      </c>
    </row>
    <row r="79" spans="1:17" ht="24.95" customHeight="1" x14ac:dyDescent="0.2">
      <c r="A79" s="435" t="str">
        <f t="shared" si="4"/>
        <v>BIR080 / 1888</v>
      </c>
      <c r="B79" s="436" t="s">
        <v>1132</v>
      </c>
      <c r="C79" s="436" t="s">
        <v>164</v>
      </c>
      <c r="D79" s="437" t="s">
        <v>1130</v>
      </c>
      <c r="E79" s="437" t="str">
        <f>VLOOKUP(D:D,'Master Table'!C:D,2,FALSE)</f>
        <v>1888</v>
      </c>
      <c r="F79" s="766" t="s">
        <v>1130</v>
      </c>
      <c r="G79" s="766" t="s">
        <v>1131</v>
      </c>
      <c r="H79" s="769" t="s">
        <v>164</v>
      </c>
      <c r="I79" s="769" t="s">
        <v>1132</v>
      </c>
      <c r="J79" s="766" t="s">
        <v>324</v>
      </c>
      <c r="K79" s="758">
        <v>138.43</v>
      </c>
      <c r="L79" s="758">
        <v>30</v>
      </c>
      <c r="M79" s="758"/>
      <c r="N79" s="69">
        <f t="shared" si="3"/>
        <v>168.43</v>
      </c>
      <c r="O79" s="438">
        <f>VLOOKUP(D:D,'Master Table'!C:O,13,FALSE)</f>
        <v>396.78000000000003</v>
      </c>
      <c r="P79" s="853">
        <v>396.78000000000003</v>
      </c>
      <c r="Q79" s="443">
        <v>287.2</v>
      </c>
    </row>
    <row r="80" spans="1:17" ht="24.95" customHeight="1" x14ac:dyDescent="0.2">
      <c r="A80" s="68" t="str">
        <f t="shared" si="4"/>
        <v>BIR081 / 1889</v>
      </c>
      <c r="B80" s="75" t="s">
        <v>1116</v>
      </c>
      <c r="C80" s="75" t="s">
        <v>1371</v>
      </c>
      <c r="D80" s="369" t="s">
        <v>1134</v>
      </c>
      <c r="E80" s="369" t="str">
        <f>VLOOKUP(D:D,'Master Table'!C:D,2,FALSE)</f>
        <v>1889</v>
      </c>
      <c r="F80" s="766" t="s">
        <v>1134</v>
      </c>
      <c r="G80" s="766" t="s">
        <v>1135</v>
      </c>
      <c r="H80" s="769" t="s">
        <v>1054</v>
      </c>
      <c r="I80" s="769" t="s">
        <v>1116</v>
      </c>
      <c r="J80" s="766" t="s">
        <v>324</v>
      </c>
      <c r="K80" s="758">
        <v>0</v>
      </c>
      <c r="L80" s="758">
        <v>61.48</v>
      </c>
      <c r="M80" s="758">
        <v>25</v>
      </c>
      <c r="N80" s="69">
        <f t="shared" si="3"/>
        <v>86.47999999999999</v>
      </c>
      <c r="O80" s="69">
        <f>VLOOKUP(D:D,'Master Table'!C:O,13,FALSE)</f>
        <v>912.71</v>
      </c>
      <c r="P80" s="446">
        <v>912.71</v>
      </c>
      <c r="Q80" s="103">
        <v>623.21</v>
      </c>
    </row>
    <row r="81" spans="1:17" ht="24.95" customHeight="1" x14ac:dyDescent="0.2">
      <c r="A81" s="68" t="str">
        <f t="shared" si="4"/>
        <v>BIR082 / 1890</v>
      </c>
      <c r="B81" s="864" t="s">
        <v>7302</v>
      </c>
      <c r="C81" s="570" t="s">
        <v>8410</v>
      </c>
      <c r="D81" s="369" t="s">
        <v>1137</v>
      </c>
      <c r="E81" s="369" t="str">
        <f>VLOOKUP(D:D,'Master Table'!C:D,2,FALSE)</f>
        <v>1890</v>
      </c>
      <c r="F81" s="766" t="s">
        <v>1137</v>
      </c>
      <c r="G81" s="766" t="s">
        <v>1138</v>
      </c>
      <c r="H81" s="769" t="s">
        <v>1139</v>
      </c>
      <c r="I81" s="769" t="s">
        <v>1140</v>
      </c>
      <c r="J81" s="766" t="s">
        <v>324</v>
      </c>
      <c r="K81" s="758">
        <v>156.46</v>
      </c>
      <c r="L81" s="758">
        <v>320</v>
      </c>
      <c r="M81" s="758"/>
      <c r="N81" s="69">
        <f t="shared" si="3"/>
        <v>476.46000000000004</v>
      </c>
      <c r="O81" s="69">
        <f>VLOOKUP(D:D,'Master Table'!C:O,13,FALSE)</f>
        <v>1230.82</v>
      </c>
      <c r="P81" s="869">
        <f>O81+O82</f>
        <v>1355.82</v>
      </c>
      <c r="Q81" s="869">
        <v>1207.23</v>
      </c>
    </row>
    <row r="82" spans="1:17" ht="24.95" customHeight="1" x14ac:dyDescent="0.2">
      <c r="A82" s="68" t="str">
        <f t="shared" ref="A82" si="6">D82&amp;" / "&amp;E82</f>
        <v>BIR050 / 1857</v>
      </c>
      <c r="B82" s="865"/>
      <c r="C82" s="571" t="s">
        <v>8411</v>
      </c>
      <c r="D82" s="369" t="s">
        <v>1009</v>
      </c>
      <c r="E82" s="369" t="str">
        <f>VLOOKUP(D:D,'Master Table'!C:D,2,FALSE)</f>
        <v>1857</v>
      </c>
      <c r="F82" s="766" t="s">
        <v>1009</v>
      </c>
      <c r="G82" s="766" t="s">
        <v>1010</v>
      </c>
      <c r="H82" s="769" t="s">
        <v>1011</v>
      </c>
      <c r="I82" s="769" t="s">
        <v>1012</v>
      </c>
      <c r="J82" s="766" t="s">
        <v>324</v>
      </c>
      <c r="K82" s="758">
        <v>0</v>
      </c>
      <c r="L82" s="758">
        <v>150</v>
      </c>
      <c r="M82" s="758"/>
      <c r="N82" s="69">
        <f>K82+L82+M82</f>
        <v>150</v>
      </c>
      <c r="O82" s="69">
        <f>VLOOKUP(D:D,'Master Table'!C:O,13,FALSE)</f>
        <v>125</v>
      </c>
      <c r="P82" s="870">
        <v>125</v>
      </c>
      <c r="Q82" s="870"/>
    </row>
    <row r="83" spans="1:17" ht="24.95" customHeight="1" x14ac:dyDescent="0.2">
      <c r="A83" s="68" t="str">
        <f t="shared" si="4"/>
        <v>BIR083 / 1891</v>
      </c>
      <c r="B83" s="75" t="s">
        <v>1144</v>
      </c>
      <c r="C83" s="75" t="s">
        <v>1762</v>
      </c>
      <c r="D83" s="369" t="s">
        <v>1141</v>
      </c>
      <c r="E83" s="369" t="str">
        <f>VLOOKUP(D:D,'Master Table'!C:D,2,FALSE)</f>
        <v>1891</v>
      </c>
      <c r="F83" s="766" t="s">
        <v>1141</v>
      </c>
      <c r="G83" s="766" t="s">
        <v>1142</v>
      </c>
      <c r="H83" s="769" t="s">
        <v>1143</v>
      </c>
      <c r="I83" s="769" t="s">
        <v>1144</v>
      </c>
      <c r="J83" s="766" t="s">
        <v>324</v>
      </c>
      <c r="K83" s="758">
        <v>0</v>
      </c>
      <c r="L83" s="758">
        <v>30</v>
      </c>
      <c r="M83" s="758"/>
      <c r="N83" s="69">
        <f t="shared" si="3"/>
        <v>30</v>
      </c>
      <c r="O83" s="69">
        <f>VLOOKUP(D:D,'Master Table'!C:O,13,FALSE)</f>
        <v>862.66</v>
      </c>
      <c r="P83" s="446">
        <v>862.66</v>
      </c>
      <c r="Q83" s="103">
        <v>1149.6300000000001</v>
      </c>
    </row>
    <row r="84" spans="1:17" ht="24.95" customHeight="1" x14ac:dyDescent="0.2">
      <c r="A84" s="68" t="str">
        <f t="shared" si="4"/>
        <v>BIR084 / 1892</v>
      </c>
      <c r="B84" s="75" t="s">
        <v>1149</v>
      </c>
      <c r="C84" s="75" t="s">
        <v>5452</v>
      </c>
      <c r="D84" s="369" t="s">
        <v>1146</v>
      </c>
      <c r="E84" s="369" t="str">
        <f>VLOOKUP(D:D,'Master Table'!C:D,2,FALSE)</f>
        <v>1892</v>
      </c>
      <c r="F84" s="766" t="s">
        <v>1146</v>
      </c>
      <c r="G84" s="766" t="s">
        <v>1147</v>
      </c>
      <c r="H84" s="769" t="s">
        <v>1148</v>
      </c>
      <c r="I84" s="769" t="s">
        <v>1149</v>
      </c>
      <c r="J84" s="766" t="s">
        <v>324</v>
      </c>
      <c r="K84" s="758">
        <v>676.6</v>
      </c>
      <c r="L84" s="758">
        <v>165</v>
      </c>
      <c r="M84" s="758"/>
      <c r="N84" s="69">
        <f t="shared" si="3"/>
        <v>841.6</v>
      </c>
      <c r="O84" s="69">
        <f>VLOOKUP(D:D,'Master Table'!C:O,13,FALSE)</f>
        <v>973</v>
      </c>
      <c r="P84" s="446">
        <v>973</v>
      </c>
      <c r="Q84" s="103">
        <v>1118</v>
      </c>
    </row>
    <row r="85" spans="1:17" ht="24.95" customHeight="1" x14ac:dyDescent="0.2">
      <c r="A85" s="68" t="str">
        <f t="shared" si="4"/>
        <v>BIR086 / 1894</v>
      </c>
      <c r="B85" s="75" t="s">
        <v>1153</v>
      </c>
      <c r="C85" s="75" t="s">
        <v>1867</v>
      </c>
      <c r="D85" s="369" t="s">
        <v>1150</v>
      </c>
      <c r="E85" s="369" t="str">
        <f>VLOOKUP(D:D,'Master Table'!C:D,2,FALSE)</f>
        <v>1894</v>
      </c>
      <c r="F85" s="766" t="s">
        <v>1150</v>
      </c>
      <c r="G85" s="766" t="s">
        <v>1151</v>
      </c>
      <c r="H85" s="769" t="s">
        <v>1152</v>
      </c>
      <c r="I85" s="769" t="s">
        <v>1153</v>
      </c>
      <c r="J85" s="766" t="s">
        <v>324</v>
      </c>
      <c r="K85" s="758">
        <v>762.01</v>
      </c>
      <c r="L85" s="758">
        <v>330</v>
      </c>
      <c r="M85" s="758"/>
      <c r="N85" s="69">
        <f t="shared" si="3"/>
        <v>1092.01</v>
      </c>
      <c r="O85" s="69">
        <f>VLOOKUP(D:D,'Master Table'!C:O,13,FALSE)</f>
        <v>3016.92</v>
      </c>
      <c r="P85" s="446">
        <v>3016.92</v>
      </c>
      <c r="Q85" s="103">
        <v>2704.82</v>
      </c>
    </row>
    <row r="86" spans="1:17" ht="24.95" customHeight="1" x14ac:dyDescent="0.2">
      <c r="A86" s="68" t="str">
        <f t="shared" si="4"/>
        <v>BIR087 / 1895</v>
      </c>
      <c r="B86" s="75" t="s">
        <v>1153</v>
      </c>
      <c r="C86" s="75" t="s">
        <v>1157</v>
      </c>
      <c r="D86" s="369" t="s">
        <v>1155</v>
      </c>
      <c r="E86" s="369" t="str">
        <f>VLOOKUP(D:D,'Master Table'!C:D,2,FALSE)</f>
        <v>1895</v>
      </c>
      <c r="F86" s="766" t="s">
        <v>1155</v>
      </c>
      <c r="G86" s="766" t="s">
        <v>1156</v>
      </c>
      <c r="H86" s="769" t="s">
        <v>1157</v>
      </c>
      <c r="I86" s="769" t="s">
        <v>1153</v>
      </c>
      <c r="J86" s="766" t="s">
        <v>324</v>
      </c>
      <c r="K86" s="758">
        <v>0</v>
      </c>
      <c r="L86" s="758">
        <v>270</v>
      </c>
      <c r="M86" s="758">
        <v>2543.4</v>
      </c>
      <c r="N86" s="69">
        <f t="shared" si="3"/>
        <v>2813.4</v>
      </c>
      <c r="O86" s="69">
        <f>VLOOKUP(D:D,'Master Table'!C:O,13,FALSE)</f>
        <v>936.6</v>
      </c>
      <c r="P86" s="446">
        <v>936.6</v>
      </c>
      <c r="Q86" s="103">
        <v>390</v>
      </c>
    </row>
    <row r="87" spans="1:17" ht="24.95" customHeight="1" x14ac:dyDescent="0.2">
      <c r="A87" s="68" t="str">
        <f t="shared" si="4"/>
        <v>BIR088 / 1896</v>
      </c>
      <c r="B87" s="75" t="s">
        <v>1153</v>
      </c>
      <c r="C87" s="75" t="s">
        <v>7216</v>
      </c>
      <c r="D87" s="369" t="s">
        <v>1161</v>
      </c>
      <c r="E87" s="369" t="str">
        <f>VLOOKUP(D:D,'Master Table'!C:D,2,FALSE)</f>
        <v>1896</v>
      </c>
      <c r="F87" s="766" t="s">
        <v>1161</v>
      </c>
      <c r="G87" s="766" t="s">
        <v>1162</v>
      </c>
      <c r="H87" s="769" t="s">
        <v>11</v>
      </c>
      <c r="I87" s="769" t="s">
        <v>1153</v>
      </c>
      <c r="J87" s="766" t="s">
        <v>324</v>
      </c>
      <c r="K87" s="758">
        <v>527.75</v>
      </c>
      <c r="L87" s="758">
        <v>125</v>
      </c>
      <c r="M87" s="758"/>
      <c r="N87" s="69">
        <f t="shared" si="3"/>
        <v>652.75</v>
      </c>
      <c r="O87" s="69">
        <f>VLOOKUP(D:D,'Master Table'!C:O,13,FALSE)</f>
        <v>1294.3200000000002</v>
      </c>
      <c r="P87" s="446">
        <v>1294.3200000000002</v>
      </c>
      <c r="Q87" s="103">
        <v>1469.53</v>
      </c>
    </row>
    <row r="88" spans="1:17" ht="24.95" customHeight="1" x14ac:dyDescent="0.2">
      <c r="A88" s="68" t="str">
        <f t="shared" si="4"/>
        <v>BIR089 / 1897</v>
      </c>
      <c r="B88" s="75" t="s">
        <v>1153</v>
      </c>
      <c r="C88" s="75" t="s">
        <v>1165</v>
      </c>
      <c r="D88" s="369" t="s">
        <v>1163</v>
      </c>
      <c r="E88" s="369" t="str">
        <f>VLOOKUP(D:D,'Master Table'!C:D,2,FALSE)</f>
        <v>1897</v>
      </c>
      <c r="F88" s="766" t="s">
        <v>1163</v>
      </c>
      <c r="G88" s="766" t="s">
        <v>1164</v>
      </c>
      <c r="H88" s="769" t="s">
        <v>1165</v>
      </c>
      <c r="I88" s="769" t="s">
        <v>1153</v>
      </c>
      <c r="J88" s="766" t="s">
        <v>324</v>
      </c>
      <c r="K88" s="758">
        <v>0</v>
      </c>
      <c r="L88" s="758">
        <v>140</v>
      </c>
      <c r="M88" s="758"/>
      <c r="N88" s="69">
        <f t="shared" si="3"/>
        <v>140</v>
      </c>
      <c r="O88" s="69">
        <f>VLOOKUP(D:D,'Master Table'!C:O,13,FALSE)</f>
        <v>1506.83</v>
      </c>
      <c r="P88" s="446">
        <v>1506.83</v>
      </c>
      <c r="Q88" s="103">
        <v>1570</v>
      </c>
    </row>
    <row r="89" spans="1:17" ht="24.95" customHeight="1" x14ac:dyDescent="0.2">
      <c r="A89" s="68" t="str">
        <f t="shared" si="4"/>
        <v>BIR090 / 1898</v>
      </c>
      <c r="B89" s="75" t="s">
        <v>1153</v>
      </c>
      <c r="C89" s="75" t="s">
        <v>7304</v>
      </c>
      <c r="D89" s="369" t="s">
        <v>1166</v>
      </c>
      <c r="E89" s="369" t="str">
        <f>VLOOKUP(D:D,'Master Table'!C:D,2,FALSE)</f>
        <v>1898</v>
      </c>
      <c r="F89" s="766" t="s">
        <v>1166</v>
      </c>
      <c r="G89" s="766" t="s">
        <v>1167</v>
      </c>
      <c r="H89" s="769" t="s">
        <v>127</v>
      </c>
      <c r="I89" s="769" t="s">
        <v>1153</v>
      </c>
      <c r="J89" s="766" t="s">
        <v>324</v>
      </c>
      <c r="K89" s="758">
        <v>0</v>
      </c>
      <c r="L89" s="758">
        <v>10</v>
      </c>
      <c r="M89" s="758">
        <v>1500</v>
      </c>
      <c r="N89" s="69">
        <f t="shared" si="3"/>
        <v>1510</v>
      </c>
      <c r="O89" s="69">
        <f>VLOOKUP(D:D,'Master Table'!C:O,13,FALSE)</f>
        <v>1000</v>
      </c>
      <c r="P89" s="446">
        <v>1000</v>
      </c>
      <c r="Q89" s="103">
        <v>2000</v>
      </c>
    </row>
    <row r="90" spans="1:17" ht="24.95" customHeight="1" x14ac:dyDescent="0.2">
      <c r="A90" s="68" t="str">
        <f t="shared" si="4"/>
        <v>BIR091 / 1899</v>
      </c>
      <c r="B90" s="75" t="s">
        <v>1153</v>
      </c>
      <c r="C90" s="75" t="s">
        <v>231</v>
      </c>
      <c r="D90" s="369" t="s">
        <v>1168</v>
      </c>
      <c r="E90" s="369" t="str">
        <f>VLOOKUP(D:D,'Master Table'!C:D,2,FALSE)</f>
        <v>1899</v>
      </c>
      <c r="F90" s="766" t="s">
        <v>1168</v>
      </c>
      <c r="G90" s="766" t="s">
        <v>1169</v>
      </c>
      <c r="H90" s="769" t="s">
        <v>428</v>
      </c>
      <c r="I90" s="769" t="s">
        <v>1153</v>
      </c>
      <c r="J90" s="766" t="s">
        <v>324</v>
      </c>
      <c r="K90" s="758">
        <v>368.5</v>
      </c>
      <c r="L90" s="758">
        <v>65</v>
      </c>
      <c r="M90" s="758"/>
      <c r="N90" s="69">
        <f t="shared" si="3"/>
        <v>433.5</v>
      </c>
      <c r="O90" s="69">
        <f>VLOOKUP(D:D,'Master Table'!C:O,13,FALSE)</f>
        <v>582.81999999999994</v>
      </c>
      <c r="P90" s="446">
        <v>582.81999999999994</v>
      </c>
      <c r="Q90" s="103">
        <v>235</v>
      </c>
    </row>
    <row r="91" spans="1:17" ht="24.95" customHeight="1" x14ac:dyDescent="0.2">
      <c r="A91" s="68" t="str">
        <f t="shared" si="4"/>
        <v>BIR092 / 1900</v>
      </c>
      <c r="B91" s="75" t="s">
        <v>1153</v>
      </c>
      <c r="C91" s="75" t="s">
        <v>839</v>
      </c>
      <c r="D91" s="369" t="s">
        <v>1170</v>
      </c>
      <c r="E91" s="369" t="str">
        <f>VLOOKUP(D:D,'Master Table'!C:D,2,FALSE)</f>
        <v>1900</v>
      </c>
      <c r="F91" s="766" t="s">
        <v>1170</v>
      </c>
      <c r="G91" s="766" t="s">
        <v>1171</v>
      </c>
      <c r="H91" s="769" t="s">
        <v>66</v>
      </c>
      <c r="I91" s="769" t="s">
        <v>1153</v>
      </c>
      <c r="J91" s="766" t="s">
        <v>324</v>
      </c>
      <c r="K91" s="758">
        <v>763.84</v>
      </c>
      <c r="L91" s="758">
        <v>321</v>
      </c>
      <c r="M91" s="758"/>
      <c r="N91" s="69">
        <f t="shared" si="3"/>
        <v>1084.8400000000001</v>
      </c>
      <c r="O91" s="69">
        <f>VLOOKUP(D:D,'Master Table'!C:O,13,FALSE)</f>
        <v>605.07999999999993</v>
      </c>
      <c r="P91" s="446">
        <v>605.07999999999993</v>
      </c>
      <c r="Q91" s="103">
        <v>830.15</v>
      </c>
    </row>
    <row r="92" spans="1:17" ht="24.95" customHeight="1" x14ac:dyDescent="0.2">
      <c r="A92" s="68" t="str">
        <f t="shared" si="4"/>
        <v>BIR093 / 1901</v>
      </c>
      <c r="B92" s="75" t="s">
        <v>1153</v>
      </c>
      <c r="C92" s="75" t="s">
        <v>5249</v>
      </c>
      <c r="D92" s="369" t="s">
        <v>1172</v>
      </c>
      <c r="E92" s="369" t="str">
        <f>VLOOKUP(D:D,'Master Table'!C:D,2,FALSE)</f>
        <v>1901</v>
      </c>
      <c r="F92" s="766" t="s">
        <v>1172</v>
      </c>
      <c r="G92" s="766" t="s">
        <v>1173</v>
      </c>
      <c r="H92" s="769" t="s">
        <v>1174</v>
      </c>
      <c r="I92" s="769" t="s">
        <v>1153</v>
      </c>
      <c r="J92" s="766" t="s">
        <v>324</v>
      </c>
      <c r="K92" s="758">
        <v>693.75</v>
      </c>
      <c r="L92" s="758">
        <v>140</v>
      </c>
      <c r="M92" s="758"/>
      <c r="N92" s="69">
        <f t="shared" si="3"/>
        <v>833.75</v>
      </c>
      <c r="O92" s="69">
        <f>VLOOKUP(D:D,'Master Table'!C:O,13,FALSE)</f>
        <v>1350</v>
      </c>
      <c r="P92" s="446">
        <v>1350</v>
      </c>
      <c r="Q92" s="103">
        <v>1296</v>
      </c>
    </row>
    <row r="93" spans="1:17" ht="24.95" customHeight="1" x14ac:dyDescent="0.2">
      <c r="A93" s="68" t="str">
        <f t="shared" si="4"/>
        <v>BIR094 / 1903</v>
      </c>
      <c r="B93" s="75" t="s">
        <v>1153</v>
      </c>
      <c r="C93" s="75" t="s">
        <v>2578</v>
      </c>
      <c r="D93" s="369" t="s">
        <v>1175</v>
      </c>
      <c r="E93" s="369" t="str">
        <f>VLOOKUP(D:D,'Master Table'!C:D,2,FALSE)</f>
        <v>1903</v>
      </c>
      <c r="F93" s="766" t="s">
        <v>1175</v>
      </c>
      <c r="G93" s="766" t="s">
        <v>1176</v>
      </c>
      <c r="H93" s="769" t="s">
        <v>989</v>
      </c>
      <c r="I93" s="769" t="s">
        <v>1153</v>
      </c>
      <c r="J93" s="766" t="s">
        <v>324</v>
      </c>
      <c r="K93" s="758">
        <v>0</v>
      </c>
      <c r="L93" s="758">
        <v>110</v>
      </c>
      <c r="M93" s="758">
        <v>538.22</v>
      </c>
      <c r="N93" s="69">
        <f t="shared" si="3"/>
        <v>648.22</v>
      </c>
      <c r="O93" s="69">
        <f>VLOOKUP(D:D,'Master Table'!C:O,13,FALSE)</f>
        <v>1622.8600000000001</v>
      </c>
      <c r="P93" s="446">
        <v>1622.8600000000001</v>
      </c>
      <c r="Q93" s="103">
        <v>845.59</v>
      </c>
    </row>
    <row r="94" spans="1:17" ht="24.95" customHeight="1" x14ac:dyDescent="0.2">
      <c r="A94" s="68" t="str">
        <f t="shared" si="4"/>
        <v>BIR095 / 1904</v>
      </c>
      <c r="B94" s="75" t="s">
        <v>1153</v>
      </c>
      <c r="C94" s="75" t="s">
        <v>270</v>
      </c>
      <c r="D94" s="369" t="s">
        <v>1178</v>
      </c>
      <c r="E94" s="369" t="str">
        <f>VLOOKUP(D:D,'Master Table'!C:D,2,FALSE)</f>
        <v>1904</v>
      </c>
      <c r="F94" s="766" t="s">
        <v>1178</v>
      </c>
      <c r="G94" s="766" t="s">
        <v>1179</v>
      </c>
      <c r="H94" s="769" t="s">
        <v>1180</v>
      </c>
      <c r="I94" s="769" t="s">
        <v>1153</v>
      </c>
      <c r="J94" s="766" t="s">
        <v>324</v>
      </c>
      <c r="K94" s="758">
        <v>0</v>
      </c>
      <c r="L94" s="758">
        <v>220</v>
      </c>
      <c r="M94" s="758"/>
      <c r="N94" s="69">
        <f t="shared" si="3"/>
        <v>220</v>
      </c>
      <c r="O94" s="69">
        <f>VLOOKUP(D:D,'Master Table'!C:O,13,FALSE)</f>
        <v>482.49</v>
      </c>
      <c r="P94" s="446">
        <v>482.49</v>
      </c>
      <c r="Q94" s="103">
        <v>919.08</v>
      </c>
    </row>
    <row r="95" spans="1:17" ht="24.95" customHeight="1" x14ac:dyDescent="0.2">
      <c r="A95" s="68" t="str">
        <f t="shared" si="4"/>
        <v>BIR096 / 1905</v>
      </c>
      <c r="B95" s="75" t="s">
        <v>1153</v>
      </c>
      <c r="C95" s="75" t="s">
        <v>1026</v>
      </c>
      <c r="D95" s="369" t="s">
        <v>1181</v>
      </c>
      <c r="E95" s="369" t="str">
        <f>VLOOKUP(D:D,'Master Table'!C:D,2,FALSE)</f>
        <v>1905</v>
      </c>
      <c r="F95" s="766" t="s">
        <v>1181</v>
      </c>
      <c r="G95" s="766" t="s">
        <v>1182</v>
      </c>
      <c r="H95" s="769" t="s">
        <v>1183</v>
      </c>
      <c r="I95" s="769" t="s">
        <v>1153</v>
      </c>
      <c r="J95" s="766" t="s">
        <v>324</v>
      </c>
      <c r="K95" s="758">
        <v>0</v>
      </c>
      <c r="L95" s="758">
        <v>140.5</v>
      </c>
      <c r="M95" s="758"/>
      <c r="N95" s="69">
        <f t="shared" si="3"/>
        <v>140.5</v>
      </c>
      <c r="O95" s="69">
        <f>VLOOKUP(D:D,'Master Table'!C:O,13,FALSE)</f>
        <v>700.78</v>
      </c>
      <c r="P95" s="446">
        <v>700.78</v>
      </c>
      <c r="Q95" s="103">
        <v>662.48</v>
      </c>
    </row>
    <row r="96" spans="1:17" ht="24.95" customHeight="1" x14ac:dyDescent="0.2">
      <c r="A96" s="68" t="str">
        <f t="shared" si="4"/>
        <v>BIR097 / 1906</v>
      </c>
      <c r="B96" s="75" t="s">
        <v>1153</v>
      </c>
      <c r="C96" s="75" t="s">
        <v>1186</v>
      </c>
      <c r="D96" s="369" t="s">
        <v>1184</v>
      </c>
      <c r="E96" s="369" t="str">
        <f>VLOOKUP(D:D,'Master Table'!C:D,2,FALSE)</f>
        <v>1906</v>
      </c>
      <c r="F96" s="766" t="s">
        <v>1184</v>
      </c>
      <c r="G96" s="766" t="s">
        <v>1185</v>
      </c>
      <c r="H96" s="769" t="s">
        <v>1186</v>
      </c>
      <c r="I96" s="769" t="s">
        <v>1153</v>
      </c>
      <c r="J96" s="766" t="s">
        <v>324</v>
      </c>
      <c r="K96" s="758">
        <v>0</v>
      </c>
      <c r="L96" s="758">
        <v>25</v>
      </c>
      <c r="M96" s="758"/>
      <c r="N96" s="69">
        <f t="shared" si="3"/>
        <v>25</v>
      </c>
      <c r="O96" s="69">
        <f>VLOOKUP(D:D,'Master Table'!C:O,13,FALSE)</f>
        <v>514.53</v>
      </c>
      <c r="P96" s="446">
        <v>514.53</v>
      </c>
      <c r="Q96" s="103">
        <v>400.78</v>
      </c>
    </row>
    <row r="97" spans="1:17" ht="24.95" customHeight="1" x14ac:dyDescent="0.2">
      <c r="A97" s="68" t="str">
        <f t="shared" si="4"/>
        <v>BIR098 / 1907</v>
      </c>
      <c r="B97" s="75" t="s">
        <v>1153</v>
      </c>
      <c r="C97" s="75" t="s">
        <v>7305</v>
      </c>
      <c r="D97" s="369" t="s">
        <v>1188</v>
      </c>
      <c r="E97" s="369" t="str">
        <f>VLOOKUP(D:D,'Master Table'!C:D,2,FALSE)</f>
        <v>1907</v>
      </c>
      <c r="F97" s="766" t="s">
        <v>1188</v>
      </c>
      <c r="G97" s="766" t="s">
        <v>1189</v>
      </c>
      <c r="H97" s="769" t="s">
        <v>1190</v>
      </c>
      <c r="I97" s="769" t="s">
        <v>1153</v>
      </c>
      <c r="J97" s="766" t="s">
        <v>324</v>
      </c>
      <c r="K97" s="758">
        <v>250.08</v>
      </c>
      <c r="L97" s="758">
        <v>100</v>
      </c>
      <c r="M97" s="758"/>
      <c r="N97" s="69">
        <f t="shared" si="3"/>
        <v>350.08000000000004</v>
      </c>
      <c r="O97" s="69">
        <f>VLOOKUP(D:D,'Master Table'!C:O,13,FALSE)</f>
        <v>506.75</v>
      </c>
      <c r="P97" s="446">
        <v>506.75</v>
      </c>
      <c r="Q97" s="103">
        <v>1119.46</v>
      </c>
    </row>
    <row r="98" spans="1:17" ht="24.95" customHeight="1" x14ac:dyDescent="0.2">
      <c r="A98" s="68" t="str">
        <f t="shared" si="4"/>
        <v>BIR099 / 1908</v>
      </c>
      <c r="B98" s="75" t="s">
        <v>1153</v>
      </c>
      <c r="C98" s="75" t="s">
        <v>158</v>
      </c>
      <c r="D98" s="369" t="s">
        <v>1191</v>
      </c>
      <c r="E98" s="369" t="str">
        <f>VLOOKUP(D:D,'Master Table'!C:D,2,FALSE)</f>
        <v>1908</v>
      </c>
      <c r="F98" s="766" t="s">
        <v>1191</v>
      </c>
      <c r="G98" s="766" t="s">
        <v>1192</v>
      </c>
      <c r="H98" s="769" t="s">
        <v>124</v>
      </c>
      <c r="I98" s="769" t="s">
        <v>1153</v>
      </c>
      <c r="J98" s="766" t="s">
        <v>324</v>
      </c>
      <c r="K98" s="758">
        <v>98.69</v>
      </c>
      <c r="L98" s="758">
        <v>115</v>
      </c>
      <c r="M98" s="758"/>
      <c r="N98" s="69">
        <f t="shared" si="3"/>
        <v>213.69</v>
      </c>
      <c r="O98" s="69">
        <f>VLOOKUP(D:D,'Master Table'!C:O,13,FALSE)</f>
        <v>1133.9100000000001</v>
      </c>
      <c r="P98" s="446">
        <v>1133.9100000000001</v>
      </c>
      <c r="Q98" s="103">
        <v>1515</v>
      </c>
    </row>
    <row r="99" spans="1:17" ht="24.95" customHeight="1" x14ac:dyDescent="0.2">
      <c r="A99" s="68" t="str">
        <f t="shared" si="4"/>
        <v>BIR100 / 1910</v>
      </c>
      <c r="B99" s="75" t="s">
        <v>1153</v>
      </c>
      <c r="C99" s="75" t="s">
        <v>453</v>
      </c>
      <c r="D99" s="369" t="s">
        <v>1196</v>
      </c>
      <c r="E99" s="369" t="str">
        <f>VLOOKUP(D:D,'Master Table'!C:D,2,FALSE)</f>
        <v>1910</v>
      </c>
      <c r="F99" s="766" t="s">
        <v>1196</v>
      </c>
      <c r="G99" s="766" t="s">
        <v>1197</v>
      </c>
      <c r="H99" s="769" t="s">
        <v>453</v>
      </c>
      <c r="I99" s="769" t="s">
        <v>1153</v>
      </c>
      <c r="J99" s="766" t="s">
        <v>324</v>
      </c>
      <c r="K99" s="758">
        <v>594.20000000000005</v>
      </c>
      <c r="L99" s="758">
        <v>130</v>
      </c>
      <c r="M99" s="758"/>
      <c r="N99" s="69">
        <f t="shared" si="3"/>
        <v>724.2</v>
      </c>
      <c r="O99" s="69">
        <f>VLOOKUP(D:D,'Master Table'!C:O,13,FALSE)</f>
        <v>2568.5100000000002</v>
      </c>
      <c r="P99" s="446">
        <v>2568.5100000000002</v>
      </c>
      <c r="Q99" s="103">
        <v>2849.77</v>
      </c>
    </row>
    <row r="100" spans="1:17" ht="24.95" customHeight="1" x14ac:dyDescent="0.2">
      <c r="A100" s="68" t="str">
        <f t="shared" si="4"/>
        <v>BIR101 / 1912</v>
      </c>
      <c r="B100" s="75" t="s">
        <v>1204</v>
      </c>
      <c r="C100" s="75" t="s">
        <v>1203</v>
      </c>
      <c r="D100" s="369" t="s">
        <v>1201</v>
      </c>
      <c r="E100" s="369" t="str">
        <f>VLOOKUP(D:D,'Master Table'!C:D,2,FALSE)</f>
        <v>1912</v>
      </c>
      <c r="F100" s="766" t="s">
        <v>1201</v>
      </c>
      <c r="G100" s="766" t="s">
        <v>1202</v>
      </c>
      <c r="H100" s="769" t="s">
        <v>1203</v>
      </c>
      <c r="I100" s="769" t="s">
        <v>1204</v>
      </c>
      <c r="J100" s="766" t="s">
        <v>324</v>
      </c>
      <c r="K100" s="758">
        <v>208.98</v>
      </c>
      <c r="L100" s="758"/>
      <c r="M100" s="758"/>
      <c r="N100" s="69">
        <f t="shared" si="3"/>
        <v>208.98</v>
      </c>
      <c r="O100" s="69">
        <f>VLOOKUP(D:D,'Master Table'!C:O,13,FALSE)</f>
        <v>349.27</v>
      </c>
      <c r="P100" s="446">
        <v>349.27</v>
      </c>
      <c r="Q100" s="103">
        <v>719.31</v>
      </c>
    </row>
    <row r="101" spans="1:17" ht="24.95" customHeight="1" x14ac:dyDescent="0.2">
      <c r="A101" s="68" t="str">
        <f t="shared" si="4"/>
        <v>BIR102 / 1913</v>
      </c>
      <c r="B101" s="75" t="s">
        <v>1207</v>
      </c>
      <c r="C101" s="75" t="s">
        <v>532</v>
      </c>
      <c r="D101" s="369" t="s">
        <v>1205</v>
      </c>
      <c r="E101" s="369" t="str">
        <f>VLOOKUP(D:D,'Master Table'!C:D,2,FALSE)</f>
        <v>1913</v>
      </c>
      <c r="F101" s="766" t="s">
        <v>1205</v>
      </c>
      <c r="G101" s="766" t="s">
        <v>1206</v>
      </c>
      <c r="H101" s="769" t="s">
        <v>61</v>
      </c>
      <c r="I101" s="769" t="s">
        <v>1207</v>
      </c>
      <c r="J101" s="766" t="s">
        <v>351</v>
      </c>
      <c r="K101" s="758">
        <v>3171.65</v>
      </c>
      <c r="L101" s="758">
        <v>35</v>
      </c>
      <c r="M101" s="758"/>
      <c r="N101" s="69">
        <f t="shared" si="3"/>
        <v>3206.65</v>
      </c>
      <c r="O101" s="69">
        <f>VLOOKUP(D:D,'Master Table'!C:O,13,FALSE)</f>
        <v>688.9</v>
      </c>
      <c r="P101" s="446">
        <v>688.9</v>
      </c>
      <c r="Q101" s="103">
        <v>730</v>
      </c>
    </row>
    <row r="102" spans="1:17" ht="24.95" customHeight="1" x14ac:dyDescent="0.2">
      <c r="A102" s="68" t="str">
        <f t="shared" si="4"/>
        <v>BIR103 / 1914</v>
      </c>
      <c r="B102" s="75" t="s">
        <v>1211</v>
      </c>
      <c r="C102" s="75" t="s">
        <v>1210</v>
      </c>
      <c r="D102" s="369" t="s">
        <v>1208</v>
      </c>
      <c r="E102" s="369" t="str">
        <f>VLOOKUP(D:D,'Master Table'!C:D,2,FALSE)</f>
        <v>1914</v>
      </c>
      <c r="F102" s="766" t="s">
        <v>1208</v>
      </c>
      <c r="G102" s="766" t="s">
        <v>1209</v>
      </c>
      <c r="H102" s="769" t="s">
        <v>1210</v>
      </c>
      <c r="I102" s="769" t="s">
        <v>1211</v>
      </c>
      <c r="J102" s="766" t="s">
        <v>324</v>
      </c>
      <c r="K102" s="758">
        <v>338.19</v>
      </c>
      <c r="L102" s="758">
        <v>95</v>
      </c>
      <c r="M102" s="758"/>
      <c r="N102" s="69">
        <f t="shared" si="3"/>
        <v>433.19</v>
      </c>
      <c r="O102" s="69">
        <f>VLOOKUP(D:D,'Master Table'!C:O,13,FALSE)</f>
        <v>595.44000000000005</v>
      </c>
      <c r="P102" s="446">
        <v>595.44000000000005</v>
      </c>
      <c r="Q102" s="103">
        <v>526.23</v>
      </c>
    </row>
    <row r="103" spans="1:17" ht="24.95" customHeight="1" x14ac:dyDescent="0.2">
      <c r="A103" s="68" t="str">
        <f t="shared" si="4"/>
        <v>BIR104 / 1915</v>
      </c>
      <c r="B103" s="79" t="s">
        <v>1219</v>
      </c>
      <c r="C103" s="79" t="s">
        <v>1218</v>
      </c>
      <c r="D103" s="369" t="s">
        <v>1216</v>
      </c>
      <c r="E103" s="369" t="str">
        <f>VLOOKUP(D:D,'Master Table'!C:D,2,FALSE)</f>
        <v>1915</v>
      </c>
      <c r="F103" s="766" t="s">
        <v>1216</v>
      </c>
      <c r="G103" s="766" t="s">
        <v>1217</v>
      </c>
      <c r="H103" s="769" t="s">
        <v>1218</v>
      </c>
      <c r="I103" s="769" t="s">
        <v>1219</v>
      </c>
      <c r="J103" s="766" t="s">
        <v>324</v>
      </c>
      <c r="K103" s="758">
        <v>2100.75</v>
      </c>
      <c r="L103" s="758">
        <v>960</v>
      </c>
      <c r="M103" s="758"/>
      <c r="N103" s="69">
        <f t="shared" si="3"/>
        <v>3060.75</v>
      </c>
      <c r="O103" s="69">
        <f>VLOOKUP(D:D,'Master Table'!C:O,13,FALSE)</f>
        <v>12223.95</v>
      </c>
      <c r="P103" s="446">
        <v>12223.95</v>
      </c>
      <c r="Q103" s="103">
        <v>2620.0500000000002</v>
      </c>
    </row>
    <row r="104" spans="1:17" ht="24.95" customHeight="1" x14ac:dyDescent="0.2">
      <c r="A104" s="68"/>
      <c r="B104" s="79"/>
      <c r="C104" s="79"/>
      <c r="D104" s="369"/>
      <c r="E104" s="369"/>
      <c r="F104" s="766" t="s">
        <v>1220</v>
      </c>
      <c r="G104" s="766" t="s">
        <v>1221</v>
      </c>
      <c r="H104" s="769" t="s">
        <v>1222</v>
      </c>
      <c r="I104" s="769" t="s">
        <v>1223</v>
      </c>
      <c r="J104" s="766" t="s">
        <v>324</v>
      </c>
      <c r="K104" s="758">
        <v>0</v>
      </c>
      <c r="L104" s="758">
        <v>120</v>
      </c>
      <c r="M104" s="758"/>
      <c r="N104" s="69">
        <f t="shared" si="3"/>
        <v>120</v>
      </c>
      <c r="O104" s="69"/>
      <c r="P104" s="446"/>
      <c r="Q104" s="103"/>
    </row>
    <row r="105" spans="1:17" ht="24.95" customHeight="1" x14ac:dyDescent="0.2">
      <c r="A105" s="68" t="str">
        <f t="shared" si="4"/>
        <v>BIR105 / 1917</v>
      </c>
      <c r="B105" s="75" t="s">
        <v>1227</v>
      </c>
      <c r="C105" s="75" t="s">
        <v>1226</v>
      </c>
      <c r="D105" s="369" t="s">
        <v>1224</v>
      </c>
      <c r="E105" s="369" t="str">
        <f>VLOOKUP(D:D,'Master Table'!C:D,2,FALSE)</f>
        <v>1917</v>
      </c>
      <c r="F105" s="766" t="s">
        <v>1224</v>
      </c>
      <c r="G105" s="766" t="s">
        <v>1225</v>
      </c>
      <c r="H105" s="769" t="s">
        <v>1226</v>
      </c>
      <c r="I105" s="769" t="s">
        <v>1227</v>
      </c>
      <c r="J105" s="766" t="s">
        <v>324</v>
      </c>
      <c r="K105" s="758">
        <v>157.66</v>
      </c>
      <c r="L105" s="758">
        <v>125</v>
      </c>
      <c r="M105" s="758"/>
      <c r="N105" s="69">
        <f t="shared" si="3"/>
        <v>282.65999999999997</v>
      </c>
      <c r="O105" s="69">
        <f>VLOOKUP(D:D,'Master Table'!C:O,13,FALSE)</f>
        <v>438.87</v>
      </c>
      <c r="P105" s="446">
        <v>438.87</v>
      </c>
      <c r="Q105" s="103">
        <v>966.49</v>
      </c>
    </row>
    <row r="106" spans="1:17" ht="24.95" customHeight="1" x14ac:dyDescent="0.2">
      <c r="A106" s="68" t="str">
        <f t="shared" si="4"/>
        <v>BIR106 / 1918</v>
      </c>
      <c r="B106" s="75" t="s">
        <v>1231</v>
      </c>
      <c r="C106" s="75" t="s">
        <v>1230</v>
      </c>
      <c r="D106" s="369" t="s">
        <v>1228</v>
      </c>
      <c r="E106" s="369" t="str">
        <f>VLOOKUP(D:D,'Master Table'!C:D,2,FALSE)</f>
        <v>1918</v>
      </c>
      <c r="F106" s="766" t="s">
        <v>1228</v>
      </c>
      <c r="G106" s="766" t="s">
        <v>1229</v>
      </c>
      <c r="H106" s="769" t="s">
        <v>1230</v>
      </c>
      <c r="I106" s="769" t="s">
        <v>1231</v>
      </c>
      <c r="J106" s="766" t="s">
        <v>324</v>
      </c>
      <c r="K106" s="758">
        <v>150</v>
      </c>
      <c r="L106" s="758">
        <v>220</v>
      </c>
      <c r="M106" s="758"/>
      <c r="N106" s="69">
        <f t="shared" si="3"/>
        <v>370</v>
      </c>
      <c r="O106" s="69">
        <f>VLOOKUP(D:D,'Master Table'!C:O,13,FALSE)</f>
        <v>845.41</v>
      </c>
      <c r="P106" s="446">
        <v>845.41</v>
      </c>
      <c r="Q106" s="103">
        <v>828.4</v>
      </c>
    </row>
    <row r="107" spans="1:17" ht="24.95" customHeight="1" x14ac:dyDescent="0.2">
      <c r="A107" s="68" t="str">
        <f t="shared" si="4"/>
        <v>BIR107 / 1919</v>
      </c>
      <c r="B107" s="75" t="s">
        <v>1234</v>
      </c>
      <c r="C107" s="75" t="s">
        <v>231</v>
      </c>
      <c r="D107" s="369" t="s">
        <v>1232</v>
      </c>
      <c r="E107" s="369" t="str">
        <f>VLOOKUP(D:D,'Master Table'!C:D,2,FALSE)</f>
        <v>1919</v>
      </c>
      <c r="F107" s="766" t="s">
        <v>1232</v>
      </c>
      <c r="G107" s="766" t="s">
        <v>1233</v>
      </c>
      <c r="H107" s="769" t="s">
        <v>231</v>
      </c>
      <c r="I107" s="769" t="s">
        <v>1234</v>
      </c>
      <c r="J107" s="766" t="s">
        <v>324</v>
      </c>
      <c r="K107" s="758">
        <v>152.72</v>
      </c>
      <c r="L107" s="758">
        <v>51.18</v>
      </c>
      <c r="M107" s="758"/>
      <c r="N107" s="69">
        <f t="shared" si="3"/>
        <v>203.9</v>
      </c>
      <c r="O107" s="69">
        <f>VLOOKUP(D:D,'Master Table'!C:O,13,FALSE)</f>
        <v>294.18</v>
      </c>
      <c r="P107" s="446">
        <v>294.18</v>
      </c>
      <c r="Q107" s="103">
        <v>309.12</v>
      </c>
    </row>
    <row r="108" spans="1:17" ht="24.95" customHeight="1" x14ac:dyDescent="0.2">
      <c r="A108" s="68" t="str">
        <f t="shared" si="4"/>
        <v>BIR108 / 1920</v>
      </c>
      <c r="B108" s="75" t="s">
        <v>1238</v>
      </c>
      <c r="C108" s="75" t="s">
        <v>7306</v>
      </c>
      <c r="D108" s="369" t="s">
        <v>1235</v>
      </c>
      <c r="E108" s="369" t="str">
        <f>VLOOKUP(D:D,'Master Table'!C:D,2,FALSE)</f>
        <v>1920</v>
      </c>
      <c r="F108" s="766" t="s">
        <v>1235</v>
      </c>
      <c r="G108" s="766" t="s">
        <v>1236</v>
      </c>
      <c r="H108" s="769" t="s">
        <v>11401</v>
      </c>
      <c r="I108" s="769" t="s">
        <v>1238</v>
      </c>
      <c r="J108" s="766" t="s">
        <v>324</v>
      </c>
      <c r="K108" s="758">
        <v>804.8</v>
      </c>
      <c r="L108" s="758">
        <v>425</v>
      </c>
      <c r="M108" s="758"/>
      <c r="N108" s="69">
        <f t="shared" si="3"/>
        <v>1229.8</v>
      </c>
      <c r="O108" s="69">
        <f>VLOOKUP(D:D,'Master Table'!C:O,13,FALSE)</f>
        <v>398</v>
      </c>
      <c r="P108" s="446">
        <v>398</v>
      </c>
      <c r="Q108" s="103">
        <v>966</v>
      </c>
    </row>
    <row r="109" spans="1:17" ht="24.95" customHeight="1" x14ac:dyDescent="0.2">
      <c r="A109" s="68" t="str">
        <f t="shared" si="4"/>
        <v>BIR109 / 1921</v>
      </c>
      <c r="B109" s="75" t="s">
        <v>1241</v>
      </c>
      <c r="C109" s="75" t="s">
        <v>1065</v>
      </c>
      <c r="D109" s="369" t="s">
        <v>1239</v>
      </c>
      <c r="E109" s="369" t="str">
        <f>VLOOKUP(D:D,'Master Table'!C:D,2,FALSE)</f>
        <v>1921</v>
      </c>
      <c r="F109" s="766" t="s">
        <v>1239</v>
      </c>
      <c r="G109" s="766" t="s">
        <v>1240</v>
      </c>
      <c r="H109" s="769" t="s">
        <v>276</v>
      </c>
      <c r="I109" s="769" t="s">
        <v>1241</v>
      </c>
      <c r="J109" s="766" t="s">
        <v>324</v>
      </c>
      <c r="K109" s="758">
        <v>0</v>
      </c>
      <c r="L109" s="758"/>
      <c r="M109" s="758">
        <v>177.1</v>
      </c>
      <c r="N109" s="69">
        <f t="shared" si="3"/>
        <v>177.1</v>
      </c>
      <c r="O109" s="69">
        <f>VLOOKUP(D:D,'Master Table'!C:O,13,FALSE)</f>
        <v>225.14</v>
      </c>
      <c r="P109" s="446">
        <v>225.14</v>
      </c>
      <c r="Q109" s="103">
        <v>300.72000000000003</v>
      </c>
    </row>
    <row r="110" spans="1:17" ht="24.95" customHeight="1" x14ac:dyDescent="0.2">
      <c r="A110" s="68" t="str">
        <f t="shared" si="4"/>
        <v>BIR110 / 1923</v>
      </c>
      <c r="B110" s="75" t="s">
        <v>1245</v>
      </c>
      <c r="C110" s="75" t="s">
        <v>1244</v>
      </c>
      <c r="D110" s="369" t="s">
        <v>1242</v>
      </c>
      <c r="E110" s="369" t="str">
        <f>VLOOKUP(D:D,'Master Table'!C:D,2,FALSE)</f>
        <v>1923</v>
      </c>
      <c r="F110" s="766" t="s">
        <v>1242</v>
      </c>
      <c r="G110" s="766" t="s">
        <v>1243</v>
      </c>
      <c r="H110" s="769" t="s">
        <v>1244</v>
      </c>
      <c r="I110" s="769" t="s">
        <v>1245</v>
      </c>
      <c r="J110" s="766" t="s">
        <v>324</v>
      </c>
      <c r="K110" s="758">
        <v>0</v>
      </c>
      <c r="L110" s="758">
        <v>30</v>
      </c>
      <c r="M110" s="758"/>
      <c r="N110" s="69">
        <f t="shared" si="3"/>
        <v>30</v>
      </c>
      <c r="O110" s="69">
        <f>VLOOKUP(D:D,'Master Table'!C:O,13,FALSE)</f>
        <v>30</v>
      </c>
      <c r="P110" s="446">
        <v>30</v>
      </c>
      <c r="Q110" s="103">
        <v>162.47999999999999</v>
      </c>
    </row>
    <row r="111" spans="1:17" ht="24.95" customHeight="1" x14ac:dyDescent="0.2">
      <c r="A111" s="68" t="str">
        <f t="shared" si="4"/>
        <v>BIR110A / 147925</v>
      </c>
      <c r="B111" s="75" t="s">
        <v>1248</v>
      </c>
      <c r="C111" s="75" t="s">
        <v>7278</v>
      </c>
      <c r="D111" s="369" t="s">
        <v>1246</v>
      </c>
      <c r="E111" s="369" t="str">
        <f>VLOOKUP(D:D,'Master Table'!C:D,2,FALSE)</f>
        <v>147925</v>
      </c>
      <c r="F111" s="766" t="s">
        <v>1246</v>
      </c>
      <c r="G111" s="766" t="s">
        <v>1247</v>
      </c>
      <c r="H111" s="769" t="s">
        <v>916</v>
      </c>
      <c r="I111" s="769" t="s">
        <v>1248</v>
      </c>
      <c r="J111" s="766" t="s">
        <v>324</v>
      </c>
      <c r="K111" s="758">
        <v>242.7</v>
      </c>
      <c r="L111" s="758">
        <v>150</v>
      </c>
      <c r="M111" s="758"/>
      <c r="N111" s="69">
        <f t="shared" si="3"/>
        <v>392.7</v>
      </c>
      <c r="O111" s="69">
        <f>VLOOKUP(D:D,'Master Table'!C:O,13,FALSE)</f>
        <v>499.75</v>
      </c>
      <c r="P111" s="446">
        <v>499.75</v>
      </c>
      <c r="Q111" s="103">
        <v>372.18</v>
      </c>
    </row>
    <row r="112" spans="1:17" ht="24.95" customHeight="1" x14ac:dyDescent="0.2">
      <c r="A112" s="68" t="str">
        <f t="shared" si="4"/>
        <v>BIR111 / 1924</v>
      </c>
      <c r="B112" s="75" t="s">
        <v>1252</v>
      </c>
      <c r="C112" s="75" t="s">
        <v>7207</v>
      </c>
      <c r="D112" s="369" t="s">
        <v>1249</v>
      </c>
      <c r="E112" s="369" t="str">
        <f>VLOOKUP(D:D,'Master Table'!C:D,2,FALSE)</f>
        <v>1924</v>
      </c>
      <c r="F112" s="766" t="s">
        <v>1249</v>
      </c>
      <c r="G112" s="766" t="s">
        <v>1250</v>
      </c>
      <c r="H112" s="769" t="s">
        <v>1251</v>
      </c>
      <c r="I112" s="769" t="s">
        <v>1252</v>
      </c>
      <c r="J112" s="766" t="s">
        <v>324</v>
      </c>
      <c r="K112" s="758">
        <v>398.5</v>
      </c>
      <c r="L112" s="758">
        <v>30</v>
      </c>
      <c r="M112" s="758"/>
      <c r="N112" s="69">
        <f t="shared" si="3"/>
        <v>428.5</v>
      </c>
      <c r="O112" s="69">
        <f>VLOOKUP(D:D,'Master Table'!C:O,13,FALSE)</f>
        <v>1115.55</v>
      </c>
      <c r="P112" s="446">
        <v>1115.55</v>
      </c>
      <c r="Q112" s="103">
        <v>1424.9</v>
      </c>
    </row>
    <row r="113" spans="1:17" ht="24.95" customHeight="1" x14ac:dyDescent="0.2">
      <c r="A113" s="68" t="str">
        <f t="shared" si="4"/>
        <v>BIR112 / 1925</v>
      </c>
      <c r="B113" s="75" t="s">
        <v>1256</v>
      </c>
      <c r="C113" s="75" t="s">
        <v>1255</v>
      </c>
      <c r="D113" s="369" t="s">
        <v>1253</v>
      </c>
      <c r="E113" s="369" t="str">
        <f>VLOOKUP(D:D,'Master Table'!C:D,2,FALSE)</f>
        <v>1925</v>
      </c>
      <c r="F113" s="766" t="s">
        <v>1253</v>
      </c>
      <c r="G113" s="766" t="s">
        <v>1254</v>
      </c>
      <c r="H113" s="769" t="s">
        <v>1255</v>
      </c>
      <c r="I113" s="769" t="s">
        <v>1256</v>
      </c>
      <c r="J113" s="766" t="s">
        <v>324</v>
      </c>
      <c r="K113" s="758">
        <v>0</v>
      </c>
      <c r="L113" s="758">
        <v>25</v>
      </c>
      <c r="M113" s="758">
        <v>200</v>
      </c>
      <c r="N113" s="69">
        <f t="shared" si="3"/>
        <v>225</v>
      </c>
      <c r="O113" s="69">
        <f>VLOOKUP(D:D,'Master Table'!C:O,13,FALSE)</f>
        <v>542.54999999999995</v>
      </c>
      <c r="P113" s="446">
        <v>542.54999999999995</v>
      </c>
      <c r="Q113" s="103">
        <v>711.07999999999993</v>
      </c>
    </row>
    <row r="114" spans="1:17" ht="24.95" customHeight="1" x14ac:dyDescent="0.2">
      <c r="A114" s="68" t="str">
        <f t="shared" si="4"/>
        <v>BIR113 / 1926</v>
      </c>
      <c r="B114" s="75" t="s">
        <v>7307</v>
      </c>
      <c r="C114" s="75" t="s">
        <v>3463</v>
      </c>
      <c r="D114" s="369" t="s">
        <v>1257</v>
      </c>
      <c r="E114" s="369" t="str">
        <f>VLOOKUP(D:D,'Master Table'!C:D,2,FALSE)</f>
        <v>1926</v>
      </c>
      <c r="F114" s="766" t="s">
        <v>1257</v>
      </c>
      <c r="G114" s="766" t="s">
        <v>1258</v>
      </c>
      <c r="H114" s="769" t="s">
        <v>61</v>
      </c>
      <c r="I114" s="769" t="s">
        <v>1259</v>
      </c>
      <c r="J114" s="766" t="s">
        <v>324</v>
      </c>
      <c r="K114" s="758">
        <v>8.26</v>
      </c>
      <c r="L114" s="758">
        <v>230.65</v>
      </c>
      <c r="M114" s="758"/>
      <c r="N114" s="69">
        <f t="shared" si="3"/>
        <v>238.91</v>
      </c>
      <c r="O114" s="69">
        <f>VLOOKUP(D:D,'Master Table'!C:O,13,FALSE)</f>
        <v>2128.3000000000002</v>
      </c>
      <c r="P114" s="446">
        <v>2128.3000000000002</v>
      </c>
      <c r="Q114" s="103">
        <v>2089.85</v>
      </c>
    </row>
    <row r="115" spans="1:17" ht="24.95" customHeight="1" x14ac:dyDescent="0.2">
      <c r="A115" s="68" t="str">
        <f t="shared" si="4"/>
        <v>BIR113X / 1927</v>
      </c>
      <c r="B115" s="75" t="s">
        <v>1263</v>
      </c>
      <c r="C115" s="75" t="s">
        <v>7308</v>
      </c>
      <c r="D115" s="369" t="s">
        <v>1260</v>
      </c>
      <c r="E115" s="369" t="str">
        <f>VLOOKUP(D:D,'Master Table'!C:D,2,FALSE)</f>
        <v>1927</v>
      </c>
      <c r="F115" s="766" t="s">
        <v>1260</v>
      </c>
      <c r="G115" s="766" t="s">
        <v>1261</v>
      </c>
      <c r="H115" s="769" t="s">
        <v>1262</v>
      </c>
      <c r="I115" s="769" t="s">
        <v>1263</v>
      </c>
      <c r="J115" s="766" t="s">
        <v>324</v>
      </c>
      <c r="K115" s="758">
        <v>0</v>
      </c>
      <c r="L115" s="758">
        <v>26</v>
      </c>
      <c r="M115" s="758">
        <v>291.23</v>
      </c>
      <c r="N115" s="69">
        <f t="shared" si="3"/>
        <v>317.23</v>
      </c>
      <c r="O115" s="69">
        <f>VLOOKUP(D:D,'Master Table'!C:O,13,FALSE)</f>
        <v>831.58999999999992</v>
      </c>
      <c r="P115" s="446">
        <v>831.58999999999992</v>
      </c>
      <c r="Q115" s="103">
        <v>1024.24</v>
      </c>
    </row>
    <row r="116" spans="1:17" ht="24.95" customHeight="1" x14ac:dyDescent="0.2">
      <c r="A116" s="68" t="str">
        <f t="shared" si="4"/>
        <v>BIR114 / 1928</v>
      </c>
      <c r="B116" s="75" t="s">
        <v>1267</v>
      </c>
      <c r="C116" s="75" t="s">
        <v>7309</v>
      </c>
      <c r="D116" s="369" t="s">
        <v>1264</v>
      </c>
      <c r="E116" s="369" t="str">
        <f>VLOOKUP(D:D,'Master Table'!C:D,2,FALSE)</f>
        <v>1928</v>
      </c>
      <c r="F116" s="766" t="s">
        <v>1264</v>
      </c>
      <c r="G116" s="766" t="s">
        <v>1265</v>
      </c>
      <c r="H116" s="769" t="s">
        <v>1266</v>
      </c>
      <c r="I116" s="769" t="s">
        <v>1267</v>
      </c>
      <c r="J116" s="766" t="s">
        <v>324</v>
      </c>
      <c r="K116" s="758">
        <v>0</v>
      </c>
      <c r="L116" s="758">
        <v>404</v>
      </c>
      <c r="M116" s="758"/>
      <c r="N116" s="69">
        <f t="shared" si="3"/>
        <v>404</v>
      </c>
      <c r="O116" s="69">
        <f>VLOOKUP(D:D,'Master Table'!C:O,13,FALSE)</f>
        <v>2278.66</v>
      </c>
      <c r="P116" s="446">
        <v>2278.66</v>
      </c>
      <c r="Q116" s="103">
        <v>1267</v>
      </c>
    </row>
    <row r="117" spans="1:17" ht="24.95" customHeight="1" x14ac:dyDescent="0.2">
      <c r="A117" s="68" t="str">
        <f t="shared" si="4"/>
        <v>BIR115 / 1929</v>
      </c>
      <c r="B117" s="75" t="s">
        <v>1270</v>
      </c>
      <c r="C117" s="75" t="s">
        <v>7310</v>
      </c>
      <c r="D117" s="369" t="s">
        <v>1268</v>
      </c>
      <c r="E117" s="369" t="str">
        <f>VLOOKUP(D:D,'Master Table'!C:D,2,FALSE)</f>
        <v>1929</v>
      </c>
      <c r="F117" s="766" t="s">
        <v>1268</v>
      </c>
      <c r="G117" s="766" t="s">
        <v>1269</v>
      </c>
      <c r="H117" s="769" t="s">
        <v>812</v>
      </c>
      <c r="I117" s="769" t="s">
        <v>1270</v>
      </c>
      <c r="J117" s="766" t="s">
        <v>324</v>
      </c>
      <c r="K117" s="758">
        <v>210.48</v>
      </c>
      <c r="L117" s="758">
        <v>185</v>
      </c>
      <c r="M117" s="758"/>
      <c r="N117" s="69">
        <f t="shared" si="3"/>
        <v>395.48</v>
      </c>
      <c r="O117" s="69">
        <f>VLOOKUP(D:D,'Master Table'!C:O,13,FALSE)</f>
        <v>376.33000000000004</v>
      </c>
      <c r="P117" s="446">
        <v>376.33000000000004</v>
      </c>
      <c r="Q117" s="103">
        <v>531.20000000000005</v>
      </c>
    </row>
    <row r="118" spans="1:17" ht="24.95" customHeight="1" x14ac:dyDescent="0.2">
      <c r="A118" s="68" t="str">
        <f t="shared" si="4"/>
        <v>BIR116 / 1930</v>
      </c>
      <c r="B118" s="75" t="s">
        <v>1274</v>
      </c>
      <c r="C118" s="75" t="s">
        <v>1273</v>
      </c>
      <c r="D118" s="369" t="s">
        <v>1271</v>
      </c>
      <c r="E118" s="369" t="str">
        <f>VLOOKUP(D:D,'Master Table'!C:D,2,FALSE)</f>
        <v>1930</v>
      </c>
      <c r="F118" s="766" t="s">
        <v>1271</v>
      </c>
      <c r="G118" s="766" t="s">
        <v>1272</v>
      </c>
      <c r="H118" s="769" t="s">
        <v>1273</v>
      </c>
      <c r="I118" s="769" t="s">
        <v>1274</v>
      </c>
      <c r="J118" s="766" t="s">
        <v>324</v>
      </c>
      <c r="K118" s="758">
        <v>36.869999999999997</v>
      </c>
      <c r="L118" s="758">
        <v>289</v>
      </c>
      <c r="M118" s="758">
        <v>20</v>
      </c>
      <c r="N118" s="69">
        <f t="shared" si="3"/>
        <v>345.87</v>
      </c>
      <c r="O118" s="69">
        <f>VLOOKUP(D:D,'Master Table'!C:O,13,FALSE)</f>
        <v>563.47</v>
      </c>
      <c r="P118" s="446">
        <v>563.47</v>
      </c>
      <c r="Q118" s="103">
        <v>487.38</v>
      </c>
    </row>
    <row r="119" spans="1:17" ht="24.95" customHeight="1" x14ac:dyDescent="0.2">
      <c r="A119" s="68" t="str">
        <f t="shared" si="4"/>
        <v>BIR117 / 1931</v>
      </c>
      <c r="B119" s="78" t="s">
        <v>1278</v>
      </c>
      <c r="C119" s="78" t="s">
        <v>7311</v>
      </c>
      <c r="D119" s="369" t="s">
        <v>1275</v>
      </c>
      <c r="E119" s="369" t="str">
        <f>VLOOKUP(D:D,'Master Table'!C:D,2,FALSE)</f>
        <v>1931</v>
      </c>
      <c r="F119" s="766" t="s">
        <v>1275</v>
      </c>
      <c r="G119" s="766" t="s">
        <v>1276</v>
      </c>
      <c r="H119" s="769" t="s">
        <v>1277</v>
      </c>
      <c r="I119" s="769" t="s">
        <v>1278</v>
      </c>
      <c r="J119" s="766" t="s">
        <v>324</v>
      </c>
      <c r="K119" s="758">
        <v>0</v>
      </c>
      <c r="L119" s="758"/>
      <c r="M119" s="758"/>
      <c r="N119" s="69">
        <f t="shared" si="3"/>
        <v>0</v>
      </c>
      <c r="O119" s="69">
        <f>VLOOKUP(D:D,'Master Table'!C:O,13,FALSE)</f>
        <v>0</v>
      </c>
      <c r="P119" s="446">
        <v>0</v>
      </c>
      <c r="Q119" s="103">
        <v>20</v>
      </c>
    </row>
    <row r="120" spans="1:17" ht="24.95" customHeight="1" x14ac:dyDescent="0.2">
      <c r="A120" s="68" t="str">
        <f t="shared" si="4"/>
        <v>BIR118 / 1932</v>
      </c>
      <c r="B120" s="78" t="s">
        <v>1281</v>
      </c>
      <c r="C120" s="78" t="s">
        <v>1203</v>
      </c>
      <c r="D120" s="369" t="s">
        <v>1279</v>
      </c>
      <c r="E120" s="369" t="str">
        <f>VLOOKUP(D:D,'Master Table'!C:D,2,FALSE)</f>
        <v>1932</v>
      </c>
      <c r="F120" s="766" t="s">
        <v>1279</v>
      </c>
      <c r="G120" s="766" t="s">
        <v>1280</v>
      </c>
      <c r="H120" s="769" t="s">
        <v>193</v>
      </c>
      <c r="I120" s="769" t="s">
        <v>1281</v>
      </c>
      <c r="J120" s="766" t="s">
        <v>324</v>
      </c>
      <c r="K120" s="758">
        <v>0</v>
      </c>
      <c r="L120" s="758"/>
      <c r="M120" s="758"/>
      <c r="N120" s="69">
        <f t="shared" si="3"/>
        <v>0</v>
      </c>
      <c r="O120" s="69">
        <f>VLOOKUP(D:D,'Master Table'!C:O,13,FALSE)</f>
        <v>0</v>
      </c>
      <c r="P120" s="446">
        <v>0</v>
      </c>
      <c r="Q120" s="103">
        <v>0</v>
      </c>
    </row>
    <row r="121" spans="1:17" ht="24.95" customHeight="1" x14ac:dyDescent="0.2">
      <c r="A121" s="68" t="str">
        <f t="shared" si="4"/>
        <v>BIR119 / 1933</v>
      </c>
      <c r="B121" s="75" t="s">
        <v>1285</v>
      </c>
      <c r="C121" s="75" t="s">
        <v>1284</v>
      </c>
      <c r="D121" s="369" t="s">
        <v>1282</v>
      </c>
      <c r="E121" s="369" t="str">
        <f>VLOOKUP(D:D,'Master Table'!C:D,2,FALSE)</f>
        <v>1933</v>
      </c>
      <c r="F121" s="766" t="s">
        <v>1282</v>
      </c>
      <c r="G121" s="766" t="s">
        <v>1283</v>
      </c>
      <c r="H121" s="769" t="s">
        <v>1284</v>
      </c>
      <c r="I121" s="769" t="s">
        <v>1285</v>
      </c>
      <c r="J121" s="766" t="s">
        <v>324</v>
      </c>
      <c r="K121" s="758">
        <v>0</v>
      </c>
      <c r="L121" s="758">
        <v>390</v>
      </c>
      <c r="M121" s="758"/>
      <c r="N121" s="69">
        <f t="shared" si="3"/>
        <v>390</v>
      </c>
      <c r="O121" s="69">
        <f>VLOOKUP(D:D,'Master Table'!C:O,13,FALSE)</f>
        <v>370</v>
      </c>
      <c r="P121" s="446">
        <v>370</v>
      </c>
      <c r="Q121" s="103">
        <v>475</v>
      </c>
    </row>
    <row r="122" spans="1:17" ht="24.95" customHeight="1" x14ac:dyDescent="0.2">
      <c r="A122" s="68" t="str">
        <f t="shared" si="4"/>
        <v>BIR120 / 1934</v>
      </c>
      <c r="B122" s="75" t="s">
        <v>7312</v>
      </c>
      <c r="C122" s="75" t="s">
        <v>1288</v>
      </c>
      <c r="D122" s="369" t="s">
        <v>1286</v>
      </c>
      <c r="E122" s="369" t="str">
        <f>VLOOKUP(D:D,'Master Table'!C:D,2,FALSE)</f>
        <v>1934</v>
      </c>
      <c r="F122" s="766" t="s">
        <v>1286</v>
      </c>
      <c r="G122" s="766" t="s">
        <v>1287</v>
      </c>
      <c r="H122" s="769" t="s">
        <v>1288</v>
      </c>
      <c r="I122" s="769" t="s">
        <v>1289</v>
      </c>
      <c r="J122" s="766" t="s">
        <v>324</v>
      </c>
      <c r="K122" s="758">
        <v>0</v>
      </c>
      <c r="L122" s="758">
        <v>50</v>
      </c>
      <c r="M122" s="758"/>
      <c r="N122" s="69">
        <f t="shared" si="3"/>
        <v>50</v>
      </c>
      <c r="O122" s="69">
        <f>VLOOKUP(D:D,'Master Table'!C:O,13,FALSE)</f>
        <v>0</v>
      </c>
      <c r="P122" s="446">
        <v>0</v>
      </c>
      <c r="Q122" s="103">
        <v>30</v>
      </c>
    </row>
    <row r="123" spans="1:17" ht="24.95" customHeight="1" x14ac:dyDescent="0.2">
      <c r="A123" s="68" t="str">
        <f t="shared" si="4"/>
        <v>BIR122 / 1936</v>
      </c>
      <c r="B123" s="75" t="s">
        <v>1292</v>
      </c>
      <c r="C123" s="75" t="s">
        <v>896</v>
      </c>
      <c r="D123" s="369" t="s">
        <v>1293</v>
      </c>
      <c r="E123" s="369" t="str">
        <f>VLOOKUP(D:D,'Master Table'!C:D,2,FALSE)</f>
        <v>1936</v>
      </c>
      <c r="F123" s="766" t="s">
        <v>1293</v>
      </c>
      <c r="G123" s="766" t="s">
        <v>1294</v>
      </c>
      <c r="H123" s="769" t="s">
        <v>1295</v>
      </c>
      <c r="I123" s="769" t="s">
        <v>1292</v>
      </c>
      <c r="J123" s="766" t="s">
        <v>324</v>
      </c>
      <c r="K123" s="758">
        <v>550.08000000000004</v>
      </c>
      <c r="L123" s="758">
        <v>411</v>
      </c>
      <c r="M123" s="758"/>
      <c r="N123" s="69">
        <f t="shared" si="3"/>
        <v>961.08</v>
      </c>
      <c r="O123" s="69">
        <f>VLOOKUP(D:D,'Master Table'!C:O,13,FALSE)</f>
        <v>1872.04</v>
      </c>
      <c r="P123" s="446">
        <v>1872.04</v>
      </c>
      <c r="Q123" s="103">
        <v>1569.39</v>
      </c>
    </row>
    <row r="124" spans="1:17" ht="24.95" customHeight="1" x14ac:dyDescent="0.2">
      <c r="A124" s="68" t="str">
        <f t="shared" si="4"/>
        <v>BIR123 / 1937</v>
      </c>
      <c r="B124" s="75" t="s">
        <v>1263</v>
      </c>
      <c r="C124" s="75" t="s">
        <v>5371</v>
      </c>
      <c r="D124" s="369" t="s">
        <v>1296</v>
      </c>
      <c r="E124" s="369" t="str">
        <f>VLOOKUP(D:D,'Master Table'!C:D,2,FALSE)</f>
        <v>1937</v>
      </c>
      <c r="F124" s="766" t="s">
        <v>1296</v>
      </c>
      <c r="G124" s="766" t="s">
        <v>1297</v>
      </c>
      <c r="H124" s="769" t="s">
        <v>1298</v>
      </c>
      <c r="I124" s="769" t="s">
        <v>1263</v>
      </c>
      <c r="J124" s="766" t="s">
        <v>324</v>
      </c>
      <c r="K124" s="758">
        <v>1486.07</v>
      </c>
      <c r="L124" s="758">
        <v>120</v>
      </c>
      <c r="M124" s="758"/>
      <c r="N124" s="69">
        <f t="shared" ref="N124:N173" si="7">K124+L124+M124</f>
        <v>1606.07</v>
      </c>
      <c r="O124" s="69">
        <f>VLOOKUP(D:D,'Master Table'!C:O,13,FALSE)</f>
        <v>2973.48</v>
      </c>
      <c r="P124" s="446">
        <v>2973.48</v>
      </c>
      <c r="Q124" s="103">
        <v>3106.08</v>
      </c>
    </row>
    <row r="125" spans="1:17" ht="24.95" customHeight="1" x14ac:dyDescent="0.2">
      <c r="A125" s="68" t="str">
        <f t="shared" si="4"/>
        <v>BIR124 / 1939</v>
      </c>
      <c r="B125" s="75" t="s">
        <v>7313</v>
      </c>
      <c r="C125" s="78" t="s">
        <v>7314</v>
      </c>
      <c r="D125" s="369" t="s">
        <v>1302</v>
      </c>
      <c r="E125" s="369" t="str">
        <f>VLOOKUP(D:D,'Master Table'!C:D,2,FALSE)</f>
        <v>1939</v>
      </c>
      <c r="F125" s="766" t="s">
        <v>1302</v>
      </c>
      <c r="G125" s="766" t="s">
        <v>1303</v>
      </c>
      <c r="H125" s="769" t="s">
        <v>1304</v>
      </c>
      <c r="I125" s="769" t="s">
        <v>1305</v>
      </c>
      <c r="J125" s="766" t="s">
        <v>324</v>
      </c>
      <c r="K125" s="758">
        <v>1152.56</v>
      </c>
      <c r="L125" s="758">
        <v>481</v>
      </c>
      <c r="M125" s="758"/>
      <c r="N125" s="69">
        <f t="shared" si="7"/>
        <v>1633.56</v>
      </c>
      <c r="O125" s="69">
        <f>VLOOKUP(D:D,'Master Table'!C:O,13,FALSE)</f>
        <v>1536.07</v>
      </c>
      <c r="P125" s="446">
        <v>1536.07</v>
      </c>
      <c r="Q125" s="103">
        <v>1302.18</v>
      </c>
    </row>
    <row r="126" spans="1:17" ht="24.95" customHeight="1" x14ac:dyDescent="0.2">
      <c r="A126" s="68" t="str">
        <f t="shared" si="4"/>
        <v>BIR125 / 1940</v>
      </c>
      <c r="B126" s="75" t="s">
        <v>1313</v>
      </c>
      <c r="C126" s="75" t="s">
        <v>1312</v>
      </c>
      <c r="D126" s="369" t="s">
        <v>1310</v>
      </c>
      <c r="E126" s="369" t="str">
        <f>VLOOKUP(D:D,'Master Table'!C:D,2,FALSE)</f>
        <v>1940</v>
      </c>
      <c r="F126" s="766" t="s">
        <v>1310</v>
      </c>
      <c r="G126" s="766" t="s">
        <v>1311</v>
      </c>
      <c r="H126" s="769" t="s">
        <v>1312</v>
      </c>
      <c r="I126" s="769" t="s">
        <v>1313</v>
      </c>
      <c r="J126" s="766" t="s">
        <v>324</v>
      </c>
      <c r="K126" s="758">
        <v>0</v>
      </c>
      <c r="L126" s="758">
        <v>305</v>
      </c>
      <c r="M126" s="758"/>
      <c r="N126" s="69">
        <f t="shared" si="7"/>
        <v>305</v>
      </c>
      <c r="O126" s="69">
        <f>VLOOKUP(D:D,'Master Table'!C:O,13,FALSE)</f>
        <v>305</v>
      </c>
      <c r="P126" s="446">
        <v>305</v>
      </c>
      <c r="Q126" s="103">
        <v>1066.5900000000001</v>
      </c>
    </row>
    <row r="127" spans="1:17" ht="24.95" customHeight="1" x14ac:dyDescent="0.2">
      <c r="A127" s="68" t="str">
        <f t="shared" si="4"/>
        <v>BIR126 / 1941</v>
      </c>
      <c r="B127" s="75" t="s">
        <v>1316</v>
      </c>
      <c r="C127" s="75" t="s">
        <v>7315</v>
      </c>
      <c r="D127" s="369" t="s">
        <v>1314</v>
      </c>
      <c r="E127" s="369" t="str">
        <f>VLOOKUP(D:D,'Master Table'!C:D,2,FALSE)</f>
        <v>1941</v>
      </c>
      <c r="F127" s="766" t="s">
        <v>1314</v>
      </c>
      <c r="G127" s="766" t="s">
        <v>1315</v>
      </c>
      <c r="H127" s="769" t="s">
        <v>896</v>
      </c>
      <c r="I127" s="769" t="s">
        <v>1316</v>
      </c>
      <c r="J127" s="766" t="s">
        <v>324</v>
      </c>
      <c r="K127" s="758">
        <v>0</v>
      </c>
      <c r="L127" s="758">
        <v>135</v>
      </c>
      <c r="M127" s="758"/>
      <c r="N127" s="69">
        <f t="shared" si="7"/>
        <v>135</v>
      </c>
      <c r="O127" s="69">
        <f>VLOOKUP(D:D,'Master Table'!C:O,13,FALSE)</f>
        <v>921.25</v>
      </c>
      <c r="P127" s="446">
        <v>921.25</v>
      </c>
      <c r="Q127" s="103">
        <v>1083.2</v>
      </c>
    </row>
    <row r="128" spans="1:17" ht="24.95" customHeight="1" x14ac:dyDescent="0.2">
      <c r="A128" s="68" t="str">
        <f t="shared" si="4"/>
        <v>BIR127 / 1943</v>
      </c>
      <c r="B128" s="75" t="s">
        <v>1326</v>
      </c>
      <c r="C128" s="75" t="s">
        <v>7316</v>
      </c>
      <c r="D128" s="369" t="s">
        <v>1323</v>
      </c>
      <c r="E128" s="369" t="str">
        <f>VLOOKUP(D:D,'Master Table'!C:D,2,FALSE)</f>
        <v>1943</v>
      </c>
      <c r="F128" s="766" t="s">
        <v>1323</v>
      </c>
      <c r="G128" s="766" t="s">
        <v>1324</v>
      </c>
      <c r="H128" s="769" t="s">
        <v>1325</v>
      </c>
      <c r="I128" s="769" t="s">
        <v>1326</v>
      </c>
      <c r="J128" s="766" t="s">
        <v>324</v>
      </c>
      <c r="K128" s="758">
        <v>70.62</v>
      </c>
      <c r="L128" s="758">
        <v>90</v>
      </c>
      <c r="M128" s="758">
        <v>100</v>
      </c>
      <c r="N128" s="69">
        <f t="shared" si="7"/>
        <v>260.62</v>
      </c>
      <c r="O128" s="69">
        <f>VLOOKUP(D:D,'Master Table'!C:O,13,FALSE)</f>
        <v>732.96</v>
      </c>
      <c r="P128" s="446">
        <v>732.96</v>
      </c>
      <c r="Q128" s="103">
        <v>692.32</v>
      </c>
    </row>
    <row r="129" spans="1:17" ht="24.95" customHeight="1" x14ac:dyDescent="0.2">
      <c r="A129" s="68" t="str">
        <f t="shared" si="4"/>
        <v>BIR128 / 1944</v>
      </c>
      <c r="B129" s="75" t="s">
        <v>1333</v>
      </c>
      <c r="C129" s="75" t="s">
        <v>7317</v>
      </c>
      <c r="D129" s="369" t="s">
        <v>1331</v>
      </c>
      <c r="E129" s="369" t="str">
        <f>VLOOKUP(D:D,'Master Table'!C:D,2,FALSE)</f>
        <v>1944</v>
      </c>
      <c r="F129" s="766" t="s">
        <v>1331</v>
      </c>
      <c r="G129" s="766" t="s">
        <v>1332</v>
      </c>
      <c r="H129" s="769" t="s">
        <v>1203</v>
      </c>
      <c r="I129" s="769" t="s">
        <v>1333</v>
      </c>
      <c r="J129" s="766" t="s">
        <v>324</v>
      </c>
      <c r="K129" s="758">
        <v>270.54999999999995</v>
      </c>
      <c r="L129" s="758">
        <v>117</v>
      </c>
      <c r="M129" s="758">
        <v>240</v>
      </c>
      <c r="N129" s="69">
        <f t="shared" si="7"/>
        <v>627.54999999999995</v>
      </c>
      <c r="O129" s="69">
        <f>VLOOKUP(D:D,'Master Table'!C:O,13,FALSE)</f>
        <v>1207.8799999999999</v>
      </c>
      <c r="P129" s="446">
        <v>1207.8799999999999</v>
      </c>
      <c r="Q129" s="103">
        <v>1051.8899999999999</v>
      </c>
    </row>
    <row r="130" spans="1:17" ht="24.95" customHeight="1" x14ac:dyDescent="0.2">
      <c r="A130" s="68" t="str">
        <f t="shared" si="4"/>
        <v>BIR129 / 1945</v>
      </c>
      <c r="B130" s="75" t="s">
        <v>1338</v>
      </c>
      <c r="C130" s="75" t="s">
        <v>382</v>
      </c>
      <c r="D130" s="369" t="s">
        <v>1335</v>
      </c>
      <c r="E130" s="369" t="str">
        <f>VLOOKUP(D:D,'Master Table'!C:D,2,FALSE)</f>
        <v>1945</v>
      </c>
      <c r="F130" s="766" t="s">
        <v>1335</v>
      </c>
      <c r="G130" s="766" t="s">
        <v>1336</v>
      </c>
      <c r="H130" s="769" t="s">
        <v>1337</v>
      </c>
      <c r="I130" s="769" t="s">
        <v>1338</v>
      </c>
      <c r="J130" s="766" t="s">
        <v>324</v>
      </c>
      <c r="K130" s="758">
        <v>0</v>
      </c>
      <c r="L130" s="758">
        <v>235</v>
      </c>
      <c r="M130" s="758"/>
      <c r="N130" s="69">
        <f t="shared" si="7"/>
        <v>235</v>
      </c>
      <c r="O130" s="69">
        <f>VLOOKUP(D:D,'Master Table'!C:O,13,FALSE)</f>
        <v>0</v>
      </c>
      <c r="P130" s="446">
        <v>0</v>
      </c>
      <c r="Q130" s="103">
        <v>180</v>
      </c>
    </row>
    <row r="131" spans="1:17" ht="24.95" customHeight="1" x14ac:dyDescent="0.2">
      <c r="A131" s="68" t="str">
        <f t="shared" si="4"/>
        <v>BIR130 / 1946</v>
      </c>
      <c r="B131" s="75" t="s">
        <v>1342</v>
      </c>
      <c r="C131" s="75" t="s">
        <v>1341</v>
      </c>
      <c r="D131" s="369" t="s">
        <v>1339</v>
      </c>
      <c r="E131" s="369" t="str">
        <f>VLOOKUP(D:D,'Master Table'!C:D,2,FALSE)</f>
        <v>1946</v>
      </c>
      <c r="F131" s="766" t="s">
        <v>1339</v>
      </c>
      <c r="G131" s="766" t="s">
        <v>1340</v>
      </c>
      <c r="H131" s="769" t="s">
        <v>1341</v>
      </c>
      <c r="I131" s="769" t="s">
        <v>1342</v>
      </c>
      <c r="J131" s="766" t="s">
        <v>324</v>
      </c>
      <c r="K131" s="758">
        <v>0</v>
      </c>
      <c r="L131" s="758">
        <v>565</v>
      </c>
      <c r="M131" s="758">
        <v>248.09</v>
      </c>
      <c r="N131" s="69">
        <f t="shared" si="7"/>
        <v>813.09</v>
      </c>
      <c r="O131" s="69">
        <f>VLOOKUP(D:D,'Master Table'!C:O,13,FALSE)</f>
        <v>1114.49</v>
      </c>
      <c r="P131" s="446">
        <v>1114.49</v>
      </c>
      <c r="Q131" s="103">
        <v>1871</v>
      </c>
    </row>
    <row r="132" spans="1:17" ht="24.95" customHeight="1" x14ac:dyDescent="0.2">
      <c r="A132" s="68" t="str">
        <f t="shared" si="4"/>
        <v>BIR131 / 1947</v>
      </c>
      <c r="B132" s="75" t="s">
        <v>1345</v>
      </c>
      <c r="C132" s="432" t="s">
        <v>7318</v>
      </c>
      <c r="D132" s="369" t="s">
        <v>1343</v>
      </c>
      <c r="E132" s="369" t="str">
        <f>VLOOKUP(D:D,'Master Table'!C:D,2,FALSE)</f>
        <v>1947</v>
      </c>
      <c r="F132" s="766" t="s">
        <v>1343</v>
      </c>
      <c r="G132" s="766" t="s">
        <v>1344</v>
      </c>
      <c r="H132" s="769" t="s">
        <v>226</v>
      </c>
      <c r="I132" s="769" t="s">
        <v>1345</v>
      </c>
      <c r="J132" s="766" t="s">
        <v>324</v>
      </c>
      <c r="K132" s="758">
        <v>210.5</v>
      </c>
      <c r="L132" s="758">
        <v>125</v>
      </c>
      <c r="M132" s="758">
        <v>140</v>
      </c>
      <c r="N132" s="69">
        <f t="shared" si="7"/>
        <v>475.5</v>
      </c>
      <c r="O132" s="69">
        <f>VLOOKUP(D:D,'Master Table'!C:O,13,FALSE)</f>
        <v>1145.55</v>
      </c>
      <c r="P132" s="446">
        <v>1145.55</v>
      </c>
      <c r="Q132" s="103">
        <v>1240.5</v>
      </c>
    </row>
    <row r="133" spans="1:17" ht="24.95" customHeight="1" x14ac:dyDescent="0.2">
      <c r="A133" s="68" t="str">
        <f t="shared" si="4"/>
        <v>BIR132 / 1948</v>
      </c>
      <c r="B133" s="866" t="s">
        <v>1350</v>
      </c>
      <c r="C133" s="432" t="s">
        <v>8295</v>
      </c>
      <c r="D133" s="574" t="s">
        <v>1347</v>
      </c>
      <c r="E133" s="369" t="str">
        <f>VLOOKUP(D:D,'Master Table'!C:D,2,FALSE)</f>
        <v>1948</v>
      </c>
      <c r="F133" s="766" t="s">
        <v>1347</v>
      </c>
      <c r="G133" s="766" t="s">
        <v>1348</v>
      </c>
      <c r="H133" s="769" t="s">
        <v>1349</v>
      </c>
      <c r="I133" s="769" t="s">
        <v>1350</v>
      </c>
      <c r="J133" s="766" t="s">
        <v>324</v>
      </c>
      <c r="K133" s="758">
        <v>186.28</v>
      </c>
      <c r="L133" s="758">
        <v>1642.15</v>
      </c>
      <c r="M133" s="758">
        <v>40</v>
      </c>
      <c r="N133" s="69">
        <f t="shared" si="7"/>
        <v>1868.43</v>
      </c>
      <c r="O133" s="69">
        <f>VLOOKUP(D:D,'Master Table'!C:O,13,FALSE)</f>
        <v>2912.9</v>
      </c>
      <c r="P133" s="869">
        <f>O133+O134</f>
        <v>2937.9</v>
      </c>
      <c r="Q133" s="869">
        <v>2761.31</v>
      </c>
    </row>
    <row r="134" spans="1:17" ht="24.95" customHeight="1" x14ac:dyDescent="0.2">
      <c r="A134" s="68" t="str">
        <f t="shared" ref="A134" si="8">D134&amp;" / "&amp;E134</f>
        <v>BIR132S / 0444452</v>
      </c>
      <c r="B134" s="867"/>
      <c r="C134" s="436" t="s">
        <v>8296</v>
      </c>
      <c r="D134" s="574" t="s">
        <v>1351</v>
      </c>
      <c r="E134" s="369" t="str">
        <f>VLOOKUP(D:D,'Master Table'!C:D,2,FALSE)</f>
        <v>0444452</v>
      </c>
      <c r="F134" s="766" t="s">
        <v>1351</v>
      </c>
      <c r="G134" s="766" t="s">
        <v>8424</v>
      </c>
      <c r="H134" s="769" t="s">
        <v>1352</v>
      </c>
      <c r="I134" s="769" t="s">
        <v>1350</v>
      </c>
      <c r="J134" s="766" t="s">
        <v>324</v>
      </c>
      <c r="K134" s="758">
        <v>0</v>
      </c>
      <c r="L134" s="758">
        <v>85</v>
      </c>
      <c r="M134" s="758"/>
      <c r="N134" s="69">
        <f t="shared" si="7"/>
        <v>85</v>
      </c>
      <c r="O134" s="69">
        <f>VLOOKUP(D:D,'Master Table'!C:O,13,FALSE)</f>
        <v>25</v>
      </c>
      <c r="P134" s="870">
        <v>25</v>
      </c>
      <c r="Q134" s="870"/>
    </row>
    <row r="135" spans="1:17" ht="24.95" customHeight="1" x14ac:dyDescent="0.2">
      <c r="A135" s="68" t="str">
        <f t="shared" si="4"/>
        <v>BIR133 / 1949</v>
      </c>
      <c r="B135" s="75" t="s">
        <v>1356</v>
      </c>
      <c r="C135" s="436" t="s">
        <v>1355</v>
      </c>
      <c r="D135" s="369" t="s">
        <v>1353</v>
      </c>
      <c r="E135" s="369" t="str">
        <f>VLOOKUP(D:D,'Master Table'!C:D,2,FALSE)</f>
        <v>1949</v>
      </c>
      <c r="F135" s="766" t="s">
        <v>1353</v>
      </c>
      <c r="G135" s="766" t="s">
        <v>1354</v>
      </c>
      <c r="H135" s="769" t="s">
        <v>1355</v>
      </c>
      <c r="I135" s="769" t="s">
        <v>1356</v>
      </c>
      <c r="J135" s="766" t="s">
        <v>324</v>
      </c>
      <c r="K135" s="758">
        <v>0</v>
      </c>
      <c r="L135" s="758">
        <v>15</v>
      </c>
      <c r="M135" s="758"/>
      <c r="N135" s="69">
        <f t="shared" si="7"/>
        <v>15</v>
      </c>
      <c r="O135" s="69">
        <f>VLOOKUP(D:D,'Master Table'!C:O,13,FALSE)</f>
        <v>40</v>
      </c>
      <c r="P135" s="446">
        <v>40</v>
      </c>
      <c r="Q135" s="103">
        <v>249.51</v>
      </c>
    </row>
    <row r="136" spans="1:17" ht="24.95" customHeight="1" x14ac:dyDescent="0.2">
      <c r="A136" s="68" t="str">
        <f t="shared" si="4"/>
        <v>BIR134 / 1950</v>
      </c>
      <c r="B136" s="75" t="s">
        <v>7320</v>
      </c>
      <c r="C136" s="75" t="s">
        <v>7321</v>
      </c>
      <c r="D136" s="369" t="s">
        <v>1357</v>
      </c>
      <c r="E136" s="369" t="str">
        <f>VLOOKUP(D:D,'Master Table'!C:D,2,FALSE)</f>
        <v>1950</v>
      </c>
      <c r="F136" s="766" t="s">
        <v>1357</v>
      </c>
      <c r="G136" s="766" t="s">
        <v>1358</v>
      </c>
      <c r="H136" s="769" t="s">
        <v>1359</v>
      </c>
      <c r="I136" s="769" t="s">
        <v>1259</v>
      </c>
      <c r="J136" s="766" t="s">
        <v>324</v>
      </c>
      <c r="K136" s="758">
        <v>0</v>
      </c>
      <c r="L136" s="758">
        <v>209</v>
      </c>
      <c r="M136" s="758"/>
      <c r="N136" s="69">
        <f t="shared" si="7"/>
        <v>209</v>
      </c>
      <c r="O136" s="69">
        <f>VLOOKUP(D:D,'Master Table'!C:O,13,FALSE)</f>
        <v>228.98000000000002</v>
      </c>
      <c r="P136" s="446">
        <v>228.98000000000002</v>
      </c>
      <c r="Q136" s="103">
        <v>350.17</v>
      </c>
    </row>
    <row r="137" spans="1:17" ht="24.95" customHeight="1" x14ac:dyDescent="0.2">
      <c r="A137" s="68" t="str">
        <f t="shared" si="4"/>
        <v>BIR135 / 1951</v>
      </c>
      <c r="B137" s="75" t="s">
        <v>1363</v>
      </c>
      <c r="C137" s="75" t="s">
        <v>7322</v>
      </c>
      <c r="D137" s="369" t="s">
        <v>1360</v>
      </c>
      <c r="E137" s="369" t="str">
        <f>VLOOKUP(D:D,'Master Table'!C:D,2,FALSE)</f>
        <v>1951</v>
      </c>
      <c r="F137" s="766" t="s">
        <v>1360</v>
      </c>
      <c r="G137" s="766" t="s">
        <v>1361</v>
      </c>
      <c r="H137" s="769" t="s">
        <v>1362</v>
      </c>
      <c r="I137" s="769" t="s">
        <v>1363</v>
      </c>
      <c r="J137" s="766" t="s">
        <v>324</v>
      </c>
      <c r="K137" s="758">
        <v>0</v>
      </c>
      <c r="L137" s="758"/>
      <c r="M137" s="758"/>
      <c r="N137" s="69">
        <f t="shared" si="7"/>
        <v>0</v>
      </c>
      <c r="O137" s="69">
        <f>VLOOKUP(D:D,'Master Table'!C:O,13,FALSE)</f>
        <v>631.74</v>
      </c>
      <c r="P137" s="446">
        <v>631.74</v>
      </c>
      <c r="Q137" s="103">
        <v>839.86</v>
      </c>
    </row>
    <row r="138" spans="1:17" ht="24.95" customHeight="1" x14ac:dyDescent="0.2">
      <c r="A138" s="68" t="str">
        <f t="shared" ref="A138:A202" si="9">D138&amp;" / "&amp;E138</f>
        <v>BIR137 / 1953</v>
      </c>
      <c r="B138" s="75" t="s">
        <v>1367</v>
      </c>
      <c r="C138" s="75" t="s">
        <v>1366</v>
      </c>
      <c r="D138" s="369" t="s">
        <v>1364</v>
      </c>
      <c r="E138" s="369" t="str">
        <f>VLOOKUP(D:D,'Master Table'!C:D,2,FALSE)</f>
        <v>1953</v>
      </c>
      <c r="F138" s="766" t="s">
        <v>1364</v>
      </c>
      <c r="G138" s="766" t="s">
        <v>1365</v>
      </c>
      <c r="H138" s="769" t="s">
        <v>1366</v>
      </c>
      <c r="I138" s="769" t="s">
        <v>1367</v>
      </c>
      <c r="J138" s="766" t="s">
        <v>324</v>
      </c>
      <c r="K138" s="758">
        <v>136.84</v>
      </c>
      <c r="L138" s="758">
        <v>130</v>
      </c>
      <c r="M138" s="758"/>
      <c r="N138" s="69">
        <f t="shared" si="7"/>
        <v>266.84000000000003</v>
      </c>
      <c r="O138" s="69">
        <f>VLOOKUP(D:D,'Master Table'!C:O,13,FALSE)</f>
        <v>276.95</v>
      </c>
      <c r="P138" s="446">
        <v>276.95</v>
      </c>
      <c r="Q138" s="103">
        <v>188.63</v>
      </c>
    </row>
    <row r="139" spans="1:17" ht="24.95" customHeight="1" x14ac:dyDescent="0.2">
      <c r="A139" s="68" t="str">
        <f t="shared" si="9"/>
        <v>BIR138 / 1954</v>
      </c>
      <c r="B139" s="75" t="s">
        <v>7323</v>
      </c>
      <c r="C139" s="75" t="s">
        <v>1371</v>
      </c>
      <c r="D139" s="369" t="s">
        <v>1369</v>
      </c>
      <c r="E139" s="369" t="str">
        <f>VLOOKUP(D:D,'Master Table'!C:D,2,FALSE)</f>
        <v>1954</v>
      </c>
      <c r="F139" s="766" t="s">
        <v>1369</v>
      </c>
      <c r="G139" s="766" t="s">
        <v>1370</v>
      </c>
      <c r="H139" s="769" t="s">
        <v>1371</v>
      </c>
      <c r="I139" s="769" t="s">
        <v>1372</v>
      </c>
      <c r="J139" s="766" t="s">
        <v>324</v>
      </c>
      <c r="K139" s="758">
        <v>661.79000000000008</v>
      </c>
      <c r="L139" s="758">
        <v>300.93</v>
      </c>
      <c r="M139" s="758"/>
      <c r="N139" s="69">
        <f t="shared" si="7"/>
        <v>962.72</v>
      </c>
      <c r="O139" s="69">
        <f>VLOOKUP(D:D,'Master Table'!C:O,13,FALSE)</f>
        <v>1543.9499999999998</v>
      </c>
      <c r="P139" s="446">
        <v>1543.9499999999998</v>
      </c>
      <c r="Q139" s="103">
        <v>1257.52</v>
      </c>
    </row>
    <row r="140" spans="1:17" ht="24.95" customHeight="1" x14ac:dyDescent="0.2">
      <c r="A140" s="68" t="str">
        <f t="shared" si="9"/>
        <v>BIR139 / 1957</v>
      </c>
      <c r="B140" s="75" t="s">
        <v>1377</v>
      </c>
      <c r="C140" s="75" t="s">
        <v>1376</v>
      </c>
      <c r="D140" s="369" t="s">
        <v>1374</v>
      </c>
      <c r="E140" s="369" t="str">
        <f>VLOOKUP(D:D,'Master Table'!C:D,2,FALSE)</f>
        <v>1957</v>
      </c>
      <c r="F140" s="766" t="s">
        <v>1374</v>
      </c>
      <c r="G140" s="766" t="s">
        <v>1375</v>
      </c>
      <c r="H140" s="769" t="s">
        <v>1376</v>
      </c>
      <c r="I140" s="769" t="s">
        <v>1377</v>
      </c>
      <c r="J140" s="766" t="s">
        <v>324</v>
      </c>
      <c r="K140" s="758">
        <v>0</v>
      </c>
      <c r="L140" s="758">
        <v>502.5</v>
      </c>
      <c r="M140" s="758">
        <v>25</v>
      </c>
      <c r="N140" s="69">
        <f t="shared" si="7"/>
        <v>527.5</v>
      </c>
      <c r="O140" s="69">
        <f>VLOOKUP(D:D,'Master Table'!C:O,13,FALSE)</f>
        <v>1381.02</v>
      </c>
      <c r="P140" s="446">
        <v>1381.02</v>
      </c>
      <c r="Q140" s="103">
        <v>1349.99</v>
      </c>
    </row>
    <row r="141" spans="1:17" ht="24.95" customHeight="1" x14ac:dyDescent="0.2">
      <c r="A141" s="68" t="str">
        <f t="shared" si="9"/>
        <v>BIR140 / 1958</v>
      </c>
      <c r="B141" s="75" t="s">
        <v>7324</v>
      </c>
      <c r="C141" s="75" t="s">
        <v>7325</v>
      </c>
      <c r="D141" s="369" t="s">
        <v>1378</v>
      </c>
      <c r="E141" s="369" t="str">
        <f>VLOOKUP(D:D,'Master Table'!C:D,2,FALSE)</f>
        <v>1958</v>
      </c>
      <c r="F141" s="766" t="s">
        <v>1378</v>
      </c>
      <c r="G141" s="766" t="s">
        <v>1379</v>
      </c>
      <c r="H141" s="769" t="s">
        <v>839</v>
      </c>
      <c r="I141" s="769" t="s">
        <v>1377</v>
      </c>
      <c r="J141" s="766" t="s">
        <v>324</v>
      </c>
      <c r="K141" s="758">
        <v>279.33999999999997</v>
      </c>
      <c r="L141" s="758">
        <v>66</v>
      </c>
      <c r="M141" s="758">
        <v>297.35000000000002</v>
      </c>
      <c r="N141" s="69">
        <f t="shared" si="7"/>
        <v>642.69000000000005</v>
      </c>
      <c r="O141" s="69">
        <f>VLOOKUP(D:D,'Master Table'!C:O,13,FALSE)</f>
        <v>969.7600000000001</v>
      </c>
      <c r="P141" s="446">
        <v>969.7600000000001</v>
      </c>
      <c r="Q141" s="103">
        <v>948.53</v>
      </c>
    </row>
    <row r="142" spans="1:17" ht="24.95" customHeight="1" x14ac:dyDescent="0.2">
      <c r="A142" s="68" t="str">
        <f t="shared" si="9"/>
        <v>BIR142 / 1960</v>
      </c>
      <c r="B142" s="75" t="s">
        <v>1391</v>
      </c>
      <c r="C142" s="75" t="s">
        <v>7326</v>
      </c>
      <c r="D142" s="369" t="s">
        <v>1388</v>
      </c>
      <c r="E142" s="369" t="str">
        <f>VLOOKUP(D:D,'Master Table'!C:D,2,FALSE)</f>
        <v>1960</v>
      </c>
      <c r="F142" s="766" t="s">
        <v>1388</v>
      </c>
      <c r="G142" s="766" t="s">
        <v>1389</v>
      </c>
      <c r="H142" s="769" t="s">
        <v>1390</v>
      </c>
      <c r="I142" s="769" t="s">
        <v>1391</v>
      </c>
      <c r="J142" s="766" t="s">
        <v>324</v>
      </c>
      <c r="K142" s="758">
        <v>214.06</v>
      </c>
      <c r="L142" s="758">
        <v>269</v>
      </c>
      <c r="M142" s="758"/>
      <c r="N142" s="69">
        <f t="shared" si="7"/>
        <v>483.06</v>
      </c>
      <c r="O142" s="69">
        <f>VLOOKUP(D:D,'Master Table'!C:O,13,FALSE)</f>
        <v>731.5</v>
      </c>
      <c r="P142" s="446">
        <v>731.5</v>
      </c>
      <c r="Q142" s="103">
        <v>842.42</v>
      </c>
    </row>
    <row r="143" spans="1:17" ht="24.95" customHeight="1" x14ac:dyDescent="0.2">
      <c r="A143" s="68" t="str">
        <f t="shared" si="9"/>
        <v>BIR143 / 1961</v>
      </c>
      <c r="B143" s="75" t="s">
        <v>1394</v>
      </c>
      <c r="C143" s="75" t="s">
        <v>7216</v>
      </c>
      <c r="D143" s="369" t="s">
        <v>1392</v>
      </c>
      <c r="E143" s="369" t="str">
        <f>VLOOKUP(D:D,'Master Table'!C:D,2,FALSE)</f>
        <v>1961</v>
      </c>
      <c r="F143" s="766" t="s">
        <v>1392</v>
      </c>
      <c r="G143" s="766" t="s">
        <v>1393</v>
      </c>
      <c r="H143" s="769" t="s">
        <v>11</v>
      </c>
      <c r="I143" s="769" t="s">
        <v>1394</v>
      </c>
      <c r="J143" s="766" t="s">
        <v>324</v>
      </c>
      <c r="K143" s="758">
        <v>84.76</v>
      </c>
      <c r="L143" s="758">
        <v>50</v>
      </c>
      <c r="M143" s="758"/>
      <c r="N143" s="69">
        <f t="shared" si="7"/>
        <v>134.76</v>
      </c>
      <c r="O143" s="69">
        <f>VLOOKUP(D:D,'Master Table'!C:O,13,FALSE)</f>
        <v>20.69</v>
      </c>
      <c r="P143" s="446">
        <v>20.69</v>
      </c>
      <c r="Q143" s="103">
        <v>60</v>
      </c>
    </row>
    <row r="144" spans="1:17" ht="24.95" customHeight="1" x14ac:dyDescent="0.2">
      <c r="A144" s="68" t="str">
        <f t="shared" si="9"/>
        <v>BIR144 / 1962</v>
      </c>
      <c r="B144" s="75" t="s">
        <v>1394</v>
      </c>
      <c r="C144" s="75" t="s">
        <v>783</v>
      </c>
      <c r="D144" s="369" t="s">
        <v>1399</v>
      </c>
      <c r="E144" s="369" t="str">
        <f>VLOOKUP(D:D,'Master Table'!C:D,2,FALSE)</f>
        <v>1962</v>
      </c>
      <c r="F144" s="766" t="s">
        <v>1399</v>
      </c>
      <c r="G144" s="766" t="s">
        <v>1400</v>
      </c>
      <c r="H144" s="769" t="s">
        <v>977</v>
      </c>
      <c r="I144" s="769" t="s">
        <v>1394</v>
      </c>
      <c r="J144" s="766" t="s">
        <v>324</v>
      </c>
      <c r="K144" s="758">
        <v>630.34</v>
      </c>
      <c r="L144" s="758">
        <v>180</v>
      </c>
      <c r="M144" s="758"/>
      <c r="N144" s="69">
        <f t="shared" si="7"/>
        <v>810.34</v>
      </c>
      <c r="O144" s="69">
        <f>VLOOKUP(D:D,'Master Table'!C:O,13,FALSE)</f>
        <v>1389.28</v>
      </c>
      <c r="P144" s="446">
        <v>1389.28</v>
      </c>
      <c r="Q144" s="103">
        <v>1065.17</v>
      </c>
    </row>
    <row r="145" spans="1:17" ht="24.95" customHeight="1" x14ac:dyDescent="0.2">
      <c r="A145" s="68" t="str">
        <f t="shared" si="9"/>
        <v>BIR145 / 1963</v>
      </c>
      <c r="B145" s="75" t="s">
        <v>1394</v>
      </c>
      <c r="C145" s="75" t="s">
        <v>231</v>
      </c>
      <c r="D145" s="369" t="s">
        <v>1401</v>
      </c>
      <c r="E145" s="369" t="str">
        <f>VLOOKUP(D:D,'Master Table'!C:D,2,FALSE)</f>
        <v>1963</v>
      </c>
      <c r="F145" s="766" t="s">
        <v>1401</v>
      </c>
      <c r="G145" s="766" t="s">
        <v>1402</v>
      </c>
      <c r="H145" s="769" t="s">
        <v>231</v>
      </c>
      <c r="I145" s="769" t="s">
        <v>1394</v>
      </c>
      <c r="J145" s="766" t="s">
        <v>324</v>
      </c>
      <c r="K145" s="758">
        <v>115.42000000000002</v>
      </c>
      <c r="L145" s="758">
        <v>50</v>
      </c>
      <c r="M145" s="758"/>
      <c r="N145" s="69">
        <f t="shared" si="7"/>
        <v>165.42000000000002</v>
      </c>
      <c r="O145" s="69">
        <f>VLOOKUP(D:D,'Master Table'!C:O,13,FALSE)</f>
        <v>503.01</v>
      </c>
      <c r="P145" s="446">
        <v>503.01</v>
      </c>
      <c r="Q145" s="103">
        <v>496.23</v>
      </c>
    </row>
    <row r="146" spans="1:17" ht="24.95" customHeight="1" x14ac:dyDescent="0.2">
      <c r="A146" s="68" t="str">
        <f t="shared" si="9"/>
        <v>BIR146 / 1964</v>
      </c>
      <c r="B146" s="75" t="s">
        <v>1394</v>
      </c>
      <c r="C146" s="75" t="s">
        <v>7327</v>
      </c>
      <c r="D146" s="369" t="s">
        <v>1404</v>
      </c>
      <c r="E146" s="369" t="str">
        <f>VLOOKUP(D:D,'Master Table'!C:D,2,FALSE)</f>
        <v>1964</v>
      </c>
      <c r="F146" s="766" t="s">
        <v>1404</v>
      </c>
      <c r="G146" s="766" t="s">
        <v>1405</v>
      </c>
      <c r="H146" s="769" t="s">
        <v>1406</v>
      </c>
      <c r="I146" s="769" t="s">
        <v>1394</v>
      </c>
      <c r="J146" s="766" t="s">
        <v>324</v>
      </c>
      <c r="K146" s="758">
        <v>0</v>
      </c>
      <c r="L146" s="758">
        <v>550</v>
      </c>
      <c r="M146" s="758"/>
      <c r="N146" s="69">
        <f t="shared" si="7"/>
        <v>550</v>
      </c>
      <c r="O146" s="69">
        <f>VLOOKUP(D:D,'Master Table'!C:O,13,FALSE)</f>
        <v>525</v>
      </c>
      <c r="P146" s="446">
        <v>525</v>
      </c>
      <c r="Q146" s="103">
        <v>793.7</v>
      </c>
    </row>
    <row r="147" spans="1:17" ht="24.95" customHeight="1" x14ac:dyDescent="0.2">
      <c r="A147" s="68" t="str">
        <f t="shared" si="9"/>
        <v>BIR147 / 1965</v>
      </c>
      <c r="B147" s="75" t="s">
        <v>1394</v>
      </c>
      <c r="C147" s="75" t="s">
        <v>1409</v>
      </c>
      <c r="D147" s="369" t="s">
        <v>1407</v>
      </c>
      <c r="E147" s="369" t="str">
        <f>VLOOKUP(D:D,'Master Table'!C:D,2,FALSE)</f>
        <v>1965</v>
      </c>
      <c r="F147" s="766" t="s">
        <v>1407</v>
      </c>
      <c r="G147" s="766" t="s">
        <v>1408</v>
      </c>
      <c r="H147" s="769" t="s">
        <v>1409</v>
      </c>
      <c r="I147" s="769" t="s">
        <v>1394</v>
      </c>
      <c r="J147" s="766" t="s">
        <v>324</v>
      </c>
      <c r="K147" s="758">
        <v>0</v>
      </c>
      <c r="L147" s="758">
        <v>260</v>
      </c>
      <c r="M147" s="758"/>
      <c r="N147" s="69">
        <f t="shared" si="7"/>
        <v>260</v>
      </c>
      <c r="O147" s="69">
        <f>VLOOKUP(D:D,'Master Table'!C:O,13,FALSE)</f>
        <v>202.22</v>
      </c>
      <c r="P147" s="446">
        <v>202.22</v>
      </c>
      <c r="Q147" s="103">
        <v>150</v>
      </c>
    </row>
    <row r="148" spans="1:17" ht="24.95" customHeight="1" x14ac:dyDescent="0.2">
      <c r="A148" s="68" t="str">
        <f t="shared" si="9"/>
        <v>BIR148 / 1966</v>
      </c>
      <c r="B148" s="75" t="s">
        <v>1394</v>
      </c>
      <c r="C148" s="75" t="s">
        <v>1412</v>
      </c>
      <c r="D148" s="369" t="s">
        <v>1410</v>
      </c>
      <c r="E148" s="369" t="str">
        <f>VLOOKUP(D:D,'Master Table'!C:D,2,FALSE)</f>
        <v>1966</v>
      </c>
      <c r="F148" s="766" t="s">
        <v>1410</v>
      </c>
      <c r="G148" s="766" t="s">
        <v>1411</v>
      </c>
      <c r="H148" s="769" t="s">
        <v>1412</v>
      </c>
      <c r="I148" s="769" t="s">
        <v>1394</v>
      </c>
      <c r="J148" s="766" t="s">
        <v>324</v>
      </c>
      <c r="K148" s="758">
        <v>0</v>
      </c>
      <c r="L148" s="758">
        <v>5</v>
      </c>
      <c r="M148" s="758"/>
      <c r="N148" s="69">
        <f t="shared" si="7"/>
        <v>5</v>
      </c>
      <c r="O148" s="69">
        <f>VLOOKUP(D:D,'Master Table'!C:O,13,FALSE)</f>
        <v>244.86</v>
      </c>
      <c r="P148" s="446">
        <v>244.86</v>
      </c>
      <c r="Q148" s="103">
        <v>516.12</v>
      </c>
    </row>
    <row r="149" spans="1:17" ht="24.95" customHeight="1" x14ac:dyDescent="0.2">
      <c r="A149" s="68" t="str">
        <f t="shared" si="9"/>
        <v>BIR149 / 1967</v>
      </c>
      <c r="B149" s="75" t="s">
        <v>7328</v>
      </c>
      <c r="C149" s="75" t="s">
        <v>7329</v>
      </c>
      <c r="D149" s="369" t="s">
        <v>1413</v>
      </c>
      <c r="E149" s="369" t="str">
        <f>VLOOKUP(D:D,'Master Table'!C:D,2,FALSE)</f>
        <v>1967</v>
      </c>
      <c r="F149" s="766" t="s">
        <v>1413</v>
      </c>
      <c r="G149" s="766" t="s">
        <v>1414</v>
      </c>
      <c r="H149" s="769" t="s">
        <v>1415</v>
      </c>
      <c r="I149" s="769" t="s">
        <v>1394</v>
      </c>
      <c r="J149" s="766" t="s">
        <v>324</v>
      </c>
      <c r="K149" s="758">
        <v>0</v>
      </c>
      <c r="L149" s="758">
        <v>25</v>
      </c>
      <c r="M149" s="758"/>
      <c r="N149" s="69">
        <f t="shared" si="7"/>
        <v>25</v>
      </c>
      <c r="O149" s="69">
        <f>VLOOKUP(D:D,'Master Table'!C:O,13,FALSE)</f>
        <v>5</v>
      </c>
      <c r="P149" s="446">
        <v>5</v>
      </c>
      <c r="Q149" s="103">
        <v>10</v>
      </c>
    </row>
    <row r="150" spans="1:17" ht="24.95" customHeight="1" x14ac:dyDescent="0.2">
      <c r="A150" s="68" t="str">
        <f t="shared" si="9"/>
        <v>BIR150 / 1968</v>
      </c>
      <c r="B150" s="75" t="s">
        <v>1394</v>
      </c>
      <c r="C150" s="75" t="s">
        <v>1418</v>
      </c>
      <c r="D150" s="369" t="s">
        <v>1416</v>
      </c>
      <c r="E150" s="369" t="str">
        <f>VLOOKUP(D:D,'Master Table'!C:D,2,FALSE)</f>
        <v>1968</v>
      </c>
      <c r="F150" s="766" t="s">
        <v>1416</v>
      </c>
      <c r="G150" s="766" t="s">
        <v>1417</v>
      </c>
      <c r="H150" s="769" t="s">
        <v>1418</v>
      </c>
      <c r="I150" s="769" t="s">
        <v>1394</v>
      </c>
      <c r="J150" s="766" t="s">
        <v>324</v>
      </c>
      <c r="K150" s="758">
        <v>0</v>
      </c>
      <c r="L150" s="758">
        <v>324</v>
      </c>
      <c r="M150" s="758"/>
      <c r="N150" s="69">
        <f t="shared" si="7"/>
        <v>324</v>
      </c>
      <c r="O150" s="69">
        <f>VLOOKUP(D:D,'Master Table'!C:O,13,FALSE)</f>
        <v>154</v>
      </c>
      <c r="P150" s="446">
        <v>154</v>
      </c>
      <c r="Q150" s="103">
        <v>1095</v>
      </c>
    </row>
    <row r="151" spans="1:17" ht="24.95" customHeight="1" x14ac:dyDescent="0.2">
      <c r="A151" s="68" t="str">
        <f t="shared" si="9"/>
        <v>BIR151 / 1970</v>
      </c>
      <c r="B151" s="75" t="s">
        <v>1422</v>
      </c>
      <c r="C151" s="75" t="s">
        <v>1421</v>
      </c>
      <c r="D151" s="369" t="s">
        <v>1419</v>
      </c>
      <c r="E151" s="369" t="str">
        <f>VLOOKUP(D:D,'Master Table'!C:D,2,FALSE)</f>
        <v>1970</v>
      </c>
      <c r="F151" s="766" t="s">
        <v>1419</v>
      </c>
      <c r="G151" s="766" t="s">
        <v>1420</v>
      </c>
      <c r="H151" s="769" t="s">
        <v>1421</v>
      </c>
      <c r="I151" s="769" t="s">
        <v>1422</v>
      </c>
      <c r="J151" s="766" t="s">
        <v>324</v>
      </c>
      <c r="K151" s="758">
        <v>465.1</v>
      </c>
      <c r="L151" s="758">
        <v>150</v>
      </c>
      <c r="M151" s="758"/>
      <c r="N151" s="69">
        <f t="shared" si="7"/>
        <v>615.1</v>
      </c>
      <c r="O151" s="69">
        <f>VLOOKUP(D:D,'Master Table'!C:O,13,FALSE)</f>
        <v>1381.05</v>
      </c>
      <c r="P151" s="446">
        <v>1381.05</v>
      </c>
      <c r="Q151" s="103">
        <v>1462.02</v>
      </c>
    </row>
    <row r="152" spans="1:17" ht="24.95" customHeight="1" x14ac:dyDescent="0.2">
      <c r="A152" s="68" t="str">
        <f t="shared" si="9"/>
        <v>BIR152 / 1971</v>
      </c>
      <c r="B152" s="75" t="s">
        <v>1426</v>
      </c>
      <c r="C152" s="75" t="s">
        <v>3222</v>
      </c>
      <c r="D152" s="369" t="s">
        <v>1423</v>
      </c>
      <c r="E152" s="369" t="str">
        <f>VLOOKUP(D:D,'Master Table'!C:D,2,FALSE)</f>
        <v>1971</v>
      </c>
      <c r="F152" s="766" t="s">
        <v>1423</v>
      </c>
      <c r="G152" s="766" t="s">
        <v>1424</v>
      </c>
      <c r="H152" s="769" t="s">
        <v>1425</v>
      </c>
      <c r="I152" s="769" t="s">
        <v>1426</v>
      </c>
      <c r="J152" s="766" t="s">
        <v>324</v>
      </c>
      <c r="K152" s="758">
        <v>0</v>
      </c>
      <c r="L152" s="758">
        <v>560</v>
      </c>
      <c r="M152" s="758"/>
      <c r="N152" s="69">
        <f t="shared" si="7"/>
        <v>560</v>
      </c>
      <c r="O152" s="69">
        <f>VLOOKUP(D:D,'Master Table'!C:O,13,FALSE)</f>
        <v>585</v>
      </c>
      <c r="P152" s="446">
        <v>585</v>
      </c>
      <c r="Q152" s="103">
        <v>605</v>
      </c>
    </row>
    <row r="153" spans="1:17" ht="24.95" customHeight="1" x14ac:dyDescent="0.2">
      <c r="A153" s="68" t="str">
        <f t="shared" si="9"/>
        <v>BIR153 / 1972</v>
      </c>
      <c r="B153" s="75" t="s">
        <v>1439</v>
      </c>
      <c r="C153" s="75" t="s">
        <v>1047</v>
      </c>
      <c r="D153" s="369" t="s">
        <v>1437</v>
      </c>
      <c r="E153" s="369" t="str">
        <f>VLOOKUP(D:D,'Master Table'!C:D,2,FALSE)</f>
        <v>1972</v>
      </c>
      <c r="F153" s="766" t="s">
        <v>1437</v>
      </c>
      <c r="G153" s="766" t="s">
        <v>1438</v>
      </c>
      <c r="H153" s="769" t="s">
        <v>83</v>
      </c>
      <c r="I153" s="769" t="s">
        <v>1439</v>
      </c>
      <c r="J153" s="766" t="s">
        <v>324</v>
      </c>
      <c r="K153" s="758">
        <v>713.36</v>
      </c>
      <c r="L153" s="758">
        <v>190</v>
      </c>
      <c r="M153" s="758"/>
      <c r="N153" s="69">
        <f t="shared" si="7"/>
        <v>903.36</v>
      </c>
      <c r="O153" s="69">
        <f>VLOOKUP(D:D,'Master Table'!C:O,13,FALSE)</f>
        <v>1126.43</v>
      </c>
      <c r="P153" s="446">
        <v>1126.43</v>
      </c>
      <c r="Q153" s="103">
        <v>1631.5</v>
      </c>
    </row>
    <row r="154" spans="1:17" ht="24.95" customHeight="1" x14ac:dyDescent="0.2">
      <c r="A154" s="68" t="str">
        <f t="shared" si="9"/>
        <v>BIR154 / 1973</v>
      </c>
      <c r="B154" s="75" t="s">
        <v>1439</v>
      </c>
      <c r="C154" s="75" t="s">
        <v>231</v>
      </c>
      <c r="D154" s="369" t="s">
        <v>1440</v>
      </c>
      <c r="E154" s="369" t="str">
        <f>VLOOKUP(D:D,'Master Table'!C:D,2,FALSE)</f>
        <v>1973</v>
      </c>
      <c r="F154" s="766" t="s">
        <v>1440</v>
      </c>
      <c r="G154" s="766" t="s">
        <v>1441</v>
      </c>
      <c r="H154" s="769" t="s">
        <v>1442</v>
      </c>
      <c r="I154" s="769" t="s">
        <v>1439</v>
      </c>
      <c r="J154" s="766" t="s">
        <v>324</v>
      </c>
      <c r="K154" s="758">
        <v>0</v>
      </c>
      <c r="L154" s="758">
        <v>275</v>
      </c>
      <c r="M154" s="758"/>
      <c r="N154" s="69">
        <f t="shared" si="7"/>
        <v>275</v>
      </c>
      <c r="O154" s="69">
        <f>VLOOKUP(D:D,'Master Table'!C:O,13,FALSE)</f>
        <v>1320.74</v>
      </c>
      <c r="P154" s="446">
        <v>1320.74</v>
      </c>
      <c r="Q154" s="103">
        <v>486.64</v>
      </c>
    </row>
    <row r="155" spans="1:17" ht="24.95" customHeight="1" x14ac:dyDescent="0.2">
      <c r="A155" s="68" t="str">
        <f t="shared" si="9"/>
        <v>BIR155 / 1974</v>
      </c>
      <c r="B155" s="75" t="s">
        <v>1439</v>
      </c>
      <c r="C155" s="75" t="s">
        <v>7330</v>
      </c>
      <c r="D155" s="369" t="s">
        <v>1443</v>
      </c>
      <c r="E155" s="369" t="str">
        <f>VLOOKUP(D:D,'Master Table'!C:D,2,FALSE)</f>
        <v>1974</v>
      </c>
      <c r="F155" s="766" t="s">
        <v>1443</v>
      </c>
      <c r="G155" s="766" t="s">
        <v>1444</v>
      </c>
      <c r="H155" s="769" t="s">
        <v>1445</v>
      </c>
      <c r="I155" s="769" t="s">
        <v>1439</v>
      </c>
      <c r="J155" s="766" t="s">
        <v>324</v>
      </c>
      <c r="K155" s="758">
        <v>1308.1199999999999</v>
      </c>
      <c r="L155" s="758">
        <v>475</v>
      </c>
      <c r="M155" s="758">
        <v>100</v>
      </c>
      <c r="N155" s="69">
        <f t="shared" si="7"/>
        <v>1883.12</v>
      </c>
      <c r="O155" s="69">
        <f>VLOOKUP(D:D,'Master Table'!C:O,13,FALSE)</f>
        <v>3479.55</v>
      </c>
      <c r="P155" s="446">
        <v>3479.55</v>
      </c>
      <c r="Q155" s="103">
        <v>3394.45</v>
      </c>
    </row>
    <row r="156" spans="1:17" ht="24.95" customHeight="1" x14ac:dyDescent="0.2">
      <c r="A156" s="68" t="str">
        <f t="shared" si="9"/>
        <v>BIR156 / 1975</v>
      </c>
      <c r="B156" s="75" t="s">
        <v>1450</v>
      </c>
      <c r="C156" s="75" t="s">
        <v>1449</v>
      </c>
      <c r="D156" s="369" t="s">
        <v>1447</v>
      </c>
      <c r="E156" s="369" t="str">
        <f>VLOOKUP(D:D,'Master Table'!C:D,2,FALSE)</f>
        <v>1975</v>
      </c>
      <c r="F156" s="766" t="s">
        <v>1447</v>
      </c>
      <c r="G156" s="766" t="s">
        <v>1448</v>
      </c>
      <c r="H156" s="769" t="s">
        <v>1449</v>
      </c>
      <c r="I156" s="769" t="s">
        <v>1450</v>
      </c>
      <c r="J156" s="766" t="s">
        <v>324</v>
      </c>
      <c r="K156" s="758">
        <v>1061.8</v>
      </c>
      <c r="L156" s="758">
        <v>90</v>
      </c>
      <c r="M156" s="758"/>
      <c r="N156" s="69">
        <f t="shared" si="7"/>
        <v>1151.8</v>
      </c>
      <c r="O156" s="69">
        <f>VLOOKUP(D:D,'Master Table'!C:O,13,FALSE)</f>
        <v>1429.9</v>
      </c>
      <c r="P156" s="446">
        <v>1429.9</v>
      </c>
      <c r="Q156" s="103">
        <v>1000.15</v>
      </c>
    </row>
    <row r="157" spans="1:17" ht="24.95" customHeight="1" x14ac:dyDescent="0.2">
      <c r="A157" s="68" t="str">
        <f t="shared" si="9"/>
        <v>BIR157 / 1976</v>
      </c>
      <c r="B157" s="75" t="s">
        <v>1455</v>
      </c>
      <c r="C157" s="75" t="s">
        <v>1454</v>
      </c>
      <c r="D157" s="369" t="s">
        <v>1452</v>
      </c>
      <c r="E157" s="369" t="str">
        <f>VLOOKUP(D:D,'Master Table'!C:D,2,FALSE)</f>
        <v>1976</v>
      </c>
      <c r="F157" s="766" t="s">
        <v>1452</v>
      </c>
      <c r="G157" s="766" t="s">
        <v>1453</v>
      </c>
      <c r="H157" s="769" t="s">
        <v>1454</v>
      </c>
      <c r="I157" s="769" t="s">
        <v>1455</v>
      </c>
      <c r="J157" s="766" t="s">
        <v>324</v>
      </c>
      <c r="K157" s="758">
        <v>989.64</v>
      </c>
      <c r="L157" s="758">
        <v>23</v>
      </c>
      <c r="M157" s="758"/>
      <c r="N157" s="69">
        <f t="shared" si="7"/>
        <v>1012.64</v>
      </c>
      <c r="O157" s="69">
        <f>VLOOKUP(D:D,'Master Table'!C:O,13,FALSE)</f>
        <v>1285.5700000000002</v>
      </c>
      <c r="P157" s="446">
        <v>1285.5700000000002</v>
      </c>
      <c r="Q157" s="103">
        <v>1123</v>
      </c>
    </row>
    <row r="158" spans="1:17" ht="24.95" customHeight="1" x14ac:dyDescent="0.2">
      <c r="A158" s="68" t="str">
        <f t="shared" si="9"/>
        <v>BIR158 / 1977</v>
      </c>
      <c r="B158" s="75" t="s">
        <v>1458</v>
      </c>
      <c r="C158" s="75" t="s">
        <v>7315</v>
      </c>
      <c r="D158" s="369" t="s">
        <v>1456</v>
      </c>
      <c r="E158" s="369" t="str">
        <f>VLOOKUP(D:D,'Master Table'!C:D,2,FALSE)</f>
        <v>1977</v>
      </c>
      <c r="F158" s="766" t="s">
        <v>1456</v>
      </c>
      <c r="G158" s="766" t="s">
        <v>1457</v>
      </c>
      <c r="H158" s="769" t="s">
        <v>896</v>
      </c>
      <c r="I158" s="769" t="s">
        <v>1458</v>
      </c>
      <c r="J158" s="766" t="s">
        <v>324</v>
      </c>
      <c r="K158" s="758">
        <v>720.1099999999999</v>
      </c>
      <c r="L158" s="758">
        <v>120</v>
      </c>
      <c r="M158" s="758"/>
      <c r="N158" s="69">
        <f t="shared" si="7"/>
        <v>840.1099999999999</v>
      </c>
      <c r="O158" s="69">
        <f>VLOOKUP(D:D,'Master Table'!C:O,13,FALSE)</f>
        <v>947.47</v>
      </c>
      <c r="P158" s="446">
        <v>947.47</v>
      </c>
      <c r="Q158" s="103">
        <v>547.29999999999995</v>
      </c>
    </row>
    <row r="159" spans="1:17" ht="24.95" customHeight="1" x14ac:dyDescent="0.2">
      <c r="A159" s="68" t="str">
        <f t="shared" si="9"/>
        <v>BIR159 / 1978</v>
      </c>
      <c r="B159" s="75" t="s">
        <v>7331</v>
      </c>
      <c r="C159" s="75" t="s">
        <v>942</v>
      </c>
      <c r="D159" s="369" t="s">
        <v>1460</v>
      </c>
      <c r="E159" s="369" t="str">
        <f>VLOOKUP(D:D,'Master Table'!C:D,2,FALSE)</f>
        <v>1978</v>
      </c>
      <c r="F159" s="766" t="s">
        <v>1460</v>
      </c>
      <c r="G159" s="766" t="s">
        <v>1461</v>
      </c>
      <c r="H159" s="769" t="s">
        <v>1462</v>
      </c>
      <c r="I159" s="769" t="s">
        <v>1463</v>
      </c>
      <c r="J159" s="766" t="s">
        <v>324</v>
      </c>
      <c r="K159" s="758">
        <v>59.5</v>
      </c>
      <c r="L159" s="758">
        <v>180</v>
      </c>
      <c r="M159" s="758"/>
      <c r="N159" s="69">
        <f t="shared" si="7"/>
        <v>239.5</v>
      </c>
      <c r="O159" s="69">
        <f>VLOOKUP(D:D,'Master Table'!C:O,13,FALSE)</f>
        <v>592.1</v>
      </c>
      <c r="P159" s="446">
        <v>592.1</v>
      </c>
      <c r="Q159" s="103">
        <v>667.19</v>
      </c>
    </row>
    <row r="160" spans="1:17" ht="24.95" customHeight="1" x14ac:dyDescent="0.2">
      <c r="A160" s="68" t="str">
        <f t="shared" si="9"/>
        <v>BIR160 / 1979</v>
      </c>
      <c r="B160" s="75" t="s">
        <v>1470</v>
      </c>
      <c r="C160" s="75" t="s">
        <v>7332</v>
      </c>
      <c r="D160" s="369" t="s">
        <v>1467</v>
      </c>
      <c r="E160" s="369" t="str">
        <f>VLOOKUP(D:D,'Master Table'!C:D,2,FALSE)</f>
        <v>1979</v>
      </c>
      <c r="F160" s="766" t="s">
        <v>1467</v>
      </c>
      <c r="G160" s="766" t="s">
        <v>1468</v>
      </c>
      <c r="H160" s="769" t="s">
        <v>1469</v>
      </c>
      <c r="I160" s="769" t="s">
        <v>1470</v>
      </c>
      <c r="J160" s="766" t="s">
        <v>324</v>
      </c>
      <c r="K160" s="758">
        <v>0</v>
      </c>
      <c r="L160" s="758">
        <v>1014.7799999999999</v>
      </c>
      <c r="M160" s="758">
        <v>42</v>
      </c>
      <c r="N160" s="69">
        <f t="shared" si="7"/>
        <v>1056.7799999999997</v>
      </c>
      <c r="O160" s="69">
        <f>VLOOKUP(D:D,'Master Table'!C:O,13,FALSE)</f>
        <v>2008.51</v>
      </c>
      <c r="P160" s="446">
        <v>2008.51</v>
      </c>
      <c r="Q160" s="103">
        <v>1980.2</v>
      </c>
    </row>
    <row r="161" spans="1:17" ht="24.95" customHeight="1" x14ac:dyDescent="0.2">
      <c r="A161" s="68" t="str">
        <f t="shared" si="9"/>
        <v>BIR161 / 1980</v>
      </c>
      <c r="B161" s="75" t="s">
        <v>1474</v>
      </c>
      <c r="C161" s="75" t="s">
        <v>231</v>
      </c>
      <c r="D161" s="369" t="s">
        <v>1472</v>
      </c>
      <c r="E161" s="369" t="str">
        <f>VLOOKUP(D:D,'Master Table'!C:D,2,FALSE)</f>
        <v>1980</v>
      </c>
      <c r="F161" s="766" t="s">
        <v>1472</v>
      </c>
      <c r="G161" s="766" t="s">
        <v>1473</v>
      </c>
      <c r="H161" s="769" t="s">
        <v>231</v>
      </c>
      <c r="I161" s="769" t="s">
        <v>1474</v>
      </c>
      <c r="J161" s="766" t="s">
        <v>324</v>
      </c>
      <c r="K161" s="758">
        <v>0</v>
      </c>
      <c r="L161" s="758">
        <v>60</v>
      </c>
      <c r="M161" s="758"/>
      <c r="N161" s="69">
        <f t="shared" si="7"/>
        <v>60</v>
      </c>
      <c r="O161" s="69">
        <f>VLOOKUP(D:D,'Master Table'!C:O,13,FALSE)</f>
        <v>65</v>
      </c>
      <c r="P161" s="446">
        <v>65</v>
      </c>
      <c r="Q161" s="103">
        <v>172.59</v>
      </c>
    </row>
    <row r="162" spans="1:17" ht="24.95" customHeight="1" x14ac:dyDescent="0.2">
      <c r="A162" s="68" t="str">
        <f t="shared" si="9"/>
        <v>BIR162 / 1981</v>
      </c>
      <c r="B162" s="78" t="s">
        <v>1478</v>
      </c>
      <c r="C162" s="78" t="s">
        <v>7333</v>
      </c>
      <c r="D162" s="369" t="s">
        <v>1475</v>
      </c>
      <c r="E162" s="369" t="str">
        <f>VLOOKUP(D:D,'Master Table'!C:D,2,FALSE)</f>
        <v>1981</v>
      </c>
      <c r="F162" s="766" t="s">
        <v>1475</v>
      </c>
      <c r="G162" s="766" t="s">
        <v>1476</v>
      </c>
      <c r="H162" s="769" t="s">
        <v>1477</v>
      </c>
      <c r="I162" s="769" t="s">
        <v>1478</v>
      </c>
      <c r="J162" s="766" t="s">
        <v>324</v>
      </c>
      <c r="K162" s="758">
        <v>0</v>
      </c>
      <c r="L162" s="758">
        <v>50</v>
      </c>
      <c r="M162" s="758"/>
      <c r="N162" s="69">
        <f t="shared" si="7"/>
        <v>50</v>
      </c>
      <c r="O162" s="69">
        <f>VLOOKUP(D:D,'Master Table'!C:O,13,FALSE)</f>
        <v>35</v>
      </c>
      <c r="P162" s="446">
        <v>35</v>
      </c>
      <c r="Q162" s="103">
        <v>0</v>
      </c>
    </row>
    <row r="163" spans="1:17" ht="24.95" customHeight="1" x14ac:dyDescent="0.2">
      <c r="A163" s="68" t="str">
        <f t="shared" si="9"/>
        <v>BIR163 / 1982</v>
      </c>
      <c r="B163" s="75" t="s">
        <v>1485</v>
      </c>
      <c r="C163" s="75" t="s">
        <v>7334</v>
      </c>
      <c r="D163" s="369" t="s">
        <v>1482</v>
      </c>
      <c r="E163" s="369" t="str">
        <f>VLOOKUP(D:D,'Master Table'!C:D,2,FALSE)</f>
        <v>1982</v>
      </c>
      <c r="F163" s="766" t="s">
        <v>1482</v>
      </c>
      <c r="G163" s="766" t="s">
        <v>1483</v>
      </c>
      <c r="H163" s="769" t="s">
        <v>1484</v>
      </c>
      <c r="I163" s="769" t="s">
        <v>1485</v>
      </c>
      <c r="J163" s="766" t="s">
        <v>324</v>
      </c>
      <c r="K163" s="758">
        <v>1912.9099999999999</v>
      </c>
      <c r="L163" s="758">
        <v>1955.36</v>
      </c>
      <c r="M163" s="758">
        <v>555.16</v>
      </c>
      <c r="N163" s="69">
        <f t="shared" si="7"/>
        <v>4423.4299999999994</v>
      </c>
      <c r="O163" s="69">
        <f>VLOOKUP(D:D,'Master Table'!C:O,13,FALSE)</f>
        <v>6538.93</v>
      </c>
      <c r="P163" s="446">
        <v>6538.93</v>
      </c>
      <c r="Q163" s="103">
        <v>5735.86</v>
      </c>
    </row>
    <row r="164" spans="1:17" ht="24.95" customHeight="1" x14ac:dyDescent="0.2">
      <c r="A164" s="68" t="str">
        <f t="shared" si="9"/>
        <v>BIR164 / 1983</v>
      </c>
      <c r="B164" s="75" t="s">
        <v>1490</v>
      </c>
      <c r="C164" s="75" t="s">
        <v>1489</v>
      </c>
      <c r="D164" s="369" t="s">
        <v>1487</v>
      </c>
      <c r="E164" s="369" t="str">
        <f>VLOOKUP(D:D,'Master Table'!C:D,2,FALSE)</f>
        <v>1983</v>
      </c>
      <c r="F164" s="766" t="s">
        <v>1487</v>
      </c>
      <c r="G164" s="766" t="s">
        <v>1488</v>
      </c>
      <c r="H164" s="769" t="s">
        <v>1489</v>
      </c>
      <c r="I164" s="769" t="s">
        <v>1490</v>
      </c>
      <c r="J164" s="766" t="s">
        <v>324</v>
      </c>
      <c r="K164" s="758">
        <v>148.11000000000001</v>
      </c>
      <c r="L164" s="758">
        <v>1035</v>
      </c>
      <c r="M164" s="758"/>
      <c r="N164" s="69">
        <f t="shared" si="7"/>
        <v>1183.1100000000001</v>
      </c>
      <c r="O164" s="69">
        <f>VLOOKUP(D:D,'Master Table'!C:O,13,FALSE)</f>
        <v>1415.74</v>
      </c>
      <c r="P164" s="446">
        <v>1415.74</v>
      </c>
      <c r="Q164" s="103">
        <v>1325.51</v>
      </c>
    </row>
    <row r="165" spans="1:17" ht="24.95" customHeight="1" x14ac:dyDescent="0.2">
      <c r="A165" s="68" t="str">
        <f t="shared" si="9"/>
        <v>BIR165 / 1984</v>
      </c>
      <c r="B165" s="75" t="s">
        <v>1495</v>
      </c>
      <c r="C165" s="75" t="s">
        <v>7335</v>
      </c>
      <c r="D165" s="369" t="s">
        <v>1492</v>
      </c>
      <c r="E165" s="369" t="str">
        <f>VLOOKUP(D:D,'Master Table'!C:D,2,FALSE)</f>
        <v>1984</v>
      </c>
      <c r="F165" s="766" t="s">
        <v>1492</v>
      </c>
      <c r="G165" s="766" t="s">
        <v>1493</v>
      </c>
      <c r="H165" s="769" t="s">
        <v>1494</v>
      </c>
      <c r="I165" s="769" t="s">
        <v>1495</v>
      </c>
      <c r="J165" s="766" t="s">
        <v>324</v>
      </c>
      <c r="K165" s="758">
        <v>140.94999999999999</v>
      </c>
      <c r="L165" s="758">
        <v>120</v>
      </c>
      <c r="M165" s="758"/>
      <c r="N165" s="69">
        <f t="shared" si="7"/>
        <v>260.95</v>
      </c>
      <c r="O165" s="69">
        <f>VLOOKUP(D:D,'Master Table'!C:O,13,FALSE)</f>
        <v>643.89</v>
      </c>
      <c r="P165" s="446">
        <v>643.89</v>
      </c>
      <c r="Q165" s="103">
        <v>589.04999999999995</v>
      </c>
    </row>
    <row r="166" spans="1:17" ht="24.95" customHeight="1" x14ac:dyDescent="0.2">
      <c r="A166" s="68" t="str">
        <f t="shared" si="9"/>
        <v>BIR166 / 1986</v>
      </c>
      <c r="B166" s="75" t="s">
        <v>1501</v>
      </c>
      <c r="C166" s="75" t="s">
        <v>7336</v>
      </c>
      <c r="D166" s="369" t="s">
        <v>1499</v>
      </c>
      <c r="E166" s="369" t="str">
        <f>VLOOKUP(D:D,'Master Table'!C:D,2,FALSE)</f>
        <v>1986</v>
      </c>
      <c r="F166" s="766" t="s">
        <v>1499</v>
      </c>
      <c r="G166" s="766" t="s">
        <v>1500</v>
      </c>
      <c r="H166" s="769" t="s">
        <v>66</v>
      </c>
      <c r="I166" s="769" t="s">
        <v>1501</v>
      </c>
      <c r="J166" s="766" t="s">
        <v>324</v>
      </c>
      <c r="K166" s="758">
        <v>269.36</v>
      </c>
      <c r="L166" s="758">
        <v>145</v>
      </c>
      <c r="M166" s="758"/>
      <c r="N166" s="69">
        <f t="shared" si="7"/>
        <v>414.36</v>
      </c>
      <c r="O166" s="69">
        <f>VLOOKUP(D:D,'Master Table'!C:O,13,FALSE)</f>
        <v>1352.11</v>
      </c>
      <c r="P166" s="446">
        <v>1352.11</v>
      </c>
      <c r="Q166" s="103">
        <v>1440.21</v>
      </c>
    </row>
    <row r="167" spans="1:17" ht="24.95" customHeight="1" x14ac:dyDescent="0.2">
      <c r="A167" s="68" t="str">
        <f t="shared" si="9"/>
        <v>BIR167 / 1987</v>
      </c>
      <c r="B167" s="75" t="s">
        <v>1501</v>
      </c>
      <c r="C167" s="75" t="s">
        <v>7337</v>
      </c>
      <c r="D167" s="369" t="s">
        <v>1503</v>
      </c>
      <c r="E167" s="369" t="str">
        <f>VLOOKUP(D:D,'Master Table'!C:D,2,FALSE)</f>
        <v>1987</v>
      </c>
      <c r="F167" s="766" t="s">
        <v>1503</v>
      </c>
      <c r="G167" s="766" t="s">
        <v>1504</v>
      </c>
      <c r="H167" s="769" t="s">
        <v>1505</v>
      </c>
      <c r="I167" s="769" t="s">
        <v>1501</v>
      </c>
      <c r="J167" s="766" t="s">
        <v>324</v>
      </c>
      <c r="K167" s="758">
        <v>824.91</v>
      </c>
      <c r="L167" s="758">
        <v>263</v>
      </c>
      <c r="M167" s="758"/>
      <c r="N167" s="69">
        <f t="shared" si="7"/>
        <v>1087.9099999999999</v>
      </c>
      <c r="O167" s="69">
        <f>VLOOKUP(D:D,'Master Table'!C:O,13,FALSE)</f>
        <v>2273.46</v>
      </c>
      <c r="P167" s="446">
        <v>2273.46</v>
      </c>
      <c r="Q167" s="103">
        <v>1807.76</v>
      </c>
    </row>
    <row r="168" spans="1:17" ht="24.95" customHeight="1" x14ac:dyDescent="0.2">
      <c r="A168" s="68" t="str">
        <f t="shared" si="9"/>
        <v>BIR168 / 1988</v>
      </c>
      <c r="B168" s="75" t="s">
        <v>1501</v>
      </c>
      <c r="C168" s="75" t="s">
        <v>158</v>
      </c>
      <c r="D168" s="369" t="s">
        <v>1506</v>
      </c>
      <c r="E168" s="369" t="str">
        <f>VLOOKUP(D:D,'Master Table'!C:D,2,FALSE)</f>
        <v>1988</v>
      </c>
      <c r="F168" s="766" t="s">
        <v>1506</v>
      </c>
      <c r="G168" s="766" t="s">
        <v>1507</v>
      </c>
      <c r="H168" s="769" t="s">
        <v>124</v>
      </c>
      <c r="I168" s="769" t="s">
        <v>1501</v>
      </c>
      <c r="J168" s="766" t="s">
        <v>324</v>
      </c>
      <c r="K168" s="758">
        <v>0</v>
      </c>
      <c r="L168" s="758">
        <v>133.38</v>
      </c>
      <c r="M168" s="758"/>
      <c r="N168" s="69">
        <f t="shared" si="7"/>
        <v>133.38</v>
      </c>
      <c r="O168" s="69">
        <f>VLOOKUP(D:D,'Master Table'!C:O,13,FALSE)</f>
        <v>390.15999999999997</v>
      </c>
      <c r="P168" s="446">
        <v>390.15999999999997</v>
      </c>
      <c r="Q168" s="103">
        <v>685.18</v>
      </c>
    </row>
    <row r="169" spans="1:17" ht="24.95" customHeight="1" x14ac:dyDescent="0.2">
      <c r="A169" s="68" t="str">
        <f t="shared" si="9"/>
        <v>BIR169 / 1989</v>
      </c>
      <c r="B169" s="75" t="s">
        <v>1512</v>
      </c>
      <c r="C169" s="75" t="s">
        <v>7338</v>
      </c>
      <c r="D169" s="369" t="s">
        <v>1509</v>
      </c>
      <c r="E169" s="369" t="str">
        <f>VLOOKUP(D:D,'Master Table'!C:D,2,FALSE)</f>
        <v>1989</v>
      </c>
      <c r="F169" s="766" t="s">
        <v>1509</v>
      </c>
      <c r="G169" s="766" t="s">
        <v>1510</v>
      </c>
      <c r="H169" s="769" t="s">
        <v>1511</v>
      </c>
      <c r="I169" s="769" t="s">
        <v>1512</v>
      </c>
      <c r="J169" s="766" t="s">
        <v>324</v>
      </c>
      <c r="K169" s="758">
        <v>201</v>
      </c>
      <c r="L169" s="758">
        <v>200</v>
      </c>
      <c r="M169" s="758"/>
      <c r="N169" s="69">
        <f t="shared" si="7"/>
        <v>401</v>
      </c>
      <c r="O169" s="69">
        <f>VLOOKUP(D:D,'Master Table'!C:O,13,FALSE)</f>
        <v>715</v>
      </c>
      <c r="P169" s="446">
        <v>715</v>
      </c>
      <c r="Q169" s="103">
        <v>1576</v>
      </c>
    </row>
    <row r="170" spans="1:17" ht="24.95" customHeight="1" x14ac:dyDescent="0.2">
      <c r="A170" s="68" t="str">
        <f t="shared" si="9"/>
        <v>BIR170 / 1990</v>
      </c>
      <c r="B170" s="75" t="s">
        <v>1523</v>
      </c>
      <c r="C170" s="75" t="s">
        <v>1515</v>
      </c>
      <c r="D170" s="369" t="s">
        <v>1513</v>
      </c>
      <c r="E170" s="369" t="str">
        <f>VLOOKUP(D:D,'Master Table'!C:D,2,FALSE)</f>
        <v>1990</v>
      </c>
      <c r="F170" s="766" t="s">
        <v>1513</v>
      </c>
      <c r="G170" s="766" t="s">
        <v>1514</v>
      </c>
      <c r="H170" s="769" t="s">
        <v>1515</v>
      </c>
      <c r="I170" s="769" t="s">
        <v>1516</v>
      </c>
      <c r="J170" s="766" t="s">
        <v>324</v>
      </c>
      <c r="K170" s="758">
        <v>0</v>
      </c>
      <c r="L170" s="758">
        <v>100</v>
      </c>
      <c r="M170" s="758"/>
      <c r="N170" s="69">
        <f t="shared" si="7"/>
        <v>100</v>
      </c>
      <c r="O170" s="69">
        <f>VLOOKUP(D:D,'Master Table'!C:O,13,FALSE)</f>
        <v>368.74</v>
      </c>
      <c r="P170" s="446">
        <v>368.74</v>
      </c>
      <c r="Q170" s="103">
        <v>427.58</v>
      </c>
    </row>
    <row r="171" spans="1:17" ht="24.95" customHeight="1" x14ac:dyDescent="0.2">
      <c r="A171" s="68" t="str">
        <f t="shared" si="9"/>
        <v>BIR171 / 1991</v>
      </c>
      <c r="B171" s="75" t="s">
        <v>1512</v>
      </c>
      <c r="C171" s="75" t="s">
        <v>1519</v>
      </c>
      <c r="D171" s="369" t="s">
        <v>1517</v>
      </c>
      <c r="E171" s="369" t="str">
        <f>VLOOKUP(D:D,'Master Table'!C:D,2,FALSE)</f>
        <v>1991</v>
      </c>
      <c r="F171" s="766" t="s">
        <v>1517</v>
      </c>
      <c r="G171" s="766" t="s">
        <v>1518</v>
      </c>
      <c r="H171" s="769" t="s">
        <v>1519</v>
      </c>
      <c r="I171" s="769" t="s">
        <v>1512</v>
      </c>
      <c r="J171" s="766" t="s">
        <v>324</v>
      </c>
      <c r="K171" s="758">
        <v>1485.23</v>
      </c>
      <c r="L171" s="758"/>
      <c r="M171" s="758"/>
      <c r="N171" s="69">
        <f t="shared" si="7"/>
        <v>1485.23</v>
      </c>
      <c r="O171" s="69">
        <f>VLOOKUP(D:D,'Master Table'!C:O,13,FALSE)</f>
        <v>1771.76</v>
      </c>
      <c r="P171" s="446">
        <v>1771.76</v>
      </c>
      <c r="Q171" s="103">
        <v>1809.5</v>
      </c>
    </row>
    <row r="172" spans="1:17" ht="24.95" customHeight="1" x14ac:dyDescent="0.2">
      <c r="A172" s="68" t="str">
        <f t="shared" si="9"/>
        <v>BIR173 / 1993</v>
      </c>
      <c r="B172" s="75" t="s">
        <v>1523</v>
      </c>
      <c r="C172" s="75" t="s">
        <v>1522</v>
      </c>
      <c r="D172" s="369" t="s">
        <v>1520</v>
      </c>
      <c r="E172" s="369" t="str">
        <f>VLOOKUP(D:D,'Master Table'!C:D,2,FALSE)</f>
        <v>1993</v>
      </c>
      <c r="F172" s="766" t="s">
        <v>1520</v>
      </c>
      <c r="G172" s="766" t="s">
        <v>1521</v>
      </c>
      <c r="H172" s="769" t="s">
        <v>1522</v>
      </c>
      <c r="I172" s="769" t="s">
        <v>1523</v>
      </c>
      <c r="J172" s="766" t="s">
        <v>324</v>
      </c>
      <c r="K172" s="758">
        <v>24.91</v>
      </c>
      <c r="L172" s="758"/>
      <c r="M172" s="758"/>
      <c r="N172" s="69">
        <f t="shared" si="7"/>
        <v>24.91</v>
      </c>
      <c r="O172" s="69">
        <f>VLOOKUP(D:D,'Master Table'!C:O,13,FALSE)</f>
        <v>105.39</v>
      </c>
      <c r="P172" s="446">
        <v>105.39</v>
      </c>
      <c r="Q172" s="103">
        <v>57.9</v>
      </c>
    </row>
    <row r="173" spans="1:17" ht="24.95" customHeight="1" x14ac:dyDescent="0.2">
      <c r="A173" s="68" t="str">
        <f t="shared" si="9"/>
        <v>BIR174 / 1994</v>
      </c>
      <c r="B173" s="75" t="s">
        <v>1523</v>
      </c>
      <c r="C173" s="75" t="s">
        <v>7339</v>
      </c>
      <c r="D173" s="369" t="s">
        <v>1525</v>
      </c>
      <c r="E173" s="369" t="str">
        <f>VLOOKUP(D:D,'Master Table'!C:D,2,FALSE)</f>
        <v>1994</v>
      </c>
      <c r="F173" s="766" t="s">
        <v>1525</v>
      </c>
      <c r="G173" s="766" t="s">
        <v>1526</v>
      </c>
      <c r="H173" s="769" t="s">
        <v>61</v>
      </c>
      <c r="I173" s="769" t="s">
        <v>1527</v>
      </c>
      <c r="J173" s="766" t="s">
        <v>324</v>
      </c>
      <c r="K173" s="758">
        <v>1608.15</v>
      </c>
      <c r="L173" s="758"/>
      <c r="M173" s="758"/>
      <c r="N173" s="69">
        <f t="shared" si="7"/>
        <v>1608.15</v>
      </c>
      <c r="O173" s="69">
        <f>VLOOKUP(D:D,'Master Table'!C:O,13,FALSE)</f>
        <v>1153.8899999999999</v>
      </c>
      <c r="P173" s="446">
        <v>1153.8899999999999</v>
      </c>
      <c r="Q173" s="103">
        <v>1102.1400000000001</v>
      </c>
    </row>
    <row r="174" spans="1:17" ht="24.95" customHeight="1" x14ac:dyDescent="0.2">
      <c r="A174" s="68" t="str">
        <f t="shared" si="9"/>
        <v>BIR175 / 1995</v>
      </c>
      <c r="B174" s="75" t="s">
        <v>1523</v>
      </c>
      <c r="C174" s="75" t="s">
        <v>1065</v>
      </c>
      <c r="D174" s="369" t="s">
        <v>1528</v>
      </c>
      <c r="E174" s="369" t="str">
        <f>VLOOKUP(D:D,'Master Table'!C:D,2,FALSE)</f>
        <v>1995</v>
      </c>
      <c r="F174" s="766" t="s">
        <v>1528</v>
      </c>
      <c r="G174" s="766" t="s">
        <v>1529</v>
      </c>
      <c r="H174" s="769" t="s">
        <v>276</v>
      </c>
      <c r="I174" s="769" t="s">
        <v>1523</v>
      </c>
      <c r="J174" s="766" t="s">
        <v>324</v>
      </c>
      <c r="K174" s="758">
        <v>312.10000000000002</v>
      </c>
      <c r="L174" s="758"/>
      <c r="M174" s="758"/>
      <c r="N174" s="69">
        <f t="shared" ref="N174:N226" si="10">K174+L174+M174</f>
        <v>312.10000000000002</v>
      </c>
      <c r="O174" s="69">
        <f>VLOOKUP(D:D,'Master Table'!C:O,13,FALSE)</f>
        <v>489.89</v>
      </c>
      <c r="P174" s="446">
        <v>489.89</v>
      </c>
      <c r="Q174" s="103">
        <v>289.89</v>
      </c>
    </row>
    <row r="175" spans="1:17" ht="24.95" customHeight="1" x14ac:dyDescent="0.2">
      <c r="A175" s="68" t="str">
        <f t="shared" si="9"/>
        <v>BIR177 / 1997</v>
      </c>
      <c r="B175" s="75" t="s">
        <v>1523</v>
      </c>
      <c r="C175" s="75" t="s">
        <v>1032</v>
      </c>
      <c r="D175" s="369" t="s">
        <v>1532</v>
      </c>
      <c r="E175" s="369" t="str">
        <f>VLOOKUP(D:D,'Master Table'!C:D,2,FALSE)</f>
        <v>1997</v>
      </c>
      <c r="F175" s="766" t="s">
        <v>1532</v>
      </c>
      <c r="G175" s="766" t="s">
        <v>1533</v>
      </c>
      <c r="H175" s="769" t="s">
        <v>1032</v>
      </c>
      <c r="I175" s="769" t="s">
        <v>1523</v>
      </c>
      <c r="J175" s="766" t="s">
        <v>324</v>
      </c>
      <c r="K175" s="758">
        <v>200.03</v>
      </c>
      <c r="L175" s="758"/>
      <c r="M175" s="758"/>
      <c r="N175" s="69">
        <f t="shared" si="10"/>
        <v>200.03</v>
      </c>
      <c r="O175" s="69">
        <f>VLOOKUP(D:D,'Master Table'!C:O,13,FALSE)</f>
        <v>536.68000000000006</v>
      </c>
      <c r="P175" s="446">
        <v>536.68000000000006</v>
      </c>
      <c r="Q175" s="103">
        <v>664.03</v>
      </c>
    </row>
    <row r="176" spans="1:17" ht="24.95" customHeight="1" x14ac:dyDescent="0.2">
      <c r="A176" s="68" t="str">
        <f t="shared" si="9"/>
        <v>BIR178 / 1998</v>
      </c>
      <c r="B176" s="75" t="s">
        <v>1523</v>
      </c>
      <c r="C176" s="75" t="s">
        <v>7340</v>
      </c>
      <c r="D176" s="369" t="s">
        <v>1534</v>
      </c>
      <c r="E176" s="369" t="str">
        <f>VLOOKUP(D:D,'Master Table'!C:D,2,FALSE)</f>
        <v>1998</v>
      </c>
      <c r="F176" s="766" t="s">
        <v>1534</v>
      </c>
      <c r="G176" s="766" t="s">
        <v>1535</v>
      </c>
      <c r="H176" s="769" t="s">
        <v>61</v>
      </c>
      <c r="I176" s="769" t="s">
        <v>1536</v>
      </c>
      <c r="J176" s="766" t="s">
        <v>324</v>
      </c>
      <c r="K176" s="758">
        <v>317.95</v>
      </c>
      <c r="L176" s="758">
        <v>200</v>
      </c>
      <c r="M176" s="758"/>
      <c r="N176" s="69">
        <f t="shared" si="10"/>
        <v>517.95000000000005</v>
      </c>
      <c r="O176" s="69">
        <f>VLOOKUP(D:D,'Master Table'!C:O,13,FALSE)</f>
        <v>668.54</v>
      </c>
      <c r="P176" s="446">
        <v>668.54</v>
      </c>
      <c r="Q176" s="103">
        <v>924.87</v>
      </c>
    </row>
    <row r="177" spans="1:17" ht="24.95" customHeight="1" x14ac:dyDescent="0.2">
      <c r="A177" s="68" t="str">
        <f t="shared" si="9"/>
        <v>BIR179 / 1999</v>
      </c>
      <c r="B177" s="75" t="s">
        <v>1523</v>
      </c>
      <c r="C177" s="75" t="s">
        <v>231</v>
      </c>
      <c r="D177" s="369" t="s">
        <v>1538</v>
      </c>
      <c r="E177" s="369" t="str">
        <f>VLOOKUP(D:D,'Master Table'!C:D,2,FALSE)</f>
        <v>1999</v>
      </c>
      <c r="F177" s="766" t="s">
        <v>1538</v>
      </c>
      <c r="G177" s="766" t="s">
        <v>1539</v>
      </c>
      <c r="H177" s="769" t="s">
        <v>428</v>
      </c>
      <c r="I177" s="769" t="s">
        <v>1523</v>
      </c>
      <c r="J177" s="766" t="s">
        <v>324</v>
      </c>
      <c r="K177" s="758">
        <v>545.16</v>
      </c>
      <c r="L177" s="758">
        <v>151</v>
      </c>
      <c r="M177" s="758"/>
      <c r="N177" s="69">
        <f t="shared" si="10"/>
        <v>696.16</v>
      </c>
      <c r="O177" s="69">
        <f>VLOOKUP(D:D,'Master Table'!C:O,13,FALSE)</f>
        <v>1402.74</v>
      </c>
      <c r="P177" s="446">
        <v>1402.74</v>
      </c>
      <c r="Q177" s="103">
        <v>878.47</v>
      </c>
    </row>
    <row r="178" spans="1:17" ht="24.95" customHeight="1" x14ac:dyDescent="0.2">
      <c r="A178" s="68" t="str">
        <f t="shared" si="9"/>
        <v>BIR180 / 2000</v>
      </c>
      <c r="B178" s="75" t="s">
        <v>1512</v>
      </c>
      <c r="C178" s="75" t="s">
        <v>476</v>
      </c>
      <c r="D178" s="369" t="s">
        <v>1541</v>
      </c>
      <c r="E178" s="369" t="str">
        <f>VLOOKUP(D:D,'Master Table'!C:D,2,FALSE)</f>
        <v>2000</v>
      </c>
      <c r="F178" s="766" t="s">
        <v>1541</v>
      </c>
      <c r="G178" s="766" t="s">
        <v>1542</v>
      </c>
      <c r="H178" s="769" t="s">
        <v>1543</v>
      </c>
      <c r="I178" s="769" t="s">
        <v>1512</v>
      </c>
      <c r="J178" s="766" t="s">
        <v>324</v>
      </c>
      <c r="K178" s="758">
        <v>199.59</v>
      </c>
      <c r="L178" s="758">
        <v>30</v>
      </c>
      <c r="M178" s="758">
        <v>230</v>
      </c>
      <c r="N178" s="69">
        <f t="shared" si="10"/>
        <v>459.59000000000003</v>
      </c>
      <c r="O178" s="69">
        <f>VLOOKUP(D:D,'Master Table'!C:O,13,FALSE)</f>
        <v>791.72</v>
      </c>
      <c r="P178" s="446">
        <v>791.72</v>
      </c>
      <c r="Q178" s="103">
        <v>1040.6500000000001</v>
      </c>
    </row>
    <row r="179" spans="1:17" ht="24.95" customHeight="1" x14ac:dyDescent="0.2">
      <c r="A179" s="68" t="str">
        <f t="shared" si="9"/>
        <v>BIR181 / 2001</v>
      </c>
      <c r="B179" s="75" t="s">
        <v>7341</v>
      </c>
      <c r="C179" s="75" t="s">
        <v>7342</v>
      </c>
      <c r="D179" s="369" t="s">
        <v>1544</v>
      </c>
      <c r="E179" s="369" t="str">
        <f>VLOOKUP(D:D,'Master Table'!C:D,2,FALSE)</f>
        <v>2001</v>
      </c>
      <c r="F179" s="766" t="s">
        <v>1544</v>
      </c>
      <c r="G179" s="766" t="s">
        <v>1545</v>
      </c>
      <c r="H179" s="769" t="s">
        <v>1546</v>
      </c>
      <c r="I179" s="769" t="s">
        <v>1512</v>
      </c>
      <c r="J179" s="766" t="s">
        <v>324</v>
      </c>
      <c r="K179" s="758">
        <v>37.479999999999997</v>
      </c>
      <c r="L179" s="758">
        <v>115</v>
      </c>
      <c r="M179" s="758">
        <v>200</v>
      </c>
      <c r="N179" s="69">
        <f t="shared" si="10"/>
        <v>352.48</v>
      </c>
      <c r="O179" s="69">
        <f>VLOOKUP(D:D,'Master Table'!C:O,13,FALSE)</f>
        <v>1590.66</v>
      </c>
      <c r="P179" s="446">
        <v>1590.66</v>
      </c>
      <c r="Q179" s="103">
        <v>1459.42</v>
      </c>
    </row>
    <row r="180" spans="1:17" ht="24.95" customHeight="1" x14ac:dyDescent="0.2">
      <c r="A180" s="68" t="s">
        <v>11402</v>
      </c>
      <c r="B180" s="68" t="s">
        <v>1551</v>
      </c>
      <c r="C180" s="68" t="s">
        <v>226</v>
      </c>
      <c r="D180" s="369" t="s">
        <v>1549</v>
      </c>
      <c r="E180" s="850" t="s">
        <v>1550</v>
      </c>
      <c r="F180" s="766" t="s">
        <v>1549</v>
      </c>
      <c r="G180" s="766">
        <v>444443</v>
      </c>
      <c r="H180" s="769" t="s">
        <v>226</v>
      </c>
      <c r="I180" s="769" t="s">
        <v>1551</v>
      </c>
      <c r="J180" s="766" t="s">
        <v>324</v>
      </c>
      <c r="K180" s="758">
        <v>0</v>
      </c>
      <c r="L180" s="758">
        <v>147.75</v>
      </c>
      <c r="M180" s="758"/>
      <c r="N180" s="69">
        <f t="shared" si="10"/>
        <v>147.75</v>
      </c>
      <c r="O180" s="69"/>
      <c r="P180" s="446"/>
      <c r="Q180" s="103"/>
    </row>
    <row r="181" spans="1:17" ht="24.95" customHeight="1" x14ac:dyDescent="0.2">
      <c r="A181" s="68" t="str">
        <f t="shared" si="9"/>
        <v>BIR182 / 2002</v>
      </c>
      <c r="B181" s="75" t="s">
        <v>1512</v>
      </c>
      <c r="C181" s="75" t="s">
        <v>226</v>
      </c>
      <c r="D181" s="369" t="s">
        <v>1552</v>
      </c>
      <c r="E181" s="369" t="str">
        <f>VLOOKUP(D:D,'Master Table'!C:D,2,FALSE)</f>
        <v>2002</v>
      </c>
      <c r="F181" s="766" t="s">
        <v>1552</v>
      </c>
      <c r="G181" s="766" t="s">
        <v>1553</v>
      </c>
      <c r="H181" s="769" t="s">
        <v>31</v>
      </c>
      <c r="I181" s="769" t="s">
        <v>1523</v>
      </c>
      <c r="J181" s="766" t="s">
        <v>324</v>
      </c>
      <c r="K181" s="758">
        <v>123.5</v>
      </c>
      <c r="L181" s="758">
        <v>30</v>
      </c>
      <c r="M181" s="758">
        <v>40</v>
      </c>
      <c r="N181" s="69">
        <f t="shared" si="10"/>
        <v>193.5</v>
      </c>
      <c r="O181" s="69">
        <f>VLOOKUP(D:D,'Master Table'!C:O,13,FALSE)</f>
        <v>398.06</v>
      </c>
      <c r="P181" s="446">
        <v>398.06</v>
      </c>
      <c r="Q181" s="103">
        <v>402.58</v>
      </c>
    </row>
    <row r="182" spans="1:17" ht="24.95" customHeight="1" x14ac:dyDescent="0.2">
      <c r="A182" s="68" t="str">
        <f t="shared" si="9"/>
        <v>BIR183 / 2003</v>
      </c>
      <c r="B182" s="75" t="s">
        <v>1523</v>
      </c>
      <c r="C182" s="75" t="s">
        <v>934</v>
      </c>
      <c r="D182" s="369" t="s">
        <v>1555</v>
      </c>
      <c r="E182" s="369" t="str">
        <f>VLOOKUP(D:D,'Master Table'!C:D,2,FALSE)</f>
        <v>2003</v>
      </c>
      <c r="F182" s="766" t="s">
        <v>1555</v>
      </c>
      <c r="G182" s="766" t="s">
        <v>1556</v>
      </c>
      <c r="H182" s="769" t="s">
        <v>934</v>
      </c>
      <c r="I182" s="769" t="s">
        <v>1523</v>
      </c>
      <c r="J182" s="766" t="s">
        <v>324</v>
      </c>
      <c r="K182" s="758">
        <v>557.80999999999995</v>
      </c>
      <c r="L182" s="758">
        <v>131</v>
      </c>
      <c r="M182" s="758">
        <v>800</v>
      </c>
      <c r="N182" s="69">
        <f t="shared" si="10"/>
        <v>1488.81</v>
      </c>
      <c r="O182" s="69">
        <f>VLOOKUP(D:D,'Master Table'!C:O,13,FALSE)</f>
        <v>1300.3000000000002</v>
      </c>
      <c r="P182" s="446">
        <v>1300.3000000000002</v>
      </c>
      <c r="Q182" s="103">
        <v>1616.55</v>
      </c>
    </row>
    <row r="183" spans="1:17" ht="24.95" customHeight="1" x14ac:dyDescent="0.2">
      <c r="A183" s="68" t="str">
        <f t="shared" si="9"/>
        <v>BIR184 / 2004</v>
      </c>
      <c r="B183" s="75" t="s">
        <v>1523</v>
      </c>
      <c r="C183" s="75" t="s">
        <v>231</v>
      </c>
      <c r="D183" s="369" t="s">
        <v>1558</v>
      </c>
      <c r="E183" s="369" t="str">
        <f>VLOOKUP(D:D,'Master Table'!C:D,2,FALSE)</f>
        <v>2004</v>
      </c>
      <c r="F183" s="766" t="s">
        <v>1558</v>
      </c>
      <c r="G183" s="766" t="s">
        <v>1559</v>
      </c>
      <c r="H183" s="769" t="s">
        <v>231</v>
      </c>
      <c r="I183" s="769" t="s">
        <v>1523</v>
      </c>
      <c r="J183" s="766" t="s">
        <v>324</v>
      </c>
      <c r="K183" s="758">
        <v>0</v>
      </c>
      <c r="L183" s="758">
        <v>25</v>
      </c>
      <c r="M183" s="758">
        <v>158</v>
      </c>
      <c r="N183" s="69">
        <f t="shared" si="10"/>
        <v>183</v>
      </c>
      <c r="O183" s="69">
        <f>VLOOKUP(D:D,'Master Table'!C:O,13,FALSE)</f>
        <v>499.17</v>
      </c>
      <c r="P183" s="446">
        <v>499.17</v>
      </c>
      <c r="Q183" s="103">
        <v>798.1</v>
      </c>
    </row>
    <row r="184" spans="1:17" ht="24.95" customHeight="1" x14ac:dyDescent="0.2">
      <c r="A184" s="68" t="str">
        <f t="shared" si="9"/>
        <v>BIR185 / 2005</v>
      </c>
      <c r="B184" s="75" t="s">
        <v>1567</v>
      </c>
      <c r="C184" s="75" t="s">
        <v>1566</v>
      </c>
      <c r="D184" s="369" t="s">
        <v>1564</v>
      </c>
      <c r="E184" s="369" t="str">
        <f>VLOOKUP(D:D,'Master Table'!C:D,2,FALSE)</f>
        <v>2005</v>
      </c>
      <c r="F184" s="766" t="s">
        <v>1564</v>
      </c>
      <c r="G184" s="766" t="s">
        <v>1565</v>
      </c>
      <c r="H184" s="769" t="s">
        <v>1566</v>
      </c>
      <c r="I184" s="769" t="s">
        <v>1567</v>
      </c>
      <c r="J184" s="766" t="s">
        <v>324</v>
      </c>
      <c r="K184" s="758">
        <v>244.42</v>
      </c>
      <c r="L184" s="758">
        <v>50</v>
      </c>
      <c r="M184" s="758"/>
      <c r="N184" s="69">
        <f t="shared" si="10"/>
        <v>294.41999999999996</v>
      </c>
      <c r="O184" s="69">
        <f>VLOOKUP(D:D,'Master Table'!C:O,13,FALSE)</f>
        <v>1853.7199999999998</v>
      </c>
      <c r="P184" s="446">
        <v>1853.7199999999998</v>
      </c>
      <c r="Q184" s="103">
        <v>1530.49</v>
      </c>
    </row>
    <row r="185" spans="1:17" ht="24.95" customHeight="1" x14ac:dyDescent="0.2">
      <c r="A185" s="68" t="str">
        <f t="shared" si="9"/>
        <v>BIR186 / 2006</v>
      </c>
      <c r="B185" s="75" t="s">
        <v>1576</v>
      </c>
      <c r="C185" s="75" t="s">
        <v>7343</v>
      </c>
      <c r="D185" s="369" t="s">
        <v>1573</v>
      </c>
      <c r="E185" s="369" t="str">
        <f>VLOOKUP(D:D,'Master Table'!C:D,2,FALSE)</f>
        <v>2006</v>
      </c>
      <c r="F185" s="766" t="s">
        <v>1573</v>
      </c>
      <c r="G185" s="766" t="s">
        <v>1574</v>
      </c>
      <c r="H185" s="769" t="s">
        <v>1575</v>
      </c>
      <c r="I185" s="769" t="s">
        <v>1576</v>
      </c>
      <c r="J185" s="766" t="s">
        <v>324</v>
      </c>
      <c r="K185" s="758">
        <v>3309.73</v>
      </c>
      <c r="L185" s="758">
        <v>1480</v>
      </c>
      <c r="M185" s="758"/>
      <c r="N185" s="69">
        <f t="shared" si="10"/>
        <v>4789.7299999999996</v>
      </c>
      <c r="O185" s="69">
        <f>VLOOKUP(D:D,'Master Table'!C:O,13,FALSE)</f>
        <v>5288.1</v>
      </c>
      <c r="P185" s="446">
        <v>5288.1</v>
      </c>
      <c r="Q185" s="103">
        <v>5112.5599999999995</v>
      </c>
    </row>
    <row r="186" spans="1:17" ht="24.95" customHeight="1" x14ac:dyDescent="0.2">
      <c r="A186" s="68" t="str">
        <f t="shared" si="9"/>
        <v>BIR187 / 2007</v>
      </c>
      <c r="B186" s="75" t="s">
        <v>7344</v>
      </c>
      <c r="C186" s="75" t="s">
        <v>1579</v>
      </c>
      <c r="D186" s="369" t="s">
        <v>1577</v>
      </c>
      <c r="E186" s="369" t="str">
        <f>VLOOKUP(D:D,'Master Table'!C:D,2,FALSE)</f>
        <v>2007</v>
      </c>
      <c r="F186" s="766" t="s">
        <v>1577</v>
      </c>
      <c r="G186" s="766" t="s">
        <v>1578</v>
      </c>
      <c r="H186" s="769" t="s">
        <v>1579</v>
      </c>
      <c r="I186" s="769" t="s">
        <v>1580</v>
      </c>
      <c r="J186" s="766" t="s">
        <v>324</v>
      </c>
      <c r="K186" s="758">
        <v>377.38999999999987</v>
      </c>
      <c r="L186" s="758">
        <v>375</v>
      </c>
      <c r="M186" s="758"/>
      <c r="N186" s="69">
        <f t="shared" si="10"/>
        <v>752.38999999999987</v>
      </c>
      <c r="O186" s="69">
        <f>VLOOKUP(D:D,'Master Table'!C:O,13,FALSE)</f>
        <v>1389.76</v>
      </c>
      <c r="P186" s="446">
        <v>1389.76</v>
      </c>
      <c r="Q186" s="103">
        <v>994.32</v>
      </c>
    </row>
    <row r="187" spans="1:17" ht="24.95" customHeight="1" x14ac:dyDescent="0.2">
      <c r="A187" s="68" t="str">
        <f t="shared" si="9"/>
        <v>BIR188 / 2009</v>
      </c>
      <c r="B187" s="75" t="s">
        <v>1589</v>
      </c>
      <c r="C187" s="75" t="s">
        <v>7345</v>
      </c>
      <c r="D187" s="369" t="s">
        <v>1586</v>
      </c>
      <c r="E187" s="369" t="str">
        <f>VLOOKUP(D:D,'Master Table'!C:D,2,FALSE)</f>
        <v>2009</v>
      </c>
      <c r="F187" s="766" t="s">
        <v>1586</v>
      </c>
      <c r="G187" s="766" t="s">
        <v>1587</v>
      </c>
      <c r="H187" s="769" t="s">
        <v>1588</v>
      </c>
      <c r="I187" s="769" t="s">
        <v>1589</v>
      </c>
      <c r="J187" s="766" t="s">
        <v>324</v>
      </c>
      <c r="K187" s="758">
        <v>408.78</v>
      </c>
      <c r="L187" s="758">
        <v>1357.5</v>
      </c>
      <c r="M187" s="758">
        <v>289.62</v>
      </c>
      <c r="N187" s="69">
        <f t="shared" si="10"/>
        <v>2055.9</v>
      </c>
      <c r="O187" s="69">
        <f>VLOOKUP(D:D,'Master Table'!C:O,13,FALSE)</f>
        <v>3041.1599999999994</v>
      </c>
      <c r="P187" s="446">
        <v>3041.1599999999994</v>
      </c>
      <c r="Q187" s="103">
        <v>3391.7</v>
      </c>
    </row>
    <row r="188" spans="1:17" ht="24.95" customHeight="1" x14ac:dyDescent="0.2">
      <c r="A188" s="68" t="str">
        <f t="shared" si="9"/>
        <v>BIR189 / 2010</v>
      </c>
      <c r="B188" s="75" t="s">
        <v>1596</v>
      </c>
      <c r="C188" s="75" t="s">
        <v>7336</v>
      </c>
      <c r="D188" s="369" t="s">
        <v>1594</v>
      </c>
      <c r="E188" s="369" t="str">
        <f>VLOOKUP(D:D,'Master Table'!C:D,2,FALSE)</f>
        <v>2010</v>
      </c>
      <c r="F188" s="766" t="s">
        <v>1594</v>
      </c>
      <c r="G188" s="766" t="s">
        <v>1595</v>
      </c>
      <c r="H188" s="769" t="s">
        <v>66</v>
      </c>
      <c r="I188" s="769" t="s">
        <v>1596</v>
      </c>
      <c r="J188" s="766" t="s">
        <v>324</v>
      </c>
      <c r="K188" s="758">
        <v>1300.3</v>
      </c>
      <c r="L188" s="758">
        <v>200</v>
      </c>
      <c r="M188" s="758"/>
      <c r="N188" s="69">
        <f t="shared" si="10"/>
        <v>1500.3</v>
      </c>
      <c r="O188" s="69">
        <f>VLOOKUP(D:D,'Master Table'!C:O,13,FALSE)</f>
        <v>2228.81</v>
      </c>
      <c r="P188" s="446">
        <v>2228.81</v>
      </c>
      <c r="Q188" s="103">
        <v>1802.47</v>
      </c>
    </row>
    <row r="189" spans="1:17" ht="24.95" customHeight="1" x14ac:dyDescent="0.2">
      <c r="A189" s="68" t="str">
        <f t="shared" si="9"/>
        <v>BIR190 / 2011</v>
      </c>
      <c r="B189" s="75" t="s">
        <v>1599</v>
      </c>
      <c r="C189" s="75" t="s">
        <v>7318</v>
      </c>
      <c r="D189" s="369" t="s">
        <v>1597</v>
      </c>
      <c r="E189" s="369" t="str">
        <f>VLOOKUP(D:D,'Master Table'!C:D,2,FALSE)</f>
        <v>2011</v>
      </c>
      <c r="F189" s="766" t="s">
        <v>1597</v>
      </c>
      <c r="G189" s="766" t="s">
        <v>1598</v>
      </c>
      <c r="H189" s="769" t="s">
        <v>31</v>
      </c>
      <c r="I189" s="769" t="s">
        <v>1599</v>
      </c>
      <c r="J189" s="766" t="s">
        <v>324</v>
      </c>
      <c r="K189" s="758">
        <v>0</v>
      </c>
      <c r="L189" s="758"/>
      <c r="M189" s="758"/>
      <c r="N189" s="69">
        <f t="shared" si="10"/>
        <v>0</v>
      </c>
      <c r="O189" s="69">
        <f>VLOOKUP(D:D,'Master Table'!C:O,13,FALSE)</f>
        <v>700.19</v>
      </c>
      <c r="P189" s="446">
        <v>700.19</v>
      </c>
      <c r="Q189" s="103">
        <v>694.85</v>
      </c>
    </row>
    <row r="190" spans="1:17" ht="24.95" customHeight="1" x14ac:dyDescent="0.2">
      <c r="A190" s="68" t="str">
        <f t="shared" si="9"/>
        <v>BIR191 / 2012</v>
      </c>
      <c r="B190" s="75" t="s">
        <v>1602</v>
      </c>
      <c r="C190" s="75" t="s">
        <v>1054</v>
      </c>
      <c r="D190" s="369" t="s">
        <v>1600</v>
      </c>
      <c r="E190" s="369" t="str">
        <f>VLOOKUP(D:D,'Master Table'!C:D,2,FALSE)</f>
        <v>2012</v>
      </c>
      <c r="F190" s="766" t="s">
        <v>1600</v>
      </c>
      <c r="G190" s="766" t="s">
        <v>1601</v>
      </c>
      <c r="H190" s="769" t="s">
        <v>1054</v>
      </c>
      <c r="I190" s="769" t="s">
        <v>1602</v>
      </c>
      <c r="J190" s="766" t="s">
        <v>324</v>
      </c>
      <c r="K190" s="758">
        <v>3282.44</v>
      </c>
      <c r="L190" s="758">
        <v>395</v>
      </c>
      <c r="M190" s="758"/>
      <c r="N190" s="69">
        <f t="shared" si="10"/>
        <v>3677.44</v>
      </c>
      <c r="O190" s="69">
        <f>VLOOKUP(D:D,'Master Table'!C:O,13,FALSE)</f>
        <v>4809.88</v>
      </c>
      <c r="P190" s="446">
        <v>4809.88</v>
      </c>
      <c r="Q190" s="103">
        <v>5010.78</v>
      </c>
    </row>
    <row r="191" spans="1:17" ht="24.95" customHeight="1" x14ac:dyDescent="0.2">
      <c r="A191" s="68" t="str">
        <f t="shared" si="9"/>
        <v>BIR192 / 2013</v>
      </c>
      <c r="B191" s="75" t="s">
        <v>1602</v>
      </c>
      <c r="C191" s="75" t="s">
        <v>7346</v>
      </c>
      <c r="D191" s="369" t="s">
        <v>1604</v>
      </c>
      <c r="E191" s="369" t="str">
        <f>VLOOKUP(D:D,'Master Table'!C:D,2,FALSE)</f>
        <v>2013</v>
      </c>
      <c r="F191" s="766" t="s">
        <v>1604</v>
      </c>
      <c r="G191" s="766" t="s">
        <v>1605</v>
      </c>
      <c r="H191" s="769" t="s">
        <v>1606</v>
      </c>
      <c r="I191" s="769" t="s">
        <v>1602</v>
      </c>
      <c r="J191" s="766" t="s">
        <v>324</v>
      </c>
      <c r="K191" s="758">
        <v>0</v>
      </c>
      <c r="L191" s="758">
        <v>135</v>
      </c>
      <c r="M191" s="758"/>
      <c r="N191" s="69">
        <f t="shared" si="10"/>
        <v>135</v>
      </c>
      <c r="O191" s="69">
        <f>VLOOKUP(D:D,'Master Table'!C:O,13,FALSE)</f>
        <v>162</v>
      </c>
      <c r="P191" s="446">
        <v>162</v>
      </c>
      <c r="Q191" s="103">
        <v>2088.85</v>
      </c>
    </row>
    <row r="192" spans="1:17" ht="24.95" customHeight="1" x14ac:dyDescent="0.2">
      <c r="A192" s="68" t="str">
        <f t="shared" si="9"/>
        <v>BIR193 / 2014</v>
      </c>
      <c r="B192" s="75" t="s">
        <v>1602</v>
      </c>
      <c r="C192" s="75" t="s">
        <v>231</v>
      </c>
      <c r="D192" s="369" t="s">
        <v>1608</v>
      </c>
      <c r="E192" s="369" t="str">
        <f>VLOOKUP(D:D,'Master Table'!C:D,2,FALSE)</f>
        <v>2014</v>
      </c>
      <c r="F192" s="766" t="s">
        <v>1608</v>
      </c>
      <c r="G192" s="766" t="s">
        <v>1609</v>
      </c>
      <c r="H192" s="769" t="s">
        <v>428</v>
      </c>
      <c r="I192" s="769" t="s">
        <v>1602</v>
      </c>
      <c r="J192" s="766" t="s">
        <v>324</v>
      </c>
      <c r="K192" s="758">
        <v>207.1</v>
      </c>
      <c r="L192" s="758">
        <v>145</v>
      </c>
      <c r="M192" s="758"/>
      <c r="N192" s="69">
        <f t="shared" si="10"/>
        <v>352.1</v>
      </c>
      <c r="O192" s="69">
        <f>VLOOKUP(D:D,'Master Table'!C:O,13,FALSE)</f>
        <v>1196.06</v>
      </c>
      <c r="P192" s="446">
        <v>1196.06</v>
      </c>
      <c r="Q192" s="103">
        <v>1161.3399999999999</v>
      </c>
    </row>
    <row r="193" spans="1:17" ht="24.95" customHeight="1" x14ac:dyDescent="0.2">
      <c r="A193" s="68" t="str">
        <f t="shared" si="9"/>
        <v>BIR194 / 2015</v>
      </c>
      <c r="B193" s="75" t="s">
        <v>1602</v>
      </c>
      <c r="C193" s="75" t="s">
        <v>7347</v>
      </c>
      <c r="D193" s="369" t="s">
        <v>1610</v>
      </c>
      <c r="E193" s="369" t="str">
        <f>VLOOKUP(D:D,'Master Table'!C:D,2,FALSE)</f>
        <v>2015</v>
      </c>
      <c r="F193" s="766" t="s">
        <v>1610</v>
      </c>
      <c r="G193" s="766" t="s">
        <v>1611</v>
      </c>
      <c r="H193" s="769" t="s">
        <v>1612</v>
      </c>
      <c r="I193" s="769" t="s">
        <v>1602</v>
      </c>
      <c r="J193" s="766" t="s">
        <v>324</v>
      </c>
      <c r="K193" s="758">
        <v>0</v>
      </c>
      <c r="L193" s="758">
        <v>166</v>
      </c>
      <c r="M193" s="758"/>
      <c r="N193" s="69">
        <f t="shared" si="10"/>
        <v>166</v>
      </c>
      <c r="O193" s="69">
        <f>VLOOKUP(D:D,'Master Table'!C:O,13,FALSE)</f>
        <v>771.67</v>
      </c>
      <c r="P193" s="446">
        <v>771.67</v>
      </c>
      <c r="Q193" s="103">
        <v>894.1</v>
      </c>
    </row>
    <row r="194" spans="1:17" ht="24.95" customHeight="1" x14ac:dyDescent="0.2">
      <c r="A194" s="68" t="str">
        <f t="shared" si="9"/>
        <v>BIR195 / 2016</v>
      </c>
      <c r="B194" s="75" t="s">
        <v>1615</v>
      </c>
      <c r="C194" s="75" t="s">
        <v>127</v>
      </c>
      <c r="D194" s="369" t="s">
        <v>1613</v>
      </c>
      <c r="E194" s="369" t="str">
        <f>VLOOKUP(D:D,'Master Table'!C:D,2,FALSE)</f>
        <v>2016</v>
      </c>
      <c r="F194" s="766" t="s">
        <v>1613</v>
      </c>
      <c r="G194" s="766" t="s">
        <v>1614</v>
      </c>
      <c r="H194" s="769" t="s">
        <v>127</v>
      </c>
      <c r="I194" s="769" t="s">
        <v>1615</v>
      </c>
      <c r="J194" s="766" t="s">
        <v>324</v>
      </c>
      <c r="K194" s="758">
        <v>690.13</v>
      </c>
      <c r="L194" s="758">
        <v>150</v>
      </c>
      <c r="M194" s="758"/>
      <c r="N194" s="69">
        <f t="shared" si="10"/>
        <v>840.13</v>
      </c>
      <c r="O194" s="69">
        <f>VLOOKUP(D:D,'Master Table'!C:O,13,FALSE)</f>
        <v>687.49</v>
      </c>
      <c r="P194" s="446">
        <v>687.49</v>
      </c>
      <c r="Q194" s="103">
        <v>645.75</v>
      </c>
    </row>
    <row r="195" spans="1:17" ht="24.95" customHeight="1" x14ac:dyDescent="0.2">
      <c r="A195" s="68" t="str">
        <f t="shared" si="9"/>
        <v>BIR196 / 2017</v>
      </c>
      <c r="B195" s="75" t="s">
        <v>1618</v>
      </c>
      <c r="C195" s="75" t="s">
        <v>1008</v>
      </c>
      <c r="D195" s="369" t="s">
        <v>1616</v>
      </c>
      <c r="E195" s="369" t="str">
        <f>VLOOKUP(D:D,'Master Table'!C:D,2,FALSE)</f>
        <v>2017</v>
      </c>
      <c r="F195" s="766" t="s">
        <v>1616</v>
      </c>
      <c r="G195" s="766" t="s">
        <v>1617</v>
      </c>
      <c r="H195" s="769" t="s">
        <v>1008</v>
      </c>
      <c r="I195" s="769" t="s">
        <v>1618</v>
      </c>
      <c r="J195" s="766" t="s">
        <v>324</v>
      </c>
      <c r="K195" s="758">
        <v>726.1</v>
      </c>
      <c r="L195" s="758">
        <v>190</v>
      </c>
      <c r="M195" s="758">
        <v>274</v>
      </c>
      <c r="N195" s="69">
        <f t="shared" si="10"/>
        <v>1190.0999999999999</v>
      </c>
      <c r="O195" s="69">
        <f>VLOOKUP(D:D,'Master Table'!C:O,13,FALSE)</f>
        <v>1620.2</v>
      </c>
      <c r="P195" s="446">
        <v>1620.2</v>
      </c>
      <c r="Q195" s="103">
        <v>1485</v>
      </c>
    </row>
    <row r="196" spans="1:17" ht="24.95" customHeight="1" x14ac:dyDescent="0.2">
      <c r="A196" s="68" t="str">
        <f t="shared" si="9"/>
        <v>BIR196X / 2018</v>
      </c>
      <c r="B196" s="75" t="s">
        <v>7348</v>
      </c>
      <c r="C196" s="75" t="s">
        <v>231</v>
      </c>
      <c r="D196" s="369" t="s">
        <v>1619</v>
      </c>
      <c r="E196" s="369" t="str">
        <f>VLOOKUP(D:D,'Master Table'!C:D,2,FALSE)</f>
        <v>2018</v>
      </c>
      <c r="F196" s="766" t="s">
        <v>1619</v>
      </c>
      <c r="G196" s="766" t="s">
        <v>1620</v>
      </c>
      <c r="H196" s="769" t="s">
        <v>428</v>
      </c>
      <c r="I196" s="769" t="s">
        <v>1621</v>
      </c>
      <c r="J196" s="766" t="s">
        <v>324</v>
      </c>
      <c r="K196" s="758">
        <v>33.950000000000003</v>
      </c>
      <c r="L196" s="758"/>
      <c r="M196" s="758"/>
      <c r="N196" s="69">
        <f t="shared" si="10"/>
        <v>33.950000000000003</v>
      </c>
      <c r="O196" s="69">
        <f>VLOOKUP(D:D,'Master Table'!C:O,13,FALSE)</f>
        <v>274.87</v>
      </c>
      <c r="P196" s="446">
        <v>274.87</v>
      </c>
      <c r="Q196" s="103">
        <v>374.54</v>
      </c>
    </row>
    <row r="197" spans="1:17" ht="24.95" customHeight="1" x14ac:dyDescent="0.2">
      <c r="A197" s="68" t="str">
        <f t="shared" si="9"/>
        <v>BIR198 / 148025</v>
      </c>
      <c r="B197" s="75" t="s">
        <v>1628</v>
      </c>
      <c r="C197" s="75" t="s">
        <v>1627</v>
      </c>
      <c r="D197" s="369" t="s">
        <v>1625</v>
      </c>
      <c r="E197" s="369" t="str">
        <f>VLOOKUP(D:D,'Master Table'!C:D,2,FALSE)</f>
        <v>148025</v>
      </c>
      <c r="F197" s="766" t="s">
        <v>1625</v>
      </c>
      <c r="G197" s="766" t="s">
        <v>1626</v>
      </c>
      <c r="H197" s="769" t="s">
        <v>1627</v>
      </c>
      <c r="I197" s="769" t="s">
        <v>1628</v>
      </c>
      <c r="J197" s="766" t="s">
        <v>324</v>
      </c>
      <c r="K197" s="758">
        <v>130</v>
      </c>
      <c r="L197" s="758">
        <v>65</v>
      </c>
      <c r="M197" s="758"/>
      <c r="N197" s="69">
        <f t="shared" si="10"/>
        <v>195</v>
      </c>
      <c r="O197" s="69">
        <f>VLOOKUP(D:D,'Master Table'!C:O,13,FALSE)</f>
        <v>290.94</v>
      </c>
      <c r="P197" s="446">
        <v>290.94</v>
      </c>
      <c r="Q197" s="103">
        <v>215.29</v>
      </c>
    </row>
    <row r="198" spans="1:17" ht="24.95" customHeight="1" x14ac:dyDescent="0.2">
      <c r="A198" s="68" t="str">
        <f t="shared" si="9"/>
        <v>BIR199 / 2020</v>
      </c>
      <c r="B198" s="75" t="s">
        <v>1631</v>
      </c>
      <c r="C198" s="75" t="s">
        <v>1366</v>
      </c>
      <c r="D198" s="369" t="s">
        <v>1629</v>
      </c>
      <c r="E198" s="369" t="str">
        <f>VLOOKUP(D:D,'Master Table'!C:D,2,FALSE)</f>
        <v>2020</v>
      </c>
      <c r="F198" s="766" t="s">
        <v>1629</v>
      </c>
      <c r="G198" s="766" t="s">
        <v>1630</v>
      </c>
      <c r="H198" s="769" t="s">
        <v>61</v>
      </c>
      <c r="I198" s="769" t="s">
        <v>1631</v>
      </c>
      <c r="J198" s="766" t="s">
        <v>324</v>
      </c>
      <c r="K198" s="758">
        <v>905.52</v>
      </c>
      <c r="L198" s="758">
        <v>390</v>
      </c>
      <c r="M198" s="758"/>
      <c r="N198" s="69">
        <f t="shared" si="10"/>
        <v>1295.52</v>
      </c>
      <c r="O198" s="69">
        <f>VLOOKUP(D:D,'Master Table'!C:O,13,FALSE)</f>
        <v>871.06999999999994</v>
      </c>
      <c r="P198" s="446">
        <v>871.06999999999994</v>
      </c>
      <c r="Q198" s="103">
        <v>1064.24</v>
      </c>
    </row>
    <row r="199" spans="1:17" ht="24.95" customHeight="1" x14ac:dyDescent="0.2">
      <c r="A199" s="68" t="str">
        <f t="shared" si="9"/>
        <v>BIR200 / 2021</v>
      </c>
      <c r="B199" s="75" t="s">
        <v>1635</v>
      </c>
      <c r="C199" s="75" t="s">
        <v>1634</v>
      </c>
      <c r="D199" s="369" t="s">
        <v>1632</v>
      </c>
      <c r="E199" s="369" t="str">
        <f>VLOOKUP(D:D,'Master Table'!C:D,2,FALSE)</f>
        <v>2021</v>
      </c>
      <c r="F199" s="766" t="s">
        <v>1632</v>
      </c>
      <c r="G199" s="766" t="s">
        <v>1633</v>
      </c>
      <c r="H199" s="769" t="s">
        <v>1634</v>
      </c>
      <c r="I199" s="769" t="s">
        <v>1635</v>
      </c>
      <c r="J199" s="766" t="s">
        <v>324</v>
      </c>
      <c r="K199" s="758">
        <v>456.31</v>
      </c>
      <c r="L199" s="758">
        <v>80</v>
      </c>
      <c r="M199" s="758"/>
      <c r="N199" s="69">
        <f t="shared" si="10"/>
        <v>536.30999999999995</v>
      </c>
      <c r="O199" s="69">
        <f>VLOOKUP(D:D,'Master Table'!C:O,13,FALSE)</f>
        <v>981.13000000000011</v>
      </c>
      <c r="P199" s="446">
        <v>981.13000000000011</v>
      </c>
      <c r="Q199" s="103">
        <v>721.55</v>
      </c>
    </row>
    <row r="200" spans="1:17" ht="24.95" customHeight="1" x14ac:dyDescent="0.2">
      <c r="A200" s="68" t="str">
        <f t="shared" si="9"/>
        <v>BIR200X / 2022</v>
      </c>
      <c r="B200" s="75" t="s">
        <v>1638</v>
      </c>
      <c r="C200" s="75" t="s">
        <v>532</v>
      </c>
      <c r="D200" s="369" t="s">
        <v>1636</v>
      </c>
      <c r="E200" s="369" t="str">
        <f>VLOOKUP(D:D,'Master Table'!C:D,2,FALSE)</f>
        <v>2022</v>
      </c>
      <c r="F200" s="766" t="s">
        <v>1636</v>
      </c>
      <c r="G200" s="766" t="s">
        <v>1637</v>
      </c>
      <c r="H200" s="769" t="s">
        <v>61</v>
      </c>
      <c r="I200" s="769" t="s">
        <v>1638</v>
      </c>
      <c r="J200" s="766" t="s">
        <v>324</v>
      </c>
      <c r="K200" s="758">
        <v>67.42</v>
      </c>
      <c r="L200" s="758"/>
      <c r="M200" s="758"/>
      <c r="N200" s="69">
        <f t="shared" si="10"/>
        <v>67.42</v>
      </c>
      <c r="O200" s="69">
        <f>VLOOKUP(D:D,'Master Table'!C:O,13,FALSE)</f>
        <v>776.64</v>
      </c>
      <c r="P200" s="446">
        <v>776.64</v>
      </c>
      <c r="Q200" s="103">
        <v>638.71</v>
      </c>
    </row>
    <row r="201" spans="1:17" ht="24.95" customHeight="1" x14ac:dyDescent="0.2">
      <c r="A201" s="68" t="str">
        <f t="shared" si="9"/>
        <v>BIR201 / 2023</v>
      </c>
      <c r="B201" s="75" t="s">
        <v>1646</v>
      </c>
      <c r="C201" s="75" t="s">
        <v>7318</v>
      </c>
      <c r="D201" s="369" t="s">
        <v>1644</v>
      </c>
      <c r="E201" s="369" t="str">
        <f>VLOOKUP(D:D,'Master Table'!C:D,2,FALSE)</f>
        <v>2023</v>
      </c>
      <c r="F201" s="766" t="s">
        <v>1644</v>
      </c>
      <c r="G201" s="766" t="s">
        <v>1645</v>
      </c>
      <c r="H201" s="769" t="s">
        <v>31</v>
      </c>
      <c r="I201" s="769" t="s">
        <v>1646</v>
      </c>
      <c r="J201" s="766" t="s">
        <v>324</v>
      </c>
      <c r="K201" s="758">
        <v>0</v>
      </c>
      <c r="L201" s="758">
        <v>360</v>
      </c>
      <c r="M201" s="758"/>
      <c r="N201" s="69">
        <f t="shared" si="10"/>
        <v>360</v>
      </c>
      <c r="O201" s="69">
        <f>VLOOKUP(D:D,'Master Table'!C:O,13,FALSE)</f>
        <v>1110.1799999999998</v>
      </c>
      <c r="P201" s="446">
        <v>1110.1799999999998</v>
      </c>
      <c r="Q201" s="103">
        <v>1212.3800000000001</v>
      </c>
    </row>
    <row r="202" spans="1:17" ht="24.95" customHeight="1" x14ac:dyDescent="0.2">
      <c r="A202" s="68" t="str">
        <f t="shared" si="9"/>
        <v>BIR202 / 2024</v>
      </c>
      <c r="B202" s="75" t="s">
        <v>1653</v>
      </c>
      <c r="C202" s="75" t="s">
        <v>7318</v>
      </c>
      <c r="D202" s="369" t="s">
        <v>1651</v>
      </c>
      <c r="E202" s="369" t="str">
        <f>VLOOKUP(D:D,'Master Table'!C:D,2,FALSE)</f>
        <v>2024</v>
      </c>
      <c r="F202" s="766" t="s">
        <v>1651</v>
      </c>
      <c r="G202" s="766" t="s">
        <v>1652</v>
      </c>
      <c r="H202" s="769" t="s">
        <v>226</v>
      </c>
      <c r="I202" s="769" t="s">
        <v>1653</v>
      </c>
      <c r="J202" s="766" t="s">
        <v>324</v>
      </c>
      <c r="K202" s="758">
        <v>658.99</v>
      </c>
      <c r="L202" s="758">
        <v>200</v>
      </c>
      <c r="M202" s="758"/>
      <c r="N202" s="69">
        <f t="shared" si="10"/>
        <v>858.99</v>
      </c>
      <c r="O202" s="69">
        <f>VLOOKUP(D:D,'Master Table'!C:O,13,FALSE)</f>
        <v>1303.51</v>
      </c>
      <c r="P202" s="446">
        <v>1303.51</v>
      </c>
      <c r="Q202" s="103">
        <v>1766.26</v>
      </c>
    </row>
    <row r="203" spans="1:17" ht="24.95" customHeight="1" x14ac:dyDescent="0.2">
      <c r="A203" s="68" t="str">
        <f t="shared" ref="A203:A235" si="11">D203&amp;" / "&amp;E203</f>
        <v>BIR203 / 2025</v>
      </c>
      <c r="B203" s="75" t="s">
        <v>1653</v>
      </c>
      <c r="C203" s="75" t="s">
        <v>3516</v>
      </c>
      <c r="D203" s="369" t="s">
        <v>1654</v>
      </c>
      <c r="E203" s="369" t="str">
        <f>VLOOKUP(D:D,'Master Table'!C:D,2,FALSE)</f>
        <v>2025</v>
      </c>
      <c r="F203" s="766" t="s">
        <v>1654</v>
      </c>
      <c r="G203" s="766" t="s">
        <v>1655</v>
      </c>
      <c r="H203" s="769" t="s">
        <v>124</v>
      </c>
      <c r="I203" s="769" t="s">
        <v>1653</v>
      </c>
      <c r="J203" s="766" t="s">
        <v>324</v>
      </c>
      <c r="K203" s="758">
        <v>338.94</v>
      </c>
      <c r="L203" s="758">
        <v>125</v>
      </c>
      <c r="M203" s="758"/>
      <c r="N203" s="69">
        <f t="shared" si="10"/>
        <v>463.94</v>
      </c>
      <c r="O203" s="69">
        <f>VLOOKUP(D:D,'Master Table'!C:O,13,FALSE)</f>
        <v>816.16000000000008</v>
      </c>
      <c r="P203" s="446">
        <v>816.16000000000008</v>
      </c>
      <c r="Q203" s="103">
        <v>1021.84</v>
      </c>
    </row>
    <row r="204" spans="1:17" ht="24.95" customHeight="1" x14ac:dyDescent="0.2">
      <c r="A204" s="68" t="str">
        <f t="shared" si="11"/>
        <v>BIR204 / 2026</v>
      </c>
      <c r="B204" s="75" t="s">
        <v>1653</v>
      </c>
      <c r="C204" s="75" t="s">
        <v>3295</v>
      </c>
      <c r="D204" s="369" t="s">
        <v>1656</v>
      </c>
      <c r="E204" s="369" t="str">
        <f>VLOOKUP(D:D,'Master Table'!C:D,2,FALSE)</f>
        <v>2026</v>
      </c>
      <c r="F204" s="766" t="s">
        <v>1656</v>
      </c>
      <c r="G204" s="766" t="s">
        <v>1657</v>
      </c>
      <c r="H204" s="769" t="s">
        <v>78</v>
      </c>
      <c r="I204" s="769" t="s">
        <v>1653</v>
      </c>
      <c r="J204" s="766" t="s">
        <v>324</v>
      </c>
      <c r="K204" s="758">
        <v>0</v>
      </c>
      <c r="L204" s="758">
        <v>30</v>
      </c>
      <c r="M204" s="758">
        <v>211.55</v>
      </c>
      <c r="N204" s="69">
        <f t="shared" si="10"/>
        <v>241.55</v>
      </c>
      <c r="O204" s="69">
        <f>VLOOKUP(D:D,'Master Table'!C:O,13,FALSE)</f>
        <v>372.18</v>
      </c>
      <c r="P204" s="446">
        <v>372.18</v>
      </c>
      <c r="Q204" s="103">
        <v>344.58</v>
      </c>
    </row>
    <row r="205" spans="1:17" ht="24.95" customHeight="1" x14ac:dyDescent="0.2">
      <c r="A205" s="68" t="str">
        <f t="shared" si="11"/>
        <v>BIR205 / 2027</v>
      </c>
      <c r="B205" s="75" t="s">
        <v>1660</v>
      </c>
      <c r="C205" s="75" t="s">
        <v>7336</v>
      </c>
      <c r="D205" s="369" t="s">
        <v>1658</v>
      </c>
      <c r="E205" s="369" t="str">
        <f>VLOOKUP(D:D,'Master Table'!C:D,2,FALSE)</f>
        <v>2027</v>
      </c>
      <c r="F205" s="766" t="s">
        <v>1658</v>
      </c>
      <c r="G205" s="766" t="s">
        <v>1659</v>
      </c>
      <c r="H205" s="769" t="s">
        <v>66</v>
      </c>
      <c r="I205" s="769" t="s">
        <v>1660</v>
      </c>
      <c r="J205" s="766" t="s">
        <v>324</v>
      </c>
      <c r="K205" s="758">
        <v>81</v>
      </c>
      <c r="L205" s="758">
        <v>45</v>
      </c>
      <c r="M205" s="758"/>
      <c r="N205" s="69">
        <f t="shared" si="10"/>
        <v>126</v>
      </c>
      <c r="O205" s="69">
        <f>VLOOKUP(D:D,'Master Table'!C:O,13,FALSE)</f>
        <v>505.34</v>
      </c>
      <c r="P205" s="446">
        <v>505.34</v>
      </c>
      <c r="Q205" s="103">
        <v>263.5</v>
      </c>
    </row>
    <row r="206" spans="1:17" ht="24.95" customHeight="1" x14ac:dyDescent="0.2">
      <c r="A206" s="68" t="str">
        <f t="shared" si="11"/>
        <v>BIR206 / 2028</v>
      </c>
      <c r="B206" s="75" t="s">
        <v>1667</v>
      </c>
      <c r="C206" s="75" t="s">
        <v>7349</v>
      </c>
      <c r="D206" s="369" t="s">
        <v>1664</v>
      </c>
      <c r="E206" s="369" t="str">
        <f>VLOOKUP(D:D,'Master Table'!C:D,2,FALSE)</f>
        <v>2028</v>
      </c>
      <c r="F206" s="766" t="s">
        <v>1664</v>
      </c>
      <c r="G206" s="766" t="s">
        <v>1665</v>
      </c>
      <c r="H206" s="769" t="s">
        <v>1666</v>
      </c>
      <c r="I206" s="769" t="s">
        <v>1667</v>
      </c>
      <c r="J206" s="766" t="s">
        <v>324</v>
      </c>
      <c r="K206" s="758">
        <v>0</v>
      </c>
      <c r="L206" s="758">
        <v>223</v>
      </c>
      <c r="M206" s="758"/>
      <c r="N206" s="69">
        <f t="shared" si="10"/>
        <v>223</v>
      </c>
      <c r="O206" s="69">
        <f>VLOOKUP(D:D,'Master Table'!C:O,13,FALSE)</f>
        <v>834.27</v>
      </c>
      <c r="P206" s="446">
        <v>834.27</v>
      </c>
      <c r="Q206" s="103">
        <v>170</v>
      </c>
    </row>
    <row r="207" spans="1:17" ht="24.95" customHeight="1" x14ac:dyDescent="0.2">
      <c r="A207" s="68" t="str">
        <f t="shared" si="11"/>
        <v>BIR207 / 2029</v>
      </c>
      <c r="B207" s="75" t="s">
        <v>1671</v>
      </c>
      <c r="C207" s="75" t="s">
        <v>7350</v>
      </c>
      <c r="D207" s="369" t="s">
        <v>1668</v>
      </c>
      <c r="E207" s="369" t="str">
        <f>VLOOKUP(D:D,'Master Table'!C:D,2,FALSE)</f>
        <v>2029</v>
      </c>
      <c r="F207" s="766" t="s">
        <v>1668</v>
      </c>
      <c r="G207" s="766" t="s">
        <v>1669</v>
      </c>
      <c r="H207" s="769" t="s">
        <v>1670</v>
      </c>
      <c r="I207" s="769" t="s">
        <v>1671</v>
      </c>
      <c r="J207" s="766" t="s">
        <v>324</v>
      </c>
      <c r="K207" s="758">
        <v>737.16</v>
      </c>
      <c r="L207" s="758">
        <v>226</v>
      </c>
      <c r="M207" s="758"/>
      <c r="N207" s="69">
        <f t="shared" si="10"/>
        <v>963.16</v>
      </c>
      <c r="O207" s="69">
        <f>VLOOKUP(D:D,'Master Table'!C:O,13,FALSE)</f>
        <v>1704.85</v>
      </c>
      <c r="P207" s="446">
        <v>1704.85</v>
      </c>
      <c r="Q207" s="103">
        <v>1399.1</v>
      </c>
    </row>
    <row r="208" spans="1:17" ht="24.95" customHeight="1" x14ac:dyDescent="0.2">
      <c r="A208" s="68" t="str">
        <f t="shared" si="11"/>
        <v>BIR208 / 2030</v>
      </c>
      <c r="B208" s="78" t="s">
        <v>1676</v>
      </c>
      <c r="C208" s="78" t="s">
        <v>7351</v>
      </c>
      <c r="D208" s="369" t="s">
        <v>1673</v>
      </c>
      <c r="E208" s="369" t="str">
        <f>VLOOKUP(D:D,'Master Table'!C:D,2,FALSE)</f>
        <v>2030</v>
      </c>
      <c r="F208" s="766" t="s">
        <v>1673</v>
      </c>
      <c r="G208" s="766" t="s">
        <v>1674</v>
      </c>
      <c r="H208" s="769" t="s">
        <v>1675</v>
      </c>
      <c r="I208" s="769" t="s">
        <v>1676</v>
      </c>
      <c r="J208" s="766" t="s">
        <v>324</v>
      </c>
      <c r="K208" s="758">
        <v>0</v>
      </c>
      <c r="L208" s="758"/>
      <c r="M208" s="758"/>
      <c r="N208" s="69">
        <f t="shared" si="10"/>
        <v>0</v>
      </c>
      <c r="O208" s="69">
        <f>VLOOKUP(D:D,'Master Table'!C:O,13,FALSE)</f>
        <v>0</v>
      </c>
      <c r="P208" s="446">
        <v>0</v>
      </c>
      <c r="Q208" s="103">
        <v>0</v>
      </c>
    </row>
    <row r="209" spans="1:17" ht="24.95" customHeight="1" x14ac:dyDescent="0.2">
      <c r="A209" s="68" t="str">
        <f t="shared" si="11"/>
        <v>BIR209 / 2031</v>
      </c>
      <c r="B209" s="75" t="s">
        <v>1684</v>
      </c>
      <c r="C209" s="75" t="s">
        <v>1683</v>
      </c>
      <c r="D209" s="369" t="s">
        <v>1681</v>
      </c>
      <c r="E209" s="369" t="str">
        <f>VLOOKUP(D:D,'Master Table'!C:D,2,FALSE)</f>
        <v>2031</v>
      </c>
      <c r="F209" s="766" t="s">
        <v>1681</v>
      </c>
      <c r="G209" s="766" t="s">
        <v>1682</v>
      </c>
      <c r="H209" s="769" t="s">
        <v>1683</v>
      </c>
      <c r="I209" s="769" t="s">
        <v>1684</v>
      </c>
      <c r="J209" s="766" t="s">
        <v>324</v>
      </c>
      <c r="K209" s="758">
        <v>332.01</v>
      </c>
      <c r="L209" s="758"/>
      <c r="M209" s="758"/>
      <c r="N209" s="69">
        <f t="shared" si="10"/>
        <v>332.01</v>
      </c>
      <c r="O209" s="69">
        <f>VLOOKUP(D:D,'Master Table'!C:O,13,FALSE)</f>
        <v>525.46</v>
      </c>
      <c r="P209" s="446">
        <v>525.46</v>
      </c>
      <c r="Q209" s="103">
        <v>399.71</v>
      </c>
    </row>
    <row r="210" spans="1:17" ht="24.95" customHeight="1" x14ac:dyDescent="0.2">
      <c r="A210" s="68" t="str">
        <f t="shared" si="11"/>
        <v>BIR210 / 2032</v>
      </c>
      <c r="B210" s="75" t="s">
        <v>1689</v>
      </c>
      <c r="C210" s="75" t="s">
        <v>7352</v>
      </c>
      <c r="D210" s="369" t="s">
        <v>1686</v>
      </c>
      <c r="E210" s="369" t="str">
        <f>VLOOKUP(D:D,'Master Table'!C:D,2,FALSE)</f>
        <v>2032</v>
      </c>
      <c r="F210" s="766" t="s">
        <v>1686</v>
      </c>
      <c r="G210" s="766" t="s">
        <v>1687</v>
      </c>
      <c r="H210" s="769" t="s">
        <v>1688</v>
      </c>
      <c r="I210" s="769" t="s">
        <v>1689</v>
      </c>
      <c r="J210" s="766" t="s">
        <v>324</v>
      </c>
      <c r="K210" s="758">
        <v>894.8</v>
      </c>
      <c r="L210" s="758">
        <v>20</v>
      </c>
      <c r="M210" s="758"/>
      <c r="N210" s="69">
        <f t="shared" si="10"/>
        <v>914.8</v>
      </c>
      <c r="O210" s="69">
        <f>VLOOKUP(D:D,'Master Table'!C:O,13,FALSE)</f>
        <v>1062.92</v>
      </c>
      <c r="P210" s="446">
        <v>1062.92</v>
      </c>
      <c r="Q210" s="103">
        <v>1013.07</v>
      </c>
    </row>
    <row r="211" spans="1:17" ht="24.95" customHeight="1" x14ac:dyDescent="0.2">
      <c r="A211" s="68" t="str">
        <f t="shared" si="11"/>
        <v>BIR211 / 2033</v>
      </c>
      <c r="B211" s="75" t="s">
        <v>1689</v>
      </c>
      <c r="C211" s="75" t="s">
        <v>7353</v>
      </c>
      <c r="D211" s="369" t="s">
        <v>1690</v>
      </c>
      <c r="E211" s="369" t="str">
        <f>VLOOKUP(D:D,'Master Table'!C:D,2,FALSE)</f>
        <v>2033</v>
      </c>
      <c r="F211" s="766" t="s">
        <v>1690</v>
      </c>
      <c r="G211" s="766" t="s">
        <v>1691</v>
      </c>
      <c r="H211" s="769" t="s">
        <v>1349</v>
      </c>
      <c r="I211" s="769" t="s">
        <v>1689</v>
      </c>
      <c r="J211" s="766" t="s">
        <v>324</v>
      </c>
      <c r="K211" s="758">
        <v>1060</v>
      </c>
      <c r="L211" s="758"/>
      <c r="M211" s="758"/>
      <c r="N211" s="69">
        <f t="shared" si="10"/>
        <v>1060</v>
      </c>
      <c r="O211" s="69">
        <f>VLOOKUP(D:D,'Master Table'!C:O,13,FALSE)</f>
        <v>1175</v>
      </c>
      <c r="P211" s="446">
        <v>1175</v>
      </c>
      <c r="Q211" s="103">
        <v>1230</v>
      </c>
    </row>
    <row r="212" spans="1:17" ht="24.95" customHeight="1" x14ac:dyDescent="0.2">
      <c r="A212" s="68" t="str">
        <f t="shared" si="11"/>
        <v>BIR212 / 2034</v>
      </c>
      <c r="B212" s="75" t="s">
        <v>1697</v>
      </c>
      <c r="C212" s="75" t="s">
        <v>1696</v>
      </c>
      <c r="D212" s="369" t="s">
        <v>1694</v>
      </c>
      <c r="E212" s="369" t="str">
        <f>VLOOKUP(D:D,'Master Table'!C:D,2,FALSE)</f>
        <v>2034</v>
      </c>
      <c r="F212" s="766" t="s">
        <v>1694</v>
      </c>
      <c r="G212" s="766" t="s">
        <v>1695</v>
      </c>
      <c r="H212" s="769" t="s">
        <v>1696</v>
      </c>
      <c r="I212" s="769" t="s">
        <v>1697</v>
      </c>
      <c r="J212" s="766" t="s">
        <v>324</v>
      </c>
      <c r="K212" s="758">
        <v>826.14</v>
      </c>
      <c r="L212" s="758">
        <v>302.97000000000003</v>
      </c>
      <c r="M212" s="758">
        <v>176.94</v>
      </c>
      <c r="N212" s="69">
        <f t="shared" si="10"/>
        <v>1306.0500000000002</v>
      </c>
      <c r="O212" s="69">
        <f>VLOOKUP(D:D,'Master Table'!C:O,13,FALSE)</f>
        <v>3007.69</v>
      </c>
      <c r="P212" s="446">
        <v>3007.69</v>
      </c>
      <c r="Q212" s="103">
        <v>3254.32</v>
      </c>
    </row>
    <row r="213" spans="1:17" ht="24.95" customHeight="1" x14ac:dyDescent="0.2">
      <c r="A213" s="68" t="str">
        <f t="shared" si="11"/>
        <v>BIR213 / 2035</v>
      </c>
      <c r="B213" s="75" t="s">
        <v>1701</v>
      </c>
      <c r="C213" s="75" t="s">
        <v>1366</v>
      </c>
      <c r="D213" s="369" t="s">
        <v>1699</v>
      </c>
      <c r="E213" s="369" t="str">
        <f>VLOOKUP(D:D,'Master Table'!C:D,2,FALSE)</f>
        <v>2035</v>
      </c>
      <c r="F213" s="766" t="s">
        <v>1699</v>
      </c>
      <c r="G213" s="766" t="s">
        <v>1700</v>
      </c>
      <c r="H213" s="769" t="s">
        <v>15</v>
      </c>
      <c r="I213" s="769" t="s">
        <v>1701</v>
      </c>
      <c r="J213" s="766" t="s">
        <v>324</v>
      </c>
      <c r="K213" s="758">
        <v>627.09</v>
      </c>
      <c r="L213" s="758">
        <v>614.6</v>
      </c>
      <c r="M213" s="758"/>
      <c r="N213" s="69">
        <f t="shared" si="10"/>
        <v>1241.69</v>
      </c>
      <c r="O213" s="69">
        <f>VLOOKUP(D:D,'Master Table'!C:O,13,FALSE)</f>
        <v>1741.38</v>
      </c>
      <c r="P213" s="446">
        <v>1741.38</v>
      </c>
      <c r="Q213" s="103">
        <v>1116.72</v>
      </c>
    </row>
    <row r="214" spans="1:17" ht="24.95" customHeight="1" x14ac:dyDescent="0.2">
      <c r="A214" s="68" t="str">
        <f t="shared" si="11"/>
        <v>BIR214 / 2036</v>
      </c>
      <c r="B214" s="75" t="s">
        <v>1704</v>
      </c>
      <c r="C214" s="78" t="s">
        <v>7354</v>
      </c>
      <c r="D214" s="369" t="s">
        <v>1702</v>
      </c>
      <c r="E214" s="369" t="str">
        <f>VLOOKUP(D:D,'Master Table'!C:D,2,FALSE)</f>
        <v>2036</v>
      </c>
      <c r="F214" s="766" t="s">
        <v>1702</v>
      </c>
      <c r="G214" s="766" t="s">
        <v>1703</v>
      </c>
      <c r="H214" s="769" t="s">
        <v>226</v>
      </c>
      <c r="I214" s="769" t="s">
        <v>1704</v>
      </c>
      <c r="J214" s="766" t="s">
        <v>351</v>
      </c>
      <c r="K214" s="758">
        <v>0</v>
      </c>
      <c r="L214" s="758">
        <v>30</v>
      </c>
      <c r="M214" s="758"/>
      <c r="N214" s="69">
        <f t="shared" si="10"/>
        <v>30</v>
      </c>
      <c r="O214" s="69">
        <f>VLOOKUP(D:D,'Master Table'!C:O,13,FALSE)</f>
        <v>695</v>
      </c>
      <c r="P214" s="446">
        <v>695</v>
      </c>
      <c r="Q214" s="103">
        <v>1108</v>
      </c>
    </row>
    <row r="215" spans="1:17" ht="24.95" customHeight="1" x14ac:dyDescent="0.2">
      <c r="A215" s="68" t="str">
        <f t="shared" si="11"/>
        <v>BIR215 / 2038</v>
      </c>
      <c r="B215" s="75" t="s">
        <v>1708</v>
      </c>
      <c r="C215" s="75" t="s">
        <v>7355</v>
      </c>
      <c r="D215" s="369" t="s">
        <v>1705</v>
      </c>
      <c r="E215" s="369" t="str">
        <f>VLOOKUP(D:D,'Master Table'!C:D,2,FALSE)</f>
        <v>2038</v>
      </c>
      <c r="F215" s="766" t="s">
        <v>1705</v>
      </c>
      <c r="G215" s="766" t="s">
        <v>1706</v>
      </c>
      <c r="H215" s="769" t="s">
        <v>1707</v>
      </c>
      <c r="I215" s="769" t="s">
        <v>1708</v>
      </c>
      <c r="J215" s="766" t="s">
        <v>324</v>
      </c>
      <c r="K215" s="758">
        <v>260.45</v>
      </c>
      <c r="L215" s="758">
        <v>242</v>
      </c>
      <c r="M215" s="758"/>
      <c r="N215" s="69">
        <f t="shared" si="10"/>
        <v>502.45</v>
      </c>
      <c r="O215" s="69">
        <f>VLOOKUP(D:D,'Master Table'!C:O,13,FALSE)</f>
        <v>876.96</v>
      </c>
      <c r="P215" s="446">
        <v>876.96</v>
      </c>
      <c r="Q215" s="103">
        <v>1403.09</v>
      </c>
    </row>
    <row r="216" spans="1:17" ht="24.95" customHeight="1" x14ac:dyDescent="0.2">
      <c r="A216" s="68" t="str">
        <f t="shared" si="11"/>
        <v>BIR216 / 2039</v>
      </c>
      <c r="B216" s="75" t="s">
        <v>1711</v>
      </c>
      <c r="C216" s="75" t="s">
        <v>7321</v>
      </c>
      <c r="D216" s="369" t="s">
        <v>1709</v>
      </c>
      <c r="E216" s="369" t="str">
        <f>VLOOKUP(D:D,'Master Table'!C:D,2,FALSE)</f>
        <v>2039</v>
      </c>
      <c r="F216" s="766" t="s">
        <v>1709</v>
      </c>
      <c r="G216" s="766" t="s">
        <v>1710</v>
      </c>
      <c r="H216" s="769" t="s">
        <v>1359</v>
      </c>
      <c r="I216" s="769" t="s">
        <v>1711</v>
      </c>
      <c r="J216" s="766" t="s">
        <v>324</v>
      </c>
      <c r="K216" s="758">
        <v>0</v>
      </c>
      <c r="L216" s="758"/>
      <c r="M216" s="758"/>
      <c r="N216" s="69">
        <f t="shared" si="10"/>
        <v>0</v>
      </c>
      <c r="O216" s="69">
        <f>VLOOKUP(D:D,'Master Table'!C:O,13,FALSE)</f>
        <v>25</v>
      </c>
      <c r="P216" s="446">
        <v>25</v>
      </c>
      <c r="Q216" s="103">
        <v>25</v>
      </c>
    </row>
    <row r="217" spans="1:17" ht="24.95" customHeight="1" x14ac:dyDescent="0.2">
      <c r="A217" s="68" t="str">
        <f t="shared" si="11"/>
        <v>BIR217 / 2040</v>
      </c>
      <c r="B217" s="75" t="s">
        <v>1714</v>
      </c>
      <c r="C217" s="75" t="s">
        <v>7216</v>
      </c>
      <c r="D217" s="369" t="s">
        <v>1712</v>
      </c>
      <c r="E217" s="369" t="str">
        <f>VLOOKUP(D:D,'Master Table'!C:D,2,FALSE)</f>
        <v>2040</v>
      </c>
      <c r="F217" s="766" t="s">
        <v>1712</v>
      </c>
      <c r="G217" s="766" t="s">
        <v>1713</v>
      </c>
      <c r="H217" s="769" t="s">
        <v>11</v>
      </c>
      <c r="I217" s="769" t="s">
        <v>1714</v>
      </c>
      <c r="J217" s="766" t="s">
        <v>324</v>
      </c>
      <c r="K217" s="758">
        <v>0</v>
      </c>
      <c r="L217" s="758">
        <v>20</v>
      </c>
      <c r="M217" s="758">
        <v>68.260000000000005</v>
      </c>
      <c r="N217" s="69">
        <f t="shared" si="10"/>
        <v>88.26</v>
      </c>
      <c r="O217" s="69">
        <f>VLOOKUP(D:D,'Master Table'!C:O,13,FALSE)</f>
        <v>700.26</v>
      </c>
      <c r="P217" s="446">
        <v>700.26</v>
      </c>
      <c r="Q217" s="103">
        <v>277.35000000000002</v>
      </c>
    </row>
    <row r="218" spans="1:17" ht="24.95" customHeight="1" x14ac:dyDescent="0.2">
      <c r="A218" s="68" t="str">
        <f t="shared" si="11"/>
        <v>BIR218 / 2041</v>
      </c>
      <c r="B218" s="75" t="s">
        <v>1714</v>
      </c>
      <c r="C218" s="75" t="s">
        <v>1032</v>
      </c>
      <c r="D218" s="369" t="s">
        <v>1715</v>
      </c>
      <c r="E218" s="369" t="str">
        <f>VLOOKUP(D:D,'Master Table'!C:D,2,FALSE)</f>
        <v>2041</v>
      </c>
      <c r="F218" s="766" t="s">
        <v>1715</v>
      </c>
      <c r="G218" s="766" t="s">
        <v>1716</v>
      </c>
      <c r="H218" s="769" t="s">
        <v>1032</v>
      </c>
      <c r="I218" s="769" t="s">
        <v>1714</v>
      </c>
      <c r="J218" s="766" t="s">
        <v>324</v>
      </c>
      <c r="K218" s="758">
        <v>428</v>
      </c>
      <c r="L218" s="758">
        <v>100</v>
      </c>
      <c r="M218" s="758">
        <v>351.21999999999997</v>
      </c>
      <c r="N218" s="69">
        <f t="shared" si="10"/>
        <v>879.22</v>
      </c>
      <c r="O218" s="69">
        <f>VLOOKUP(D:D,'Master Table'!C:O,13,FALSE)</f>
        <v>2983.85</v>
      </c>
      <c r="P218" s="446">
        <v>2983.85</v>
      </c>
      <c r="Q218" s="103">
        <v>3657.42</v>
      </c>
    </row>
    <row r="219" spans="1:17" ht="24.95" customHeight="1" x14ac:dyDescent="0.2">
      <c r="A219" s="68" t="str">
        <f t="shared" si="11"/>
        <v>BIR219 / 2042</v>
      </c>
      <c r="B219" s="75" t="s">
        <v>1714</v>
      </c>
      <c r="C219" s="75" t="s">
        <v>1409</v>
      </c>
      <c r="D219" s="369" t="s">
        <v>1718</v>
      </c>
      <c r="E219" s="369" t="str">
        <f>VLOOKUP(D:D,'Master Table'!C:D,2,FALSE)</f>
        <v>2042</v>
      </c>
      <c r="F219" s="766" t="s">
        <v>1718</v>
      </c>
      <c r="G219" s="766" t="s">
        <v>1719</v>
      </c>
      <c r="H219" s="769" t="s">
        <v>1409</v>
      </c>
      <c r="I219" s="769" t="s">
        <v>1714</v>
      </c>
      <c r="J219" s="766" t="s">
        <v>324</v>
      </c>
      <c r="K219" s="758">
        <v>0</v>
      </c>
      <c r="L219" s="758">
        <v>90</v>
      </c>
      <c r="M219" s="758">
        <v>275</v>
      </c>
      <c r="N219" s="69">
        <f t="shared" si="10"/>
        <v>365</v>
      </c>
      <c r="O219" s="69">
        <f>VLOOKUP(D:D,'Master Table'!C:O,13,FALSE)</f>
        <v>570</v>
      </c>
      <c r="P219" s="446">
        <v>570</v>
      </c>
      <c r="Q219" s="103">
        <v>800</v>
      </c>
    </row>
    <row r="220" spans="1:17" ht="24.95" customHeight="1" x14ac:dyDescent="0.2">
      <c r="A220" s="68" t="str">
        <f t="shared" si="11"/>
        <v>BIR220 / 2043</v>
      </c>
      <c r="B220" s="75" t="s">
        <v>1714</v>
      </c>
      <c r="C220" s="75" t="s">
        <v>1366</v>
      </c>
      <c r="D220" s="369" t="s">
        <v>1720</v>
      </c>
      <c r="E220" s="369" t="str">
        <f>VLOOKUP(D:D,'Master Table'!C:D,2,FALSE)</f>
        <v>2043</v>
      </c>
      <c r="F220" s="766" t="s">
        <v>1720</v>
      </c>
      <c r="G220" s="766" t="s">
        <v>1721</v>
      </c>
      <c r="H220" s="769" t="s">
        <v>61</v>
      </c>
      <c r="I220" s="769" t="s">
        <v>1714</v>
      </c>
      <c r="J220" s="766" t="s">
        <v>351</v>
      </c>
      <c r="K220" s="758">
        <v>90.390000000000015</v>
      </c>
      <c r="L220" s="758"/>
      <c r="M220" s="758"/>
      <c r="N220" s="69">
        <f t="shared" si="10"/>
        <v>90.390000000000015</v>
      </c>
      <c r="O220" s="69">
        <f>VLOOKUP(D:D,'Master Table'!C:O,13,FALSE)</f>
        <v>460.19</v>
      </c>
      <c r="P220" s="446">
        <v>460.19</v>
      </c>
      <c r="Q220" s="103">
        <v>845.45</v>
      </c>
    </row>
    <row r="221" spans="1:17" ht="24.95" customHeight="1" x14ac:dyDescent="0.2">
      <c r="A221" s="68" t="str">
        <f t="shared" si="11"/>
        <v>BIR221 / 2045</v>
      </c>
      <c r="B221" s="75" t="s">
        <v>1714</v>
      </c>
      <c r="C221" s="75" t="s">
        <v>1724</v>
      </c>
      <c r="D221" s="369" t="s">
        <v>1722</v>
      </c>
      <c r="E221" s="369" t="str">
        <f>VLOOKUP(D:D,'Master Table'!C:D,2,FALSE)</f>
        <v>2045</v>
      </c>
      <c r="F221" s="766" t="s">
        <v>1722</v>
      </c>
      <c r="G221" s="766" t="s">
        <v>1723</v>
      </c>
      <c r="H221" s="769" t="s">
        <v>1724</v>
      </c>
      <c r="I221" s="769" t="s">
        <v>1714</v>
      </c>
      <c r="J221" s="766" t="s">
        <v>324</v>
      </c>
      <c r="K221" s="758">
        <v>20.45</v>
      </c>
      <c r="L221" s="758">
        <v>352</v>
      </c>
      <c r="M221" s="758"/>
      <c r="N221" s="69">
        <f t="shared" si="10"/>
        <v>372.45</v>
      </c>
      <c r="O221" s="69">
        <f>VLOOKUP(D:D,'Master Table'!C:O,13,FALSE)</f>
        <v>880.77</v>
      </c>
      <c r="P221" s="446">
        <v>880.77</v>
      </c>
      <c r="Q221" s="103">
        <v>1178.19</v>
      </c>
    </row>
    <row r="222" spans="1:17" ht="24.95" customHeight="1" x14ac:dyDescent="0.2">
      <c r="A222" s="68" t="str">
        <f t="shared" si="11"/>
        <v>BIR222 / 2046</v>
      </c>
      <c r="B222" s="75" t="s">
        <v>1714</v>
      </c>
      <c r="C222" s="75" t="s">
        <v>7356</v>
      </c>
      <c r="D222" s="369" t="s">
        <v>1725</v>
      </c>
      <c r="E222" s="369" t="str">
        <f>VLOOKUP(D:D,'Master Table'!C:D,2,FALSE)</f>
        <v>2046</v>
      </c>
      <c r="F222" s="766" t="s">
        <v>1725</v>
      </c>
      <c r="G222" s="766" t="s">
        <v>1726</v>
      </c>
      <c r="H222" s="769" t="s">
        <v>252</v>
      </c>
      <c r="I222" s="769" t="s">
        <v>1714</v>
      </c>
      <c r="J222" s="766" t="s">
        <v>324</v>
      </c>
      <c r="K222" s="758">
        <v>1169.8399999999999</v>
      </c>
      <c r="L222" s="758">
        <v>614</v>
      </c>
      <c r="M222" s="758"/>
      <c r="N222" s="69">
        <f t="shared" si="10"/>
        <v>1783.84</v>
      </c>
      <c r="O222" s="69">
        <f>VLOOKUP(D:D,'Master Table'!C:O,13,FALSE)</f>
        <v>2180.66</v>
      </c>
      <c r="P222" s="446">
        <v>2180.66</v>
      </c>
      <c r="Q222" s="103">
        <v>2484.04</v>
      </c>
    </row>
    <row r="223" spans="1:17" ht="24.95" customHeight="1" x14ac:dyDescent="0.2">
      <c r="A223" s="68" t="str">
        <f t="shared" si="11"/>
        <v>BIR223 / 2047</v>
      </c>
      <c r="B223" s="78" t="s">
        <v>1714</v>
      </c>
      <c r="C223" s="78" t="s">
        <v>7357</v>
      </c>
      <c r="D223" s="369" t="s">
        <v>1727</v>
      </c>
      <c r="E223" s="369" t="str">
        <f>VLOOKUP(D:D,'Master Table'!C:D,2,FALSE)</f>
        <v>2047</v>
      </c>
      <c r="F223" s="766" t="s">
        <v>1727</v>
      </c>
      <c r="G223" s="766" t="s">
        <v>1728</v>
      </c>
      <c r="H223" s="769" t="s">
        <v>124</v>
      </c>
      <c r="I223" s="769" t="s">
        <v>1714</v>
      </c>
      <c r="J223" s="766" t="s">
        <v>324</v>
      </c>
      <c r="K223" s="758">
        <v>0</v>
      </c>
      <c r="L223" s="758">
        <v>116</v>
      </c>
      <c r="M223" s="758"/>
      <c r="N223" s="69">
        <f t="shared" si="10"/>
        <v>116</v>
      </c>
      <c r="O223" s="69">
        <f>VLOOKUP(D:D,'Master Table'!C:O,13,FALSE)</f>
        <v>272.91000000000003</v>
      </c>
      <c r="P223" s="446">
        <v>272.91000000000003</v>
      </c>
      <c r="Q223" s="103">
        <v>239.11</v>
      </c>
    </row>
    <row r="224" spans="1:17" ht="24.95" customHeight="1" x14ac:dyDescent="0.2">
      <c r="A224" s="68" t="str">
        <f t="shared" si="11"/>
        <v>BIR224 / 2048</v>
      </c>
      <c r="B224" s="75" t="s">
        <v>1714</v>
      </c>
      <c r="C224" s="75" t="s">
        <v>942</v>
      </c>
      <c r="D224" s="369" t="s">
        <v>1729</v>
      </c>
      <c r="E224" s="369" t="str">
        <f>VLOOKUP(D:D,'Master Table'!C:D,2,FALSE)</f>
        <v>2048</v>
      </c>
      <c r="F224" s="766" t="s">
        <v>1729</v>
      </c>
      <c r="G224" s="766" t="s">
        <v>1730</v>
      </c>
      <c r="H224" s="769" t="s">
        <v>1731</v>
      </c>
      <c r="I224" s="769" t="s">
        <v>1714</v>
      </c>
      <c r="J224" s="766" t="s">
        <v>324</v>
      </c>
      <c r="K224" s="758">
        <v>122</v>
      </c>
      <c r="L224" s="758">
        <v>400</v>
      </c>
      <c r="M224" s="758">
        <v>100.26</v>
      </c>
      <c r="N224" s="69">
        <f t="shared" si="10"/>
        <v>622.26</v>
      </c>
      <c r="O224" s="69">
        <f>VLOOKUP(D:D,'Master Table'!C:O,13,FALSE)</f>
        <v>773.87</v>
      </c>
      <c r="P224" s="446">
        <v>773.87</v>
      </c>
      <c r="Q224" s="103">
        <v>583.51</v>
      </c>
    </row>
    <row r="225" spans="1:17" ht="24.95" customHeight="1" x14ac:dyDescent="0.2">
      <c r="A225" s="68" t="str">
        <f t="shared" si="11"/>
        <v>BIR225 / 2050</v>
      </c>
      <c r="B225" s="75" t="s">
        <v>1714</v>
      </c>
      <c r="C225" s="75" t="s">
        <v>7358</v>
      </c>
      <c r="D225" s="369" t="s">
        <v>1732</v>
      </c>
      <c r="E225" s="369" t="str">
        <f>VLOOKUP(D:D,'Master Table'!C:D,2,FALSE)</f>
        <v>2050</v>
      </c>
      <c r="F225" s="766" t="s">
        <v>1732</v>
      </c>
      <c r="G225" s="766" t="s">
        <v>1733</v>
      </c>
      <c r="H225" s="769" t="s">
        <v>1734</v>
      </c>
      <c r="I225" s="769" t="s">
        <v>1714</v>
      </c>
      <c r="J225" s="766" t="s">
        <v>324</v>
      </c>
      <c r="K225" s="758">
        <v>285.95</v>
      </c>
      <c r="L225" s="758"/>
      <c r="M225" s="758"/>
      <c r="N225" s="69">
        <f t="shared" si="10"/>
        <v>285.95</v>
      </c>
      <c r="O225" s="69">
        <f>VLOOKUP(D:D,'Master Table'!C:O,13,FALSE)</f>
        <v>780.15</v>
      </c>
      <c r="P225" s="446">
        <v>780.15</v>
      </c>
      <c r="Q225" s="103">
        <v>474.23</v>
      </c>
    </row>
    <row r="226" spans="1:17" ht="24.95" customHeight="1" x14ac:dyDescent="0.2">
      <c r="A226" s="68" t="str">
        <f t="shared" si="11"/>
        <v>BIR226 / 2051</v>
      </c>
      <c r="B226" s="75" t="s">
        <v>1714</v>
      </c>
      <c r="C226" s="75" t="s">
        <v>3295</v>
      </c>
      <c r="D226" s="369" t="s">
        <v>1735</v>
      </c>
      <c r="E226" s="369" t="str">
        <f>VLOOKUP(D:D,'Master Table'!C:D,2,FALSE)</f>
        <v>2051</v>
      </c>
      <c r="F226" s="766" t="s">
        <v>1735</v>
      </c>
      <c r="G226" s="766" t="s">
        <v>1736</v>
      </c>
      <c r="H226" s="769" t="s">
        <v>78</v>
      </c>
      <c r="I226" s="769" t="s">
        <v>1737</v>
      </c>
      <c r="J226" s="766" t="s">
        <v>324</v>
      </c>
      <c r="K226" s="758">
        <v>0</v>
      </c>
      <c r="L226" s="758">
        <v>55</v>
      </c>
      <c r="M226" s="758">
        <v>213.07</v>
      </c>
      <c r="N226" s="69">
        <f t="shared" si="10"/>
        <v>268.07</v>
      </c>
      <c r="O226" s="69">
        <f>VLOOKUP(D:D,'Master Table'!C:O,13,FALSE)</f>
        <v>107.5</v>
      </c>
      <c r="P226" s="446">
        <v>107.5</v>
      </c>
      <c r="Q226" s="103">
        <v>251</v>
      </c>
    </row>
    <row r="227" spans="1:17" ht="24.95" customHeight="1" x14ac:dyDescent="0.2">
      <c r="A227" s="68" t="str">
        <f t="shared" si="11"/>
        <v>BIR227 / 2053</v>
      </c>
      <c r="B227" s="75" t="s">
        <v>1740</v>
      </c>
      <c r="C227" s="75" t="s">
        <v>2896</v>
      </c>
      <c r="D227" s="369" t="s">
        <v>1738</v>
      </c>
      <c r="E227" s="369" t="str">
        <f>VLOOKUP(D:D,'Master Table'!C:D,2,FALSE)</f>
        <v>2053</v>
      </c>
      <c r="F227" s="766" t="s">
        <v>1738</v>
      </c>
      <c r="G227" s="766" t="s">
        <v>1739</v>
      </c>
      <c r="H227" s="769" t="s">
        <v>822</v>
      </c>
      <c r="I227" s="769" t="s">
        <v>1740</v>
      </c>
      <c r="J227" s="766" t="s">
        <v>324</v>
      </c>
      <c r="K227" s="758">
        <v>593.55999999999995</v>
      </c>
      <c r="L227" s="758">
        <v>99.07</v>
      </c>
      <c r="M227" s="758"/>
      <c r="N227" s="69">
        <f t="shared" ref="N227:N235" si="12">K227+L227+M227</f>
        <v>692.62999999999988</v>
      </c>
      <c r="O227" s="69">
        <f>VLOOKUP(D:D,'Master Table'!C:O,13,FALSE)</f>
        <v>1090.3</v>
      </c>
      <c r="P227" s="446">
        <v>1090.3</v>
      </c>
      <c r="Q227" s="103">
        <v>1290.1099999999999</v>
      </c>
    </row>
    <row r="228" spans="1:17" ht="24.95" customHeight="1" x14ac:dyDescent="0.2">
      <c r="A228" s="68" t="str">
        <f t="shared" si="11"/>
        <v>BIR228 / 2054</v>
      </c>
      <c r="B228" s="75" t="s">
        <v>1744</v>
      </c>
      <c r="C228" s="75" t="s">
        <v>1743</v>
      </c>
      <c r="D228" s="369" t="s">
        <v>1741</v>
      </c>
      <c r="E228" s="369" t="str">
        <f>VLOOKUP(D:D,'Master Table'!C:D,2,FALSE)</f>
        <v>2054</v>
      </c>
      <c r="F228" s="766" t="s">
        <v>1741</v>
      </c>
      <c r="G228" s="766" t="s">
        <v>1742</v>
      </c>
      <c r="H228" s="769" t="s">
        <v>1743</v>
      </c>
      <c r="I228" s="769" t="s">
        <v>1744</v>
      </c>
      <c r="J228" s="766" t="s">
        <v>324</v>
      </c>
      <c r="K228" s="758">
        <v>1033.95</v>
      </c>
      <c r="L228" s="758"/>
      <c r="M228" s="758"/>
      <c r="N228" s="69">
        <f t="shared" si="12"/>
        <v>1033.95</v>
      </c>
      <c r="O228" s="69">
        <f>VLOOKUP(D:D,'Master Table'!C:O,13,FALSE)</f>
        <v>0</v>
      </c>
      <c r="P228" s="446">
        <v>0</v>
      </c>
      <c r="Q228" s="103">
        <v>721.25</v>
      </c>
    </row>
    <row r="229" spans="1:17" ht="24.95" customHeight="1" x14ac:dyDescent="0.2">
      <c r="A229" s="68" t="str">
        <f t="shared" si="11"/>
        <v>BIR229 / 2055</v>
      </c>
      <c r="B229" s="75" t="s">
        <v>1752</v>
      </c>
      <c r="C229" s="75" t="s">
        <v>1751</v>
      </c>
      <c r="D229" s="369" t="s">
        <v>1749</v>
      </c>
      <c r="E229" s="369" t="str">
        <f>VLOOKUP(D:D,'Master Table'!C:D,2,FALSE)</f>
        <v>2055</v>
      </c>
      <c r="F229" s="766" t="s">
        <v>1749</v>
      </c>
      <c r="G229" s="766" t="s">
        <v>1750</v>
      </c>
      <c r="H229" s="769" t="s">
        <v>1751</v>
      </c>
      <c r="I229" s="769" t="s">
        <v>1752</v>
      </c>
      <c r="J229" s="766" t="s">
        <v>324</v>
      </c>
      <c r="K229" s="758">
        <v>87.87</v>
      </c>
      <c r="L229" s="758">
        <v>197</v>
      </c>
      <c r="M229" s="758"/>
      <c r="N229" s="69">
        <f t="shared" si="12"/>
        <v>284.87</v>
      </c>
      <c r="O229" s="69">
        <f>VLOOKUP(D:D,'Master Table'!C:O,13,FALSE)</f>
        <v>848.15</v>
      </c>
      <c r="P229" s="446">
        <v>848.15</v>
      </c>
      <c r="Q229" s="103">
        <v>874.54</v>
      </c>
    </row>
    <row r="230" spans="1:17" ht="24.95" customHeight="1" x14ac:dyDescent="0.2">
      <c r="A230" s="68" t="str">
        <f t="shared" si="11"/>
        <v>BIR230 / 2056</v>
      </c>
      <c r="B230" s="75" t="s">
        <v>1752</v>
      </c>
      <c r="C230" s="75" t="s">
        <v>7359</v>
      </c>
      <c r="D230" s="369" t="s">
        <v>1753</v>
      </c>
      <c r="E230" s="369" t="str">
        <f>VLOOKUP(D:D,'Master Table'!C:D,2,FALSE)</f>
        <v>2056</v>
      </c>
      <c r="F230" s="766" t="s">
        <v>1753</v>
      </c>
      <c r="G230" s="766" t="s">
        <v>1754</v>
      </c>
      <c r="H230" s="769" t="s">
        <v>69</v>
      </c>
      <c r="I230" s="769" t="s">
        <v>1752</v>
      </c>
      <c r="J230" s="766" t="s">
        <v>324</v>
      </c>
      <c r="K230" s="758">
        <v>255.92</v>
      </c>
      <c r="L230" s="758">
        <v>631</v>
      </c>
      <c r="M230" s="758"/>
      <c r="N230" s="69">
        <f t="shared" si="12"/>
        <v>886.92</v>
      </c>
      <c r="O230" s="69">
        <f>VLOOKUP(D:D,'Master Table'!C:O,13,FALSE)</f>
        <v>819.38</v>
      </c>
      <c r="P230" s="446">
        <v>819.38</v>
      </c>
      <c r="Q230" s="103">
        <v>3110.34</v>
      </c>
    </row>
    <row r="231" spans="1:17" ht="24.95" customHeight="1" x14ac:dyDescent="0.2">
      <c r="A231" s="68" t="str">
        <f t="shared" si="11"/>
        <v>BIR231 / 2057</v>
      </c>
      <c r="B231" s="75" t="s">
        <v>1752</v>
      </c>
      <c r="C231" s="75" t="s">
        <v>1366</v>
      </c>
      <c r="D231" s="369" t="s">
        <v>1755</v>
      </c>
      <c r="E231" s="369" t="str">
        <f>VLOOKUP(D:D,'Master Table'!C:D,2,FALSE)</f>
        <v>2057</v>
      </c>
      <c r="F231" s="766" t="s">
        <v>1755</v>
      </c>
      <c r="G231" s="766" t="s">
        <v>1756</v>
      </c>
      <c r="H231" s="769" t="s">
        <v>61</v>
      </c>
      <c r="I231" s="769" t="s">
        <v>1752</v>
      </c>
      <c r="J231" s="766" t="s">
        <v>324</v>
      </c>
      <c r="K231" s="758">
        <v>0</v>
      </c>
      <c r="L231" s="758">
        <v>90</v>
      </c>
      <c r="M231" s="758"/>
      <c r="N231" s="69">
        <f t="shared" si="12"/>
        <v>90</v>
      </c>
      <c r="O231" s="69">
        <f>VLOOKUP(D:D,'Master Table'!C:O,13,FALSE)</f>
        <v>1203.81</v>
      </c>
      <c r="P231" s="446">
        <v>1203.81</v>
      </c>
      <c r="Q231" s="103">
        <v>984.24</v>
      </c>
    </row>
    <row r="232" spans="1:17" ht="28.5" x14ac:dyDescent="0.2">
      <c r="A232" s="68" t="str">
        <f t="shared" si="11"/>
        <v>BIR232 / 0444625</v>
      </c>
      <c r="B232" s="78" t="s">
        <v>1759</v>
      </c>
      <c r="C232" s="75"/>
      <c r="D232" s="369" t="s">
        <v>1757</v>
      </c>
      <c r="E232" s="369" t="str">
        <f>VLOOKUP(D:D,'Master Table'!C:D,2,FALSE)</f>
        <v>0444625</v>
      </c>
      <c r="F232" s="766" t="s">
        <v>1757</v>
      </c>
      <c r="G232" s="766" t="s">
        <v>1758</v>
      </c>
      <c r="H232" s="769" t="s">
        <v>1759</v>
      </c>
      <c r="I232" s="769" t="s">
        <v>832</v>
      </c>
      <c r="J232" s="766" t="s">
        <v>324</v>
      </c>
      <c r="K232" s="758">
        <v>0</v>
      </c>
      <c r="L232" s="758"/>
      <c r="M232" s="758"/>
      <c r="N232" s="69">
        <f t="shared" si="12"/>
        <v>0</v>
      </c>
      <c r="O232" s="69">
        <f>VLOOKUP(D:D,'Master Table'!C:O,13,FALSE)</f>
        <v>0</v>
      </c>
      <c r="P232" s="446">
        <v>0</v>
      </c>
      <c r="Q232" s="103">
        <v>0</v>
      </c>
    </row>
    <row r="233" spans="1:17" ht="42.75" x14ac:dyDescent="0.2">
      <c r="A233" s="68" t="str">
        <f t="shared" si="11"/>
        <v>BIR233 / 0444441</v>
      </c>
      <c r="B233" s="75" t="s">
        <v>7360</v>
      </c>
      <c r="C233" s="75" t="s">
        <v>1762</v>
      </c>
      <c r="D233" s="369" t="s">
        <v>1760</v>
      </c>
      <c r="E233" s="369" t="str">
        <f>VLOOKUP(D:D,'Master Table'!C:D,2,FALSE)</f>
        <v>0444441</v>
      </c>
      <c r="F233" s="766" t="s">
        <v>1760</v>
      </c>
      <c r="G233" s="766" t="s">
        <v>1766</v>
      </c>
      <c r="H233" s="769" t="s">
        <v>1143</v>
      </c>
      <c r="I233" s="769" t="s">
        <v>1092</v>
      </c>
      <c r="J233" s="766" t="s">
        <v>324</v>
      </c>
      <c r="K233" s="758">
        <v>0</v>
      </c>
      <c r="L233" s="758"/>
      <c r="M233" s="758"/>
      <c r="N233" s="69">
        <f t="shared" si="12"/>
        <v>0</v>
      </c>
      <c r="O233" s="69">
        <f>VLOOKUP(D:D,'Master Table'!C:O,13,FALSE)</f>
        <v>0</v>
      </c>
      <c r="P233" s="446">
        <v>0</v>
      </c>
      <c r="Q233" s="103">
        <v>109.81</v>
      </c>
    </row>
    <row r="234" spans="1:17" ht="28.5" x14ac:dyDescent="0.2">
      <c r="A234" s="68" t="str">
        <f t="shared" si="11"/>
        <v>BIR234 / 0444442</v>
      </c>
      <c r="B234" s="75" t="s">
        <v>7361</v>
      </c>
      <c r="C234" s="75" t="s">
        <v>1770</v>
      </c>
      <c r="D234" s="369" t="s">
        <v>1768</v>
      </c>
      <c r="E234" s="369" t="str">
        <f>VLOOKUP(D:D,'Master Table'!C:D,2,FALSE)</f>
        <v>0444442</v>
      </c>
      <c r="F234" s="766" t="s">
        <v>1768</v>
      </c>
      <c r="G234" s="766" t="s">
        <v>1769</v>
      </c>
      <c r="H234" s="769" t="s">
        <v>1770</v>
      </c>
      <c r="I234" s="769" t="s">
        <v>1771</v>
      </c>
      <c r="J234" s="766" t="s">
        <v>324</v>
      </c>
      <c r="K234" s="758">
        <v>0</v>
      </c>
      <c r="L234" s="758"/>
      <c r="M234" s="758">
        <v>0</v>
      </c>
      <c r="N234" s="69">
        <f t="shared" si="12"/>
        <v>0</v>
      </c>
      <c r="O234" s="69">
        <f>VLOOKUP(D:D,'Master Table'!C:O,13,FALSE)</f>
        <v>251.69</v>
      </c>
      <c r="P234" s="446">
        <v>251.69</v>
      </c>
      <c r="Q234" s="103">
        <v>209.07</v>
      </c>
    </row>
    <row r="235" spans="1:17" ht="42.75" x14ac:dyDescent="0.2">
      <c r="A235" s="68" t="str">
        <f t="shared" si="11"/>
        <v>BIR999 / 2061</v>
      </c>
      <c r="B235" s="75" t="s">
        <v>8280</v>
      </c>
      <c r="C235" s="75" t="s">
        <v>7261</v>
      </c>
      <c r="D235" s="369" t="s">
        <v>1772</v>
      </c>
      <c r="E235" s="369" t="str">
        <f>VLOOKUP(D:D,'Master Table'!C:D,2,FALSE)</f>
        <v>2061</v>
      </c>
      <c r="F235" s="766" t="s">
        <v>1772</v>
      </c>
      <c r="G235" s="766" t="s">
        <v>1773</v>
      </c>
      <c r="H235" s="769" t="s">
        <v>1774</v>
      </c>
      <c r="I235" s="750"/>
      <c r="J235" s="766" t="s">
        <v>324</v>
      </c>
      <c r="K235" s="849">
        <v>-698.64</v>
      </c>
      <c r="L235" s="758">
        <v>7455.65</v>
      </c>
      <c r="M235" s="758">
        <v>19843.13</v>
      </c>
      <c r="N235" s="69">
        <f t="shared" si="12"/>
        <v>26600.14</v>
      </c>
      <c r="O235" s="69">
        <f>VLOOKUP(D:D,'Master Table'!C:O,13,FALSE)</f>
        <v>1056.1500000000001</v>
      </c>
      <c r="P235" s="446">
        <v>1056.1500000000001</v>
      </c>
      <c r="Q235" s="103">
        <v>6910.83</v>
      </c>
    </row>
    <row r="236" spans="1:17" ht="15.75" thickBot="1" x14ac:dyDescent="0.25">
      <c r="O236" s="85"/>
      <c r="P236" s="85"/>
      <c r="Q236" s="444"/>
    </row>
    <row r="237" spans="1:17" ht="83.25" customHeight="1" thickBot="1" x14ac:dyDescent="0.25">
      <c r="A237" s="854" t="s">
        <v>10987</v>
      </c>
      <c r="B237" s="855"/>
      <c r="C237" s="855"/>
      <c r="D237" s="855"/>
      <c r="E237" s="855"/>
      <c r="F237" s="855"/>
      <c r="G237" s="855"/>
      <c r="H237" s="855"/>
      <c r="I237" s="855"/>
      <c r="J237" s="855"/>
      <c r="K237" s="855"/>
      <c r="L237" s="855"/>
      <c r="M237" s="855"/>
      <c r="N237" s="855"/>
      <c r="O237" s="855"/>
    </row>
    <row r="238" spans="1:17" x14ac:dyDescent="0.2">
      <c r="A238" s="718"/>
      <c r="B238" s="718"/>
      <c r="C238" s="718"/>
      <c r="D238" s="74"/>
      <c r="E238" s="74"/>
      <c r="F238" s="74"/>
      <c r="G238" s="74"/>
      <c r="H238" s="74"/>
    </row>
    <row r="239" spans="1:17" ht="30" x14ac:dyDescent="0.2">
      <c r="A239" s="763" t="s">
        <v>7422</v>
      </c>
      <c r="B239" s="764" t="s">
        <v>11007</v>
      </c>
      <c r="C239" s="715"/>
      <c r="D239" s="74"/>
      <c r="E239" s="74"/>
      <c r="F239" s="74"/>
      <c r="G239" s="74"/>
      <c r="H239" s="74"/>
    </row>
    <row r="240" spans="1:17" ht="45" x14ac:dyDescent="0.2">
      <c r="A240" s="763" t="s">
        <v>10990</v>
      </c>
      <c r="B240" s="764" t="s">
        <v>11008</v>
      </c>
      <c r="C240" s="715"/>
      <c r="D240" s="74"/>
      <c r="E240" s="74"/>
      <c r="F240" s="74"/>
      <c r="G240" s="74"/>
      <c r="H240" s="74"/>
    </row>
    <row r="241" spans="1:17" ht="45" x14ac:dyDescent="0.2">
      <c r="A241" s="763" t="s">
        <v>10991</v>
      </c>
      <c r="B241" s="764" t="s">
        <v>11009</v>
      </c>
      <c r="C241" s="715"/>
      <c r="D241" s="74"/>
      <c r="E241" s="74"/>
      <c r="F241" s="74"/>
      <c r="G241" s="74"/>
      <c r="H241" s="74"/>
    </row>
    <row r="242" spans="1:17" x14ac:dyDescent="0.2">
      <c r="O242" s="85"/>
      <c r="P242" s="85"/>
      <c r="Q242" s="444"/>
    </row>
    <row r="243" spans="1:17" x14ac:dyDescent="0.2">
      <c r="O243" s="85"/>
      <c r="P243" s="85"/>
      <c r="Q243" s="444"/>
    </row>
    <row r="244" spans="1:17" x14ac:dyDescent="0.2">
      <c r="O244" s="85"/>
      <c r="P244" s="85"/>
      <c r="Q244" s="444"/>
    </row>
    <row r="245" spans="1:17" x14ac:dyDescent="0.2">
      <c r="O245" s="85"/>
      <c r="P245" s="85"/>
      <c r="Q245" s="444"/>
    </row>
    <row r="246" spans="1:17" x14ac:dyDescent="0.2">
      <c r="O246" s="85"/>
      <c r="P246" s="85"/>
      <c r="Q246" s="444"/>
    </row>
    <row r="247" spans="1:17" x14ac:dyDescent="0.2">
      <c r="O247" s="85"/>
      <c r="P247" s="85"/>
      <c r="Q247" s="444"/>
    </row>
    <row r="248" spans="1:17" x14ac:dyDescent="0.2">
      <c r="O248" s="85"/>
      <c r="P248" s="85"/>
      <c r="Q248" s="444"/>
    </row>
    <row r="249" spans="1:17" x14ac:dyDescent="0.2">
      <c r="O249" s="85"/>
      <c r="P249" s="85"/>
      <c r="Q249" s="444"/>
    </row>
    <row r="250" spans="1:17" x14ac:dyDescent="0.2">
      <c r="O250" s="85"/>
      <c r="P250" s="85"/>
      <c r="Q250" s="444"/>
    </row>
    <row r="251" spans="1:17" x14ac:dyDescent="0.2">
      <c r="O251" s="85"/>
      <c r="P251" s="85"/>
      <c r="Q251" s="444"/>
    </row>
    <row r="252" spans="1:17" x14ac:dyDescent="0.2">
      <c r="O252" s="85"/>
      <c r="P252" s="85"/>
      <c r="Q252" s="444"/>
    </row>
    <row r="253" spans="1:17" x14ac:dyDescent="0.2">
      <c r="O253" s="85"/>
      <c r="P253" s="85"/>
      <c r="Q253" s="444"/>
    </row>
    <row r="254" spans="1:17" x14ac:dyDescent="0.2">
      <c r="O254" s="85"/>
      <c r="P254" s="85"/>
      <c r="Q254" s="444"/>
    </row>
    <row r="255" spans="1:17" x14ac:dyDescent="0.2">
      <c r="O255" s="85"/>
      <c r="P255" s="85"/>
      <c r="Q255" s="444"/>
    </row>
    <row r="256" spans="1:17" x14ac:dyDescent="0.2">
      <c r="O256" s="85"/>
      <c r="P256" s="85"/>
      <c r="Q256" s="444"/>
    </row>
    <row r="257" spans="15:17" x14ac:dyDescent="0.2">
      <c r="O257" s="85"/>
      <c r="P257" s="85"/>
      <c r="Q257" s="444"/>
    </row>
    <row r="258" spans="15:17" x14ac:dyDescent="0.2">
      <c r="O258" s="85"/>
      <c r="P258" s="85"/>
      <c r="Q258" s="444"/>
    </row>
    <row r="259" spans="15:17" x14ac:dyDescent="0.2">
      <c r="O259" s="85"/>
      <c r="P259" s="85"/>
      <c r="Q259" s="444"/>
    </row>
    <row r="260" spans="15:17" x14ac:dyDescent="0.2">
      <c r="O260" s="85"/>
      <c r="P260" s="85"/>
      <c r="Q260" s="444"/>
    </row>
    <row r="261" spans="15:17" x14ac:dyDescent="0.2">
      <c r="O261" s="85"/>
      <c r="P261" s="85"/>
      <c r="Q261" s="444"/>
    </row>
    <row r="262" spans="15:17" x14ac:dyDescent="0.2">
      <c r="O262" s="85"/>
      <c r="P262" s="85"/>
      <c r="Q262" s="444"/>
    </row>
    <row r="263" spans="15:17" x14ac:dyDescent="0.2">
      <c r="O263" s="85"/>
      <c r="P263" s="85"/>
      <c r="Q263" s="444"/>
    </row>
    <row r="264" spans="15:17" x14ac:dyDescent="0.2">
      <c r="O264" s="85"/>
      <c r="P264" s="85"/>
      <c r="Q264" s="444"/>
    </row>
    <row r="265" spans="15:17" x14ac:dyDescent="0.2">
      <c r="O265" s="85"/>
      <c r="P265" s="85"/>
      <c r="Q265" s="444"/>
    </row>
    <row r="266" spans="15:17" x14ac:dyDescent="0.2">
      <c r="O266" s="85"/>
      <c r="P266" s="85"/>
      <c r="Q266" s="444"/>
    </row>
    <row r="267" spans="15:17" x14ac:dyDescent="0.2">
      <c r="O267" s="85"/>
      <c r="P267" s="85"/>
      <c r="Q267" s="444"/>
    </row>
    <row r="268" spans="15:17" x14ac:dyDescent="0.2">
      <c r="O268" s="85"/>
      <c r="P268" s="85"/>
      <c r="Q268" s="444"/>
    </row>
    <row r="269" spans="15:17" x14ac:dyDescent="0.2">
      <c r="O269" s="85"/>
      <c r="P269" s="85"/>
      <c r="Q269" s="444"/>
    </row>
    <row r="270" spans="15:17" x14ac:dyDescent="0.2">
      <c r="O270" s="85"/>
      <c r="P270" s="85"/>
      <c r="Q270" s="444"/>
    </row>
    <row r="271" spans="15:17" x14ac:dyDescent="0.2">
      <c r="O271" s="85"/>
      <c r="P271" s="85"/>
      <c r="Q271" s="444"/>
    </row>
    <row r="272" spans="15:17" x14ac:dyDescent="0.2">
      <c r="O272" s="85"/>
      <c r="P272" s="85"/>
      <c r="Q272" s="444"/>
    </row>
  </sheetData>
  <mergeCells count="11">
    <mergeCell ref="P61:P62"/>
    <mergeCell ref="Q61:Q62"/>
    <mergeCell ref="P81:P82"/>
    <mergeCell ref="Q81:Q82"/>
    <mergeCell ref="P133:P134"/>
    <mergeCell ref="Q133:Q134"/>
    <mergeCell ref="A237:O237"/>
    <mergeCell ref="B133:B134"/>
    <mergeCell ref="B61:B62"/>
    <mergeCell ref="B77:B78"/>
    <mergeCell ref="B81:B82"/>
  </mergeCells>
  <pageMargins left="0.23622047244094491" right="0.23622047244094491" top="0.39370078740157483" bottom="0.39370078740157483" header="0.31496062992125984" footer="0.31496062992125984"/>
  <pageSetup paperSize="9" scale="65" fitToHeight="0" orientation="portrait" r:id="rId1"/>
  <headerFooter>
    <oddFooter>&amp;RPage &amp;P / &amp;N</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S127"/>
  <sheetViews>
    <sheetView zoomScaleNormal="100" workbookViewId="0">
      <pane ySplit="2" topLeftCell="A93" activePane="bottomLeft" state="frozen"/>
      <selection pane="bottomLeft" activeCell="L1" sqref="L1:N1"/>
    </sheetView>
  </sheetViews>
  <sheetFormatPr defaultRowHeight="12.75" outlineLevelCol="1" x14ac:dyDescent="0.2"/>
  <cols>
    <col min="1" max="1" width="23.5703125" style="86" customWidth="1"/>
    <col min="2" max="2" width="44.85546875" style="86" customWidth="1"/>
    <col min="3" max="3" width="58.28515625" style="86" bestFit="1" customWidth="1"/>
    <col min="4" max="4" width="11.42578125" style="430" hidden="1" customWidth="1" outlineLevel="1"/>
    <col min="5" max="5" width="17.28515625" style="354" hidden="1" customWidth="1" outlineLevel="1"/>
    <col min="6" max="6" width="12.85546875" style="19" hidden="1" customWidth="1" outlineLevel="1"/>
    <col min="7" max="7" width="14.28515625" style="19" hidden="1" customWidth="1" collapsed="1"/>
    <col min="8" max="8" width="14.28515625" style="19" hidden="1" customWidth="1"/>
    <col min="9" max="9" width="17.28515625" style="86" hidden="1" customWidth="1"/>
    <col min="10" max="11" width="0" style="86" hidden="1" customWidth="1"/>
    <col min="12" max="12" width="17.140625" style="86" bestFit="1" customWidth="1"/>
    <col min="13" max="13" width="19.7109375" style="86" bestFit="1" customWidth="1"/>
    <col min="14" max="14" width="20" style="86" bestFit="1" customWidth="1"/>
    <col min="15" max="15" width="16.140625" style="86" customWidth="1"/>
    <col min="16" max="16" width="0" style="86" hidden="1" customWidth="1"/>
    <col min="17" max="18" width="12.85546875" style="86" bestFit="1" customWidth="1"/>
    <col min="19" max="19" width="11.140625" style="86" bestFit="1" customWidth="1"/>
    <col min="20" max="250" width="9.140625" style="86"/>
    <col min="251" max="251" width="11.7109375" style="86" customWidth="1"/>
    <col min="252" max="252" width="44.85546875" style="86" customWidth="1"/>
    <col min="253" max="253" width="42.85546875" style="86" customWidth="1"/>
    <col min="254" max="254" width="18.5703125" style="86" bestFit="1" customWidth="1"/>
    <col min="255" max="255" width="21.7109375" style="86" bestFit="1" customWidth="1"/>
    <col min="256" max="256" width="15.28515625" style="86" customWidth="1"/>
    <col min="257" max="257" width="14.28515625" style="86" bestFit="1" customWidth="1"/>
    <col min="258" max="258" width="17.28515625" style="86" customWidth="1"/>
    <col min="259" max="259" width="24.85546875" style="86" customWidth="1"/>
    <col min="260" max="506" width="9.140625" style="86"/>
    <col min="507" max="507" width="11.7109375" style="86" customWidth="1"/>
    <col min="508" max="508" width="44.85546875" style="86" customWidth="1"/>
    <col min="509" max="509" width="42.85546875" style="86" customWidth="1"/>
    <col min="510" max="510" width="18.5703125" style="86" bestFit="1" customWidth="1"/>
    <col min="511" max="511" width="21.7109375" style="86" bestFit="1" customWidth="1"/>
    <col min="512" max="512" width="15.28515625" style="86" customWidth="1"/>
    <col min="513" max="513" width="14.28515625" style="86" bestFit="1" customWidth="1"/>
    <col min="514" max="514" width="17.28515625" style="86" customWidth="1"/>
    <col min="515" max="515" width="24.85546875" style="86" customWidth="1"/>
    <col min="516" max="762" width="9.140625" style="86"/>
    <col min="763" max="763" width="11.7109375" style="86" customWidth="1"/>
    <col min="764" max="764" width="44.85546875" style="86" customWidth="1"/>
    <col min="765" max="765" width="42.85546875" style="86" customWidth="1"/>
    <col min="766" max="766" width="18.5703125" style="86" bestFit="1" customWidth="1"/>
    <col min="767" max="767" width="21.7109375" style="86" bestFit="1" customWidth="1"/>
    <col min="768" max="768" width="15.28515625" style="86" customWidth="1"/>
    <col min="769" max="769" width="14.28515625" style="86" bestFit="1" customWidth="1"/>
    <col min="770" max="770" width="17.28515625" style="86" customWidth="1"/>
    <col min="771" max="771" width="24.85546875" style="86" customWidth="1"/>
    <col min="772" max="1018" width="9.140625" style="86"/>
    <col min="1019" max="1019" width="11.7109375" style="86" customWidth="1"/>
    <col min="1020" max="1020" width="44.85546875" style="86" customWidth="1"/>
    <col min="1021" max="1021" width="42.85546875" style="86" customWidth="1"/>
    <col min="1022" max="1022" width="18.5703125" style="86" bestFit="1" customWidth="1"/>
    <col min="1023" max="1023" width="21.7109375" style="86" bestFit="1" customWidth="1"/>
    <col min="1024" max="1024" width="15.28515625" style="86" customWidth="1"/>
    <col min="1025" max="1025" width="14.28515625" style="86" bestFit="1" customWidth="1"/>
    <col min="1026" max="1026" width="17.28515625" style="86" customWidth="1"/>
    <col min="1027" max="1027" width="24.85546875" style="86" customWidth="1"/>
    <col min="1028" max="1274" width="9.140625" style="86"/>
    <col min="1275" max="1275" width="11.7109375" style="86" customWidth="1"/>
    <col min="1276" max="1276" width="44.85546875" style="86" customWidth="1"/>
    <col min="1277" max="1277" width="42.85546875" style="86" customWidth="1"/>
    <col min="1278" max="1278" width="18.5703125" style="86" bestFit="1" customWidth="1"/>
    <col min="1279" max="1279" width="21.7109375" style="86" bestFit="1" customWidth="1"/>
    <col min="1280" max="1280" width="15.28515625" style="86" customWidth="1"/>
    <col min="1281" max="1281" width="14.28515625" style="86" bestFit="1" customWidth="1"/>
    <col min="1282" max="1282" width="17.28515625" style="86" customWidth="1"/>
    <col min="1283" max="1283" width="24.85546875" style="86" customWidth="1"/>
    <col min="1284" max="1530" width="9.140625" style="86"/>
    <col min="1531" max="1531" width="11.7109375" style="86" customWidth="1"/>
    <col min="1532" max="1532" width="44.85546875" style="86" customWidth="1"/>
    <col min="1533" max="1533" width="42.85546875" style="86" customWidth="1"/>
    <col min="1534" max="1534" width="18.5703125" style="86" bestFit="1" customWidth="1"/>
    <col min="1535" max="1535" width="21.7109375" style="86" bestFit="1" customWidth="1"/>
    <col min="1536" max="1536" width="15.28515625" style="86" customWidth="1"/>
    <col min="1537" max="1537" width="14.28515625" style="86" bestFit="1" customWidth="1"/>
    <col min="1538" max="1538" width="17.28515625" style="86" customWidth="1"/>
    <col min="1539" max="1539" width="24.85546875" style="86" customWidth="1"/>
    <col min="1540" max="1786" width="9.140625" style="86"/>
    <col min="1787" max="1787" width="11.7109375" style="86" customWidth="1"/>
    <col min="1788" max="1788" width="44.85546875" style="86" customWidth="1"/>
    <col min="1789" max="1789" width="42.85546875" style="86" customWidth="1"/>
    <col min="1790" max="1790" width="18.5703125" style="86" bestFit="1" customWidth="1"/>
    <col min="1791" max="1791" width="21.7109375" style="86" bestFit="1" customWidth="1"/>
    <col min="1792" max="1792" width="15.28515625" style="86" customWidth="1"/>
    <col min="1793" max="1793" width="14.28515625" style="86" bestFit="1" customWidth="1"/>
    <col min="1794" max="1794" width="17.28515625" style="86" customWidth="1"/>
    <col min="1795" max="1795" width="24.85546875" style="86" customWidth="1"/>
    <col min="1796" max="2042" width="9.140625" style="86"/>
    <col min="2043" max="2043" width="11.7109375" style="86" customWidth="1"/>
    <col min="2044" max="2044" width="44.85546875" style="86" customWidth="1"/>
    <col min="2045" max="2045" width="42.85546875" style="86" customWidth="1"/>
    <col min="2046" max="2046" width="18.5703125" style="86" bestFit="1" customWidth="1"/>
    <col min="2047" max="2047" width="21.7109375" style="86" bestFit="1" customWidth="1"/>
    <col min="2048" max="2048" width="15.28515625" style="86" customWidth="1"/>
    <col min="2049" max="2049" width="14.28515625" style="86" bestFit="1" customWidth="1"/>
    <col min="2050" max="2050" width="17.28515625" style="86" customWidth="1"/>
    <col min="2051" max="2051" width="24.85546875" style="86" customWidth="1"/>
    <col min="2052" max="2298" width="9.140625" style="86"/>
    <col min="2299" max="2299" width="11.7109375" style="86" customWidth="1"/>
    <col min="2300" max="2300" width="44.85546875" style="86" customWidth="1"/>
    <col min="2301" max="2301" width="42.85546875" style="86" customWidth="1"/>
    <col min="2302" max="2302" width="18.5703125" style="86" bestFit="1" customWidth="1"/>
    <col min="2303" max="2303" width="21.7109375" style="86" bestFit="1" customWidth="1"/>
    <col min="2304" max="2304" width="15.28515625" style="86" customWidth="1"/>
    <col min="2305" max="2305" width="14.28515625" style="86" bestFit="1" customWidth="1"/>
    <col min="2306" max="2306" width="17.28515625" style="86" customWidth="1"/>
    <col min="2307" max="2307" width="24.85546875" style="86" customWidth="1"/>
    <col min="2308" max="2554" width="9.140625" style="86"/>
    <col min="2555" max="2555" width="11.7109375" style="86" customWidth="1"/>
    <col min="2556" max="2556" width="44.85546875" style="86" customWidth="1"/>
    <col min="2557" max="2557" width="42.85546875" style="86" customWidth="1"/>
    <col min="2558" max="2558" width="18.5703125" style="86" bestFit="1" customWidth="1"/>
    <col min="2559" max="2559" width="21.7109375" style="86" bestFit="1" customWidth="1"/>
    <col min="2560" max="2560" width="15.28515625" style="86" customWidth="1"/>
    <col min="2561" max="2561" width="14.28515625" style="86" bestFit="1" customWidth="1"/>
    <col min="2562" max="2562" width="17.28515625" style="86" customWidth="1"/>
    <col min="2563" max="2563" width="24.85546875" style="86" customWidth="1"/>
    <col min="2564" max="2810" width="9.140625" style="86"/>
    <col min="2811" max="2811" width="11.7109375" style="86" customWidth="1"/>
    <col min="2812" max="2812" width="44.85546875" style="86" customWidth="1"/>
    <col min="2813" max="2813" width="42.85546875" style="86" customWidth="1"/>
    <col min="2814" max="2814" width="18.5703125" style="86" bestFit="1" customWidth="1"/>
    <col min="2815" max="2815" width="21.7109375" style="86" bestFit="1" customWidth="1"/>
    <col min="2816" max="2816" width="15.28515625" style="86" customWidth="1"/>
    <col min="2817" max="2817" width="14.28515625" style="86" bestFit="1" customWidth="1"/>
    <col min="2818" max="2818" width="17.28515625" style="86" customWidth="1"/>
    <col min="2819" max="2819" width="24.85546875" style="86" customWidth="1"/>
    <col min="2820" max="3066" width="9.140625" style="86"/>
    <col min="3067" max="3067" width="11.7109375" style="86" customWidth="1"/>
    <col min="3068" max="3068" width="44.85546875" style="86" customWidth="1"/>
    <col min="3069" max="3069" width="42.85546875" style="86" customWidth="1"/>
    <col min="3070" max="3070" width="18.5703125" style="86" bestFit="1" customWidth="1"/>
    <col min="3071" max="3071" width="21.7109375" style="86" bestFit="1" customWidth="1"/>
    <col min="3072" max="3072" width="15.28515625" style="86" customWidth="1"/>
    <col min="3073" max="3073" width="14.28515625" style="86" bestFit="1" customWidth="1"/>
    <col min="3074" max="3074" width="17.28515625" style="86" customWidth="1"/>
    <col min="3075" max="3075" width="24.85546875" style="86" customWidth="1"/>
    <col min="3076" max="3322" width="9.140625" style="86"/>
    <col min="3323" max="3323" width="11.7109375" style="86" customWidth="1"/>
    <col min="3324" max="3324" width="44.85546875" style="86" customWidth="1"/>
    <col min="3325" max="3325" width="42.85546875" style="86" customWidth="1"/>
    <col min="3326" max="3326" width="18.5703125" style="86" bestFit="1" customWidth="1"/>
    <col min="3327" max="3327" width="21.7109375" style="86" bestFit="1" customWidth="1"/>
    <col min="3328" max="3328" width="15.28515625" style="86" customWidth="1"/>
    <col min="3329" max="3329" width="14.28515625" style="86" bestFit="1" customWidth="1"/>
    <col min="3330" max="3330" width="17.28515625" style="86" customWidth="1"/>
    <col min="3331" max="3331" width="24.85546875" style="86" customWidth="1"/>
    <col min="3332" max="3578" width="9.140625" style="86"/>
    <col min="3579" max="3579" width="11.7109375" style="86" customWidth="1"/>
    <col min="3580" max="3580" width="44.85546875" style="86" customWidth="1"/>
    <col min="3581" max="3581" width="42.85546875" style="86" customWidth="1"/>
    <col min="3582" max="3582" width="18.5703125" style="86" bestFit="1" customWidth="1"/>
    <col min="3583" max="3583" width="21.7109375" style="86" bestFit="1" customWidth="1"/>
    <col min="3584" max="3584" width="15.28515625" style="86" customWidth="1"/>
    <col min="3585" max="3585" width="14.28515625" style="86" bestFit="1" customWidth="1"/>
    <col min="3586" max="3586" width="17.28515625" style="86" customWidth="1"/>
    <col min="3587" max="3587" width="24.85546875" style="86" customWidth="1"/>
    <col min="3588" max="3834" width="9.140625" style="86"/>
    <col min="3835" max="3835" width="11.7109375" style="86" customWidth="1"/>
    <col min="3836" max="3836" width="44.85546875" style="86" customWidth="1"/>
    <col min="3837" max="3837" width="42.85546875" style="86" customWidth="1"/>
    <col min="3838" max="3838" width="18.5703125" style="86" bestFit="1" customWidth="1"/>
    <col min="3839" max="3839" width="21.7109375" style="86" bestFit="1" customWidth="1"/>
    <col min="3840" max="3840" width="15.28515625" style="86" customWidth="1"/>
    <col min="3841" max="3841" width="14.28515625" style="86" bestFit="1" customWidth="1"/>
    <col min="3842" max="3842" width="17.28515625" style="86" customWidth="1"/>
    <col min="3843" max="3843" width="24.85546875" style="86" customWidth="1"/>
    <col min="3844" max="4090" width="9.140625" style="86"/>
    <col min="4091" max="4091" width="11.7109375" style="86" customWidth="1"/>
    <col min="4092" max="4092" width="44.85546875" style="86" customWidth="1"/>
    <col min="4093" max="4093" width="42.85546875" style="86" customWidth="1"/>
    <col min="4094" max="4094" width="18.5703125" style="86" bestFit="1" customWidth="1"/>
    <col min="4095" max="4095" width="21.7109375" style="86" bestFit="1" customWidth="1"/>
    <col min="4096" max="4096" width="15.28515625" style="86" customWidth="1"/>
    <col min="4097" max="4097" width="14.28515625" style="86" bestFit="1" customWidth="1"/>
    <col min="4098" max="4098" width="17.28515625" style="86" customWidth="1"/>
    <col min="4099" max="4099" width="24.85546875" style="86" customWidth="1"/>
    <col min="4100" max="4346" width="9.140625" style="86"/>
    <col min="4347" max="4347" width="11.7109375" style="86" customWidth="1"/>
    <col min="4348" max="4348" width="44.85546875" style="86" customWidth="1"/>
    <col min="4349" max="4349" width="42.85546875" style="86" customWidth="1"/>
    <col min="4350" max="4350" width="18.5703125" style="86" bestFit="1" customWidth="1"/>
    <col min="4351" max="4351" width="21.7109375" style="86" bestFit="1" customWidth="1"/>
    <col min="4352" max="4352" width="15.28515625" style="86" customWidth="1"/>
    <col min="4353" max="4353" width="14.28515625" style="86" bestFit="1" customWidth="1"/>
    <col min="4354" max="4354" width="17.28515625" style="86" customWidth="1"/>
    <col min="4355" max="4355" width="24.85546875" style="86" customWidth="1"/>
    <col min="4356" max="4602" width="9.140625" style="86"/>
    <col min="4603" max="4603" width="11.7109375" style="86" customWidth="1"/>
    <col min="4604" max="4604" width="44.85546875" style="86" customWidth="1"/>
    <col min="4605" max="4605" width="42.85546875" style="86" customWidth="1"/>
    <col min="4606" max="4606" width="18.5703125" style="86" bestFit="1" customWidth="1"/>
    <col min="4607" max="4607" width="21.7109375" style="86" bestFit="1" customWidth="1"/>
    <col min="4608" max="4608" width="15.28515625" style="86" customWidth="1"/>
    <col min="4609" max="4609" width="14.28515625" style="86" bestFit="1" customWidth="1"/>
    <col min="4610" max="4610" width="17.28515625" style="86" customWidth="1"/>
    <col min="4611" max="4611" width="24.85546875" style="86" customWidth="1"/>
    <col min="4612" max="4858" width="9.140625" style="86"/>
    <col min="4859" max="4859" width="11.7109375" style="86" customWidth="1"/>
    <col min="4860" max="4860" width="44.85546875" style="86" customWidth="1"/>
    <col min="4861" max="4861" width="42.85546875" style="86" customWidth="1"/>
    <col min="4862" max="4862" width="18.5703125" style="86" bestFit="1" customWidth="1"/>
    <col min="4863" max="4863" width="21.7109375" style="86" bestFit="1" customWidth="1"/>
    <col min="4864" max="4864" width="15.28515625" style="86" customWidth="1"/>
    <col min="4865" max="4865" width="14.28515625" style="86" bestFit="1" customWidth="1"/>
    <col min="4866" max="4866" width="17.28515625" style="86" customWidth="1"/>
    <col min="4867" max="4867" width="24.85546875" style="86" customWidth="1"/>
    <col min="4868" max="5114" width="9.140625" style="86"/>
    <col min="5115" max="5115" width="11.7109375" style="86" customWidth="1"/>
    <col min="5116" max="5116" width="44.85546875" style="86" customWidth="1"/>
    <col min="5117" max="5117" width="42.85546875" style="86" customWidth="1"/>
    <col min="5118" max="5118" width="18.5703125" style="86" bestFit="1" customWidth="1"/>
    <col min="5119" max="5119" width="21.7109375" style="86" bestFit="1" customWidth="1"/>
    <col min="5120" max="5120" width="15.28515625" style="86" customWidth="1"/>
    <col min="5121" max="5121" width="14.28515625" style="86" bestFit="1" customWidth="1"/>
    <col min="5122" max="5122" width="17.28515625" style="86" customWidth="1"/>
    <col min="5123" max="5123" width="24.85546875" style="86" customWidth="1"/>
    <col min="5124" max="5370" width="9.140625" style="86"/>
    <col min="5371" max="5371" width="11.7109375" style="86" customWidth="1"/>
    <col min="5372" max="5372" width="44.85546875" style="86" customWidth="1"/>
    <col min="5373" max="5373" width="42.85546875" style="86" customWidth="1"/>
    <col min="5374" max="5374" width="18.5703125" style="86" bestFit="1" customWidth="1"/>
    <col min="5375" max="5375" width="21.7109375" style="86" bestFit="1" customWidth="1"/>
    <col min="5376" max="5376" width="15.28515625" style="86" customWidth="1"/>
    <col min="5377" max="5377" width="14.28515625" style="86" bestFit="1" customWidth="1"/>
    <col min="5378" max="5378" width="17.28515625" style="86" customWidth="1"/>
    <col min="5379" max="5379" width="24.85546875" style="86" customWidth="1"/>
    <col min="5380" max="5626" width="9.140625" style="86"/>
    <col min="5627" max="5627" width="11.7109375" style="86" customWidth="1"/>
    <col min="5628" max="5628" width="44.85546875" style="86" customWidth="1"/>
    <col min="5629" max="5629" width="42.85546875" style="86" customWidth="1"/>
    <col min="5630" max="5630" width="18.5703125" style="86" bestFit="1" customWidth="1"/>
    <col min="5631" max="5631" width="21.7109375" style="86" bestFit="1" customWidth="1"/>
    <col min="5632" max="5632" width="15.28515625" style="86" customWidth="1"/>
    <col min="5633" max="5633" width="14.28515625" style="86" bestFit="1" customWidth="1"/>
    <col min="5634" max="5634" width="17.28515625" style="86" customWidth="1"/>
    <col min="5635" max="5635" width="24.85546875" style="86" customWidth="1"/>
    <col min="5636" max="5882" width="9.140625" style="86"/>
    <col min="5883" max="5883" width="11.7109375" style="86" customWidth="1"/>
    <col min="5884" max="5884" width="44.85546875" style="86" customWidth="1"/>
    <col min="5885" max="5885" width="42.85546875" style="86" customWidth="1"/>
    <col min="5886" max="5886" width="18.5703125" style="86" bestFit="1" customWidth="1"/>
    <col min="5887" max="5887" width="21.7109375" style="86" bestFit="1" customWidth="1"/>
    <col min="5888" max="5888" width="15.28515625" style="86" customWidth="1"/>
    <col min="5889" max="5889" width="14.28515625" style="86" bestFit="1" customWidth="1"/>
    <col min="5890" max="5890" width="17.28515625" style="86" customWidth="1"/>
    <col min="5891" max="5891" width="24.85546875" style="86" customWidth="1"/>
    <col min="5892" max="6138" width="9.140625" style="86"/>
    <col min="6139" max="6139" width="11.7109375" style="86" customWidth="1"/>
    <col min="6140" max="6140" width="44.85546875" style="86" customWidth="1"/>
    <col min="6141" max="6141" width="42.85546875" style="86" customWidth="1"/>
    <col min="6142" max="6142" width="18.5703125" style="86" bestFit="1" customWidth="1"/>
    <col min="6143" max="6143" width="21.7109375" style="86" bestFit="1" customWidth="1"/>
    <col min="6144" max="6144" width="15.28515625" style="86" customWidth="1"/>
    <col min="6145" max="6145" width="14.28515625" style="86" bestFit="1" customWidth="1"/>
    <col min="6146" max="6146" width="17.28515625" style="86" customWidth="1"/>
    <col min="6147" max="6147" width="24.85546875" style="86" customWidth="1"/>
    <col min="6148" max="6394" width="9.140625" style="86"/>
    <col min="6395" max="6395" width="11.7109375" style="86" customWidth="1"/>
    <col min="6396" max="6396" width="44.85546875" style="86" customWidth="1"/>
    <col min="6397" max="6397" width="42.85546875" style="86" customWidth="1"/>
    <col min="6398" max="6398" width="18.5703125" style="86" bestFit="1" customWidth="1"/>
    <col min="6399" max="6399" width="21.7109375" style="86" bestFit="1" customWidth="1"/>
    <col min="6400" max="6400" width="15.28515625" style="86" customWidth="1"/>
    <col min="6401" max="6401" width="14.28515625" style="86" bestFit="1" customWidth="1"/>
    <col min="6402" max="6402" width="17.28515625" style="86" customWidth="1"/>
    <col min="6403" max="6403" width="24.85546875" style="86" customWidth="1"/>
    <col min="6404" max="6650" width="9.140625" style="86"/>
    <col min="6651" max="6651" width="11.7109375" style="86" customWidth="1"/>
    <col min="6652" max="6652" width="44.85546875" style="86" customWidth="1"/>
    <col min="6653" max="6653" width="42.85546875" style="86" customWidth="1"/>
    <col min="6654" max="6654" width="18.5703125" style="86" bestFit="1" customWidth="1"/>
    <col min="6655" max="6655" width="21.7109375" style="86" bestFit="1" customWidth="1"/>
    <col min="6656" max="6656" width="15.28515625" style="86" customWidth="1"/>
    <col min="6657" max="6657" width="14.28515625" style="86" bestFit="1" customWidth="1"/>
    <col min="6658" max="6658" width="17.28515625" style="86" customWidth="1"/>
    <col min="6659" max="6659" width="24.85546875" style="86" customWidth="1"/>
    <col min="6660" max="6906" width="9.140625" style="86"/>
    <col min="6907" max="6907" width="11.7109375" style="86" customWidth="1"/>
    <col min="6908" max="6908" width="44.85546875" style="86" customWidth="1"/>
    <col min="6909" max="6909" width="42.85546875" style="86" customWidth="1"/>
    <col min="6910" max="6910" width="18.5703125" style="86" bestFit="1" customWidth="1"/>
    <col min="6911" max="6911" width="21.7109375" style="86" bestFit="1" customWidth="1"/>
    <col min="6912" max="6912" width="15.28515625" style="86" customWidth="1"/>
    <col min="6913" max="6913" width="14.28515625" style="86" bestFit="1" customWidth="1"/>
    <col min="6914" max="6914" width="17.28515625" style="86" customWidth="1"/>
    <col min="6915" max="6915" width="24.85546875" style="86" customWidth="1"/>
    <col min="6916" max="7162" width="9.140625" style="86"/>
    <col min="7163" max="7163" width="11.7109375" style="86" customWidth="1"/>
    <col min="7164" max="7164" width="44.85546875" style="86" customWidth="1"/>
    <col min="7165" max="7165" width="42.85546875" style="86" customWidth="1"/>
    <col min="7166" max="7166" width="18.5703125" style="86" bestFit="1" customWidth="1"/>
    <col min="7167" max="7167" width="21.7109375" style="86" bestFit="1" customWidth="1"/>
    <col min="7168" max="7168" width="15.28515625" style="86" customWidth="1"/>
    <col min="7169" max="7169" width="14.28515625" style="86" bestFit="1" customWidth="1"/>
    <col min="7170" max="7170" width="17.28515625" style="86" customWidth="1"/>
    <col min="7171" max="7171" width="24.85546875" style="86" customWidth="1"/>
    <col min="7172" max="7418" width="9.140625" style="86"/>
    <col min="7419" max="7419" width="11.7109375" style="86" customWidth="1"/>
    <col min="7420" max="7420" width="44.85546875" style="86" customWidth="1"/>
    <col min="7421" max="7421" width="42.85546875" style="86" customWidth="1"/>
    <col min="7422" max="7422" width="18.5703125" style="86" bestFit="1" customWidth="1"/>
    <col min="7423" max="7423" width="21.7109375" style="86" bestFit="1" customWidth="1"/>
    <col min="7424" max="7424" width="15.28515625" style="86" customWidth="1"/>
    <col min="7425" max="7425" width="14.28515625" style="86" bestFit="1" customWidth="1"/>
    <col min="7426" max="7426" width="17.28515625" style="86" customWidth="1"/>
    <col min="7427" max="7427" width="24.85546875" style="86" customWidth="1"/>
    <col min="7428" max="7674" width="9.140625" style="86"/>
    <col min="7675" max="7675" width="11.7109375" style="86" customWidth="1"/>
    <col min="7676" max="7676" width="44.85546875" style="86" customWidth="1"/>
    <col min="7677" max="7677" width="42.85546875" style="86" customWidth="1"/>
    <col min="7678" max="7678" width="18.5703125" style="86" bestFit="1" customWidth="1"/>
    <col min="7679" max="7679" width="21.7109375" style="86" bestFit="1" customWidth="1"/>
    <col min="7680" max="7680" width="15.28515625" style="86" customWidth="1"/>
    <col min="7681" max="7681" width="14.28515625" style="86" bestFit="1" customWidth="1"/>
    <col min="7682" max="7682" width="17.28515625" style="86" customWidth="1"/>
    <col min="7683" max="7683" width="24.85546875" style="86" customWidth="1"/>
    <col min="7684" max="7930" width="9.140625" style="86"/>
    <col min="7931" max="7931" width="11.7109375" style="86" customWidth="1"/>
    <col min="7932" max="7932" width="44.85546875" style="86" customWidth="1"/>
    <col min="7933" max="7933" width="42.85546875" style="86" customWidth="1"/>
    <col min="7934" max="7934" width="18.5703125" style="86" bestFit="1" customWidth="1"/>
    <col min="7935" max="7935" width="21.7109375" style="86" bestFit="1" customWidth="1"/>
    <col min="7936" max="7936" width="15.28515625" style="86" customWidth="1"/>
    <col min="7937" max="7937" width="14.28515625" style="86" bestFit="1" customWidth="1"/>
    <col min="7938" max="7938" width="17.28515625" style="86" customWidth="1"/>
    <col min="7939" max="7939" width="24.85546875" style="86" customWidth="1"/>
    <col min="7940" max="8186" width="9.140625" style="86"/>
    <col min="8187" max="8187" width="11.7109375" style="86" customWidth="1"/>
    <col min="8188" max="8188" width="44.85546875" style="86" customWidth="1"/>
    <col min="8189" max="8189" width="42.85546875" style="86" customWidth="1"/>
    <col min="8190" max="8190" width="18.5703125" style="86" bestFit="1" customWidth="1"/>
    <col min="8191" max="8191" width="21.7109375" style="86" bestFit="1" customWidth="1"/>
    <col min="8192" max="8192" width="15.28515625" style="86" customWidth="1"/>
    <col min="8193" max="8193" width="14.28515625" style="86" bestFit="1" customWidth="1"/>
    <col min="8194" max="8194" width="17.28515625" style="86" customWidth="1"/>
    <col min="8195" max="8195" width="24.85546875" style="86" customWidth="1"/>
    <col min="8196" max="8442" width="9.140625" style="86"/>
    <col min="8443" max="8443" width="11.7109375" style="86" customWidth="1"/>
    <col min="8444" max="8444" width="44.85546875" style="86" customWidth="1"/>
    <col min="8445" max="8445" width="42.85546875" style="86" customWidth="1"/>
    <col min="8446" max="8446" width="18.5703125" style="86" bestFit="1" customWidth="1"/>
    <col min="8447" max="8447" width="21.7109375" style="86" bestFit="1" customWidth="1"/>
    <col min="8448" max="8448" width="15.28515625" style="86" customWidth="1"/>
    <col min="8449" max="8449" width="14.28515625" style="86" bestFit="1" customWidth="1"/>
    <col min="8450" max="8450" width="17.28515625" style="86" customWidth="1"/>
    <col min="8451" max="8451" width="24.85546875" style="86" customWidth="1"/>
    <col min="8452" max="8698" width="9.140625" style="86"/>
    <col min="8699" max="8699" width="11.7109375" style="86" customWidth="1"/>
    <col min="8700" max="8700" width="44.85546875" style="86" customWidth="1"/>
    <col min="8701" max="8701" width="42.85546875" style="86" customWidth="1"/>
    <col min="8702" max="8702" width="18.5703125" style="86" bestFit="1" customWidth="1"/>
    <col min="8703" max="8703" width="21.7109375" style="86" bestFit="1" customWidth="1"/>
    <col min="8704" max="8704" width="15.28515625" style="86" customWidth="1"/>
    <col min="8705" max="8705" width="14.28515625" style="86" bestFit="1" customWidth="1"/>
    <col min="8706" max="8706" width="17.28515625" style="86" customWidth="1"/>
    <col min="8707" max="8707" width="24.85546875" style="86" customWidth="1"/>
    <col min="8708" max="8954" width="9.140625" style="86"/>
    <col min="8955" max="8955" width="11.7109375" style="86" customWidth="1"/>
    <col min="8956" max="8956" width="44.85546875" style="86" customWidth="1"/>
    <col min="8957" max="8957" width="42.85546875" style="86" customWidth="1"/>
    <col min="8958" max="8958" width="18.5703125" style="86" bestFit="1" customWidth="1"/>
    <col min="8959" max="8959" width="21.7109375" style="86" bestFit="1" customWidth="1"/>
    <col min="8960" max="8960" width="15.28515625" style="86" customWidth="1"/>
    <col min="8961" max="8961" width="14.28515625" style="86" bestFit="1" customWidth="1"/>
    <col min="8962" max="8962" width="17.28515625" style="86" customWidth="1"/>
    <col min="8963" max="8963" width="24.85546875" style="86" customWidth="1"/>
    <col min="8964" max="9210" width="9.140625" style="86"/>
    <col min="9211" max="9211" width="11.7109375" style="86" customWidth="1"/>
    <col min="9212" max="9212" width="44.85546875" style="86" customWidth="1"/>
    <col min="9213" max="9213" width="42.85546875" style="86" customWidth="1"/>
    <col min="9214" max="9214" width="18.5703125" style="86" bestFit="1" customWidth="1"/>
    <col min="9215" max="9215" width="21.7109375" style="86" bestFit="1" customWidth="1"/>
    <col min="9216" max="9216" width="15.28515625" style="86" customWidth="1"/>
    <col min="9217" max="9217" width="14.28515625" style="86" bestFit="1" customWidth="1"/>
    <col min="9218" max="9218" width="17.28515625" style="86" customWidth="1"/>
    <col min="9219" max="9219" width="24.85546875" style="86" customWidth="1"/>
    <col min="9220" max="9466" width="9.140625" style="86"/>
    <col min="9467" max="9467" width="11.7109375" style="86" customWidth="1"/>
    <col min="9468" max="9468" width="44.85546875" style="86" customWidth="1"/>
    <col min="9469" max="9469" width="42.85546875" style="86" customWidth="1"/>
    <col min="9470" max="9470" width="18.5703125" style="86" bestFit="1" customWidth="1"/>
    <col min="9471" max="9471" width="21.7109375" style="86" bestFit="1" customWidth="1"/>
    <col min="9472" max="9472" width="15.28515625" style="86" customWidth="1"/>
    <col min="9473" max="9473" width="14.28515625" style="86" bestFit="1" customWidth="1"/>
    <col min="9474" max="9474" width="17.28515625" style="86" customWidth="1"/>
    <col min="9475" max="9475" width="24.85546875" style="86" customWidth="1"/>
    <col min="9476" max="9722" width="9.140625" style="86"/>
    <col min="9723" max="9723" width="11.7109375" style="86" customWidth="1"/>
    <col min="9724" max="9724" width="44.85546875" style="86" customWidth="1"/>
    <col min="9725" max="9725" width="42.85546875" style="86" customWidth="1"/>
    <col min="9726" max="9726" width="18.5703125" style="86" bestFit="1" customWidth="1"/>
    <col min="9727" max="9727" width="21.7109375" style="86" bestFit="1" customWidth="1"/>
    <col min="9728" max="9728" width="15.28515625" style="86" customWidth="1"/>
    <col min="9729" max="9729" width="14.28515625" style="86" bestFit="1" customWidth="1"/>
    <col min="9730" max="9730" width="17.28515625" style="86" customWidth="1"/>
    <col min="9731" max="9731" width="24.85546875" style="86" customWidth="1"/>
    <col min="9732" max="9978" width="9.140625" style="86"/>
    <col min="9979" max="9979" width="11.7109375" style="86" customWidth="1"/>
    <col min="9980" max="9980" width="44.85546875" style="86" customWidth="1"/>
    <col min="9981" max="9981" width="42.85546875" style="86" customWidth="1"/>
    <col min="9982" max="9982" width="18.5703125" style="86" bestFit="1" customWidth="1"/>
    <col min="9983" max="9983" width="21.7109375" style="86" bestFit="1" customWidth="1"/>
    <col min="9984" max="9984" width="15.28515625" style="86" customWidth="1"/>
    <col min="9985" max="9985" width="14.28515625" style="86" bestFit="1" customWidth="1"/>
    <col min="9986" max="9986" width="17.28515625" style="86" customWidth="1"/>
    <col min="9987" max="9987" width="24.85546875" style="86" customWidth="1"/>
    <col min="9988" max="10234" width="9.140625" style="86"/>
    <col min="10235" max="10235" width="11.7109375" style="86" customWidth="1"/>
    <col min="10236" max="10236" width="44.85546875" style="86" customWidth="1"/>
    <col min="10237" max="10237" width="42.85546875" style="86" customWidth="1"/>
    <col min="10238" max="10238" width="18.5703125" style="86" bestFit="1" customWidth="1"/>
    <col min="10239" max="10239" width="21.7109375" style="86" bestFit="1" customWidth="1"/>
    <col min="10240" max="10240" width="15.28515625" style="86" customWidth="1"/>
    <col min="10241" max="10241" width="14.28515625" style="86" bestFit="1" customWidth="1"/>
    <col min="10242" max="10242" width="17.28515625" style="86" customWidth="1"/>
    <col min="10243" max="10243" width="24.85546875" style="86" customWidth="1"/>
    <col min="10244" max="10490" width="9.140625" style="86"/>
    <col min="10491" max="10491" width="11.7109375" style="86" customWidth="1"/>
    <col min="10492" max="10492" width="44.85546875" style="86" customWidth="1"/>
    <col min="10493" max="10493" width="42.85546875" style="86" customWidth="1"/>
    <col min="10494" max="10494" width="18.5703125" style="86" bestFit="1" customWidth="1"/>
    <col min="10495" max="10495" width="21.7109375" style="86" bestFit="1" customWidth="1"/>
    <col min="10496" max="10496" width="15.28515625" style="86" customWidth="1"/>
    <col min="10497" max="10497" width="14.28515625" style="86" bestFit="1" customWidth="1"/>
    <col min="10498" max="10498" width="17.28515625" style="86" customWidth="1"/>
    <col min="10499" max="10499" width="24.85546875" style="86" customWidth="1"/>
    <col min="10500" max="10746" width="9.140625" style="86"/>
    <col min="10747" max="10747" width="11.7109375" style="86" customWidth="1"/>
    <col min="10748" max="10748" width="44.85546875" style="86" customWidth="1"/>
    <col min="10749" max="10749" width="42.85546875" style="86" customWidth="1"/>
    <col min="10750" max="10750" width="18.5703125" style="86" bestFit="1" customWidth="1"/>
    <col min="10751" max="10751" width="21.7109375" style="86" bestFit="1" customWidth="1"/>
    <col min="10752" max="10752" width="15.28515625" style="86" customWidth="1"/>
    <col min="10753" max="10753" width="14.28515625" style="86" bestFit="1" customWidth="1"/>
    <col min="10754" max="10754" width="17.28515625" style="86" customWidth="1"/>
    <col min="10755" max="10755" width="24.85546875" style="86" customWidth="1"/>
    <col min="10756" max="11002" width="9.140625" style="86"/>
    <col min="11003" max="11003" width="11.7109375" style="86" customWidth="1"/>
    <col min="11004" max="11004" width="44.85546875" style="86" customWidth="1"/>
    <col min="11005" max="11005" width="42.85546875" style="86" customWidth="1"/>
    <col min="11006" max="11006" width="18.5703125" style="86" bestFit="1" customWidth="1"/>
    <col min="11007" max="11007" width="21.7109375" style="86" bestFit="1" customWidth="1"/>
    <col min="11008" max="11008" width="15.28515625" style="86" customWidth="1"/>
    <col min="11009" max="11009" width="14.28515625" style="86" bestFit="1" customWidth="1"/>
    <col min="11010" max="11010" width="17.28515625" style="86" customWidth="1"/>
    <col min="11011" max="11011" width="24.85546875" style="86" customWidth="1"/>
    <col min="11012" max="11258" width="9.140625" style="86"/>
    <col min="11259" max="11259" width="11.7109375" style="86" customWidth="1"/>
    <col min="11260" max="11260" width="44.85546875" style="86" customWidth="1"/>
    <col min="11261" max="11261" width="42.85546875" style="86" customWidth="1"/>
    <col min="11262" max="11262" width="18.5703125" style="86" bestFit="1" customWidth="1"/>
    <col min="11263" max="11263" width="21.7109375" style="86" bestFit="1" customWidth="1"/>
    <col min="11264" max="11264" width="15.28515625" style="86" customWidth="1"/>
    <col min="11265" max="11265" width="14.28515625" style="86" bestFit="1" customWidth="1"/>
    <col min="11266" max="11266" width="17.28515625" style="86" customWidth="1"/>
    <col min="11267" max="11267" width="24.85546875" style="86" customWidth="1"/>
    <col min="11268" max="11514" width="9.140625" style="86"/>
    <col min="11515" max="11515" width="11.7109375" style="86" customWidth="1"/>
    <col min="11516" max="11516" width="44.85546875" style="86" customWidth="1"/>
    <col min="11517" max="11517" width="42.85546875" style="86" customWidth="1"/>
    <col min="11518" max="11518" width="18.5703125" style="86" bestFit="1" customWidth="1"/>
    <col min="11519" max="11519" width="21.7109375" style="86" bestFit="1" customWidth="1"/>
    <col min="11520" max="11520" width="15.28515625" style="86" customWidth="1"/>
    <col min="11521" max="11521" width="14.28515625" style="86" bestFit="1" customWidth="1"/>
    <col min="11522" max="11522" width="17.28515625" style="86" customWidth="1"/>
    <col min="11523" max="11523" width="24.85546875" style="86" customWidth="1"/>
    <col min="11524" max="11770" width="9.140625" style="86"/>
    <col min="11771" max="11771" width="11.7109375" style="86" customWidth="1"/>
    <col min="11772" max="11772" width="44.85546875" style="86" customWidth="1"/>
    <col min="11773" max="11773" width="42.85546875" style="86" customWidth="1"/>
    <col min="11774" max="11774" width="18.5703125" style="86" bestFit="1" customWidth="1"/>
    <col min="11775" max="11775" width="21.7109375" style="86" bestFit="1" customWidth="1"/>
    <col min="11776" max="11776" width="15.28515625" style="86" customWidth="1"/>
    <col min="11777" max="11777" width="14.28515625" style="86" bestFit="1" customWidth="1"/>
    <col min="11778" max="11778" width="17.28515625" style="86" customWidth="1"/>
    <col min="11779" max="11779" width="24.85546875" style="86" customWidth="1"/>
    <col min="11780" max="12026" width="9.140625" style="86"/>
    <col min="12027" max="12027" width="11.7109375" style="86" customWidth="1"/>
    <col min="12028" max="12028" width="44.85546875" style="86" customWidth="1"/>
    <col min="12029" max="12029" width="42.85546875" style="86" customWidth="1"/>
    <col min="12030" max="12030" width="18.5703125" style="86" bestFit="1" customWidth="1"/>
    <col min="12031" max="12031" width="21.7109375" style="86" bestFit="1" customWidth="1"/>
    <col min="12032" max="12032" width="15.28515625" style="86" customWidth="1"/>
    <col min="12033" max="12033" width="14.28515625" style="86" bestFit="1" customWidth="1"/>
    <col min="12034" max="12034" width="17.28515625" style="86" customWidth="1"/>
    <col min="12035" max="12035" width="24.85546875" style="86" customWidth="1"/>
    <col min="12036" max="12282" width="9.140625" style="86"/>
    <col min="12283" max="12283" width="11.7109375" style="86" customWidth="1"/>
    <col min="12284" max="12284" width="44.85546875" style="86" customWidth="1"/>
    <col min="12285" max="12285" width="42.85546875" style="86" customWidth="1"/>
    <col min="12286" max="12286" width="18.5703125" style="86" bestFit="1" customWidth="1"/>
    <col min="12287" max="12287" width="21.7109375" style="86" bestFit="1" customWidth="1"/>
    <col min="12288" max="12288" width="15.28515625" style="86" customWidth="1"/>
    <col min="12289" max="12289" width="14.28515625" style="86" bestFit="1" customWidth="1"/>
    <col min="12290" max="12290" width="17.28515625" style="86" customWidth="1"/>
    <col min="12291" max="12291" width="24.85546875" style="86" customWidth="1"/>
    <col min="12292" max="12538" width="9.140625" style="86"/>
    <col min="12539" max="12539" width="11.7109375" style="86" customWidth="1"/>
    <col min="12540" max="12540" width="44.85546875" style="86" customWidth="1"/>
    <col min="12541" max="12541" width="42.85546875" style="86" customWidth="1"/>
    <col min="12542" max="12542" width="18.5703125" style="86" bestFit="1" customWidth="1"/>
    <col min="12543" max="12543" width="21.7109375" style="86" bestFit="1" customWidth="1"/>
    <col min="12544" max="12544" width="15.28515625" style="86" customWidth="1"/>
    <col min="12545" max="12545" width="14.28515625" style="86" bestFit="1" customWidth="1"/>
    <col min="12546" max="12546" width="17.28515625" style="86" customWidth="1"/>
    <col min="12547" max="12547" width="24.85546875" style="86" customWidth="1"/>
    <col min="12548" max="12794" width="9.140625" style="86"/>
    <col min="12795" max="12795" width="11.7109375" style="86" customWidth="1"/>
    <col min="12796" max="12796" width="44.85546875" style="86" customWidth="1"/>
    <col min="12797" max="12797" width="42.85546875" style="86" customWidth="1"/>
    <col min="12798" max="12798" width="18.5703125" style="86" bestFit="1" customWidth="1"/>
    <col min="12799" max="12799" width="21.7109375" style="86" bestFit="1" customWidth="1"/>
    <col min="12800" max="12800" width="15.28515625" style="86" customWidth="1"/>
    <col min="12801" max="12801" width="14.28515625" style="86" bestFit="1" customWidth="1"/>
    <col min="12802" max="12802" width="17.28515625" style="86" customWidth="1"/>
    <col min="12803" max="12803" width="24.85546875" style="86" customWidth="1"/>
    <col min="12804" max="13050" width="9.140625" style="86"/>
    <col min="13051" max="13051" width="11.7109375" style="86" customWidth="1"/>
    <col min="13052" max="13052" width="44.85546875" style="86" customWidth="1"/>
    <col min="13053" max="13053" width="42.85546875" style="86" customWidth="1"/>
    <col min="13054" max="13054" width="18.5703125" style="86" bestFit="1" customWidth="1"/>
    <col min="13055" max="13055" width="21.7109375" style="86" bestFit="1" customWidth="1"/>
    <col min="13056" max="13056" width="15.28515625" style="86" customWidth="1"/>
    <col min="13057" max="13057" width="14.28515625" style="86" bestFit="1" customWidth="1"/>
    <col min="13058" max="13058" width="17.28515625" style="86" customWidth="1"/>
    <col min="13059" max="13059" width="24.85546875" style="86" customWidth="1"/>
    <col min="13060" max="13306" width="9.140625" style="86"/>
    <col min="13307" max="13307" width="11.7109375" style="86" customWidth="1"/>
    <col min="13308" max="13308" width="44.85546875" style="86" customWidth="1"/>
    <col min="13309" max="13309" width="42.85546875" style="86" customWidth="1"/>
    <col min="13310" max="13310" width="18.5703125" style="86" bestFit="1" customWidth="1"/>
    <col min="13311" max="13311" width="21.7109375" style="86" bestFit="1" customWidth="1"/>
    <col min="13312" max="13312" width="15.28515625" style="86" customWidth="1"/>
    <col min="13313" max="13313" width="14.28515625" style="86" bestFit="1" customWidth="1"/>
    <col min="13314" max="13314" width="17.28515625" style="86" customWidth="1"/>
    <col min="13315" max="13315" width="24.85546875" style="86" customWidth="1"/>
    <col min="13316" max="13562" width="9.140625" style="86"/>
    <col min="13563" max="13563" width="11.7109375" style="86" customWidth="1"/>
    <col min="13564" max="13564" width="44.85546875" style="86" customWidth="1"/>
    <col min="13565" max="13565" width="42.85546875" style="86" customWidth="1"/>
    <col min="13566" max="13566" width="18.5703125" style="86" bestFit="1" customWidth="1"/>
    <col min="13567" max="13567" width="21.7109375" style="86" bestFit="1" customWidth="1"/>
    <col min="13568" max="13568" width="15.28515625" style="86" customWidth="1"/>
    <col min="13569" max="13569" width="14.28515625" style="86" bestFit="1" customWidth="1"/>
    <col min="13570" max="13570" width="17.28515625" style="86" customWidth="1"/>
    <col min="13571" max="13571" width="24.85546875" style="86" customWidth="1"/>
    <col min="13572" max="13818" width="9.140625" style="86"/>
    <col min="13819" max="13819" width="11.7109375" style="86" customWidth="1"/>
    <col min="13820" max="13820" width="44.85546875" style="86" customWidth="1"/>
    <col min="13821" max="13821" width="42.85546875" style="86" customWidth="1"/>
    <col min="13822" max="13822" width="18.5703125" style="86" bestFit="1" customWidth="1"/>
    <col min="13823" max="13823" width="21.7109375" style="86" bestFit="1" customWidth="1"/>
    <col min="13824" max="13824" width="15.28515625" style="86" customWidth="1"/>
    <col min="13825" max="13825" width="14.28515625" style="86" bestFit="1" customWidth="1"/>
    <col min="13826" max="13826" width="17.28515625" style="86" customWidth="1"/>
    <col min="13827" max="13827" width="24.85546875" style="86" customWidth="1"/>
    <col min="13828" max="14074" width="9.140625" style="86"/>
    <col min="14075" max="14075" width="11.7109375" style="86" customWidth="1"/>
    <col min="14076" max="14076" width="44.85546875" style="86" customWidth="1"/>
    <col min="14077" max="14077" width="42.85546875" style="86" customWidth="1"/>
    <col min="14078" max="14078" width="18.5703125" style="86" bestFit="1" customWidth="1"/>
    <col min="14079" max="14079" width="21.7109375" style="86" bestFit="1" customWidth="1"/>
    <col min="14080" max="14080" width="15.28515625" style="86" customWidth="1"/>
    <col min="14081" max="14081" width="14.28515625" style="86" bestFit="1" customWidth="1"/>
    <col min="14082" max="14082" width="17.28515625" style="86" customWidth="1"/>
    <col min="14083" max="14083" width="24.85546875" style="86" customWidth="1"/>
    <col min="14084" max="14330" width="9.140625" style="86"/>
    <col min="14331" max="14331" width="11.7109375" style="86" customWidth="1"/>
    <col min="14332" max="14332" width="44.85546875" style="86" customWidth="1"/>
    <col min="14333" max="14333" width="42.85546875" style="86" customWidth="1"/>
    <col min="14334" max="14334" width="18.5703125" style="86" bestFit="1" customWidth="1"/>
    <col min="14335" max="14335" width="21.7109375" style="86" bestFit="1" customWidth="1"/>
    <col min="14336" max="14336" width="15.28515625" style="86" customWidth="1"/>
    <col min="14337" max="14337" width="14.28515625" style="86" bestFit="1" customWidth="1"/>
    <col min="14338" max="14338" width="17.28515625" style="86" customWidth="1"/>
    <col min="14339" max="14339" width="24.85546875" style="86" customWidth="1"/>
    <col min="14340" max="14586" width="9.140625" style="86"/>
    <col min="14587" max="14587" width="11.7109375" style="86" customWidth="1"/>
    <col min="14588" max="14588" width="44.85546875" style="86" customWidth="1"/>
    <col min="14589" max="14589" width="42.85546875" style="86" customWidth="1"/>
    <col min="14590" max="14590" width="18.5703125" style="86" bestFit="1" customWidth="1"/>
    <col min="14591" max="14591" width="21.7109375" style="86" bestFit="1" customWidth="1"/>
    <col min="14592" max="14592" width="15.28515625" style="86" customWidth="1"/>
    <col min="14593" max="14593" width="14.28515625" style="86" bestFit="1" customWidth="1"/>
    <col min="14594" max="14594" width="17.28515625" style="86" customWidth="1"/>
    <col min="14595" max="14595" width="24.85546875" style="86" customWidth="1"/>
    <col min="14596" max="14842" width="9.140625" style="86"/>
    <col min="14843" max="14843" width="11.7109375" style="86" customWidth="1"/>
    <col min="14844" max="14844" width="44.85546875" style="86" customWidth="1"/>
    <col min="14845" max="14845" width="42.85546875" style="86" customWidth="1"/>
    <col min="14846" max="14846" width="18.5703125" style="86" bestFit="1" customWidth="1"/>
    <col min="14847" max="14847" width="21.7109375" style="86" bestFit="1" customWidth="1"/>
    <col min="14848" max="14848" width="15.28515625" style="86" customWidth="1"/>
    <col min="14849" max="14849" width="14.28515625" style="86" bestFit="1" customWidth="1"/>
    <col min="14850" max="14850" width="17.28515625" style="86" customWidth="1"/>
    <col min="14851" max="14851" width="24.85546875" style="86" customWidth="1"/>
    <col min="14852" max="15098" width="9.140625" style="86"/>
    <col min="15099" max="15099" width="11.7109375" style="86" customWidth="1"/>
    <col min="15100" max="15100" width="44.85546875" style="86" customWidth="1"/>
    <col min="15101" max="15101" width="42.85546875" style="86" customWidth="1"/>
    <col min="15102" max="15102" width="18.5703125" style="86" bestFit="1" customWidth="1"/>
    <col min="15103" max="15103" width="21.7109375" style="86" bestFit="1" customWidth="1"/>
    <col min="15104" max="15104" width="15.28515625" style="86" customWidth="1"/>
    <col min="15105" max="15105" width="14.28515625" style="86" bestFit="1" customWidth="1"/>
    <col min="15106" max="15106" width="17.28515625" style="86" customWidth="1"/>
    <col min="15107" max="15107" width="24.85546875" style="86" customWidth="1"/>
    <col min="15108" max="15354" width="9.140625" style="86"/>
    <col min="15355" max="15355" width="11.7109375" style="86" customWidth="1"/>
    <col min="15356" max="15356" width="44.85546875" style="86" customWidth="1"/>
    <col min="15357" max="15357" width="42.85546875" style="86" customWidth="1"/>
    <col min="15358" max="15358" width="18.5703125" style="86" bestFit="1" customWidth="1"/>
    <col min="15359" max="15359" width="21.7109375" style="86" bestFit="1" customWidth="1"/>
    <col min="15360" max="15360" width="15.28515625" style="86" customWidth="1"/>
    <col min="15361" max="15361" width="14.28515625" style="86" bestFit="1" customWidth="1"/>
    <col min="15362" max="15362" width="17.28515625" style="86" customWidth="1"/>
    <col min="15363" max="15363" width="24.85546875" style="86" customWidth="1"/>
    <col min="15364" max="15610" width="9.140625" style="86"/>
    <col min="15611" max="15611" width="11.7109375" style="86" customWidth="1"/>
    <col min="15612" max="15612" width="44.85546875" style="86" customWidth="1"/>
    <col min="15613" max="15613" width="42.85546875" style="86" customWidth="1"/>
    <col min="15614" max="15614" width="18.5703125" style="86" bestFit="1" customWidth="1"/>
    <col min="15615" max="15615" width="21.7109375" style="86" bestFit="1" customWidth="1"/>
    <col min="15616" max="15616" width="15.28515625" style="86" customWidth="1"/>
    <col min="15617" max="15617" width="14.28515625" style="86" bestFit="1" customWidth="1"/>
    <col min="15618" max="15618" width="17.28515625" style="86" customWidth="1"/>
    <col min="15619" max="15619" width="24.85546875" style="86" customWidth="1"/>
    <col min="15620" max="15866" width="9.140625" style="86"/>
    <col min="15867" max="15867" width="11.7109375" style="86" customWidth="1"/>
    <col min="15868" max="15868" width="44.85546875" style="86" customWidth="1"/>
    <col min="15869" max="15869" width="42.85546875" style="86" customWidth="1"/>
    <col min="15870" max="15870" width="18.5703125" style="86" bestFit="1" customWidth="1"/>
    <col min="15871" max="15871" width="21.7109375" style="86" bestFit="1" customWidth="1"/>
    <col min="15872" max="15872" width="15.28515625" style="86" customWidth="1"/>
    <col min="15873" max="15873" width="14.28515625" style="86" bestFit="1" customWidth="1"/>
    <col min="15874" max="15874" width="17.28515625" style="86" customWidth="1"/>
    <col min="15875" max="15875" width="24.85546875" style="86" customWidth="1"/>
    <col min="15876" max="16122" width="9.140625" style="86"/>
    <col min="16123" max="16123" width="11.7109375" style="86" customWidth="1"/>
    <col min="16124" max="16124" width="44.85546875" style="86" customWidth="1"/>
    <col min="16125" max="16125" width="42.85546875" style="86" customWidth="1"/>
    <col min="16126" max="16126" width="18.5703125" style="86" bestFit="1" customWidth="1"/>
    <col min="16127" max="16127" width="21.7109375" style="86" bestFit="1" customWidth="1"/>
    <col min="16128" max="16128" width="15.28515625" style="86" customWidth="1"/>
    <col min="16129" max="16129" width="14.28515625" style="86" bestFit="1" customWidth="1"/>
    <col min="16130" max="16130" width="17.28515625" style="86" customWidth="1"/>
    <col min="16131" max="16131" width="24.85546875" style="86" customWidth="1"/>
    <col min="16132" max="16384" width="9.140625" style="86"/>
  </cols>
  <sheetData>
    <row r="1" spans="1:19" ht="36" customHeight="1" x14ac:dyDescent="0.25">
      <c r="A1" s="601" t="str">
        <f>"Missio and Mill Hill Red Box Parish Results "&amp;P2&amp;" - Brentwood Diocese"</f>
        <v>Missio and Mill Hill Red Box Parish Results 2019 - Brentwood Diocese</v>
      </c>
      <c r="B1" s="601"/>
      <c r="C1" s="601"/>
      <c r="D1" s="602"/>
      <c r="E1" s="601"/>
      <c r="L1" s="757">
        <v>2020</v>
      </c>
      <c r="M1" s="757">
        <v>2020</v>
      </c>
      <c r="N1" s="757">
        <v>2020</v>
      </c>
      <c r="P1" s="601"/>
      <c r="Q1" s="601"/>
      <c r="R1" s="601"/>
      <c r="S1" s="602"/>
    </row>
    <row r="2" spans="1:19" ht="30" customHeight="1" x14ac:dyDescent="0.3">
      <c r="A2" s="622" t="s">
        <v>1</v>
      </c>
      <c r="B2" s="622" t="s">
        <v>7465</v>
      </c>
      <c r="C2" s="622" t="s">
        <v>3</v>
      </c>
      <c r="D2" s="622" t="s">
        <v>8214</v>
      </c>
      <c r="E2" s="622" t="s">
        <v>8165</v>
      </c>
      <c r="F2" s="622" t="s">
        <v>7809</v>
      </c>
      <c r="G2" s="622" t="s">
        <v>311</v>
      </c>
      <c r="H2" s="622" t="s">
        <v>312</v>
      </c>
      <c r="I2" s="622" t="s">
        <v>11366</v>
      </c>
      <c r="J2" s="622" t="s">
        <v>11021</v>
      </c>
      <c r="K2" s="622" t="s">
        <v>10989</v>
      </c>
      <c r="L2" s="622" t="s">
        <v>11367</v>
      </c>
      <c r="M2" s="622" t="s">
        <v>10990</v>
      </c>
      <c r="N2" s="622" t="s">
        <v>10991</v>
      </c>
      <c r="O2" s="622">
        <v>2020</v>
      </c>
      <c r="P2" s="622">
        <f>BIR!O2</f>
        <v>2019</v>
      </c>
      <c r="Q2" s="622">
        <v>2019</v>
      </c>
      <c r="R2" s="622">
        <v>2018</v>
      </c>
      <c r="S2" s="622">
        <v>2017</v>
      </c>
    </row>
    <row r="3" spans="1:19" ht="30" customHeight="1" x14ac:dyDescent="0.2">
      <c r="A3" s="68" t="str">
        <f>D3&amp;" / "&amp;E3</f>
        <v>BRE001 / 2063</v>
      </c>
      <c r="B3" s="109" t="s">
        <v>7467</v>
      </c>
      <c r="C3" s="109" t="s">
        <v>7468</v>
      </c>
      <c r="D3" s="429" t="s">
        <v>1777</v>
      </c>
      <c r="E3" s="369" t="str">
        <f>VLOOKUP(D:D,'Master Table'!C:D,2,FALSE)</f>
        <v>2063</v>
      </c>
      <c r="F3" s="766" t="s">
        <v>1777</v>
      </c>
      <c r="G3" s="766" t="s">
        <v>1778</v>
      </c>
      <c r="H3" s="769" t="s">
        <v>1779</v>
      </c>
      <c r="I3" s="822" t="s">
        <v>1780</v>
      </c>
      <c r="J3" s="766" t="s">
        <v>7469</v>
      </c>
      <c r="K3" s="766" t="s">
        <v>324</v>
      </c>
      <c r="L3" s="758">
        <v>0</v>
      </c>
      <c r="M3" s="758">
        <v>1001</v>
      </c>
      <c r="N3" s="758"/>
      <c r="O3" s="69">
        <f t="shared" ref="O3:O47" si="0">L3+M3+N3</f>
        <v>1001</v>
      </c>
      <c r="P3" s="69">
        <f>VLOOKUP(D:D,'Master Table'!C:O,13,FALSE)</f>
        <v>3379.92</v>
      </c>
      <c r="Q3" s="111">
        <v>3379.92</v>
      </c>
      <c r="R3" s="111">
        <v>2367.17</v>
      </c>
      <c r="S3" s="112">
        <v>1096.83</v>
      </c>
    </row>
    <row r="4" spans="1:19" ht="30" customHeight="1" x14ac:dyDescent="0.2">
      <c r="A4" s="68" t="str">
        <f t="shared" ref="A4:A66" si="1">D4&amp;" / "&amp;E4</f>
        <v>BRE002 / 2064</v>
      </c>
      <c r="B4" s="109" t="s">
        <v>7470</v>
      </c>
      <c r="C4" s="109" t="s">
        <v>1349</v>
      </c>
      <c r="D4" s="429" t="s">
        <v>1781</v>
      </c>
      <c r="E4" s="369" t="str">
        <f>VLOOKUP(D:D,'Master Table'!C:D,2,FALSE)</f>
        <v>2064</v>
      </c>
      <c r="F4" s="766" t="s">
        <v>1781</v>
      </c>
      <c r="G4" s="766" t="s">
        <v>1782</v>
      </c>
      <c r="H4" s="769" t="s">
        <v>94</v>
      </c>
      <c r="I4" s="822" t="s">
        <v>1783</v>
      </c>
      <c r="J4" s="766" t="s">
        <v>11368</v>
      </c>
      <c r="K4" s="766" t="s">
        <v>324</v>
      </c>
      <c r="L4" s="758">
        <v>78</v>
      </c>
      <c r="M4" s="758">
        <v>75</v>
      </c>
      <c r="N4" s="758"/>
      <c r="O4" s="69">
        <f t="shared" si="0"/>
        <v>153</v>
      </c>
      <c r="P4" s="69">
        <f>VLOOKUP(D:D,'Master Table'!C:O,13,FALSE)</f>
        <v>401</v>
      </c>
      <c r="Q4" s="111">
        <v>401</v>
      </c>
      <c r="R4" s="111">
        <v>265.28999999999996</v>
      </c>
      <c r="S4" s="112">
        <v>486</v>
      </c>
    </row>
    <row r="5" spans="1:19" ht="30" customHeight="1" x14ac:dyDescent="0.2">
      <c r="A5" s="68" t="str">
        <f t="shared" si="1"/>
        <v>BRE003 / 2065</v>
      </c>
      <c r="B5" s="109" t="s">
        <v>1787</v>
      </c>
      <c r="C5" s="109" t="s">
        <v>7471</v>
      </c>
      <c r="D5" s="429" t="s">
        <v>1784</v>
      </c>
      <c r="E5" s="369" t="str">
        <f>VLOOKUP(D:D,'Master Table'!C:D,2,FALSE)</f>
        <v>2065</v>
      </c>
      <c r="F5" s="766" t="s">
        <v>1784</v>
      </c>
      <c r="G5" s="766" t="s">
        <v>1785</v>
      </c>
      <c r="H5" s="769" t="s">
        <v>1786</v>
      </c>
      <c r="I5" s="822" t="s">
        <v>1787</v>
      </c>
      <c r="J5" s="766" t="s">
        <v>11369</v>
      </c>
      <c r="K5" s="766" t="s">
        <v>324</v>
      </c>
      <c r="L5" s="758">
        <v>784.17</v>
      </c>
      <c r="M5" s="758">
        <v>269</v>
      </c>
      <c r="N5" s="758">
        <v>20</v>
      </c>
      <c r="O5" s="69">
        <f t="shared" si="0"/>
        <v>1073.17</v>
      </c>
      <c r="P5" s="69">
        <f>VLOOKUP(D:D,'Master Table'!C:O,13,FALSE)</f>
        <v>1068.83</v>
      </c>
      <c r="Q5" s="111">
        <v>1068.83</v>
      </c>
      <c r="R5" s="111">
        <v>1152.7</v>
      </c>
      <c r="S5" s="112">
        <v>1437.9</v>
      </c>
    </row>
    <row r="6" spans="1:19" ht="30" customHeight="1" x14ac:dyDescent="0.2">
      <c r="A6" s="68" t="str">
        <f t="shared" si="1"/>
        <v>BRE004 / 2066</v>
      </c>
      <c r="B6" s="109" t="s">
        <v>1787</v>
      </c>
      <c r="C6" s="109" t="s">
        <v>453</v>
      </c>
      <c r="D6" s="429" t="s">
        <v>1788</v>
      </c>
      <c r="E6" s="369" t="str">
        <f>VLOOKUP(D:D,'Master Table'!C:D,2,FALSE)</f>
        <v>2066</v>
      </c>
      <c r="F6" s="766" t="s">
        <v>1788</v>
      </c>
      <c r="G6" s="823" t="s">
        <v>11370</v>
      </c>
      <c r="H6" s="769" t="s">
        <v>56</v>
      </c>
      <c r="I6" s="822" t="s">
        <v>1787</v>
      </c>
      <c r="J6" s="766" t="s">
        <v>11369</v>
      </c>
      <c r="K6" s="766" t="s">
        <v>351</v>
      </c>
      <c r="L6" s="758">
        <v>591.85</v>
      </c>
      <c r="M6" s="758">
        <v>50</v>
      </c>
      <c r="N6" s="758"/>
      <c r="O6" s="69">
        <f t="shared" si="0"/>
        <v>641.85</v>
      </c>
      <c r="P6" s="69">
        <f>VLOOKUP(D:D,'Master Table'!C:O,13,FALSE)</f>
        <v>1129.77</v>
      </c>
      <c r="Q6" s="111">
        <v>1129.77</v>
      </c>
      <c r="R6" s="111">
        <v>501.38</v>
      </c>
      <c r="S6" s="112">
        <v>664</v>
      </c>
    </row>
    <row r="7" spans="1:19" ht="30" customHeight="1" x14ac:dyDescent="0.2">
      <c r="A7" s="68" t="str">
        <f t="shared" si="1"/>
        <v>BRE005 / 2068</v>
      </c>
      <c r="B7" s="109" t="s">
        <v>7472</v>
      </c>
      <c r="C7" s="109" t="s">
        <v>1546</v>
      </c>
      <c r="D7" s="429" t="s">
        <v>1794</v>
      </c>
      <c r="E7" s="369" t="str">
        <f>VLOOKUP(D:D,'Master Table'!C:D,2,FALSE)</f>
        <v>2068</v>
      </c>
      <c r="F7" s="766" t="s">
        <v>1794</v>
      </c>
      <c r="G7" s="766" t="s">
        <v>1795</v>
      </c>
      <c r="H7" s="769" t="s">
        <v>1796</v>
      </c>
      <c r="I7" s="822" t="s">
        <v>7472</v>
      </c>
      <c r="J7" s="766" t="s">
        <v>11371</v>
      </c>
      <c r="K7" s="766" t="s">
        <v>324</v>
      </c>
      <c r="L7" s="758">
        <v>581</v>
      </c>
      <c r="M7" s="758">
        <v>1734</v>
      </c>
      <c r="N7" s="758"/>
      <c r="O7" s="69">
        <f t="shared" si="0"/>
        <v>2315</v>
      </c>
      <c r="P7" s="69">
        <f>VLOOKUP(D:D,'Master Table'!C:O,13,FALSE)</f>
        <v>4856</v>
      </c>
      <c r="Q7" s="111">
        <v>4856</v>
      </c>
      <c r="R7" s="111">
        <v>4768</v>
      </c>
      <c r="S7" s="112">
        <v>4342.7800000000007</v>
      </c>
    </row>
    <row r="8" spans="1:19" ht="30" customHeight="1" x14ac:dyDescent="0.2">
      <c r="A8" s="68" t="str">
        <f t="shared" si="1"/>
        <v>BRE006 / 2069</v>
      </c>
      <c r="B8" s="109" t="s">
        <v>1802</v>
      </c>
      <c r="C8" s="109" t="s">
        <v>7473</v>
      </c>
      <c r="D8" s="429" t="s">
        <v>1799</v>
      </c>
      <c r="E8" s="369" t="str">
        <f>VLOOKUP(D:D,'Master Table'!C:D,2,FALSE)</f>
        <v>2069</v>
      </c>
      <c r="F8" s="766" t="s">
        <v>1799</v>
      </c>
      <c r="G8" s="766" t="s">
        <v>1800</v>
      </c>
      <c r="H8" s="769" t="s">
        <v>1801</v>
      </c>
      <c r="I8" s="822" t="s">
        <v>1802</v>
      </c>
      <c r="J8" s="766" t="s">
        <v>11368</v>
      </c>
      <c r="K8" s="766" t="s">
        <v>351</v>
      </c>
      <c r="L8" s="758">
        <v>0</v>
      </c>
      <c r="M8" s="758">
        <v>240</v>
      </c>
      <c r="N8" s="758"/>
      <c r="O8" s="69">
        <f t="shared" si="0"/>
        <v>240</v>
      </c>
      <c r="P8" s="69">
        <f>VLOOKUP(D:D,'Master Table'!C:O,13,FALSE)</f>
        <v>1375</v>
      </c>
      <c r="Q8" s="111">
        <v>1375</v>
      </c>
      <c r="R8" s="111">
        <v>980</v>
      </c>
      <c r="S8" s="112">
        <v>565</v>
      </c>
    </row>
    <row r="9" spans="1:19" ht="30" customHeight="1" x14ac:dyDescent="0.2">
      <c r="A9" s="68" t="str">
        <f t="shared" si="1"/>
        <v>BRE007 / 2070</v>
      </c>
      <c r="B9" s="109" t="s">
        <v>1802</v>
      </c>
      <c r="C9" s="109" t="s">
        <v>2347</v>
      </c>
      <c r="D9" s="429" t="s">
        <v>1803</v>
      </c>
      <c r="E9" s="369" t="str">
        <f>VLOOKUP(D:D,'Master Table'!C:D,2,FALSE)</f>
        <v>2070</v>
      </c>
      <c r="F9" s="766" t="s">
        <v>1803</v>
      </c>
      <c r="G9" s="766" t="s">
        <v>1804</v>
      </c>
      <c r="H9" s="769" t="s">
        <v>1805</v>
      </c>
      <c r="I9" s="822" t="s">
        <v>1802</v>
      </c>
      <c r="J9" s="766" t="s">
        <v>11368</v>
      </c>
      <c r="K9" s="766" t="s">
        <v>351</v>
      </c>
      <c r="L9" s="758">
        <v>75.41</v>
      </c>
      <c r="M9" s="758">
        <v>133</v>
      </c>
      <c r="N9" s="758"/>
      <c r="O9" s="69">
        <f t="shared" si="0"/>
        <v>208.41</v>
      </c>
      <c r="P9" s="69">
        <f>VLOOKUP(D:D,'Master Table'!C:O,13,FALSE)</f>
        <v>745.72</v>
      </c>
      <c r="Q9" s="111">
        <v>745.72</v>
      </c>
      <c r="R9" s="111">
        <v>638.30999999999995</v>
      </c>
      <c r="S9" s="112">
        <v>750.02</v>
      </c>
    </row>
    <row r="10" spans="1:19" ht="30" customHeight="1" x14ac:dyDescent="0.2">
      <c r="A10" s="68" t="str">
        <f t="shared" si="1"/>
        <v>BRE008 / 2071</v>
      </c>
      <c r="B10" s="109" t="s">
        <v>7474</v>
      </c>
      <c r="C10" s="109" t="s">
        <v>7475</v>
      </c>
      <c r="D10" s="429" t="s">
        <v>1807</v>
      </c>
      <c r="E10" s="369" t="str">
        <f>VLOOKUP(D:D,'Master Table'!C:D,2,FALSE)</f>
        <v>2071</v>
      </c>
      <c r="F10" s="766" t="s">
        <v>1807</v>
      </c>
      <c r="G10" s="766" t="s">
        <v>1808</v>
      </c>
      <c r="H10" s="769" t="s">
        <v>1809</v>
      </c>
      <c r="I10" s="822" t="s">
        <v>7474</v>
      </c>
      <c r="J10" s="766" t="s">
        <v>11369</v>
      </c>
      <c r="K10" s="766" t="s">
        <v>324</v>
      </c>
      <c r="L10" s="758">
        <v>25</v>
      </c>
      <c r="M10" s="758">
        <v>30</v>
      </c>
      <c r="N10" s="758"/>
      <c r="O10" s="69">
        <f t="shared" si="0"/>
        <v>55</v>
      </c>
      <c r="P10" s="69">
        <f>VLOOKUP(D:D,'Master Table'!C:O,13,FALSE)</f>
        <v>339.78</v>
      </c>
      <c r="Q10" s="111">
        <v>339.78</v>
      </c>
      <c r="R10" s="111">
        <v>460.6</v>
      </c>
      <c r="S10" s="112">
        <v>389.58</v>
      </c>
    </row>
    <row r="11" spans="1:19" ht="30" customHeight="1" x14ac:dyDescent="0.2">
      <c r="A11" s="68" t="str">
        <f t="shared" si="1"/>
        <v>BRE009 / 2072</v>
      </c>
      <c r="B11" s="109" t="s">
        <v>1813</v>
      </c>
      <c r="C11" s="109" t="s">
        <v>1165</v>
      </c>
      <c r="D11" s="429" t="s">
        <v>1811</v>
      </c>
      <c r="E11" s="369" t="str">
        <f>VLOOKUP(D:D,'Master Table'!C:D,2,FALSE)</f>
        <v>2072</v>
      </c>
      <c r="F11" s="766" t="s">
        <v>1811</v>
      </c>
      <c r="G11" s="766" t="s">
        <v>1812</v>
      </c>
      <c r="H11" s="769" t="s">
        <v>238</v>
      </c>
      <c r="I11" s="822" t="s">
        <v>1813</v>
      </c>
      <c r="J11" s="766" t="s">
        <v>11372</v>
      </c>
      <c r="K11" s="766" t="s">
        <v>324</v>
      </c>
      <c r="L11" s="758">
        <v>0</v>
      </c>
      <c r="M11" s="758">
        <v>361</v>
      </c>
      <c r="N11" s="758">
        <v>78.89</v>
      </c>
      <c r="O11" s="69">
        <f t="shared" si="0"/>
        <v>439.89</v>
      </c>
      <c r="P11" s="69">
        <f>VLOOKUP(D:D,'Master Table'!C:O,13,FALSE)</f>
        <v>574.9</v>
      </c>
      <c r="Q11" s="111">
        <v>574.9</v>
      </c>
      <c r="R11" s="111">
        <v>514.83000000000004</v>
      </c>
      <c r="S11" s="112">
        <v>664</v>
      </c>
    </row>
    <row r="12" spans="1:19" ht="30" customHeight="1" x14ac:dyDescent="0.2">
      <c r="A12" s="68" t="str">
        <f t="shared" si="1"/>
        <v>BRE010 / 2073</v>
      </c>
      <c r="B12" s="109" t="s">
        <v>1820</v>
      </c>
      <c r="C12" s="109" t="s">
        <v>7476</v>
      </c>
      <c r="D12" s="429" t="s">
        <v>1817</v>
      </c>
      <c r="E12" s="369" t="str">
        <f>VLOOKUP(D:D,'Master Table'!C:D,2,FALSE)</f>
        <v>2073</v>
      </c>
      <c r="F12" s="766" t="s">
        <v>1817</v>
      </c>
      <c r="G12" s="766" t="s">
        <v>1818</v>
      </c>
      <c r="H12" s="769" t="s">
        <v>1819</v>
      </c>
      <c r="I12" s="822" t="s">
        <v>1820</v>
      </c>
      <c r="J12" s="766" t="s">
        <v>7469</v>
      </c>
      <c r="K12" s="766" t="s">
        <v>324</v>
      </c>
      <c r="L12" s="758">
        <v>302.75</v>
      </c>
      <c r="M12" s="758">
        <v>651</v>
      </c>
      <c r="N12" s="758">
        <v>1013</v>
      </c>
      <c r="O12" s="69">
        <f t="shared" si="0"/>
        <v>1966.75</v>
      </c>
      <c r="P12" s="69">
        <f>VLOOKUP(D:D,'Master Table'!C:O,13,FALSE)</f>
        <v>2850.2699999999995</v>
      </c>
      <c r="Q12" s="111">
        <v>2850.2699999999995</v>
      </c>
      <c r="R12" s="111">
        <v>2568.7199999999998</v>
      </c>
      <c r="S12" s="112">
        <v>2702</v>
      </c>
    </row>
    <row r="13" spans="1:19" ht="30" customHeight="1" x14ac:dyDescent="0.2">
      <c r="A13" s="68" t="str">
        <f t="shared" si="1"/>
        <v>BRE011 / 2074</v>
      </c>
      <c r="B13" s="109" t="s">
        <v>1824</v>
      </c>
      <c r="C13" s="109" t="s">
        <v>1823</v>
      </c>
      <c r="D13" s="429" t="s">
        <v>1821</v>
      </c>
      <c r="E13" s="369" t="str">
        <f>VLOOKUP(D:D,'Master Table'!C:D,2,FALSE)</f>
        <v>2074</v>
      </c>
      <c r="F13" s="766" t="s">
        <v>1821</v>
      </c>
      <c r="G13" s="766" t="s">
        <v>1822</v>
      </c>
      <c r="H13" s="769" t="s">
        <v>1823</v>
      </c>
      <c r="I13" s="822" t="s">
        <v>1824</v>
      </c>
      <c r="J13" s="766" t="s">
        <v>11373</v>
      </c>
      <c r="K13" s="766" t="s">
        <v>324</v>
      </c>
      <c r="L13" s="758">
        <v>296.41000000000003</v>
      </c>
      <c r="M13" s="758">
        <v>105</v>
      </c>
      <c r="N13" s="758">
        <v>54.08</v>
      </c>
      <c r="O13" s="69">
        <f t="shared" si="0"/>
        <v>455.49</v>
      </c>
      <c r="P13" s="69">
        <f>VLOOKUP(D:D,'Master Table'!C:O,13,FALSE)</f>
        <v>858.27</v>
      </c>
      <c r="Q13" s="111">
        <v>858.27</v>
      </c>
      <c r="R13" s="111">
        <v>774.37</v>
      </c>
      <c r="S13" s="112">
        <v>986.81</v>
      </c>
    </row>
    <row r="14" spans="1:19" ht="30" customHeight="1" x14ac:dyDescent="0.2">
      <c r="A14" s="68" t="str">
        <f t="shared" si="1"/>
        <v>BRE012 / 0</v>
      </c>
      <c r="B14" s="109" t="s">
        <v>7478</v>
      </c>
      <c r="C14" s="109" t="s">
        <v>7479</v>
      </c>
      <c r="D14" s="439" t="s">
        <v>7477</v>
      </c>
      <c r="E14" s="575">
        <f>VLOOKUP(D:D,'Master Table'!C:D,2,FALSE)</f>
        <v>0</v>
      </c>
      <c r="F14" s="766"/>
      <c r="G14" s="766"/>
      <c r="H14" s="769"/>
      <c r="I14" s="822"/>
      <c r="J14" s="766"/>
      <c r="K14" s="766"/>
      <c r="L14" s="758"/>
      <c r="M14" s="758"/>
      <c r="N14" s="758"/>
      <c r="O14" s="69"/>
      <c r="P14" s="69">
        <f>VLOOKUP(D:D,'Master Table'!C:O,13,FALSE)</f>
        <v>0</v>
      </c>
      <c r="Q14" s="111">
        <v>0</v>
      </c>
      <c r="R14" s="111">
        <v>319.18</v>
      </c>
      <c r="S14" s="112">
        <v>563.1</v>
      </c>
    </row>
    <row r="15" spans="1:19" ht="30" customHeight="1" x14ac:dyDescent="0.2">
      <c r="A15" s="68" t="str">
        <f t="shared" si="1"/>
        <v>BRE013 / 2077</v>
      </c>
      <c r="B15" s="109" t="s">
        <v>7480</v>
      </c>
      <c r="C15" s="109" t="s">
        <v>5390</v>
      </c>
      <c r="D15" s="429" t="s">
        <v>1825</v>
      </c>
      <c r="E15" s="369" t="str">
        <f>VLOOKUP(D:D,'Master Table'!C:D,2,FALSE)</f>
        <v>2077</v>
      </c>
      <c r="F15" s="766" t="s">
        <v>1825</v>
      </c>
      <c r="G15" s="766" t="s">
        <v>1826</v>
      </c>
      <c r="H15" s="769" t="s">
        <v>1827</v>
      </c>
      <c r="I15" s="822" t="s">
        <v>7480</v>
      </c>
      <c r="J15" s="766" t="s">
        <v>11374</v>
      </c>
      <c r="K15" s="766" t="s">
        <v>324</v>
      </c>
      <c r="L15" s="758">
        <v>0</v>
      </c>
      <c r="M15" s="758">
        <v>42</v>
      </c>
      <c r="N15" s="758"/>
      <c r="O15" s="69">
        <f t="shared" si="0"/>
        <v>42</v>
      </c>
      <c r="P15" s="69">
        <f>VLOOKUP(D:D,'Master Table'!C:O,13,FALSE)</f>
        <v>1371</v>
      </c>
      <c r="Q15" s="111">
        <v>1371</v>
      </c>
      <c r="R15" s="111">
        <v>1622</v>
      </c>
      <c r="S15" s="112">
        <v>1771.35</v>
      </c>
    </row>
    <row r="16" spans="1:19" ht="30" customHeight="1" x14ac:dyDescent="0.2">
      <c r="A16" s="68" t="str">
        <f t="shared" si="1"/>
        <v>BRE014 / 2078</v>
      </c>
      <c r="B16" s="109" t="s">
        <v>1836</v>
      </c>
      <c r="C16" s="109" t="s">
        <v>7481</v>
      </c>
      <c r="D16" s="429" t="s">
        <v>1829</v>
      </c>
      <c r="E16" s="369" t="str">
        <f>VLOOKUP(D:D,'Master Table'!C:D,2,FALSE)</f>
        <v>2078</v>
      </c>
      <c r="F16" s="766" t="s">
        <v>1829</v>
      </c>
      <c r="G16" s="766" t="s">
        <v>1830</v>
      </c>
      <c r="H16" s="769" t="s">
        <v>1831</v>
      </c>
      <c r="I16" s="822" t="s">
        <v>1836</v>
      </c>
      <c r="J16" s="766" t="s">
        <v>11375</v>
      </c>
      <c r="K16" s="766" t="s">
        <v>351</v>
      </c>
      <c r="L16" s="758">
        <v>0</v>
      </c>
      <c r="M16" s="758">
        <v>135</v>
      </c>
      <c r="N16" s="758">
        <v>278.5</v>
      </c>
      <c r="O16" s="69">
        <f t="shared" si="0"/>
        <v>413.5</v>
      </c>
      <c r="P16" s="69">
        <f>VLOOKUP(D:D,'Master Table'!C:O,13,FALSE)</f>
        <v>784.59999999999991</v>
      </c>
      <c r="Q16" s="111">
        <v>784.59999999999991</v>
      </c>
      <c r="R16" s="111">
        <v>632.53</v>
      </c>
      <c r="S16" s="112">
        <v>601</v>
      </c>
    </row>
    <row r="17" spans="1:19" ht="30" customHeight="1" x14ac:dyDescent="0.2">
      <c r="A17" s="68" t="str">
        <f t="shared" si="1"/>
        <v>BRE016 / 2079</v>
      </c>
      <c r="B17" s="109" t="s">
        <v>1840</v>
      </c>
      <c r="C17" s="109" t="s">
        <v>7482</v>
      </c>
      <c r="D17" s="429" t="s">
        <v>1837</v>
      </c>
      <c r="E17" s="369" t="str">
        <f>VLOOKUP(D:D,'Master Table'!C:D,2,FALSE)</f>
        <v>2079</v>
      </c>
      <c r="F17" s="766" t="s">
        <v>1837</v>
      </c>
      <c r="G17" s="766" t="s">
        <v>1838</v>
      </c>
      <c r="H17" s="769" t="s">
        <v>1839</v>
      </c>
      <c r="I17" s="822" t="s">
        <v>1840</v>
      </c>
      <c r="J17" s="766" t="s">
        <v>11372</v>
      </c>
      <c r="K17" s="766" t="s">
        <v>324</v>
      </c>
      <c r="L17" s="758">
        <v>0</v>
      </c>
      <c r="M17" s="758">
        <v>130</v>
      </c>
      <c r="N17" s="758">
        <v>522.5</v>
      </c>
      <c r="O17" s="69">
        <f t="shared" si="0"/>
        <v>652.5</v>
      </c>
      <c r="P17" s="69">
        <f>VLOOKUP(D:D,'Master Table'!C:O,13,FALSE)</f>
        <v>528.86</v>
      </c>
      <c r="Q17" s="111">
        <v>528.86</v>
      </c>
      <c r="R17" s="111">
        <v>93</v>
      </c>
      <c r="S17" s="112">
        <v>1619</v>
      </c>
    </row>
    <row r="18" spans="1:19" ht="30" customHeight="1" x14ac:dyDescent="0.2">
      <c r="A18" s="68" t="str">
        <f t="shared" si="1"/>
        <v>BRE017 / 2080</v>
      </c>
      <c r="B18" s="109" t="s">
        <v>7483</v>
      </c>
      <c r="C18" s="521" t="s">
        <v>3774</v>
      </c>
      <c r="D18" s="429" t="s">
        <v>1841</v>
      </c>
      <c r="E18" s="369" t="str">
        <f>VLOOKUP(D:D,'Master Table'!C:D,2,FALSE)</f>
        <v>2080</v>
      </c>
      <c r="F18" s="766" t="s">
        <v>1841</v>
      </c>
      <c r="G18" s="766" t="s">
        <v>1842</v>
      </c>
      <c r="H18" s="769" t="s">
        <v>1843</v>
      </c>
      <c r="I18" s="822" t="s">
        <v>7483</v>
      </c>
      <c r="J18" s="766" t="s">
        <v>11371</v>
      </c>
      <c r="K18" s="766" t="s">
        <v>324</v>
      </c>
      <c r="L18" s="758">
        <v>0</v>
      </c>
      <c r="M18" s="758">
        <v>240</v>
      </c>
      <c r="N18" s="758">
        <v>300</v>
      </c>
      <c r="O18" s="69">
        <f t="shared" si="0"/>
        <v>540</v>
      </c>
      <c r="P18" s="69">
        <f>VLOOKUP(D:D,'Master Table'!C:O,13,FALSE)</f>
        <v>790</v>
      </c>
      <c r="Q18" s="111">
        <v>790</v>
      </c>
      <c r="R18" s="111">
        <v>470</v>
      </c>
      <c r="S18" s="112">
        <v>783.63</v>
      </c>
    </row>
    <row r="19" spans="1:19" ht="30" customHeight="1" x14ac:dyDescent="0.2">
      <c r="A19" s="68" t="str">
        <f t="shared" si="1"/>
        <v>BRE019 / 2081</v>
      </c>
      <c r="B19" s="873" t="s">
        <v>1852</v>
      </c>
      <c r="C19" s="586" t="s">
        <v>8431</v>
      </c>
      <c r="D19" s="588" t="s">
        <v>1846</v>
      </c>
      <c r="E19" s="473">
        <f>VLOOKUP(D:D,'Master Table'!C:D,2,FALSE)</f>
        <v>2081</v>
      </c>
      <c r="F19" s="825" t="s">
        <v>1846</v>
      </c>
      <c r="G19" s="826"/>
      <c r="H19" s="827" t="s">
        <v>4774</v>
      </c>
      <c r="I19" s="827" t="s">
        <v>1852</v>
      </c>
      <c r="J19" s="825" t="s">
        <v>11376</v>
      </c>
      <c r="K19" s="826"/>
      <c r="L19" s="758">
        <v>601.48</v>
      </c>
      <c r="M19" s="758"/>
      <c r="N19" s="758"/>
      <c r="O19" s="69">
        <f t="shared" si="0"/>
        <v>601.48</v>
      </c>
      <c r="P19" s="69">
        <f>VLOOKUP(D:D,'Master Table'!C:O,13,FALSE)</f>
        <v>1088.8100000000002</v>
      </c>
      <c r="Q19" s="111">
        <v>1088.8100000000002</v>
      </c>
      <c r="R19" s="111">
        <v>1541.67</v>
      </c>
      <c r="S19" s="112">
        <v>1811.82</v>
      </c>
    </row>
    <row r="20" spans="1:19" s="354" customFormat="1" ht="30" customHeight="1" x14ac:dyDescent="0.2">
      <c r="A20" s="362" t="str">
        <f>D20&amp;" / "&amp;E20</f>
        <v>BRE021 / 2083</v>
      </c>
      <c r="B20" s="874"/>
      <c r="C20" s="587" t="s">
        <v>8432</v>
      </c>
      <c r="D20" s="588" t="s">
        <v>1854</v>
      </c>
      <c r="E20" s="473">
        <f>VLOOKUP(D:D,'Master Table'!C:D,2,FALSE)</f>
        <v>2083</v>
      </c>
      <c r="F20" s="766" t="s">
        <v>1854</v>
      </c>
      <c r="G20" s="766" t="s">
        <v>11377</v>
      </c>
      <c r="H20" s="769" t="s">
        <v>11378</v>
      </c>
      <c r="I20" s="822" t="s">
        <v>1852</v>
      </c>
      <c r="J20" s="766" t="s">
        <v>11374</v>
      </c>
      <c r="K20" s="766" t="s">
        <v>324</v>
      </c>
      <c r="L20" s="758">
        <v>65</v>
      </c>
      <c r="M20" s="758">
        <v>155</v>
      </c>
      <c r="N20" s="758"/>
      <c r="O20" s="69">
        <f>L20+M20+N20</f>
        <v>220</v>
      </c>
      <c r="P20" s="467">
        <f>VLOOKUP(D:D,'Master Table'!C:O,13,FALSE)</f>
        <v>697.27</v>
      </c>
      <c r="Q20" s="111">
        <v>697.27</v>
      </c>
      <c r="R20" s="578">
        <v>396.7</v>
      </c>
      <c r="S20" s="579">
        <v>482.59</v>
      </c>
    </row>
    <row r="21" spans="1:19" ht="30" customHeight="1" x14ac:dyDescent="0.2">
      <c r="A21" s="68" t="str">
        <f t="shared" si="1"/>
        <v>BRE020 / 2082</v>
      </c>
      <c r="B21" s="109" t="s">
        <v>1852</v>
      </c>
      <c r="C21" s="522" t="s">
        <v>6378</v>
      </c>
      <c r="D21" s="429" t="s">
        <v>1849</v>
      </c>
      <c r="E21" s="369" t="str">
        <f>VLOOKUP(D:D,'Master Table'!C:D,2,FALSE)</f>
        <v>2082</v>
      </c>
      <c r="F21" s="766" t="s">
        <v>1849</v>
      </c>
      <c r="G21" s="766" t="s">
        <v>1850</v>
      </c>
      <c r="H21" s="769" t="s">
        <v>1851</v>
      </c>
      <c r="I21" s="822" t="s">
        <v>1852</v>
      </c>
      <c r="J21" s="766" t="s">
        <v>11374</v>
      </c>
      <c r="K21" s="766" t="s">
        <v>324</v>
      </c>
      <c r="L21" s="758">
        <v>575</v>
      </c>
      <c r="M21" s="758">
        <v>410</v>
      </c>
      <c r="N21" s="758"/>
      <c r="O21" s="69">
        <f t="shared" si="0"/>
        <v>985</v>
      </c>
      <c r="P21" s="69">
        <f>VLOOKUP(D:D,'Master Table'!C:O,13,FALSE)</f>
        <v>1477.1399999999999</v>
      </c>
      <c r="Q21" s="111">
        <v>1477.1399999999999</v>
      </c>
      <c r="R21" s="111">
        <v>1329</v>
      </c>
      <c r="S21" s="112">
        <v>1656</v>
      </c>
    </row>
    <row r="22" spans="1:19" ht="30" customHeight="1" x14ac:dyDescent="0.2">
      <c r="A22" s="68" t="str">
        <f t="shared" si="1"/>
        <v>BRE022 / 2084</v>
      </c>
      <c r="B22" s="109" t="s">
        <v>7484</v>
      </c>
      <c r="C22" s="109" t="s">
        <v>7485</v>
      </c>
      <c r="D22" s="576" t="s">
        <v>1858</v>
      </c>
      <c r="E22" s="369" t="str">
        <f>VLOOKUP(D:D,'Master Table'!C:D,2,FALSE)</f>
        <v>2084</v>
      </c>
      <c r="F22" s="766" t="s">
        <v>1858</v>
      </c>
      <c r="G22" s="766" t="s">
        <v>1859</v>
      </c>
      <c r="H22" s="769" t="s">
        <v>1860</v>
      </c>
      <c r="I22" s="822" t="s">
        <v>7484</v>
      </c>
      <c r="J22" s="766" t="s">
        <v>11379</v>
      </c>
      <c r="K22" s="766" t="s">
        <v>324</v>
      </c>
      <c r="L22" s="758">
        <v>0</v>
      </c>
      <c r="M22" s="758">
        <v>390</v>
      </c>
      <c r="N22" s="758"/>
      <c r="O22" s="69">
        <f t="shared" si="0"/>
        <v>390</v>
      </c>
      <c r="P22" s="69">
        <f>VLOOKUP(D:D,'Master Table'!C:O,13,FALSE)</f>
        <v>1382</v>
      </c>
      <c r="Q22" s="111">
        <v>1382</v>
      </c>
      <c r="R22" s="111">
        <v>1300.3800000000001</v>
      </c>
      <c r="S22" s="112">
        <v>1156.3600000000001</v>
      </c>
    </row>
    <row r="23" spans="1:19" s="354" customFormat="1" ht="30" customHeight="1" x14ac:dyDescent="0.2">
      <c r="A23" s="362" t="str">
        <f t="shared" si="1"/>
        <v>BRE023 / 2086</v>
      </c>
      <c r="B23" s="577" t="s">
        <v>1864</v>
      </c>
      <c r="C23" s="577" t="s">
        <v>7486</v>
      </c>
      <c r="D23" s="576" t="s">
        <v>1861</v>
      </c>
      <c r="E23" s="473" t="str">
        <f>VLOOKUP(D:D,'Master Table'!C:D,2,FALSE)</f>
        <v>2086</v>
      </c>
      <c r="F23" s="766" t="s">
        <v>1861</v>
      </c>
      <c r="G23" s="766" t="s">
        <v>1862</v>
      </c>
      <c r="H23" s="769" t="s">
        <v>1863</v>
      </c>
      <c r="I23" s="822" t="s">
        <v>1864</v>
      </c>
      <c r="J23" s="766" t="s">
        <v>11380</v>
      </c>
      <c r="K23" s="766" t="s">
        <v>324</v>
      </c>
      <c r="L23" s="758">
        <v>1562.66</v>
      </c>
      <c r="M23" s="758">
        <v>65</v>
      </c>
      <c r="N23" s="758"/>
      <c r="O23" s="69">
        <f t="shared" si="0"/>
        <v>1627.66</v>
      </c>
      <c r="P23" s="467">
        <f>VLOOKUP(D:D,'Master Table'!C:O,13,FALSE)</f>
        <v>1872.83</v>
      </c>
      <c r="Q23" s="111">
        <v>1872.83</v>
      </c>
      <c r="R23" s="578">
        <v>2338.54</v>
      </c>
      <c r="S23" s="579">
        <v>1932.05</v>
      </c>
    </row>
    <row r="24" spans="1:19" ht="30" customHeight="1" x14ac:dyDescent="0.2">
      <c r="A24" s="68" t="str">
        <f t="shared" si="1"/>
        <v>BRE024 / 2087</v>
      </c>
      <c r="B24" s="109" t="s">
        <v>7488</v>
      </c>
      <c r="C24" s="109" t="s">
        <v>7489</v>
      </c>
      <c r="D24" s="429" t="s">
        <v>1873</v>
      </c>
      <c r="E24" s="369" t="str">
        <f>VLOOKUP(D:D,'Master Table'!C:D,2,FALSE)</f>
        <v>2087</v>
      </c>
      <c r="F24" s="766" t="s">
        <v>1873</v>
      </c>
      <c r="G24" s="766" t="s">
        <v>1874</v>
      </c>
      <c r="H24" s="769" t="s">
        <v>1180</v>
      </c>
      <c r="I24" s="822" t="s">
        <v>7488</v>
      </c>
      <c r="J24" s="766" t="s">
        <v>11371</v>
      </c>
      <c r="K24" s="766" t="s">
        <v>324</v>
      </c>
      <c r="L24" s="758">
        <v>0</v>
      </c>
      <c r="M24" s="758">
        <v>495</v>
      </c>
      <c r="N24" s="758"/>
      <c r="O24" s="69">
        <f t="shared" si="0"/>
        <v>495</v>
      </c>
      <c r="P24" s="69">
        <f>VLOOKUP(D:D,'Master Table'!C:O,13,FALSE)</f>
        <v>538.46</v>
      </c>
      <c r="Q24" s="111">
        <v>538.46</v>
      </c>
      <c r="R24" s="111">
        <v>75</v>
      </c>
      <c r="S24" s="112">
        <v>25</v>
      </c>
    </row>
    <row r="25" spans="1:19" ht="30" customHeight="1" x14ac:dyDescent="0.2">
      <c r="A25" s="68" t="str">
        <f t="shared" si="1"/>
        <v>BRE025 / 2088</v>
      </c>
      <c r="B25" s="109" t="s">
        <v>1879</v>
      </c>
      <c r="C25" s="109" t="s">
        <v>7490</v>
      </c>
      <c r="D25" s="429" t="s">
        <v>1876</v>
      </c>
      <c r="E25" s="369" t="str">
        <f>VLOOKUP(D:D,'Master Table'!C:D,2,FALSE)</f>
        <v>2088</v>
      </c>
      <c r="F25" s="766" t="s">
        <v>1876</v>
      </c>
      <c r="G25" s="766" t="s">
        <v>1877</v>
      </c>
      <c r="H25" s="769" t="s">
        <v>1878</v>
      </c>
      <c r="I25" s="822" t="s">
        <v>1879</v>
      </c>
      <c r="J25" s="766" t="s">
        <v>11380</v>
      </c>
      <c r="K25" s="766" t="s">
        <v>351</v>
      </c>
      <c r="L25" s="758">
        <v>598.1</v>
      </c>
      <c r="M25" s="758">
        <v>545</v>
      </c>
      <c r="N25" s="758"/>
      <c r="O25" s="69">
        <f t="shared" si="0"/>
        <v>1143.0999999999999</v>
      </c>
      <c r="P25" s="69">
        <f>VLOOKUP(D:D,'Master Table'!C:O,13,FALSE)</f>
        <v>2068.42</v>
      </c>
      <c r="Q25" s="111">
        <v>2068.42</v>
      </c>
      <c r="R25" s="111">
        <v>2357.15</v>
      </c>
      <c r="S25" s="112">
        <v>2074.5299999999997</v>
      </c>
    </row>
    <row r="26" spans="1:19" ht="30" customHeight="1" x14ac:dyDescent="0.2">
      <c r="A26" s="68" t="str">
        <f t="shared" si="1"/>
        <v>BRE026 / 2089</v>
      </c>
      <c r="B26" s="109" t="s">
        <v>7491</v>
      </c>
      <c r="C26" s="109" t="s">
        <v>7216</v>
      </c>
      <c r="D26" s="429" t="s">
        <v>1889</v>
      </c>
      <c r="E26" s="369" t="str">
        <f>VLOOKUP(D:D,'Master Table'!C:D,2,FALSE)</f>
        <v>2089</v>
      </c>
      <c r="F26" s="766" t="s">
        <v>1889</v>
      </c>
      <c r="G26" s="766" t="s">
        <v>1890</v>
      </c>
      <c r="H26" s="769" t="s">
        <v>11</v>
      </c>
      <c r="I26" s="822" t="s">
        <v>7491</v>
      </c>
      <c r="J26" s="766" t="s">
        <v>11381</v>
      </c>
      <c r="K26" s="766" t="s">
        <v>324</v>
      </c>
      <c r="L26" s="758">
        <v>1026.69</v>
      </c>
      <c r="M26" s="758">
        <v>60</v>
      </c>
      <c r="N26" s="758"/>
      <c r="O26" s="69">
        <f t="shared" si="0"/>
        <v>1086.69</v>
      </c>
      <c r="P26" s="69">
        <f>VLOOKUP(D:D,'Master Table'!C:O,13,FALSE)</f>
        <v>1150.93</v>
      </c>
      <c r="Q26" s="111">
        <v>1150.93</v>
      </c>
      <c r="R26" s="111">
        <v>1307.6400000000001</v>
      </c>
      <c r="S26" s="112">
        <v>1344</v>
      </c>
    </row>
    <row r="27" spans="1:19" ht="30" customHeight="1" x14ac:dyDescent="0.2">
      <c r="A27" s="68" t="str">
        <f t="shared" si="1"/>
        <v>BRE027 / 2090</v>
      </c>
      <c r="B27" s="109" t="s">
        <v>7492</v>
      </c>
      <c r="C27" s="109" t="s">
        <v>839</v>
      </c>
      <c r="D27" s="429" t="s">
        <v>1892</v>
      </c>
      <c r="E27" s="369" t="str">
        <f>VLOOKUP(D:D,'Master Table'!C:D,2,FALSE)</f>
        <v>2090</v>
      </c>
      <c r="F27" s="766" t="s">
        <v>1892</v>
      </c>
      <c r="G27" s="766" t="s">
        <v>1893</v>
      </c>
      <c r="H27" s="769" t="s">
        <v>1894</v>
      </c>
      <c r="I27" s="822" t="s">
        <v>11382</v>
      </c>
      <c r="J27" s="766" t="s">
        <v>11375</v>
      </c>
      <c r="K27" s="766" t="s">
        <v>324</v>
      </c>
      <c r="L27" s="758">
        <v>118.95</v>
      </c>
      <c r="M27" s="758">
        <v>90</v>
      </c>
      <c r="N27" s="758"/>
      <c r="O27" s="69">
        <f t="shared" si="0"/>
        <v>208.95</v>
      </c>
      <c r="P27" s="69">
        <f>VLOOKUP(D:D,'Master Table'!C:O,13,FALSE)</f>
        <v>638.95000000000005</v>
      </c>
      <c r="Q27" s="111">
        <v>638.95000000000005</v>
      </c>
      <c r="R27" s="111">
        <v>325.62</v>
      </c>
      <c r="S27" s="112">
        <v>327.25</v>
      </c>
    </row>
    <row r="28" spans="1:19" ht="30" customHeight="1" x14ac:dyDescent="0.2">
      <c r="A28" s="68" t="str">
        <f t="shared" si="1"/>
        <v>BRE028 / 2091</v>
      </c>
      <c r="B28" s="109" t="s">
        <v>1810</v>
      </c>
      <c r="C28" s="109" t="s">
        <v>1065</v>
      </c>
      <c r="D28" s="429" t="s">
        <v>1898</v>
      </c>
      <c r="E28" s="369" t="str">
        <f>VLOOKUP(D:D,'Master Table'!C:D,2,FALSE)</f>
        <v>2091</v>
      </c>
      <c r="F28" s="766" t="s">
        <v>1898</v>
      </c>
      <c r="G28" s="766" t="s">
        <v>1899</v>
      </c>
      <c r="H28" s="769" t="s">
        <v>276</v>
      </c>
      <c r="I28" s="822" t="s">
        <v>1810</v>
      </c>
      <c r="J28" s="766" t="s">
        <v>11369</v>
      </c>
      <c r="K28" s="766" t="s">
        <v>324</v>
      </c>
      <c r="L28" s="758">
        <v>0</v>
      </c>
      <c r="M28" s="758">
        <v>55</v>
      </c>
      <c r="N28" s="758">
        <v>325.17</v>
      </c>
      <c r="O28" s="69">
        <f t="shared" si="0"/>
        <v>380.17</v>
      </c>
      <c r="P28" s="69">
        <f>VLOOKUP(D:D,'Master Table'!C:O,13,FALSE)</f>
        <v>710.01</v>
      </c>
      <c r="Q28" s="111">
        <v>710.01</v>
      </c>
      <c r="R28" s="111">
        <v>35</v>
      </c>
      <c r="S28" s="112">
        <v>299</v>
      </c>
    </row>
    <row r="29" spans="1:19" ht="30" customHeight="1" x14ac:dyDescent="0.2">
      <c r="A29" s="68" t="str">
        <f t="shared" si="1"/>
        <v>BRE029 / 2092</v>
      </c>
      <c r="B29" s="109" t="s">
        <v>1810</v>
      </c>
      <c r="C29" s="521" t="s">
        <v>1165</v>
      </c>
      <c r="D29" s="429" t="s">
        <v>1900</v>
      </c>
      <c r="E29" s="369" t="str">
        <f>VLOOKUP(D:D,'Master Table'!C:D,2,FALSE)</f>
        <v>2092</v>
      </c>
      <c r="F29" s="766" t="s">
        <v>1900</v>
      </c>
      <c r="G29" s="766" t="s">
        <v>1901</v>
      </c>
      <c r="H29" s="769" t="s">
        <v>238</v>
      </c>
      <c r="I29" s="822" t="s">
        <v>1810</v>
      </c>
      <c r="J29" s="766" t="s">
        <v>11369</v>
      </c>
      <c r="K29" s="766" t="s">
        <v>324</v>
      </c>
      <c r="L29" s="758">
        <v>621</v>
      </c>
      <c r="M29" s="758">
        <v>350</v>
      </c>
      <c r="N29" s="758"/>
      <c r="O29" s="69">
        <f t="shared" si="0"/>
        <v>971</v>
      </c>
      <c r="P29" s="69">
        <f>VLOOKUP(D:D,'Master Table'!C:O,13,FALSE)</f>
        <v>1306.1500000000001</v>
      </c>
      <c r="Q29" s="111">
        <v>1306.1500000000001</v>
      </c>
      <c r="R29" s="111">
        <v>1615</v>
      </c>
      <c r="S29" s="112">
        <v>1795</v>
      </c>
    </row>
    <row r="30" spans="1:19" ht="51.75" customHeight="1" x14ac:dyDescent="0.2">
      <c r="A30" s="68" t="str">
        <f t="shared" ref="A30" si="2">D30&amp;" / "&amp;E30</f>
        <v>BRE030 / 2093</v>
      </c>
      <c r="B30" s="871" t="s">
        <v>7493</v>
      </c>
      <c r="C30" s="586" t="s">
        <v>8408</v>
      </c>
      <c r="D30" s="588" t="s">
        <v>1902</v>
      </c>
      <c r="E30" s="369" t="str">
        <f>VLOOKUP(D:D,'Master Table'!C:D,2,FALSE)</f>
        <v>2093</v>
      </c>
      <c r="F30" s="766" t="s">
        <v>1902</v>
      </c>
      <c r="G30" s="766" t="s">
        <v>1903</v>
      </c>
      <c r="H30" s="769" t="s">
        <v>1904</v>
      </c>
      <c r="I30" s="822" t="s">
        <v>11383</v>
      </c>
      <c r="J30" s="766" t="s">
        <v>11374</v>
      </c>
      <c r="K30" s="766" t="s">
        <v>351</v>
      </c>
      <c r="L30" s="758">
        <v>0</v>
      </c>
      <c r="M30" s="758">
        <v>145</v>
      </c>
      <c r="N30" s="758"/>
      <c r="O30" s="69">
        <f t="shared" si="0"/>
        <v>145</v>
      </c>
      <c r="P30" s="69">
        <f>VLOOKUP(D:D,'Master Table'!C:O,13,FALSE)</f>
        <v>340.17</v>
      </c>
      <c r="Q30" s="111">
        <v>340.17</v>
      </c>
      <c r="R30" s="856">
        <v>180</v>
      </c>
      <c r="S30" s="112">
        <v>370</v>
      </c>
    </row>
    <row r="31" spans="1:19" ht="30" customHeight="1" x14ac:dyDescent="0.2">
      <c r="A31" s="68" t="str">
        <f t="shared" ref="A31" si="3">D31&amp;" / "&amp;E31</f>
        <v>BRE030S / 0444031</v>
      </c>
      <c r="B31" s="872"/>
      <c r="C31" s="600" t="s">
        <v>8409</v>
      </c>
      <c r="D31" s="520" t="s">
        <v>1906</v>
      </c>
      <c r="E31" s="369" t="str">
        <f>VLOOKUP(D:D,'Master Table'!C:D,2,FALSE)</f>
        <v>0444031</v>
      </c>
      <c r="F31" s="766" t="s">
        <v>1906</v>
      </c>
      <c r="G31" s="766" t="s">
        <v>1907</v>
      </c>
      <c r="H31" s="769" t="s">
        <v>1908</v>
      </c>
      <c r="I31" s="822" t="s">
        <v>11384</v>
      </c>
      <c r="J31" s="766" t="s">
        <v>11376</v>
      </c>
      <c r="K31" s="766" t="s">
        <v>351</v>
      </c>
      <c r="L31" s="758">
        <v>0</v>
      </c>
      <c r="M31" s="758"/>
      <c r="N31" s="758"/>
      <c r="O31" s="69">
        <f t="shared" si="0"/>
        <v>0</v>
      </c>
      <c r="P31" s="69">
        <f>VLOOKUP(D:D,'Master Table'!C:O,13,FALSE)</f>
        <v>0</v>
      </c>
      <c r="Q31" s="111"/>
      <c r="R31" s="857"/>
      <c r="S31" s="112"/>
    </row>
    <row r="32" spans="1:19" ht="30" customHeight="1" x14ac:dyDescent="0.2">
      <c r="A32" s="68" t="str">
        <f t="shared" si="1"/>
        <v>BRE032 / 2095</v>
      </c>
      <c r="B32" s="109" t="s">
        <v>1921</v>
      </c>
      <c r="C32" s="109" t="s">
        <v>7496</v>
      </c>
      <c r="D32" s="429" t="s">
        <v>1913</v>
      </c>
      <c r="E32" s="369" t="str">
        <f>VLOOKUP(D:D,'Master Table'!C:D,2,FALSE)</f>
        <v>2095</v>
      </c>
      <c r="F32" s="766" t="s">
        <v>1913</v>
      </c>
      <c r="G32" s="766" t="s">
        <v>1914</v>
      </c>
      <c r="H32" s="769" t="s">
        <v>1915</v>
      </c>
      <c r="I32" s="822" t="s">
        <v>1921</v>
      </c>
      <c r="J32" s="766" t="s">
        <v>11373</v>
      </c>
      <c r="K32" s="766" t="s">
        <v>324</v>
      </c>
      <c r="L32" s="758">
        <v>170.08</v>
      </c>
      <c r="M32" s="758">
        <v>81</v>
      </c>
      <c r="N32" s="758">
        <v>100</v>
      </c>
      <c r="O32" s="69">
        <f t="shared" si="0"/>
        <v>351.08000000000004</v>
      </c>
      <c r="P32" s="69">
        <f>VLOOKUP(D:D,'Master Table'!C:O,13,FALSE)</f>
        <v>617.58000000000004</v>
      </c>
      <c r="Q32" s="111">
        <v>617.58000000000004</v>
      </c>
      <c r="R32" s="111">
        <v>830.04</v>
      </c>
      <c r="S32" s="112">
        <v>895.66</v>
      </c>
    </row>
    <row r="33" spans="1:19" ht="30" customHeight="1" x14ac:dyDescent="0.2">
      <c r="A33" s="68" t="str">
        <f t="shared" si="1"/>
        <v>BRE033 / 2097</v>
      </c>
      <c r="B33" s="109" t="s">
        <v>7497</v>
      </c>
      <c r="C33" s="109" t="s">
        <v>7356</v>
      </c>
      <c r="D33" s="429" t="s">
        <v>1922</v>
      </c>
      <c r="E33" s="369" t="str">
        <f>VLOOKUP(D:D,'Master Table'!C:D,2,FALSE)</f>
        <v>2097</v>
      </c>
      <c r="F33" s="766" t="s">
        <v>1922</v>
      </c>
      <c r="G33" s="766" t="s">
        <v>1923</v>
      </c>
      <c r="H33" s="769" t="s">
        <v>252</v>
      </c>
      <c r="I33" s="822" t="s">
        <v>7497</v>
      </c>
      <c r="J33" s="766" t="s">
        <v>11375</v>
      </c>
      <c r="K33" s="766" t="s">
        <v>324</v>
      </c>
      <c r="L33" s="758">
        <v>741.48</v>
      </c>
      <c r="M33" s="758">
        <v>328.6</v>
      </c>
      <c r="N33" s="758"/>
      <c r="O33" s="69">
        <f t="shared" si="0"/>
        <v>1070.08</v>
      </c>
      <c r="P33" s="69">
        <f>VLOOKUP(D:D,'Master Table'!C:O,13,FALSE)</f>
        <v>815.94</v>
      </c>
      <c r="Q33" s="111">
        <v>815.94</v>
      </c>
      <c r="R33" s="111">
        <v>475.97</v>
      </c>
      <c r="S33" s="112">
        <v>399</v>
      </c>
    </row>
    <row r="34" spans="1:19" ht="30" customHeight="1" x14ac:dyDescent="0.2">
      <c r="A34" s="68" t="str">
        <f t="shared" si="1"/>
        <v>BRE034 / 2099</v>
      </c>
      <c r="B34" s="109" t="s">
        <v>4018</v>
      </c>
      <c r="C34" s="109" t="s">
        <v>7498</v>
      </c>
      <c r="D34" s="429" t="s">
        <v>1927</v>
      </c>
      <c r="E34" s="369" t="str">
        <f>VLOOKUP(D:D,'Master Table'!C:D,2,FALSE)</f>
        <v>2099</v>
      </c>
      <c r="F34" s="766" t="s">
        <v>1927</v>
      </c>
      <c r="G34" s="766" t="s">
        <v>1928</v>
      </c>
      <c r="H34" s="769" t="s">
        <v>599</v>
      </c>
      <c r="I34" s="822" t="s">
        <v>4018</v>
      </c>
      <c r="J34" s="766" t="s">
        <v>11372</v>
      </c>
      <c r="K34" s="766" t="s">
        <v>324</v>
      </c>
      <c r="L34" s="758">
        <v>0</v>
      </c>
      <c r="M34" s="758">
        <v>581.29999999999995</v>
      </c>
      <c r="N34" s="758"/>
      <c r="O34" s="69">
        <f t="shared" si="0"/>
        <v>581.29999999999995</v>
      </c>
      <c r="P34" s="69">
        <f>VLOOKUP(D:D,'Master Table'!C:O,13,FALSE)</f>
        <v>1987.71</v>
      </c>
      <c r="Q34" s="111">
        <v>1987.71</v>
      </c>
      <c r="R34" s="111">
        <v>2301.9899999999998</v>
      </c>
      <c r="S34" s="112">
        <v>1918.7</v>
      </c>
    </row>
    <row r="35" spans="1:19" ht="30" customHeight="1" x14ac:dyDescent="0.2">
      <c r="A35" s="68" t="str">
        <f t="shared" si="1"/>
        <v>BRE035 / 2100</v>
      </c>
      <c r="B35" s="109" t="s">
        <v>7499</v>
      </c>
      <c r="C35" s="109" t="s">
        <v>7500</v>
      </c>
      <c r="D35" s="429" t="s">
        <v>1930</v>
      </c>
      <c r="E35" s="369" t="str">
        <f>VLOOKUP(D:D,'Master Table'!C:D,2,FALSE)</f>
        <v>2100</v>
      </c>
      <c r="F35" s="766" t="s">
        <v>1930</v>
      </c>
      <c r="G35" s="766" t="s">
        <v>1931</v>
      </c>
      <c r="H35" s="769" t="s">
        <v>1932</v>
      </c>
      <c r="I35" s="822" t="s">
        <v>7499</v>
      </c>
      <c r="J35" s="766" t="s">
        <v>11381</v>
      </c>
      <c r="K35" s="766" t="s">
        <v>324</v>
      </c>
      <c r="L35" s="758">
        <v>0</v>
      </c>
      <c r="M35" s="758">
        <v>340</v>
      </c>
      <c r="N35" s="758"/>
      <c r="O35" s="69">
        <f t="shared" si="0"/>
        <v>340</v>
      </c>
      <c r="P35" s="69">
        <f>VLOOKUP(D:D,'Master Table'!C:O,13,FALSE)</f>
        <v>760</v>
      </c>
      <c r="Q35" s="111">
        <v>760</v>
      </c>
      <c r="R35" s="111">
        <v>530</v>
      </c>
      <c r="S35" s="112">
        <v>576</v>
      </c>
    </row>
    <row r="36" spans="1:19" ht="30" customHeight="1" x14ac:dyDescent="0.2">
      <c r="A36" s="68" t="str">
        <f t="shared" si="1"/>
        <v>BRE036 / 2101</v>
      </c>
      <c r="B36" s="109" t="s">
        <v>7501</v>
      </c>
      <c r="C36" s="109" t="s">
        <v>4227</v>
      </c>
      <c r="D36" s="429" t="s">
        <v>1934</v>
      </c>
      <c r="E36" s="369" t="str">
        <f>VLOOKUP(D:D,'Master Table'!C:D,2,FALSE)</f>
        <v>2101</v>
      </c>
      <c r="F36" s="766" t="s">
        <v>1934</v>
      </c>
      <c r="G36" s="766" t="s">
        <v>1935</v>
      </c>
      <c r="H36" s="769" t="s">
        <v>249</v>
      </c>
      <c r="I36" s="822" t="s">
        <v>7501</v>
      </c>
      <c r="J36" s="766" t="s">
        <v>11385</v>
      </c>
      <c r="K36" s="766" t="s">
        <v>324</v>
      </c>
      <c r="L36" s="758">
        <v>0</v>
      </c>
      <c r="M36" s="758">
        <v>90</v>
      </c>
      <c r="N36" s="758"/>
      <c r="O36" s="69">
        <f t="shared" si="0"/>
        <v>90</v>
      </c>
      <c r="P36" s="69">
        <f>VLOOKUP(D:D,'Master Table'!C:O,13,FALSE)</f>
        <v>1051.0999999999999</v>
      </c>
      <c r="Q36" s="111">
        <v>1051.0999999999999</v>
      </c>
      <c r="R36" s="111">
        <v>1242.21</v>
      </c>
      <c r="S36" s="112">
        <v>1100.99</v>
      </c>
    </row>
    <row r="37" spans="1:19" ht="30" customHeight="1" x14ac:dyDescent="0.2">
      <c r="A37" s="68" t="str">
        <f t="shared" si="1"/>
        <v>BRE037 / 2102</v>
      </c>
      <c r="B37" s="109" t="s">
        <v>1942</v>
      </c>
      <c r="C37" s="109" t="s">
        <v>1409</v>
      </c>
      <c r="D37" s="429" t="s">
        <v>1937</v>
      </c>
      <c r="E37" s="369" t="str">
        <f>VLOOKUP(D:D,'Master Table'!C:D,2,FALSE)</f>
        <v>2102</v>
      </c>
      <c r="F37" s="766" t="s">
        <v>1937</v>
      </c>
      <c r="G37" s="766" t="s">
        <v>1938</v>
      </c>
      <c r="H37" s="769" t="s">
        <v>709</v>
      </c>
      <c r="I37" s="822" t="s">
        <v>1942</v>
      </c>
      <c r="J37" s="766" t="s">
        <v>11375</v>
      </c>
      <c r="K37" s="766" t="s">
        <v>324</v>
      </c>
      <c r="L37" s="758">
        <v>535</v>
      </c>
      <c r="M37" s="758">
        <v>55</v>
      </c>
      <c r="N37" s="758"/>
      <c r="O37" s="69">
        <f t="shared" si="0"/>
        <v>590</v>
      </c>
      <c r="P37" s="69">
        <f>VLOOKUP(D:D,'Master Table'!C:O,13,FALSE)</f>
        <v>198.45999999999998</v>
      </c>
      <c r="Q37" s="111">
        <v>198.45999999999998</v>
      </c>
      <c r="R37" s="111">
        <v>2968.42</v>
      </c>
      <c r="S37" s="112">
        <v>1000</v>
      </c>
    </row>
    <row r="38" spans="1:19" ht="30" customHeight="1" x14ac:dyDescent="0.2">
      <c r="A38" s="68" t="str">
        <f t="shared" si="1"/>
        <v>BRE038 / 2103</v>
      </c>
      <c r="B38" s="109" t="s">
        <v>1946</v>
      </c>
      <c r="C38" s="109" t="s">
        <v>7502</v>
      </c>
      <c r="D38" s="429" t="s">
        <v>1943</v>
      </c>
      <c r="E38" s="369" t="str">
        <f>VLOOKUP(D:D,'Master Table'!C:D,2,FALSE)</f>
        <v>2103</v>
      </c>
      <c r="F38" s="766" t="s">
        <v>1943</v>
      </c>
      <c r="G38" s="766" t="s">
        <v>1944</v>
      </c>
      <c r="H38" s="769" t="s">
        <v>1945</v>
      </c>
      <c r="I38" s="822" t="s">
        <v>1946</v>
      </c>
      <c r="J38" s="766" t="s">
        <v>11380</v>
      </c>
      <c r="K38" s="766" t="s">
        <v>324</v>
      </c>
      <c r="L38" s="758">
        <v>19.739999999999998</v>
      </c>
      <c r="M38" s="758">
        <v>180</v>
      </c>
      <c r="N38" s="758"/>
      <c r="O38" s="69">
        <f t="shared" si="0"/>
        <v>199.74</v>
      </c>
      <c r="P38" s="69">
        <f>VLOOKUP(D:D,'Master Table'!C:O,13,FALSE)</f>
        <v>992.01</v>
      </c>
      <c r="Q38" s="111">
        <v>992.01</v>
      </c>
      <c r="R38" s="111">
        <v>1099.5500000000002</v>
      </c>
      <c r="S38" s="112">
        <v>1104.5</v>
      </c>
    </row>
    <row r="39" spans="1:19" ht="30" customHeight="1" x14ac:dyDescent="0.2">
      <c r="A39" s="68" t="str">
        <f t="shared" si="1"/>
        <v>BRE039 / 2104</v>
      </c>
      <c r="B39" s="109" t="s">
        <v>7503</v>
      </c>
      <c r="C39" s="109" t="s">
        <v>7504</v>
      </c>
      <c r="D39" s="429" t="s">
        <v>1947</v>
      </c>
      <c r="E39" s="369" t="str">
        <f>VLOOKUP(D:D,'Master Table'!C:D,2,FALSE)</f>
        <v>2104</v>
      </c>
      <c r="F39" s="766" t="s">
        <v>1947</v>
      </c>
      <c r="G39" s="766" t="s">
        <v>1948</v>
      </c>
      <c r="H39" s="769" t="s">
        <v>1949</v>
      </c>
      <c r="I39" s="822" t="s">
        <v>7503</v>
      </c>
      <c r="J39" s="766" t="s">
        <v>11381</v>
      </c>
      <c r="K39" s="766" t="s">
        <v>324</v>
      </c>
      <c r="L39" s="758">
        <v>474.3</v>
      </c>
      <c r="M39" s="758">
        <v>644</v>
      </c>
      <c r="N39" s="758"/>
      <c r="O39" s="69">
        <f t="shared" si="0"/>
        <v>1118.3</v>
      </c>
      <c r="P39" s="69">
        <f>VLOOKUP(D:D,'Master Table'!C:O,13,FALSE)</f>
        <v>3069.05</v>
      </c>
      <c r="Q39" s="111">
        <v>3069.05</v>
      </c>
      <c r="R39" s="111">
        <v>2755.78</v>
      </c>
      <c r="S39" s="112">
        <v>2732.03</v>
      </c>
    </row>
    <row r="40" spans="1:19" ht="30" customHeight="1" x14ac:dyDescent="0.2">
      <c r="A40" s="68" t="str">
        <f t="shared" si="1"/>
        <v>BRE041 / 2106</v>
      </c>
      <c r="B40" s="109" t="s">
        <v>1955</v>
      </c>
      <c r="C40" s="109" t="s">
        <v>7505</v>
      </c>
      <c r="D40" s="429" t="s">
        <v>1953</v>
      </c>
      <c r="E40" s="369" t="str">
        <f>VLOOKUP(D:D,'Master Table'!C:D,2,FALSE)</f>
        <v>2106</v>
      </c>
      <c r="F40" s="766" t="s">
        <v>1953</v>
      </c>
      <c r="G40" s="766" t="s">
        <v>1954</v>
      </c>
      <c r="H40" s="769" t="s">
        <v>78</v>
      </c>
      <c r="I40" s="822" t="s">
        <v>1955</v>
      </c>
      <c r="J40" s="766" t="s">
        <v>11368</v>
      </c>
      <c r="K40" s="766" t="s">
        <v>324</v>
      </c>
      <c r="L40" s="758">
        <v>472.5</v>
      </c>
      <c r="M40" s="758">
        <v>672</v>
      </c>
      <c r="N40" s="758"/>
      <c r="O40" s="69">
        <f t="shared" si="0"/>
        <v>1144.5</v>
      </c>
      <c r="P40" s="69">
        <f>VLOOKUP(D:D,'Master Table'!C:O,13,FALSE)</f>
        <v>2945</v>
      </c>
      <c r="Q40" s="111">
        <v>2945</v>
      </c>
      <c r="R40" s="111">
        <v>3289.5</v>
      </c>
      <c r="S40" s="112">
        <v>3170</v>
      </c>
    </row>
    <row r="41" spans="1:19" ht="30" customHeight="1" x14ac:dyDescent="0.2">
      <c r="A41" s="68" t="str">
        <f t="shared" si="1"/>
        <v>BRE041X / 2107</v>
      </c>
      <c r="B41" s="109" t="s">
        <v>7506</v>
      </c>
      <c r="C41" s="109" t="s">
        <v>7507</v>
      </c>
      <c r="D41" s="429" t="s">
        <v>1959</v>
      </c>
      <c r="E41" s="369" t="str">
        <f>VLOOKUP(D:D,'Master Table'!C:D,2,FALSE)</f>
        <v>2107</v>
      </c>
      <c r="F41" s="766" t="s">
        <v>1959</v>
      </c>
      <c r="G41" s="766" t="s">
        <v>1960</v>
      </c>
      <c r="H41" s="769" t="s">
        <v>1961</v>
      </c>
      <c r="I41" s="822" t="s">
        <v>11386</v>
      </c>
      <c r="J41" s="766" t="s">
        <v>11373</v>
      </c>
      <c r="K41" s="766" t="s">
        <v>324</v>
      </c>
      <c r="L41" s="758">
        <v>377.86</v>
      </c>
      <c r="M41" s="758">
        <v>220</v>
      </c>
      <c r="N41" s="758"/>
      <c r="O41" s="69">
        <f t="shared" si="0"/>
        <v>597.86</v>
      </c>
      <c r="P41" s="69">
        <f>VLOOKUP(D:D,'Master Table'!C:O,13,FALSE)</f>
        <v>321.73</v>
      </c>
      <c r="Q41" s="111">
        <v>321.73</v>
      </c>
      <c r="R41" s="111">
        <v>561</v>
      </c>
      <c r="S41" s="112">
        <v>335</v>
      </c>
    </row>
    <row r="42" spans="1:19" ht="30" customHeight="1" x14ac:dyDescent="0.2">
      <c r="A42" s="68" t="str">
        <f t="shared" si="1"/>
        <v>BRE041Y / 2108</v>
      </c>
      <c r="B42" s="109" t="s">
        <v>7508</v>
      </c>
      <c r="C42" s="109" t="s">
        <v>7509</v>
      </c>
      <c r="D42" s="429" t="s">
        <v>1965</v>
      </c>
      <c r="E42" s="369" t="str">
        <f>VLOOKUP(D:D,'Master Table'!C:D,2,FALSE)</f>
        <v>2108</v>
      </c>
      <c r="F42" s="766" t="s">
        <v>1965</v>
      </c>
      <c r="G42" s="766" t="s">
        <v>1966</v>
      </c>
      <c r="H42" s="769" t="s">
        <v>1967</v>
      </c>
      <c r="I42" s="822" t="s">
        <v>11387</v>
      </c>
      <c r="J42" s="766" t="s">
        <v>11380</v>
      </c>
      <c r="K42" s="766" t="s">
        <v>324</v>
      </c>
      <c r="L42" s="758">
        <v>0</v>
      </c>
      <c r="M42" s="758">
        <v>335</v>
      </c>
      <c r="N42" s="758">
        <v>262.51</v>
      </c>
      <c r="O42" s="69">
        <f t="shared" si="0"/>
        <v>597.51</v>
      </c>
      <c r="P42" s="69">
        <f>VLOOKUP(D:D,'Master Table'!C:O,13,FALSE)</f>
        <v>696.85</v>
      </c>
      <c r="Q42" s="111">
        <v>696.85</v>
      </c>
      <c r="R42" s="111">
        <v>796.77</v>
      </c>
      <c r="S42" s="112">
        <v>185</v>
      </c>
    </row>
    <row r="43" spans="1:19" ht="30" customHeight="1" x14ac:dyDescent="0.2">
      <c r="A43" s="68" t="str">
        <f t="shared" si="1"/>
        <v>BRE042 / 2109</v>
      </c>
      <c r="B43" s="109" t="s">
        <v>7510</v>
      </c>
      <c r="C43" s="109" t="s">
        <v>7511</v>
      </c>
      <c r="D43" s="429" t="s">
        <v>1974</v>
      </c>
      <c r="E43" s="369" t="str">
        <f>VLOOKUP(D:D,'Master Table'!C:D,2,FALSE)</f>
        <v>2109</v>
      </c>
      <c r="F43" s="766" t="s">
        <v>1974</v>
      </c>
      <c r="G43" s="766" t="s">
        <v>1975</v>
      </c>
      <c r="H43" s="769" t="s">
        <v>1976</v>
      </c>
      <c r="I43" s="822" t="s">
        <v>7510</v>
      </c>
      <c r="J43" s="766" t="s">
        <v>11371</v>
      </c>
      <c r="K43" s="766" t="s">
        <v>324</v>
      </c>
      <c r="L43" s="758">
        <v>264.95</v>
      </c>
      <c r="M43" s="758">
        <v>120</v>
      </c>
      <c r="N43" s="758"/>
      <c r="O43" s="69">
        <f t="shared" si="0"/>
        <v>384.95</v>
      </c>
      <c r="P43" s="69">
        <f>VLOOKUP(D:D,'Master Table'!C:O,13,FALSE)</f>
        <v>1032.46</v>
      </c>
      <c r="Q43" s="111">
        <v>1032.46</v>
      </c>
      <c r="R43" s="111">
        <v>592.80999999999995</v>
      </c>
      <c r="S43" s="112">
        <v>1118.24</v>
      </c>
    </row>
    <row r="44" spans="1:19" ht="30" customHeight="1" x14ac:dyDescent="0.2">
      <c r="A44" s="68" t="str">
        <f t="shared" si="1"/>
        <v>BRE043 / 2110</v>
      </c>
      <c r="B44" s="109" t="s">
        <v>1981</v>
      </c>
      <c r="C44" s="109" t="s">
        <v>7315</v>
      </c>
      <c r="D44" s="429" t="s">
        <v>1978</v>
      </c>
      <c r="E44" s="369" t="str">
        <f>VLOOKUP(D:D,'Master Table'!C:D,2,FALSE)</f>
        <v>2110</v>
      </c>
      <c r="F44" s="766" t="s">
        <v>1978</v>
      </c>
      <c r="G44" s="766" t="s">
        <v>1979</v>
      </c>
      <c r="H44" s="769" t="s">
        <v>1980</v>
      </c>
      <c r="I44" s="822" t="s">
        <v>1981</v>
      </c>
      <c r="J44" s="766" t="s">
        <v>11373</v>
      </c>
      <c r="K44" s="766" t="s">
        <v>324</v>
      </c>
      <c r="L44" s="758">
        <v>0</v>
      </c>
      <c r="M44" s="758">
        <v>77</v>
      </c>
      <c r="N44" s="758"/>
      <c r="O44" s="69">
        <f t="shared" si="0"/>
        <v>77</v>
      </c>
      <c r="P44" s="69">
        <f>VLOOKUP(D:D,'Master Table'!C:O,13,FALSE)</f>
        <v>736.01</v>
      </c>
      <c r="Q44" s="111">
        <v>736.01</v>
      </c>
      <c r="R44" s="111">
        <v>376.84</v>
      </c>
      <c r="S44" s="112">
        <v>0</v>
      </c>
    </row>
    <row r="45" spans="1:19" ht="30" customHeight="1" x14ac:dyDescent="0.2">
      <c r="A45" s="68" t="str">
        <f t="shared" si="1"/>
        <v>BRE044 / 2111</v>
      </c>
      <c r="B45" s="109" t="s">
        <v>1988</v>
      </c>
      <c r="C45" s="109" t="s">
        <v>7512</v>
      </c>
      <c r="D45" s="429" t="s">
        <v>1985</v>
      </c>
      <c r="E45" s="369" t="str">
        <f>VLOOKUP(D:D,'Master Table'!C:D,2,FALSE)</f>
        <v>2111</v>
      </c>
      <c r="F45" s="766" t="s">
        <v>1985</v>
      </c>
      <c r="G45" s="766" t="s">
        <v>1986</v>
      </c>
      <c r="H45" s="769" t="s">
        <v>1987</v>
      </c>
      <c r="I45" s="822" t="s">
        <v>1988</v>
      </c>
      <c r="J45" s="766" t="s">
        <v>11385</v>
      </c>
      <c r="K45" s="766" t="s">
        <v>324</v>
      </c>
      <c r="L45" s="758">
        <v>0</v>
      </c>
      <c r="M45" s="758">
        <v>75</v>
      </c>
      <c r="N45" s="758"/>
      <c r="O45" s="69">
        <f t="shared" si="0"/>
        <v>75</v>
      </c>
      <c r="P45" s="69">
        <f>VLOOKUP(D:D,'Master Table'!C:O,13,FALSE)</f>
        <v>100</v>
      </c>
      <c r="Q45" s="111">
        <v>100</v>
      </c>
      <c r="R45" s="111">
        <v>110</v>
      </c>
      <c r="S45" s="112">
        <v>228</v>
      </c>
    </row>
    <row r="46" spans="1:19" ht="30" customHeight="1" x14ac:dyDescent="0.2">
      <c r="A46" s="68" t="str">
        <f t="shared" si="1"/>
        <v>BRE045 / 2112</v>
      </c>
      <c r="B46" s="109" t="s">
        <v>1988</v>
      </c>
      <c r="C46" s="109" t="s">
        <v>7513</v>
      </c>
      <c r="D46" s="429" t="s">
        <v>1992</v>
      </c>
      <c r="E46" s="369" t="str">
        <f>VLOOKUP(D:D,'Master Table'!C:D,2,FALSE)</f>
        <v>2112</v>
      </c>
      <c r="F46" s="766" t="s">
        <v>1992</v>
      </c>
      <c r="G46" s="766" t="s">
        <v>1993</v>
      </c>
      <c r="H46" s="769" t="s">
        <v>1994</v>
      </c>
      <c r="I46" s="822" t="s">
        <v>1988</v>
      </c>
      <c r="J46" s="766" t="s">
        <v>11385</v>
      </c>
      <c r="K46" s="766" t="s">
        <v>324</v>
      </c>
      <c r="L46" s="758">
        <v>320.67</v>
      </c>
      <c r="M46" s="758"/>
      <c r="N46" s="758"/>
      <c r="O46" s="69">
        <f t="shared" si="0"/>
        <v>320.67</v>
      </c>
      <c r="P46" s="69">
        <f>VLOOKUP(D:D,'Master Table'!C:O,13,FALSE)</f>
        <v>334.61999999999995</v>
      </c>
      <c r="Q46" s="111">
        <v>334.61999999999995</v>
      </c>
      <c r="R46" s="111">
        <v>516.94000000000005</v>
      </c>
      <c r="S46" s="112">
        <v>529.79</v>
      </c>
    </row>
    <row r="47" spans="1:19" ht="30" customHeight="1" x14ac:dyDescent="0.2">
      <c r="A47" s="68" t="str">
        <f t="shared" si="1"/>
        <v>BRE046 / 2113</v>
      </c>
      <c r="B47" s="109" t="s">
        <v>1988</v>
      </c>
      <c r="C47" s="109" t="s">
        <v>7514</v>
      </c>
      <c r="D47" s="429" t="s">
        <v>1996</v>
      </c>
      <c r="E47" s="369" t="str">
        <f>VLOOKUP(D:D,'Master Table'!C:D,2,FALSE)</f>
        <v>2113</v>
      </c>
      <c r="F47" s="766" t="s">
        <v>1996</v>
      </c>
      <c r="G47" s="766" t="s">
        <v>1997</v>
      </c>
      <c r="H47" s="769" t="s">
        <v>1998</v>
      </c>
      <c r="I47" s="822" t="s">
        <v>1988</v>
      </c>
      <c r="J47" s="766" t="s">
        <v>11385</v>
      </c>
      <c r="K47" s="766" t="s">
        <v>351</v>
      </c>
      <c r="L47" s="758">
        <v>0</v>
      </c>
      <c r="M47" s="758">
        <v>290</v>
      </c>
      <c r="N47" s="758"/>
      <c r="O47" s="69">
        <f t="shared" si="0"/>
        <v>290</v>
      </c>
      <c r="P47" s="69">
        <f>VLOOKUP(D:D,'Master Table'!C:O,13,FALSE)</f>
        <v>360</v>
      </c>
      <c r="Q47" s="111">
        <v>360</v>
      </c>
      <c r="R47" s="111">
        <v>325</v>
      </c>
      <c r="S47" s="112">
        <v>390</v>
      </c>
    </row>
    <row r="48" spans="1:19" ht="30" customHeight="1" x14ac:dyDescent="0.2">
      <c r="A48" s="68" t="str">
        <f t="shared" si="1"/>
        <v>BRE049 / 2116</v>
      </c>
      <c r="B48" s="109" t="s">
        <v>7515</v>
      </c>
      <c r="C48" s="109" t="s">
        <v>2828</v>
      </c>
      <c r="D48" s="429" t="s">
        <v>2002</v>
      </c>
      <c r="E48" s="369" t="str">
        <f>VLOOKUP(D:D,'Master Table'!C:D,2,FALSE)</f>
        <v>2116</v>
      </c>
      <c r="F48" s="766" t="s">
        <v>2002</v>
      </c>
      <c r="G48" s="766" t="s">
        <v>2003</v>
      </c>
      <c r="H48" s="769" t="s">
        <v>2004</v>
      </c>
      <c r="I48" s="822" t="s">
        <v>7515</v>
      </c>
      <c r="J48" s="766" t="s">
        <v>11381</v>
      </c>
      <c r="K48" s="766" t="s">
        <v>324</v>
      </c>
      <c r="L48" s="758">
        <v>0</v>
      </c>
      <c r="M48" s="758"/>
      <c r="N48" s="758"/>
      <c r="O48" s="69">
        <f t="shared" ref="O48:O97" si="4">L48+M48+N48</f>
        <v>0</v>
      </c>
      <c r="P48" s="69">
        <f>VLOOKUP(D:D,'Master Table'!C:O,13,FALSE)</f>
        <v>20</v>
      </c>
      <c r="Q48" s="111">
        <v>20</v>
      </c>
      <c r="R48" s="111">
        <v>341</v>
      </c>
      <c r="S48" s="112">
        <v>40</v>
      </c>
    </row>
    <row r="49" spans="1:19" ht="30" customHeight="1" x14ac:dyDescent="0.2">
      <c r="A49" s="68" t="str">
        <f t="shared" si="1"/>
        <v>BRE050 / 2117</v>
      </c>
      <c r="B49" s="109" t="s">
        <v>7515</v>
      </c>
      <c r="C49" s="109" t="s">
        <v>7516</v>
      </c>
      <c r="D49" s="429" t="s">
        <v>2006</v>
      </c>
      <c r="E49" s="369" t="str">
        <f>VLOOKUP(D:D,'Master Table'!C:D,2,FALSE)</f>
        <v>2117</v>
      </c>
      <c r="F49" s="766" t="s">
        <v>2006</v>
      </c>
      <c r="G49" s="766" t="s">
        <v>2007</v>
      </c>
      <c r="H49" s="769" t="s">
        <v>2008</v>
      </c>
      <c r="I49" s="822" t="s">
        <v>7515</v>
      </c>
      <c r="J49" s="766" t="s">
        <v>11381</v>
      </c>
      <c r="K49" s="766" t="s">
        <v>324</v>
      </c>
      <c r="L49" s="758">
        <v>0</v>
      </c>
      <c r="M49" s="758"/>
      <c r="N49" s="758"/>
      <c r="O49" s="69">
        <f t="shared" si="4"/>
        <v>0</v>
      </c>
      <c r="P49" s="69">
        <f>VLOOKUP(D:D,'Master Table'!C:O,13,FALSE)</f>
        <v>76.5</v>
      </c>
      <c r="Q49" s="111">
        <v>76.5</v>
      </c>
      <c r="R49" s="111">
        <v>42</v>
      </c>
      <c r="S49" s="112">
        <v>45</v>
      </c>
    </row>
    <row r="50" spans="1:19" ht="30" customHeight="1" x14ac:dyDescent="0.2">
      <c r="A50" s="68" t="str">
        <f t="shared" si="1"/>
        <v>BRE051 / 2118</v>
      </c>
      <c r="B50" s="109" t="s">
        <v>7517</v>
      </c>
      <c r="C50" s="109" t="s">
        <v>523</v>
      </c>
      <c r="D50" s="429" t="s">
        <v>2009</v>
      </c>
      <c r="E50" s="369" t="str">
        <f>VLOOKUP(D:D,'Master Table'!C:D,2,FALSE)</f>
        <v>2118</v>
      </c>
      <c r="F50" s="766" t="s">
        <v>2009</v>
      </c>
      <c r="G50" s="766" t="s">
        <v>2010</v>
      </c>
      <c r="H50" s="769" t="s">
        <v>2011</v>
      </c>
      <c r="I50" s="822" t="s">
        <v>11388</v>
      </c>
      <c r="J50" s="766" t="s">
        <v>11380</v>
      </c>
      <c r="K50" s="766" t="s">
        <v>324</v>
      </c>
      <c r="L50" s="758">
        <v>216.46</v>
      </c>
      <c r="M50" s="758">
        <v>100</v>
      </c>
      <c r="N50" s="758"/>
      <c r="O50" s="69">
        <f t="shared" si="4"/>
        <v>316.46000000000004</v>
      </c>
      <c r="P50" s="69">
        <f>VLOOKUP(D:D,'Master Table'!C:O,13,FALSE)</f>
        <v>848.8</v>
      </c>
      <c r="Q50" s="111">
        <v>848.8</v>
      </c>
      <c r="R50" s="111">
        <v>946.6</v>
      </c>
      <c r="S50" s="112">
        <v>1265.08</v>
      </c>
    </row>
    <row r="51" spans="1:19" ht="30" customHeight="1" x14ac:dyDescent="0.2">
      <c r="A51" s="68" t="str">
        <f t="shared" si="1"/>
        <v>BRE052 / 2119</v>
      </c>
      <c r="B51" s="109" t="s">
        <v>2017</v>
      </c>
      <c r="C51" s="109" t="s">
        <v>7518</v>
      </c>
      <c r="D51" s="429" t="s">
        <v>2014</v>
      </c>
      <c r="E51" s="369" t="str">
        <f>VLOOKUP(D:D,'Master Table'!C:D,2,FALSE)</f>
        <v>2119</v>
      </c>
      <c r="F51" s="766" t="s">
        <v>2014</v>
      </c>
      <c r="G51" s="766" t="s">
        <v>2015</v>
      </c>
      <c r="H51" s="769" t="s">
        <v>2016</v>
      </c>
      <c r="I51" s="822" t="s">
        <v>2017</v>
      </c>
      <c r="J51" s="766" t="s">
        <v>11381</v>
      </c>
      <c r="K51" s="766" t="s">
        <v>324</v>
      </c>
      <c r="L51" s="758">
        <v>0</v>
      </c>
      <c r="M51" s="758">
        <v>135</v>
      </c>
      <c r="N51" s="758"/>
      <c r="O51" s="69">
        <f t="shared" si="4"/>
        <v>135</v>
      </c>
      <c r="P51" s="69">
        <f>VLOOKUP(D:D,'Master Table'!C:O,13,FALSE)</f>
        <v>709</v>
      </c>
      <c r="Q51" s="111">
        <v>709</v>
      </c>
      <c r="R51" s="111">
        <v>1028.8499999999999</v>
      </c>
      <c r="S51" s="112">
        <v>925.85</v>
      </c>
    </row>
    <row r="52" spans="1:19" ht="30" customHeight="1" x14ac:dyDescent="0.2">
      <c r="A52" s="68" t="str">
        <f t="shared" si="1"/>
        <v>BRE053 / 2120</v>
      </c>
      <c r="B52" s="109" t="s">
        <v>2017</v>
      </c>
      <c r="C52" s="109" t="s">
        <v>1047</v>
      </c>
      <c r="D52" s="429" t="s">
        <v>2018</v>
      </c>
      <c r="E52" s="369" t="str">
        <f>VLOOKUP(D:D,'Master Table'!C:D,2,FALSE)</f>
        <v>2120</v>
      </c>
      <c r="F52" s="766" t="s">
        <v>2018</v>
      </c>
      <c r="G52" s="766" t="s">
        <v>2019</v>
      </c>
      <c r="H52" s="769" t="s">
        <v>83</v>
      </c>
      <c r="I52" s="822" t="s">
        <v>2017</v>
      </c>
      <c r="J52" s="766" t="s">
        <v>11381</v>
      </c>
      <c r="K52" s="766" t="s">
        <v>324</v>
      </c>
      <c r="L52" s="758">
        <v>75</v>
      </c>
      <c r="M52" s="758">
        <v>180</v>
      </c>
      <c r="N52" s="758">
        <v>322.55</v>
      </c>
      <c r="O52" s="69">
        <f t="shared" si="4"/>
        <v>577.54999999999995</v>
      </c>
      <c r="P52" s="69">
        <f>VLOOKUP(D:D,'Master Table'!C:O,13,FALSE)</f>
        <v>810.97</v>
      </c>
      <c r="Q52" s="111">
        <v>810.97</v>
      </c>
      <c r="R52" s="111">
        <v>736.23</v>
      </c>
      <c r="S52" s="112">
        <v>711.82</v>
      </c>
    </row>
    <row r="53" spans="1:19" ht="30" customHeight="1" x14ac:dyDescent="0.2">
      <c r="A53" s="68" t="str">
        <f t="shared" si="1"/>
        <v>BRE054 / 2121</v>
      </c>
      <c r="B53" s="109" t="s">
        <v>7519</v>
      </c>
      <c r="C53" s="109" t="s">
        <v>7520</v>
      </c>
      <c r="D53" s="429" t="s">
        <v>2020</v>
      </c>
      <c r="E53" s="369" t="str">
        <f>VLOOKUP(D:D,'Master Table'!C:D,2,FALSE)</f>
        <v>2121</v>
      </c>
      <c r="F53" s="766" t="s">
        <v>2020</v>
      </c>
      <c r="G53" s="766" t="s">
        <v>2021</v>
      </c>
      <c r="H53" s="769" t="s">
        <v>1183</v>
      </c>
      <c r="I53" s="822" t="s">
        <v>11389</v>
      </c>
      <c r="J53" s="766" t="s">
        <v>7469</v>
      </c>
      <c r="K53" s="766" t="s">
        <v>324</v>
      </c>
      <c r="L53" s="758">
        <v>0</v>
      </c>
      <c r="M53" s="758">
        <v>193</v>
      </c>
      <c r="N53" s="758"/>
      <c r="O53" s="69">
        <f t="shared" si="4"/>
        <v>193</v>
      </c>
      <c r="P53" s="69">
        <f>VLOOKUP(D:D,'Master Table'!C:O,13,FALSE)</f>
        <v>481.13</v>
      </c>
      <c r="Q53" s="111">
        <v>481.13</v>
      </c>
      <c r="R53" s="111">
        <v>447.4</v>
      </c>
      <c r="S53" s="112">
        <v>459.72</v>
      </c>
    </row>
    <row r="54" spans="1:19" ht="30" customHeight="1" x14ac:dyDescent="0.2">
      <c r="A54" s="68" t="str">
        <f t="shared" si="1"/>
        <v>BRE055 / 2122</v>
      </c>
      <c r="B54" s="109" t="s">
        <v>1875</v>
      </c>
      <c r="C54" s="109" t="s">
        <v>942</v>
      </c>
      <c r="D54" s="429" t="s">
        <v>2022</v>
      </c>
      <c r="E54" s="369" t="str">
        <f>VLOOKUP(D:D,'Master Table'!C:D,2,FALSE)</f>
        <v>2122</v>
      </c>
      <c r="F54" s="766" t="s">
        <v>2022</v>
      </c>
      <c r="G54" s="766" t="s">
        <v>2023</v>
      </c>
      <c r="H54" s="769" t="s">
        <v>1731</v>
      </c>
      <c r="I54" s="822" t="s">
        <v>1875</v>
      </c>
      <c r="J54" s="766" t="s">
        <v>11371</v>
      </c>
      <c r="K54" s="766" t="s">
        <v>324</v>
      </c>
      <c r="L54" s="758">
        <v>0</v>
      </c>
      <c r="M54" s="758">
        <v>485</v>
      </c>
      <c r="N54" s="758">
        <v>33.5</v>
      </c>
      <c r="O54" s="69">
        <f t="shared" si="4"/>
        <v>518.5</v>
      </c>
      <c r="P54" s="69">
        <f>VLOOKUP(D:D,'Master Table'!C:O,13,FALSE)</f>
        <v>1145.6799999999998</v>
      </c>
      <c r="Q54" s="111">
        <v>1145.6799999999998</v>
      </c>
      <c r="R54" s="111">
        <v>1764.06</v>
      </c>
      <c r="S54" s="112">
        <v>2023</v>
      </c>
    </row>
    <row r="55" spans="1:19" ht="30" customHeight="1" x14ac:dyDescent="0.2">
      <c r="A55" s="68" t="str">
        <f t="shared" si="1"/>
        <v>BRE056 / 2123</v>
      </c>
      <c r="B55" s="109" t="s">
        <v>1875</v>
      </c>
      <c r="C55" s="109" t="s">
        <v>1008</v>
      </c>
      <c r="D55" s="429" t="s">
        <v>2024</v>
      </c>
      <c r="E55" s="369" t="str">
        <f>VLOOKUP(D:D,'Master Table'!C:D,2,FALSE)</f>
        <v>2123</v>
      </c>
      <c r="F55" s="766" t="s">
        <v>2024</v>
      </c>
      <c r="G55" s="766" t="s">
        <v>2025</v>
      </c>
      <c r="H55" s="769" t="s">
        <v>2026</v>
      </c>
      <c r="I55" s="822" t="s">
        <v>1875</v>
      </c>
      <c r="J55" s="766" t="s">
        <v>11371</v>
      </c>
      <c r="K55" s="766" t="s">
        <v>324</v>
      </c>
      <c r="L55" s="758">
        <v>0</v>
      </c>
      <c r="M55" s="758">
        <v>30</v>
      </c>
      <c r="N55" s="758"/>
      <c r="O55" s="69">
        <f t="shared" si="4"/>
        <v>30</v>
      </c>
      <c r="P55" s="69">
        <f>VLOOKUP(D:D,'Master Table'!C:O,13,FALSE)</f>
        <v>20</v>
      </c>
      <c r="Q55" s="111">
        <v>20</v>
      </c>
      <c r="R55" s="111">
        <v>20</v>
      </c>
      <c r="S55" s="112">
        <v>20</v>
      </c>
    </row>
    <row r="56" spans="1:19" ht="30" customHeight="1" x14ac:dyDescent="0.2">
      <c r="A56" s="68" t="str">
        <f t="shared" si="1"/>
        <v>BRE057 / 2124</v>
      </c>
      <c r="B56" s="109" t="s">
        <v>1875</v>
      </c>
      <c r="C56" s="109" t="s">
        <v>7521</v>
      </c>
      <c r="D56" s="429" t="s">
        <v>2027</v>
      </c>
      <c r="E56" s="369" t="str">
        <f>VLOOKUP(D:D,'Master Table'!C:D,2,FALSE)</f>
        <v>2124</v>
      </c>
      <c r="F56" s="766" t="s">
        <v>2027</v>
      </c>
      <c r="G56" s="766" t="s">
        <v>2028</v>
      </c>
      <c r="H56" s="769" t="s">
        <v>2029</v>
      </c>
      <c r="I56" s="828" t="s">
        <v>1875</v>
      </c>
      <c r="J56" s="829" t="s">
        <v>11371</v>
      </c>
      <c r="K56" s="766" t="s">
        <v>324</v>
      </c>
      <c r="L56" s="758">
        <v>542.04</v>
      </c>
      <c r="M56" s="758">
        <v>160</v>
      </c>
      <c r="N56" s="758"/>
      <c r="O56" s="69">
        <f t="shared" si="4"/>
        <v>702.04</v>
      </c>
      <c r="P56" s="69">
        <f>VLOOKUP(D:D,'Master Table'!C:O,13,FALSE)</f>
        <v>1196.95</v>
      </c>
      <c r="Q56" s="111">
        <v>1196.95</v>
      </c>
      <c r="R56" s="111">
        <v>1312.91</v>
      </c>
      <c r="S56" s="112">
        <v>1451.47</v>
      </c>
    </row>
    <row r="57" spans="1:19" ht="30" customHeight="1" x14ac:dyDescent="0.2">
      <c r="A57" s="68" t="str">
        <f t="shared" si="1"/>
        <v>BRE058 / 2125</v>
      </c>
      <c r="B57" s="109" t="s">
        <v>7522</v>
      </c>
      <c r="C57" s="109" t="s">
        <v>7523</v>
      </c>
      <c r="D57" s="429" t="s">
        <v>2030</v>
      </c>
      <c r="E57" s="369" t="str">
        <f>VLOOKUP(D:D,'Master Table'!C:D,2,FALSE)</f>
        <v>2125</v>
      </c>
      <c r="F57" s="766" t="s">
        <v>2030</v>
      </c>
      <c r="G57" s="766" t="s">
        <v>2031</v>
      </c>
      <c r="H57" s="769" t="s">
        <v>2032</v>
      </c>
      <c r="I57" s="822" t="s">
        <v>2033</v>
      </c>
      <c r="J57" s="766" t="s">
        <v>7469</v>
      </c>
      <c r="K57" s="766" t="s">
        <v>324</v>
      </c>
      <c r="L57" s="758">
        <v>137.38</v>
      </c>
      <c r="M57" s="758">
        <v>200</v>
      </c>
      <c r="N57" s="758"/>
      <c r="O57" s="69">
        <f t="shared" si="4"/>
        <v>337.38</v>
      </c>
      <c r="P57" s="69">
        <f>VLOOKUP(D:D,'Master Table'!C:O,13,FALSE)</f>
        <v>261.47000000000003</v>
      </c>
      <c r="Q57" s="111">
        <v>261.47000000000003</v>
      </c>
      <c r="R57" s="111">
        <v>331.82</v>
      </c>
      <c r="S57" s="112">
        <v>902.34</v>
      </c>
    </row>
    <row r="58" spans="1:19" ht="30" customHeight="1" x14ac:dyDescent="0.2">
      <c r="A58" s="68" t="str">
        <f t="shared" si="1"/>
        <v>BRE059 / 2126</v>
      </c>
      <c r="B58" s="109" t="s">
        <v>7524</v>
      </c>
      <c r="C58" s="109" t="s">
        <v>7525</v>
      </c>
      <c r="D58" s="429" t="s">
        <v>2034</v>
      </c>
      <c r="E58" s="369" t="str">
        <f>VLOOKUP(D:D,'Master Table'!C:D,2,FALSE)</f>
        <v>2126</v>
      </c>
      <c r="F58" s="766" t="s">
        <v>2034</v>
      </c>
      <c r="G58" s="766" t="s">
        <v>2035</v>
      </c>
      <c r="H58" s="769" t="s">
        <v>2036</v>
      </c>
      <c r="I58" s="822" t="s">
        <v>7524</v>
      </c>
      <c r="J58" s="766" t="s">
        <v>11380</v>
      </c>
      <c r="K58" s="766" t="s">
        <v>324</v>
      </c>
      <c r="L58" s="758">
        <v>0</v>
      </c>
      <c r="M58" s="758">
        <v>20</v>
      </c>
      <c r="N58" s="758"/>
      <c r="O58" s="69">
        <f t="shared" si="4"/>
        <v>20</v>
      </c>
      <c r="P58" s="69">
        <f>VLOOKUP(D:D,'Master Table'!C:O,13,FALSE)</f>
        <v>402.52</v>
      </c>
      <c r="Q58" s="111">
        <v>402.52</v>
      </c>
      <c r="R58" s="111">
        <v>70.28</v>
      </c>
      <c r="S58" s="112">
        <v>691.44</v>
      </c>
    </row>
    <row r="59" spans="1:19" ht="30" customHeight="1" x14ac:dyDescent="0.2">
      <c r="A59" s="68" t="str">
        <f t="shared" si="1"/>
        <v>BRE060 / 2127</v>
      </c>
      <c r="B59" s="109" t="s">
        <v>7526</v>
      </c>
      <c r="C59" s="109" t="s">
        <v>7527</v>
      </c>
      <c r="D59" s="429" t="s">
        <v>2040</v>
      </c>
      <c r="E59" s="369" t="str">
        <f>VLOOKUP(D:D,'Master Table'!C:D,2,FALSE)</f>
        <v>2127</v>
      </c>
      <c r="F59" s="766" t="s">
        <v>2040</v>
      </c>
      <c r="G59" s="766" t="s">
        <v>2041</v>
      </c>
      <c r="H59" s="769" t="s">
        <v>11390</v>
      </c>
      <c r="I59" s="822" t="s">
        <v>1802</v>
      </c>
      <c r="J59" s="766" t="s">
        <v>11368</v>
      </c>
      <c r="K59" s="766" t="s">
        <v>351</v>
      </c>
      <c r="L59" s="758">
        <v>61.58</v>
      </c>
      <c r="M59" s="758">
        <v>316.5</v>
      </c>
      <c r="N59" s="758"/>
      <c r="O59" s="69">
        <f t="shared" si="4"/>
        <v>378.08</v>
      </c>
      <c r="P59" s="69">
        <f>VLOOKUP(D:D,'Master Table'!C:O,13,FALSE)</f>
        <v>1352.2</v>
      </c>
      <c r="Q59" s="111">
        <v>1352.2</v>
      </c>
      <c r="R59" s="111">
        <v>1380.13</v>
      </c>
      <c r="S59" s="112">
        <v>563.80999999999995</v>
      </c>
    </row>
    <row r="60" spans="1:19" ht="30" customHeight="1" x14ac:dyDescent="0.2">
      <c r="A60" s="68" t="str">
        <f t="shared" si="1"/>
        <v>BRE061 / 2128</v>
      </c>
      <c r="B60" s="109" t="s">
        <v>7528</v>
      </c>
      <c r="C60" s="109" t="s">
        <v>7529</v>
      </c>
      <c r="D60" s="429" t="s">
        <v>2044</v>
      </c>
      <c r="E60" s="369" t="str">
        <f>VLOOKUP(D:D,'Master Table'!C:D,2,FALSE)</f>
        <v>2128</v>
      </c>
      <c r="F60" s="766" t="s">
        <v>2044</v>
      </c>
      <c r="G60" s="766" t="s">
        <v>2045</v>
      </c>
      <c r="H60" s="769" t="s">
        <v>2046</v>
      </c>
      <c r="I60" s="822" t="s">
        <v>1929</v>
      </c>
      <c r="J60" s="766" t="s">
        <v>11372</v>
      </c>
      <c r="K60" s="766" t="s">
        <v>324</v>
      </c>
      <c r="L60" s="758">
        <v>1039.53</v>
      </c>
      <c r="M60" s="758">
        <v>2135</v>
      </c>
      <c r="N60" s="758">
        <v>112.89</v>
      </c>
      <c r="O60" s="69">
        <f t="shared" si="4"/>
        <v>3287.4199999999996</v>
      </c>
      <c r="P60" s="69">
        <f>VLOOKUP(D:D,'Master Table'!C:O,13,FALSE)</f>
        <v>4139.9599999999991</v>
      </c>
      <c r="Q60" s="111">
        <v>4139.9599999999991</v>
      </c>
      <c r="R60" s="111">
        <v>3331.26</v>
      </c>
      <c r="S60" s="112">
        <v>2807</v>
      </c>
    </row>
    <row r="61" spans="1:19" ht="30" customHeight="1" x14ac:dyDescent="0.2">
      <c r="A61" s="68" t="str">
        <f t="shared" si="1"/>
        <v>BRE062 / 2129</v>
      </c>
      <c r="B61" s="109" t="s">
        <v>7530</v>
      </c>
      <c r="C61" s="109" t="s">
        <v>7527</v>
      </c>
      <c r="D61" s="429" t="s">
        <v>2048</v>
      </c>
      <c r="E61" s="369" t="str">
        <f>VLOOKUP(D:D,'Master Table'!C:D,2,FALSE)</f>
        <v>2129</v>
      </c>
      <c r="F61" s="766" t="s">
        <v>2048</v>
      </c>
      <c r="G61" s="766" t="s">
        <v>2049</v>
      </c>
      <c r="H61" s="769" t="s">
        <v>1115</v>
      </c>
      <c r="I61" s="822" t="s">
        <v>7530</v>
      </c>
      <c r="J61" s="766" t="s">
        <v>11380</v>
      </c>
      <c r="K61" s="766" t="s">
        <v>324</v>
      </c>
      <c r="L61" s="758">
        <v>368.05</v>
      </c>
      <c r="M61" s="758">
        <v>3142</v>
      </c>
      <c r="N61" s="758"/>
      <c r="O61" s="69">
        <f t="shared" si="4"/>
        <v>3510.05</v>
      </c>
      <c r="P61" s="69">
        <f>VLOOKUP(D:D,'Master Table'!C:O,13,FALSE)</f>
        <v>5567.84</v>
      </c>
      <c r="Q61" s="111">
        <v>5567.84</v>
      </c>
      <c r="R61" s="111">
        <v>3906.17</v>
      </c>
      <c r="S61" s="112">
        <v>3573.76</v>
      </c>
    </row>
    <row r="62" spans="1:19" ht="30" customHeight="1" x14ac:dyDescent="0.2">
      <c r="A62" s="68" t="str">
        <f t="shared" si="1"/>
        <v>BRE063 / 2130</v>
      </c>
      <c r="B62" s="109" t="s">
        <v>7531</v>
      </c>
      <c r="C62" s="109" t="s">
        <v>1366</v>
      </c>
      <c r="D62" s="429" t="s">
        <v>2050</v>
      </c>
      <c r="E62" s="369" t="str">
        <f>VLOOKUP(D:D,'Master Table'!C:D,2,FALSE)</f>
        <v>2130</v>
      </c>
      <c r="F62" s="766" t="s">
        <v>2050</v>
      </c>
      <c r="G62" s="766" t="s">
        <v>2051</v>
      </c>
      <c r="H62" s="769" t="s">
        <v>61</v>
      </c>
      <c r="I62" s="822" t="s">
        <v>7531</v>
      </c>
      <c r="J62" s="766" t="s">
        <v>11379</v>
      </c>
      <c r="K62" s="766" t="s">
        <v>324</v>
      </c>
      <c r="L62" s="758">
        <v>0</v>
      </c>
      <c r="M62" s="758">
        <v>1595</v>
      </c>
      <c r="N62" s="758"/>
      <c r="O62" s="69">
        <f t="shared" si="4"/>
        <v>1595</v>
      </c>
      <c r="P62" s="69">
        <f>VLOOKUP(D:D,'Master Table'!C:O,13,FALSE)</f>
        <v>500</v>
      </c>
      <c r="Q62" s="111">
        <v>500</v>
      </c>
      <c r="R62" s="111">
        <v>295</v>
      </c>
      <c r="S62" s="112">
        <v>85</v>
      </c>
    </row>
    <row r="63" spans="1:19" ht="30" customHeight="1" x14ac:dyDescent="0.2">
      <c r="A63" s="68" t="str">
        <f t="shared" si="1"/>
        <v>BRE064 / 2131</v>
      </c>
      <c r="B63" s="109" t="s">
        <v>2055</v>
      </c>
      <c r="C63" s="109" t="s">
        <v>7532</v>
      </c>
      <c r="D63" s="429" t="s">
        <v>2052</v>
      </c>
      <c r="E63" s="369" t="str">
        <f>VLOOKUP(D:D,'Master Table'!C:D,2,FALSE)</f>
        <v>2131</v>
      </c>
      <c r="F63" s="766" t="s">
        <v>2052</v>
      </c>
      <c r="G63" s="766" t="s">
        <v>2053</v>
      </c>
      <c r="H63" s="769" t="s">
        <v>2054</v>
      </c>
      <c r="I63" s="822" t="s">
        <v>2055</v>
      </c>
      <c r="J63" s="766" t="s">
        <v>11385</v>
      </c>
      <c r="K63" s="766" t="s">
        <v>324</v>
      </c>
      <c r="L63" s="758">
        <v>1645.52</v>
      </c>
      <c r="M63" s="758">
        <v>275</v>
      </c>
      <c r="N63" s="758"/>
      <c r="O63" s="69">
        <f t="shared" si="4"/>
        <v>1920.52</v>
      </c>
      <c r="P63" s="69">
        <f>VLOOKUP(D:D,'Master Table'!C:O,13,FALSE)</f>
        <v>1440.34</v>
      </c>
      <c r="Q63" s="111">
        <v>1440.34</v>
      </c>
      <c r="R63" s="111">
        <v>1466.48</v>
      </c>
      <c r="S63" s="112">
        <v>667.5</v>
      </c>
    </row>
    <row r="64" spans="1:19" ht="30" customHeight="1" x14ac:dyDescent="0.2">
      <c r="A64" s="68" t="str">
        <f t="shared" si="1"/>
        <v>BRE065 / 2132</v>
      </c>
      <c r="B64" s="109" t="s">
        <v>1828</v>
      </c>
      <c r="C64" s="109" t="s">
        <v>7533</v>
      </c>
      <c r="D64" s="429" t="s">
        <v>2056</v>
      </c>
      <c r="E64" s="369" t="str">
        <f>VLOOKUP(D:D,'Master Table'!C:D,2,FALSE)</f>
        <v>2132</v>
      </c>
      <c r="F64" s="766" t="s">
        <v>2056</v>
      </c>
      <c r="G64" s="766" t="s">
        <v>2057</v>
      </c>
      <c r="H64" s="769" t="s">
        <v>2058</v>
      </c>
      <c r="I64" s="828" t="s">
        <v>1828</v>
      </c>
      <c r="J64" s="766" t="s">
        <v>11374</v>
      </c>
      <c r="K64" s="766" t="s">
        <v>324</v>
      </c>
      <c r="L64" s="758">
        <v>0</v>
      </c>
      <c r="M64" s="758">
        <v>225</v>
      </c>
      <c r="N64" s="758">
        <v>330.45</v>
      </c>
      <c r="O64" s="69">
        <f t="shared" si="4"/>
        <v>555.45000000000005</v>
      </c>
      <c r="P64" s="69">
        <f>VLOOKUP(D:D,'Master Table'!C:O,13,FALSE)</f>
        <v>864.45</v>
      </c>
      <c r="Q64" s="111">
        <v>864.45</v>
      </c>
      <c r="R64" s="111">
        <v>544.6</v>
      </c>
      <c r="S64" s="112">
        <v>262</v>
      </c>
    </row>
    <row r="65" spans="1:19" ht="30" customHeight="1" x14ac:dyDescent="0.2">
      <c r="A65" s="68" t="str">
        <f t="shared" si="1"/>
        <v>BRE066 / 2133</v>
      </c>
      <c r="B65" s="109" t="s">
        <v>7534</v>
      </c>
      <c r="C65" s="109" t="s">
        <v>7535</v>
      </c>
      <c r="D65" s="429" t="s">
        <v>2059</v>
      </c>
      <c r="E65" s="369" t="str">
        <f>VLOOKUP(D:D,'Master Table'!C:D,2,FALSE)</f>
        <v>2133</v>
      </c>
      <c r="F65" s="766" t="s">
        <v>2059</v>
      </c>
      <c r="G65" s="766" t="s">
        <v>2060</v>
      </c>
      <c r="H65" s="769" t="s">
        <v>2061</v>
      </c>
      <c r="I65" s="822" t="s">
        <v>7534</v>
      </c>
      <c r="J65" s="766" t="s">
        <v>11375</v>
      </c>
      <c r="K65" s="766" t="s">
        <v>324</v>
      </c>
      <c r="L65" s="758">
        <v>0</v>
      </c>
      <c r="M65" s="758">
        <v>269</v>
      </c>
      <c r="N65" s="758"/>
      <c r="O65" s="69">
        <f t="shared" si="4"/>
        <v>269</v>
      </c>
      <c r="P65" s="69">
        <f>VLOOKUP(D:D,'Master Table'!C:O,13,FALSE)</f>
        <v>383.28</v>
      </c>
      <c r="Q65" s="111">
        <v>383.28</v>
      </c>
      <c r="R65" s="111">
        <v>508.95</v>
      </c>
      <c r="S65" s="112">
        <v>423</v>
      </c>
    </row>
    <row r="66" spans="1:19" ht="30" customHeight="1" x14ac:dyDescent="0.2">
      <c r="A66" s="68" t="str">
        <f t="shared" si="1"/>
        <v>BRE068 / 2134</v>
      </c>
      <c r="B66" s="109" t="s">
        <v>7536</v>
      </c>
      <c r="C66" s="109" t="s">
        <v>7280</v>
      </c>
      <c r="D66" s="429" t="s">
        <v>2062</v>
      </c>
      <c r="E66" s="369" t="str">
        <f>VLOOKUP(D:D,'Master Table'!C:D,2,FALSE)</f>
        <v>2134</v>
      </c>
      <c r="F66" s="766" t="s">
        <v>2062</v>
      </c>
      <c r="G66" s="766" t="s">
        <v>2063</v>
      </c>
      <c r="H66" s="769" t="s">
        <v>2064</v>
      </c>
      <c r="I66" s="822" t="s">
        <v>7536</v>
      </c>
      <c r="J66" s="766" t="s">
        <v>11371</v>
      </c>
      <c r="K66" s="766" t="s">
        <v>324</v>
      </c>
      <c r="L66" s="758">
        <v>0</v>
      </c>
      <c r="M66" s="758">
        <v>70</v>
      </c>
      <c r="N66" s="758">
        <v>172.45</v>
      </c>
      <c r="O66" s="69">
        <f t="shared" si="4"/>
        <v>242.45</v>
      </c>
      <c r="P66" s="69">
        <f>VLOOKUP(D:D,'Master Table'!C:O,13,FALSE)</f>
        <v>396.02</v>
      </c>
      <c r="Q66" s="111">
        <v>396.02</v>
      </c>
      <c r="R66" s="111">
        <v>652.09</v>
      </c>
      <c r="S66" s="112">
        <v>100</v>
      </c>
    </row>
    <row r="67" spans="1:19" ht="30" customHeight="1" x14ac:dyDescent="0.2">
      <c r="A67" s="68" t="str">
        <f t="shared" ref="A67:A97" si="5">D67&amp;" / "&amp;E67</f>
        <v>BRE069 / 2135</v>
      </c>
      <c r="B67" s="109" t="s">
        <v>2068</v>
      </c>
      <c r="C67" s="109" t="s">
        <v>3187</v>
      </c>
      <c r="D67" s="429" t="s">
        <v>2065</v>
      </c>
      <c r="E67" s="369" t="str">
        <f>VLOOKUP(D:D,'Master Table'!C:D,2,FALSE)</f>
        <v>2135</v>
      </c>
      <c r="F67" s="766" t="s">
        <v>2065</v>
      </c>
      <c r="G67" s="766" t="s">
        <v>2066</v>
      </c>
      <c r="H67" s="769" t="s">
        <v>2067</v>
      </c>
      <c r="I67" s="822" t="s">
        <v>2068</v>
      </c>
      <c r="J67" s="766" t="s">
        <v>7469</v>
      </c>
      <c r="K67" s="766" t="s">
        <v>351</v>
      </c>
      <c r="L67" s="758">
        <v>150</v>
      </c>
      <c r="M67" s="758">
        <v>312</v>
      </c>
      <c r="N67" s="758"/>
      <c r="O67" s="69">
        <f t="shared" si="4"/>
        <v>462</v>
      </c>
      <c r="P67" s="69">
        <f>VLOOKUP(D:D,'Master Table'!C:O,13,FALSE)</f>
        <v>637</v>
      </c>
      <c r="Q67" s="111">
        <v>637</v>
      </c>
      <c r="R67" s="111">
        <v>412</v>
      </c>
      <c r="S67" s="112">
        <v>662</v>
      </c>
    </row>
    <row r="68" spans="1:19" ht="30" customHeight="1" x14ac:dyDescent="0.2">
      <c r="A68" s="68" t="str">
        <f t="shared" si="5"/>
        <v>BRE070 / 2136</v>
      </c>
      <c r="B68" s="109" t="s">
        <v>7537</v>
      </c>
      <c r="C68" s="109" t="s">
        <v>2578</v>
      </c>
      <c r="D68" s="429" t="s">
        <v>2069</v>
      </c>
      <c r="E68" s="369" t="str">
        <f>VLOOKUP(D:D,'Master Table'!C:D,2,FALSE)</f>
        <v>2136</v>
      </c>
      <c r="F68" s="766" t="s">
        <v>2069</v>
      </c>
      <c r="G68" s="766" t="s">
        <v>2070</v>
      </c>
      <c r="H68" s="769" t="s">
        <v>2071</v>
      </c>
      <c r="I68" s="822" t="s">
        <v>11391</v>
      </c>
      <c r="J68" s="766" t="s">
        <v>11372</v>
      </c>
      <c r="K68" s="766" t="s">
        <v>351</v>
      </c>
      <c r="L68" s="758">
        <v>414.67</v>
      </c>
      <c r="M68" s="758">
        <v>48</v>
      </c>
      <c r="N68" s="758"/>
      <c r="O68" s="69">
        <f t="shared" si="4"/>
        <v>462.67</v>
      </c>
      <c r="P68" s="69">
        <f>VLOOKUP(D:D,'Master Table'!C:O,13,FALSE)</f>
        <v>146.18</v>
      </c>
      <c r="Q68" s="111">
        <v>146.18</v>
      </c>
      <c r="R68" s="111">
        <v>347.64</v>
      </c>
      <c r="S68" s="112">
        <v>457.48</v>
      </c>
    </row>
    <row r="69" spans="1:19" ht="30" customHeight="1" x14ac:dyDescent="0.2">
      <c r="A69" s="68" t="str">
        <f t="shared" si="5"/>
        <v>BRE071 / 2137</v>
      </c>
      <c r="B69" s="109" t="s">
        <v>2076</v>
      </c>
      <c r="C69" s="109" t="s">
        <v>7538</v>
      </c>
      <c r="D69" s="429" t="s">
        <v>2073</v>
      </c>
      <c r="E69" s="369" t="str">
        <f>VLOOKUP(D:D,'Master Table'!C:D,2,FALSE)</f>
        <v>2137</v>
      </c>
      <c r="F69" s="766" t="s">
        <v>2073</v>
      </c>
      <c r="G69" s="766" t="s">
        <v>2074</v>
      </c>
      <c r="H69" s="769" t="s">
        <v>2075</v>
      </c>
      <c r="I69" s="822" t="s">
        <v>2076</v>
      </c>
      <c r="J69" s="766" t="s">
        <v>11381</v>
      </c>
      <c r="K69" s="766" t="s">
        <v>324</v>
      </c>
      <c r="L69" s="758">
        <v>595</v>
      </c>
      <c r="M69" s="758">
        <v>40</v>
      </c>
      <c r="N69" s="758"/>
      <c r="O69" s="69">
        <f t="shared" si="4"/>
        <v>635</v>
      </c>
      <c r="P69" s="69">
        <f>VLOOKUP(D:D,'Master Table'!C:O,13,FALSE)</f>
        <v>952</v>
      </c>
      <c r="Q69" s="111">
        <v>952</v>
      </c>
      <c r="R69" s="111">
        <v>1248.01</v>
      </c>
      <c r="S69" s="112">
        <v>2445.73</v>
      </c>
    </row>
    <row r="70" spans="1:19" ht="30" customHeight="1" x14ac:dyDescent="0.2">
      <c r="A70" s="68" t="str">
        <f t="shared" si="5"/>
        <v>BRE072 / 2138</v>
      </c>
      <c r="B70" s="109" t="s">
        <v>2080</v>
      </c>
      <c r="C70" s="521" t="s">
        <v>7539</v>
      </c>
      <c r="D70" s="429" t="s">
        <v>2078</v>
      </c>
      <c r="E70" s="369" t="str">
        <f>VLOOKUP(D:D,'Master Table'!C:D,2,FALSE)</f>
        <v>2138</v>
      </c>
      <c r="F70" s="766" t="s">
        <v>2078</v>
      </c>
      <c r="G70" s="766" t="s">
        <v>2079</v>
      </c>
      <c r="H70" s="769" t="s">
        <v>472</v>
      </c>
      <c r="I70" s="822" t="s">
        <v>2080</v>
      </c>
      <c r="J70" s="766" t="s">
        <v>11372</v>
      </c>
      <c r="K70" s="766" t="s">
        <v>324</v>
      </c>
      <c r="L70" s="758">
        <v>2270.9299999999998</v>
      </c>
      <c r="M70" s="758">
        <v>351.05</v>
      </c>
      <c r="N70" s="758"/>
      <c r="O70" s="69">
        <f t="shared" si="4"/>
        <v>2621.98</v>
      </c>
      <c r="P70" s="69">
        <f>VLOOKUP(D:D,'Master Table'!C:O,13,FALSE)</f>
        <v>2647.9500000000003</v>
      </c>
      <c r="Q70" s="111">
        <v>2647.9500000000003</v>
      </c>
      <c r="R70" s="111">
        <v>2915.2000000000003</v>
      </c>
      <c r="S70" s="112">
        <v>3244.62</v>
      </c>
    </row>
    <row r="71" spans="1:19" ht="30" customHeight="1" x14ac:dyDescent="0.2">
      <c r="A71" s="68" t="str">
        <f t="shared" si="5"/>
        <v>BRE073 / 2139</v>
      </c>
      <c r="B71" s="871" t="s">
        <v>2085</v>
      </c>
      <c r="C71" s="521" t="s">
        <v>8298</v>
      </c>
      <c r="D71" s="520" t="s">
        <v>2082</v>
      </c>
      <c r="E71" s="369" t="str">
        <f>VLOOKUP(D:D,'Master Table'!C:D,2,FALSE)</f>
        <v>2139</v>
      </c>
      <c r="F71" s="766" t="s">
        <v>2082</v>
      </c>
      <c r="G71" s="766" t="s">
        <v>2083</v>
      </c>
      <c r="H71" s="769" t="s">
        <v>2084</v>
      </c>
      <c r="I71" s="822" t="s">
        <v>2085</v>
      </c>
      <c r="J71" s="766" t="s">
        <v>11372</v>
      </c>
      <c r="K71" s="766" t="s">
        <v>324</v>
      </c>
      <c r="L71" s="758">
        <v>0</v>
      </c>
      <c r="M71" s="758">
        <v>25</v>
      </c>
      <c r="N71" s="758"/>
      <c r="O71" s="69">
        <f t="shared" si="4"/>
        <v>25</v>
      </c>
      <c r="P71" s="69">
        <f>VLOOKUP(D:D,'Master Table'!C:O,13,FALSE)</f>
        <v>593.45000000000005</v>
      </c>
      <c r="Q71" s="111">
        <f>P71+P72</f>
        <v>763.1</v>
      </c>
      <c r="R71" s="875">
        <v>972.03</v>
      </c>
      <c r="S71" s="112">
        <v>405.13</v>
      </c>
    </row>
    <row r="72" spans="1:19" ht="30" customHeight="1" x14ac:dyDescent="0.2">
      <c r="A72" s="68" t="str">
        <f t="shared" ref="A72" si="6">D72&amp;" / "&amp;E72</f>
        <v>BRE073A / 2140</v>
      </c>
      <c r="B72" s="872"/>
      <c r="C72" s="522" t="s">
        <v>8297</v>
      </c>
      <c r="D72" s="520" t="s">
        <v>2086</v>
      </c>
      <c r="E72" s="369" t="str">
        <f>VLOOKUP(D:D,'Master Table'!C:D,2,FALSE)</f>
        <v>2140</v>
      </c>
      <c r="F72" s="766" t="s">
        <v>2086</v>
      </c>
      <c r="G72" s="766" t="s">
        <v>2087</v>
      </c>
      <c r="H72" s="769" t="s">
        <v>2088</v>
      </c>
      <c r="I72" s="822" t="s">
        <v>11392</v>
      </c>
      <c r="J72" s="766" t="s">
        <v>11372</v>
      </c>
      <c r="K72" s="766" t="s">
        <v>324</v>
      </c>
      <c r="L72" s="758">
        <v>0</v>
      </c>
      <c r="M72" s="758"/>
      <c r="N72" s="758"/>
      <c r="O72" s="69">
        <f t="shared" si="4"/>
        <v>0</v>
      </c>
      <c r="P72" s="69">
        <f>VLOOKUP(D:D,'Master Table'!C:O,13,FALSE)</f>
        <v>169.65</v>
      </c>
      <c r="Q72" s="111"/>
      <c r="R72" s="876"/>
      <c r="S72" s="112"/>
    </row>
    <row r="73" spans="1:19" ht="30" customHeight="1" x14ac:dyDescent="0.2">
      <c r="A73" s="68" t="str">
        <f t="shared" si="5"/>
        <v>BRE074 / 2141</v>
      </c>
      <c r="B73" s="109" t="s">
        <v>1844</v>
      </c>
      <c r="C73" s="522" t="s">
        <v>72</v>
      </c>
      <c r="D73" s="429" t="s">
        <v>2089</v>
      </c>
      <c r="E73" s="369" t="str">
        <f>VLOOKUP(D:D,'Master Table'!C:D,2,FALSE)</f>
        <v>2141</v>
      </c>
      <c r="F73" s="766" t="s">
        <v>2089</v>
      </c>
      <c r="G73" s="766" t="s">
        <v>2090</v>
      </c>
      <c r="H73" s="769" t="s">
        <v>751</v>
      </c>
      <c r="I73" s="822" t="s">
        <v>1844</v>
      </c>
      <c r="J73" s="766" t="s">
        <v>11381</v>
      </c>
      <c r="K73" s="766" t="s">
        <v>324</v>
      </c>
      <c r="L73" s="758">
        <v>0</v>
      </c>
      <c r="M73" s="758">
        <v>335</v>
      </c>
      <c r="N73" s="758"/>
      <c r="O73" s="69">
        <f t="shared" si="4"/>
        <v>335</v>
      </c>
      <c r="P73" s="69">
        <f>VLOOKUP(D:D,'Master Table'!C:O,13,FALSE)</f>
        <v>692.69</v>
      </c>
      <c r="Q73" s="111">
        <v>692.69</v>
      </c>
      <c r="R73" s="111">
        <v>1156.76</v>
      </c>
      <c r="S73" s="112">
        <v>1239</v>
      </c>
    </row>
    <row r="74" spans="1:19" ht="30" customHeight="1" x14ac:dyDescent="0.2">
      <c r="A74" s="68" t="str">
        <f t="shared" si="5"/>
        <v>BRE075 / 2142</v>
      </c>
      <c r="B74" s="109" t="s">
        <v>2094</v>
      </c>
      <c r="C74" s="109" t="s">
        <v>7540</v>
      </c>
      <c r="D74" s="429" t="s">
        <v>2091</v>
      </c>
      <c r="E74" s="369" t="str">
        <f>VLOOKUP(D:D,'Master Table'!C:D,2,FALSE)</f>
        <v>2142</v>
      </c>
      <c r="F74" s="766" t="s">
        <v>2091</v>
      </c>
      <c r="G74" s="766" t="s">
        <v>2092</v>
      </c>
      <c r="H74" s="769" t="s">
        <v>2093</v>
      </c>
      <c r="I74" s="822" t="s">
        <v>2094</v>
      </c>
      <c r="J74" s="766" t="s">
        <v>11373</v>
      </c>
      <c r="K74" s="766" t="s">
        <v>324</v>
      </c>
      <c r="L74" s="758">
        <v>0</v>
      </c>
      <c r="M74" s="758">
        <v>375</v>
      </c>
      <c r="N74" s="758"/>
      <c r="O74" s="69">
        <f t="shared" si="4"/>
        <v>375</v>
      </c>
      <c r="P74" s="69">
        <f>VLOOKUP(D:D,'Master Table'!C:O,13,FALSE)</f>
        <v>561.97</v>
      </c>
      <c r="Q74" s="111">
        <v>561.97</v>
      </c>
      <c r="R74" s="111">
        <v>1188.5</v>
      </c>
      <c r="S74" s="112">
        <v>1042.77</v>
      </c>
    </row>
    <row r="75" spans="1:19" ht="30" customHeight="1" x14ac:dyDescent="0.2">
      <c r="A75" s="68" t="str">
        <f t="shared" si="5"/>
        <v>BRE076 / 2143</v>
      </c>
      <c r="B75" s="109" t="s">
        <v>7541</v>
      </c>
      <c r="C75" s="109" t="s">
        <v>7542</v>
      </c>
      <c r="D75" s="429" t="s">
        <v>2095</v>
      </c>
      <c r="E75" s="369" t="str">
        <f>VLOOKUP(D:D,'Master Table'!C:D,2,FALSE)</f>
        <v>2143</v>
      </c>
      <c r="F75" s="766" t="s">
        <v>2095</v>
      </c>
      <c r="G75" s="766" t="s">
        <v>2096</v>
      </c>
      <c r="H75" s="769" t="s">
        <v>2097</v>
      </c>
      <c r="I75" s="822" t="s">
        <v>7541</v>
      </c>
      <c r="J75" s="766" t="s">
        <v>11372</v>
      </c>
      <c r="K75" s="766" t="s">
        <v>324</v>
      </c>
      <c r="L75" s="758">
        <v>968.63</v>
      </c>
      <c r="M75" s="758">
        <v>654</v>
      </c>
      <c r="N75" s="758"/>
      <c r="O75" s="69">
        <f t="shared" si="4"/>
        <v>1622.63</v>
      </c>
      <c r="P75" s="69">
        <f>VLOOKUP(D:D,'Master Table'!C:O,13,FALSE)</f>
        <v>3375.86</v>
      </c>
      <c r="Q75" s="111">
        <v>3375.86</v>
      </c>
      <c r="R75" s="111">
        <v>3352.2200000000003</v>
      </c>
      <c r="S75" s="112">
        <v>2817.11</v>
      </c>
    </row>
    <row r="76" spans="1:19" ht="30" customHeight="1" x14ac:dyDescent="0.2">
      <c r="A76" s="68" t="str">
        <f t="shared" si="5"/>
        <v>BRE078 / 2144</v>
      </c>
      <c r="B76" s="109" t="s">
        <v>7543</v>
      </c>
      <c r="C76" s="109" t="s">
        <v>231</v>
      </c>
      <c r="D76" s="429" t="s">
        <v>2102</v>
      </c>
      <c r="E76" s="369" t="str">
        <f>VLOOKUP(D:D,'Master Table'!C:D,2,FALSE)</f>
        <v>2144</v>
      </c>
      <c r="F76" s="766" t="s">
        <v>2102</v>
      </c>
      <c r="G76" s="766" t="s">
        <v>2103</v>
      </c>
      <c r="H76" s="769" t="s">
        <v>2104</v>
      </c>
      <c r="I76" s="822" t="s">
        <v>11391</v>
      </c>
      <c r="J76" s="766" t="s">
        <v>11372</v>
      </c>
      <c r="K76" s="766" t="s">
        <v>351</v>
      </c>
      <c r="L76" s="758">
        <v>270.02999999999997</v>
      </c>
      <c r="M76" s="758">
        <v>65</v>
      </c>
      <c r="N76" s="758"/>
      <c r="O76" s="69">
        <f t="shared" si="4"/>
        <v>335.03</v>
      </c>
      <c r="P76" s="69">
        <f>VLOOKUP(D:D,'Master Table'!C:O,13,FALSE)</f>
        <v>263.95</v>
      </c>
      <c r="Q76" s="111">
        <v>263.95</v>
      </c>
      <c r="R76" s="111">
        <v>27</v>
      </c>
      <c r="S76" s="112">
        <v>197.45</v>
      </c>
    </row>
    <row r="77" spans="1:19" ht="30" customHeight="1" x14ac:dyDescent="0.2">
      <c r="A77" s="68" t="str">
        <f t="shared" si="5"/>
        <v>BRE079 / 2145</v>
      </c>
      <c r="B77" s="109" t="s">
        <v>7544</v>
      </c>
      <c r="C77" s="109" t="s">
        <v>7545</v>
      </c>
      <c r="D77" s="429" t="s">
        <v>2105</v>
      </c>
      <c r="E77" s="369" t="str">
        <f>VLOOKUP(D:D,'Master Table'!C:D,2,FALSE)</f>
        <v>2145</v>
      </c>
      <c r="F77" s="766" t="s">
        <v>2105</v>
      </c>
      <c r="G77" s="766" t="s">
        <v>2106</v>
      </c>
      <c r="H77" s="769" t="s">
        <v>2107</v>
      </c>
      <c r="I77" s="822" t="s">
        <v>7544</v>
      </c>
      <c r="J77" s="766" t="s">
        <v>11371</v>
      </c>
      <c r="K77" s="766" t="s">
        <v>324</v>
      </c>
      <c r="L77" s="758">
        <v>203.22</v>
      </c>
      <c r="M77" s="758">
        <v>115</v>
      </c>
      <c r="N77" s="758"/>
      <c r="O77" s="69">
        <f t="shared" si="4"/>
        <v>318.22000000000003</v>
      </c>
      <c r="P77" s="69">
        <f>VLOOKUP(D:D,'Master Table'!C:O,13,FALSE)</f>
        <v>198.3</v>
      </c>
      <c r="Q77" s="111">
        <v>198.3</v>
      </c>
      <c r="R77" s="111">
        <v>263.95999999999998</v>
      </c>
      <c r="S77" s="112">
        <v>290.66999999999996</v>
      </c>
    </row>
    <row r="78" spans="1:19" ht="30" customHeight="1" x14ac:dyDescent="0.2">
      <c r="A78" s="68" t="str">
        <f t="shared" si="5"/>
        <v>BRE080 / 2146</v>
      </c>
      <c r="B78" s="109" t="s">
        <v>7546</v>
      </c>
      <c r="C78" s="109" t="s">
        <v>3238</v>
      </c>
      <c r="D78" s="429" t="s">
        <v>2108</v>
      </c>
      <c r="E78" s="369" t="str">
        <f>VLOOKUP(D:D,'Master Table'!C:D,2,FALSE)</f>
        <v>2146</v>
      </c>
      <c r="F78" s="766" t="s">
        <v>2108</v>
      </c>
      <c r="G78" s="766" t="s">
        <v>2109</v>
      </c>
      <c r="H78" s="769" t="s">
        <v>173</v>
      </c>
      <c r="I78" s="822" t="s">
        <v>2110</v>
      </c>
      <c r="J78" s="766" t="s">
        <v>11368</v>
      </c>
      <c r="K78" s="766" t="s">
        <v>324</v>
      </c>
      <c r="L78" s="758">
        <v>123.55</v>
      </c>
      <c r="M78" s="758">
        <v>132</v>
      </c>
      <c r="N78" s="758"/>
      <c r="O78" s="69">
        <f t="shared" si="4"/>
        <v>255.55</v>
      </c>
      <c r="P78" s="69">
        <f>VLOOKUP(D:D,'Master Table'!C:O,13,FALSE)</f>
        <v>215.98000000000002</v>
      </c>
      <c r="Q78" s="111">
        <v>215.98000000000002</v>
      </c>
      <c r="R78" s="111">
        <v>353.1</v>
      </c>
      <c r="S78" s="112">
        <v>794</v>
      </c>
    </row>
    <row r="79" spans="1:19" ht="30" customHeight="1" x14ac:dyDescent="0.2">
      <c r="A79" s="68" t="str">
        <f t="shared" si="5"/>
        <v>BRE081 / 2147</v>
      </c>
      <c r="B79" s="109" t="s">
        <v>2113</v>
      </c>
      <c r="C79" s="109" t="s">
        <v>7280</v>
      </c>
      <c r="D79" s="429" t="s">
        <v>2111</v>
      </c>
      <c r="E79" s="369" t="str">
        <f>VLOOKUP(D:D,'Master Table'!C:D,2,FALSE)</f>
        <v>2147</v>
      </c>
      <c r="F79" s="766" t="s">
        <v>2111</v>
      </c>
      <c r="G79" s="766" t="s">
        <v>2112</v>
      </c>
      <c r="H79" s="769" t="s">
        <v>731</v>
      </c>
      <c r="I79" s="822" t="s">
        <v>11393</v>
      </c>
      <c r="J79" s="766" t="s">
        <v>11373</v>
      </c>
      <c r="K79" s="766" t="s">
        <v>324</v>
      </c>
      <c r="L79" s="758">
        <v>0</v>
      </c>
      <c r="M79" s="758">
        <v>195</v>
      </c>
      <c r="N79" s="758"/>
      <c r="O79" s="69">
        <f t="shared" si="4"/>
        <v>195</v>
      </c>
      <c r="P79" s="69">
        <f>VLOOKUP(D:D,'Master Table'!C:O,13,FALSE)</f>
        <v>588.08000000000004</v>
      </c>
      <c r="Q79" s="111">
        <v>588.08000000000004</v>
      </c>
      <c r="R79" s="111">
        <v>407.91999999999996</v>
      </c>
      <c r="S79" s="112">
        <v>372.37</v>
      </c>
    </row>
    <row r="80" spans="1:19" ht="30" customHeight="1" x14ac:dyDescent="0.2">
      <c r="A80" s="68" t="str">
        <f t="shared" si="5"/>
        <v>BRE082 / 2148</v>
      </c>
      <c r="B80" s="109" t="s">
        <v>7547</v>
      </c>
      <c r="C80" s="109" t="s">
        <v>3238</v>
      </c>
      <c r="D80" s="429" t="s">
        <v>2114</v>
      </c>
      <c r="E80" s="369" t="str">
        <f>VLOOKUP(D:D,'Master Table'!C:D,2,FALSE)</f>
        <v>2148</v>
      </c>
      <c r="F80" s="766" t="s">
        <v>2114</v>
      </c>
      <c r="G80" s="766" t="s">
        <v>2115</v>
      </c>
      <c r="H80" s="769" t="s">
        <v>173</v>
      </c>
      <c r="I80" s="830" t="s">
        <v>7547</v>
      </c>
      <c r="J80" s="831" t="s">
        <v>11376</v>
      </c>
      <c r="K80" s="766" t="s">
        <v>324</v>
      </c>
      <c r="L80" s="758">
        <v>146.06</v>
      </c>
      <c r="M80" s="758"/>
      <c r="N80" s="758">
        <v>35.700000000000003</v>
      </c>
      <c r="O80" s="69">
        <f t="shared" si="4"/>
        <v>181.76</v>
      </c>
      <c r="P80" s="69">
        <f>VLOOKUP(D:D,'Master Table'!C:O,13,FALSE)</f>
        <v>158.21</v>
      </c>
      <c r="Q80" s="111">
        <v>158.21</v>
      </c>
      <c r="R80" s="111">
        <v>221.45</v>
      </c>
      <c r="S80" s="112">
        <v>337.15</v>
      </c>
    </row>
    <row r="81" spans="1:19" ht="30" customHeight="1" x14ac:dyDescent="0.2">
      <c r="A81" s="68" t="str">
        <f t="shared" si="5"/>
        <v>BRE083 / 2149</v>
      </c>
      <c r="B81" s="109" t="s">
        <v>7548</v>
      </c>
      <c r="C81" s="109" t="s">
        <v>896</v>
      </c>
      <c r="D81" s="429" t="s">
        <v>2116</v>
      </c>
      <c r="E81" s="369" t="str">
        <f>VLOOKUP(D:D,'Master Table'!C:D,2,FALSE)</f>
        <v>2149</v>
      </c>
      <c r="F81" s="766" t="s">
        <v>2116</v>
      </c>
      <c r="G81" s="766" t="s">
        <v>2117</v>
      </c>
      <c r="H81" s="769" t="s">
        <v>1980</v>
      </c>
      <c r="I81" s="824" t="s">
        <v>2033</v>
      </c>
      <c r="J81" s="749"/>
      <c r="K81" s="766" t="s">
        <v>324</v>
      </c>
      <c r="L81" s="758">
        <v>0</v>
      </c>
      <c r="M81" s="758">
        <v>20</v>
      </c>
      <c r="N81" s="758"/>
      <c r="O81" s="69">
        <f t="shared" si="4"/>
        <v>20</v>
      </c>
      <c r="P81" s="69">
        <f>VLOOKUP(D:D,'Master Table'!C:O,13,FALSE)</f>
        <v>60</v>
      </c>
      <c r="Q81" s="111">
        <v>60</v>
      </c>
      <c r="R81" s="111">
        <v>650</v>
      </c>
      <c r="S81" s="112">
        <v>80</v>
      </c>
    </row>
    <row r="82" spans="1:19" ht="30" customHeight="1" x14ac:dyDescent="0.2">
      <c r="A82" s="68" t="str">
        <f t="shared" si="5"/>
        <v>BRE084 / 2150</v>
      </c>
      <c r="B82" s="109" t="s">
        <v>7549</v>
      </c>
      <c r="C82" s="109" t="s">
        <v>7550</v>
      </c>
      <c r="D82" s="429" t="s">
        <v>2118</v>
      </c>
      <c r="E82" s="369" t="str">
        <f>VLOOKUP(D:D,'Master Table'!C:D,2,FALSE)</f>
        <v>2150</v>
      </c>
      <c r="F82" s="766" t="s">
        <v>2118</v>
      </c>
      <c r="G82" s="766" t="s">
        <v>2119</v>
      </c>
      <c r="H82" s="769" t="s">
        <v>2120</v>
      </c>
      <c r="I82" s="822" t="s">
        <v>7549</v>
      </c>
      <c r="J82" s="766" t="s">
        <v>11368</v>
      </c>
      <c r="K82" s="766" t="s">
        <v>324</v>
      </c>
      <c r="L82" s="758">
        <v>210</v>
      </c>
      <c r="M82" s="758">
        <v>10</v>
      </c>
      <c r="N82" s="758"/>
      <c r="O82" s="69">
        <f t="shared" si="4"/>
        <v>220</v>
      </c>
      <c r="P82" s="69">
        <f>VLOOKUP(D:D,'Master Table'!C:O,13,FALSE)</f>
        <v>785</v>
      </c>
      <c r="Q82" s="111">
        <v>785</v>
      </c>
      <c r="R82" s="111">
        <v>772.1</v>
      </c>
      <c r="S82" s="112">
        <v>706.61</v>
      </c>
    </row>
    <row r="83" spans="1:19" ht="30" customHeight="1" x14ac:dyDescent="0.2">
      <c r="A83" s="68" t="str">
        <f t="shared" si="5"/>
        <v>BRE085 / 2151</v>
      </c>
      <c r="B83" s="109" t="s">
        <v>2124</v>
      </c>
      <c r="C83" s="109" t="s">
        <v>532</v>
      </c>
      <c r="D83" s="429" t="s">
        <v>2122</v>
      </c>
      <c r="E83" s="369" t="str">
        <f>VLOOKUP(D:D,'Master Table'!C:D,2,FALSE)</f>
        <v>2151</v>
      </c>
      <c r="F83" s="766" t="s">
        <v>2122</v>
      </c>
      <c r="G83" s="766" t="s">
        <v>2123</v>
      </c>
      <c r="H83" s="769" t="s">
        <v>61</v>
      </c>
      <c r="I83" s="824" t="s">
        <v>2124</v>
      </c>
      <c r="J83" s="749"/>
      <c r="K83" s="766" t="s">
        <v>324</v>
      </c>
      <c r="L83" s="758">
        <v>0</v>
      </c>
      <c r="M83" s="758">
        <v>270</v>
      </c>
      <c r="N83" s="758"/>
      <c r="O83" s="69">
        <f t="shared" si="4"/>
        <v>270</v>
      </c>
      <c r="P83" s="69">
        <f>VLOOKUP(D:D,'Master Table'!C:O,13,FALSE)</f>
        <v>415.88</v>
      </c>
      <c r="Q83" s="111">
        <v>415.88</v>
      </c>
      <c r="R83" s="111">
        <v>227</v>
      </c>
      <c r="S83" s="112">
        <v>1212.2</v>
      </c>
    </row>
    <row r="84" spans="1:19" ht="30" customHeight="1" x14ac:dyDescent="0.2">
      <c r="A84" s="68" t="str">
        <f t="shared" si="5"/>
        <v>BRE086 / 2152</v>
      </c>
      <c r="B84" s="109" t="s">
        <v>7551</v>
      </c>
      <c r="C84" s="109" t="s">
        <v>7540</v>
      </c>
      <c r="D84" s="429" t="s">
        <v>2128</v>
      </c>
      <c r="E84" s="369" t="str">
        <f>VLOOKUP(D:D,'Master Table'!C:D,2,FALSE)</f>
        <v>2152</v>
      </c>
      <c r="F84" s="766" t="s">
        <v>2128</v>
      </c>
      <c r="G84" s="766" t="s">
        <v>2129</v>
      </c>
      <c r="H84" s="769" t="s">
        <v>2093</v>
      </c>
      <c r="I84" s="824" t="s">
        <v>1832</v>
      </c>
      <c r="J84" s="749"/>
      <c r="K84" s="766" t="s">
        <v>324</v>
      </c>
      <c r="L84" s="758">
        <v>0</v>
      </c>
      <c r="M84" s="758">
        <v>130</v>
      </c>
      <c r="N84" s="758"/>
      <c r="O84" s="69">
        <f t="shared" si="4"/>
        <v>130</v>
      </c>
      <c r="P84" s="69">
        <f>VLOOKUP(D:D,'Master Table'!C:O,13,FALSE)</f>
        <v>167.59</v>
      </c>
      <c r="Q84" s="111">
        <v>167.59</v>
      </c>
      <c r="R84" s="111">
        <v>182.85</v>
      </c>
      <c r="S84" s="112">
        <v>145</v>
      </c>
    </row>
    <row r="85" spans="1:19" ht="30" customHeight="1" x14ac:dyDescent="0.2">
      <c r="A85" s="68" t="str">
        <f t="shared" si="5"/>
        <v>BRE087 / 2153</v>
      </c>
      <c r="B85" s="109" t="s">
        <v>7552</v>
      </c>
      <c r="C85" s="109" t="s">
        <v>7553</v>
      </c>
      <c r="D85" s="429" t="s">
        <v>2130</v>
      </c>
      <c r="E85" s="369" t="str">
        <f>VLOOKUP(D:D,'Master Table'!C:D,2,FALSE)</f>
        <v>2153</v>
      </c>
      <c r="F85" s="766" t="s">
        <v>2130</v>
      </c>
      <c r="G85" s="766" t="s">
        <v>2131</v>
      </c>
      <c r="H85" s="769" t="s">
        <v>2132</v>
      </c>
      <c r="I85" s="822" t="s">
        <v>2133</v>
      </c>
      <c r="J85" s="766" t="s">
        <v>11385</v>
      </c>
      <c r="K85" s="766" t="s">
        <v>324</v>
      </c>
      <c r="L85" s="758">
        <v>0</v>
      </c>
      <c r="M85" s="758">
        <v>196</v>
      </c>
      <c r="N85" s="758"/>
      <c r="O85" s="69">
        <f t="shared" si="4"/>
        <v>196</v>
      </c>
      <c r="P85" s="69">
        <f>VLOOKUP(D:D,'Master Table'!C:O,13,FALSE)</f>
        <v>166</v>
      </c>
      <c r="Q85" s="111">
        <v>166</v>
      </c>
      <c r="R85" s="111">
        <v>293.24</v>
      </c>
      <c r="S85" s="112">
        <v>171</v>
      </c>
    </row>
    <row r="86" spans="1:19" ht="30" customHeight="1" x14ac:dyDescent="0.2">
      <c r="A86" s="68" t="str">
        <f t="shared" si="5"/>
        <v>BRE088 / 2154</v>
      </c>
      <c r="B86" s="109" t="s">
        <v>7554</v>
      </c>
      <c r="C86" s="109" t="s">
        <v>7555</v>
      </c>
      <c r="D86" s="429" t="s">
        <v>2137</v>
      </c>
      <c r="E86" s="369" t="str">
        <f>VLOOKUP(D:D,'Master Table'!C:D,2,FALSE)</f>
        <v>2154</v>
      </c>
      <c r="F86" s="766" t="s">
        <v>2137</v>
      </c>
      <c r="G86" s="766" t="s">
        <v>2138</v>
      </c>
      <c r="H86" s="769" t="s">
        <v>2139</v>
      </c>
      <c r="I86" s="824" t="s">
        <v>1832</v>
      </c>
      <c r="J86" s="749"/>
      <c r="K86" s="766" t="s">
        <v>324</v>
      </c>
      <c r="L86" s="758">
        <v>0</v>
      </c>
      <c r="M86" s="758">
        <v>40</v>
      </c>
      <c r="N86" s="758"/>
      <c r="O86" s="69">
        <f t="shared" si="4"/>
        <v>40</v>
      </c>
      <c r="P86" s="69">
        <f>VLOOKUP(D:D,'Master Table'!C:O,13,FALSE)</f>
        <v>482.68</v>
      </c>
      <c r="Q86" s="111">
        <v>482.68</v>
      </c>
      <c r="R86" s="111">
        <v>641.91</v>
      </c>
      <c r="S86" s="112">
        <v>1129.94</v>
      </c>
    </row>
    <row r="87" spans="1:19" ht="30" customHeight="1" x14ac:dyDescent="0.2">
      <c r="A87" s="68" t="str">
        <f t="shared" si="5"/>
        <v>BRE089 / 2155</v>
      </c>
      <c r="B87" s="109" t="s">
        <v>7554</v>
      </c>
      <c r="C87" s="109" t="s">
        <v>7556</v>
      </c>
      <c r="D87" s="429" t="s">
        <v>2140</v>
      </c>
      <c r="E87" s="369" t="str">
        <f>VLOOKUP(D:D,'Master Table'!C:D,2,FALSE)</f>
        <v>2155</v>
      </c>
      <c r="F87" s="766" t="s">
        <v>2140</v>
      </c>
      <c r="G87" s="766" t="s">
        <v>2141</v>
      </c>
      <c r="H87" s="769" t="s">
        <v>2142</v>
      </c>
      <c r="I87" s="824" t="s">
        <v>1832</v>
      </c>
      <c r="J87" s="749"/>
      <c r="K87" s="766" t="s">
        <v>324</v>
      </c>
      <c r="L87" s="758">
        <v>367.68</v>
      </c>
      <c r="M87" s="758">
        <v>585</v>
      </c>
      <c r="N87" s="758"/>
      <c r="O87" s="69">
        <f t="shared" si="4"/>
        <v>952.68000000000006</v>
      </c>
      <c r="P87" s="69">
        <f>VLOOKUP(D:D,'Master Table'!C:O,13,FALSE)</f>
        <v>1023.09</v>
      </c>
      <c r="Q87" s="111">
        <v>1023.09</v>
      </c>
      <c r="R87" s="111">
        <v>1050.8400000000001</v>
      </c>
      <c r="S87" s="112">
        <v>1601.33</v>
      </c>
    </row>
    <row r="88" spans="1:19" ht="30" customHeight="1" x14ac:dyDescent="0.2">
      <c r="A88" s="68" t="str">
        <f t="shared" si="5"/>
        <v>BRE090 / 2156</v>
      </c>
      <c r="B88" s="109" t="s">
        <v>7484</v>
      </c>
      <c r="C88" s="109" t="s">
        <v>916</v>
      </c>
      <c r="D88" s="429" t="s">
        <v>2143</v>
      </c>
      <c r="E88" s="369" t="str">
        <f>VLOOKUP(D:D,'Master Table'!C:D,2,FALSE)</f>
        <v>2156</v>
      </c>
      <c r="F88" s="766" t="s">
        <v>2143</v>
      </c>
      <c r="G88" s="766" t="s">
        <v>2144</v>
      </c>
      <c r="H88" s="769" t="s">
        <v>214</v>
      </c>
      <c r="I88" s="822" t="s">
        <v>7484</v>
      </c>
      <c r="J88" s="766" t="s">
        <v>11379</v>
      </c>
      <c r="K88" s="766" t="s">
        <v>324</v>
      </c>
      <c r="L88" s="758">
        <v>27.44</v>
      </c>
      <c r="M88" s="758">
        <v>380</v>
      </c>
      <c r="N88" s="758"/>
      <c r="O88" s="69">
        <f t="shared" si="4"/>
        <v>407.44</v>
      </c>
      <c r="P88" s="69">
        <f>VLOOKUP(D:D,'Master Table'!C:O,13,FALSE)</f>
        <v>1235.9899999999998</v>
      </c>
      <c r="Q88" s="111">
        <v>1235.9899999999998</v>
      </c>
      <c r="R88" s="111">
        <v>634.94000000000005</v>
      </c>
      <c r="S88" s="112">
        <v>844.14</v>
      </c>
    </row>
    <row r="89" spans="1:19" ht="30" customHeight="1" x14ac:dyDescent="0.2">
      <c r="A89" s="68" t="str">
        <f t="shared" si="5"/>
        <v>BRE091 / 2157</v>
      </c>
      <c r="B89" s="109" t="s">
        <v>7557</v>
      </c>
      <c r="C89" s="109" t="s">
        <v>7317</v>
      </c>
      <c r="D89" s="429" t="s">
        <v>2145</v>
      </c>
      <c r="E89" s="369" t="str">
        <f>VLOOKUP(D:D,'Master Table'!C:D,2,FALSE)</f>
        <v>2157</v>
      </c>
      <c r="F89" s="766" t="s">
        <v>2145</v>
      </c>
      <c r="G89" s="766" t="s">
        <v>2146</v>
      </c>
      <c r="H89" s="769" t="s">
        <v>2147</v>
      </c>
      <c r="I89" s="824" t="s">
        <v>1832</v>
      </c>
      <c r="J89" s="749"/>
      <c r="K89" s="766" t="s">
        <v>324</v>
      </c>
      <c r="L89" s="758">
        <v>856.06</v>
      </c>
      <c r="M89" s="758">
        <v>1900</v>
      </c>
      <c r="N89" s="758">
        <v>1791.26</v>
      </c>
      <c r="O89" s="69">
        <f t="shared" si="4"/>
        <v>4547.32</v>
      </c>
      <c r="P89" s="69">
        <f>VLOOKUP(D:D,'Master Table'!C:O,13,FALSE)</f>
        <v>1184.5999999999999</v>
      </c>
      <c r="Q89" s="111">
        <v>1184.5999999999999</v>
      </c>
      <c r="R89" s="111">
        <v>1240</v>
      </c>
      <c r="S89" s="112">
        <v>1697.65</v>
      </c>
    </row>
    <row r="90" spans="1:19" ht="30" customHeight="1" x14ac:dyDescent="0.2">
      <c r="A90" s="68" t="str">
        <f t="shared" si="5"/>
        <v>BRE092 / 0441998</v>
      </c>
      <c r="B90" s="109" t="s">
        <v>1667</v>
      </c>
      <c r="C90" s="109" t="s">
        <v>7558</v>
      </c>
      <c r="D90" s="429" t="s">
        <v>2148</v>
      </c>
      <c r="E90" s="369" t="str">
        <f>VLOOKUP(D:D,'Master Table'!C:D,2,FALSE)</f>
        <v>0441998</v>
      </c>
      <c r="F90" s="766" t="s">
        <v>2148</v>
      </c>
      <c r="G90" s="766" t="s">
        <v>2149</v>
      </c>
      <c r="H90" s="769" t="s">
        <v>2150</v>
      </c>
      <c r="I90" s="822" t="s">
        <v>1780</v>
      </c>
      <c r="J90" s="766" t="s">
        <v>7469</v>
      </c>
      <c r="K90" s="766" t="s">
        <v>324</v>
      </c>
      <c r="L90" s="758">
        <v>0</v>
      </c>
      <c r="M90" s="758"/>
      <c r="N90" s="758"/>
      <c r="O90" s="69">
        <f t="shared" si="4"/>
        <v>0</v>
      </c>
      <c r="P90" s="69">
        <f>VLOOKUP(D:D,'Master Table'!C:O,13,FALSE)</f>
        <v>0</v>
      </c>
      <c r="Q90" s="111">
        <v>0</v>
      </c>
      <c r="R90" s="111">
        <v>30</v>
      </c>
      <c r="S90" s="112">
        <v>30</v>
      </c>
    </row>
    <row r="91" spans="1:19" ht="30" customHeight="1" x14ac:dyDescent="0.2">
      <c r="A91" s="68" t="str">
        <f t="shared" si="5"/>
        <v>BRE093 / 2159</v>
      </c>
      <c r="B91" s="109" t="s">
        <v>2154</v>
      </c>
      <c r="C91" s="109" t="s">
        <v>7559</v>
      </c>
      <c r="D91" s="429" t="s">
        <v>2151</v>
      </c>
      <c r="E91" s="369" t="str">
        <f>VLOOKUP(D:D,'Master Table'!C:D,2,FALSE)</f>
        <v>2159</v>
      </c>
      <c r="F91" s="766" t="s">
        <v>2151</v>
      </c>
      <c r="G91" s="766" t="s">
        <v>2152</v>
      </c>
      <c r="H91" s="769" t="s">
        <v>2153</v>
      </c>
      <c r="I91" s="824" t="s">
        <v>2154</v>
      </c>
      <c r="J91" s="749"/>
      <c r="K91" s="766" t="s">
        <v>324</v>
      </c>
      <c r="L91" s="758">
        <v>83.44</v>
      </c>
      <c r="M91" s="758">
        <v>75</v>
      </c>
      <c r="N91" s="758"/>
      <c r="O91" s="69">
        <f t="shared" si="4"/>
        <v>158.44</v>
      </c>
      <c r="P91" s="69">
        <f>VLOOKUP(D:D,'Master Table'!C:O,13,FALSE)</f>
        <v>200.61</v>
      </c>
      <c r="Q91" s="111">
        <v>200.61</v>
      </c>
      <c r="R91" s="111">
        <v>327.07</v>
      </c>
      <c r="S91" s="112">
        <v>718.41</v>
      </c>
    </row>
    <row r="92" spans="1:19" ht="30" customHeight="1" x14ac:dyDescent="0.2">
      <c r="A92" s="68" t="str">
        <f t="shared" si="5"/>
        <v>BRE094 / 2160</v>
      </c>
      <c r="B92" s="109" t="s">
        <v>2158</v>
      </c>
      <c r="C92" s="109" t="s">
        <v>4017</v>
      </c>
      <c r="D92" s="429" t="s">
        <v>2155</v>
      </c>
      <c r="E92" s="369" t="str">
        <f>VLOOKUP(D:D,'Master Table'!C:D,2,FALSE)</f>
        <v>2160</v>
      </c>
      <c r="F92" s="766" t="s">
        <v>2155</v>
      </c>
      <c r="G92" s="766" t="s">
        <v>2156</v>
      </c>
      <c r="H92" s="769" t="s">
        <v>2157</v>
      </c>
      <c r="I92" s="824" t="s">
        <v>2158</v>
      </c>
      <c r="J92" s="749"/>
      <c r="K92" s="766" t="s">
        <v>324</v>
      </c>
      <c r="L92" s="758">
        <v>0</v>
      </c>
      <c r="M92" s="758">
        <v>190</v>
      </c>
      <c r="N92" s="758"/>
      <c r="O92" s="69">
        <f t="shared" si="4"/>
        <v>190</v>
      </c>
      <c r="P92" s="69">
        <f>VLOOKUP(D:D,'Master Table'!C:O,13,FALSE)</f>
        <v>1048.4099999999999</v>
      </c>
      <c r="Q92" s="111">
        <v>1048.4099999999999</v>
      </c>
      <c r="R92" s="111">
        <v>1187.4099999999999</v>
      </c>
      <c r="S92" s="112">
        <v>1342.35</v>
      </c>
    </row>
    <row r="93" spans="1:19" ht="30" customHeight="1" x14ac:dyDescent="0.2">
      <c r="A93" s="68" t="str">
        <f t="shared" si="5"/>
        <v>BRE095 / 2161</v>
      </c>
      <c r="B93" s="109" t="s">
        <v>2166</v>
      </c>
      <c r="C93" s="109" t="s">
        <v>7560</v>
      </c>
      <c r="D93" s="429" t="s">
        <v>2159</v>
      </c>
      <c r="E93" s="369" t="str">
        <f>VLOOKUP(D:D,'Master Table'!C:D,2,FALSE)</f>
        <v>2161</v>
      </c>
      <c r="F93" s="766" t="s">
        <v>2159</v>
      </c>
      <c r="G93" s="766" t="s">
        <v>2160</v>
      </c>
      <c r="H93" s="769" t="s">
        <v>2161</v>
      </c>
      <c r="I93" s="822" t="s">
        <v>2166</v>
      </c>
      <c r="J93" s="766" t="s">
        <v>11376</v>
      </c>
      <c r="K93" s="766" t="s">
        <v>324</v>
      </c>
      <c r="L93" s="758">
        <v>0</v>
      </c>
      <c r="M93" s="758">
        <v>309</v>
      </c>
      <c r="N93" s="758"/>
      <c r="O93" s="69">
        <f t="shared" si="4"/>
        <v>309</v>
      </c>
      <c r="P93" s="69">
        <f>VLOOKUP(D:D,'Master Table'!C:O,13,FALSE)</f>
        <v>571.74</v>
      </c>
      <c r="Q93" s="111">
        <v>571.74</v>
      </c>
      <c r="R93" s="111">
        <v>2456</v>
      </c>
      <c r="S93" s="112">
        <v>314</v>
      </c>
    </row>
    <row r="94" spans="1:19" ht="30" customHeight="1" x14ac:dyDescent="0.2">
      <c r="A94" s="68" t="str">
        <f t="shared" si="5"/>
        <v>BRE096 / 2162</v>
      </c>
      <c r="B94" s="109" t="s">
        <v>2169</v>
      </c>
      <c r="C94" s="109" t="s">
        <v>78</v>
      </c>
      <c r="D94" s="429" t="s">
        <v>2167</v>
      </c>
      <c r="E94" s="369" t="str">
        <f>VLOOKUP(D:D,'Master Table'!C:D,2,FALSE)</f>
        <v>2162</v>
      </c>
      <c r="F94" s="766" t="s">
        <v>2167</v>
      </c>
      <c r="G94" s="766" t="s">
        <v>2168</v>
      </c>
      <c r="H94" s="769" t="s">
        <v>78</v>
      </c>
      <c r="I94" s="824" t="s">
        <v>2169</v>
      </c>
      <c r="J94" s="749"/>
      <c r="K94" s="766" t="s">
        <v>324</v>
      </c>
      <c r="L94" s="758">
        <v>0</v>
      </c>
      <c r="M94" s="758">
        <v>90</v>
      </c>
      <c r="N94" s="758"/>
      <c r="O94" s="69">
        <f t="shared" si="4"/>
        <v>90</v>
      </c>
      <c r="P94" s="69">
        <f>VLOOKUP(D:D,'Master Table'!C:O,13,FALSE)</f>
        <v>75</v>
      </c>
      <c r="Q94" s="111">
        <v>75</v>
      </c>
      <c r="R94" s="111">
        <v>200</v>
      </c>
      <c r="S94" s="112">
        <v>276</v>
      </c>
    </row>
    <row r="95" spans="1:19" ht="30" customHeight="1" x14ac:dyDescent="0.2">
      <c r="A95" s="68" t="str">
        <f t="shared" ref="A95" si="7">D95&amp;" / "&amp;E95</f>
        <v>BRE097 / 2075</v>
      </c>
      <c r="B95" s="109" t="s">
        <v>11394</v>
      </c>
      <c r="C95" s="109" t="s">
        <v>2172</v>
      </c>
      <c r="D95" s="429" t="s">
        <v>2170</v>
      </c>
      <c r="E95" s="369" t="str">
        <f>VLOOKUP(D:D,'Master Table'!C:D,2,FALSE)</f>
        <v>2075</v>
      </c>
      <c r="F95" s="766" t="s">
        <v>2170</v>
      </c>
      <c r="G95" s="766" t="s">
        <v>2171</v>
      </c>
      <c r="H95" s="769" t="s">
        <v>2172</v>
      </c>
      <c r="I95" s="822" t="s">
        <v>11394</v>
      </c>
      <c r="J95" s="766" t="s">
        <v>11380</v>
      </c>
      <c r="K95" s="766" t="s">
        <v>351</v>
      </c>
      <c r="L95" s="758">
        <v>227.31</v>
      </c>
      <c r="M95" s="758">
        <v>190</v>
      </c>
      <c r="N95" s="758"/>
      <c r="O95" s="69">
        <f t="shared" si="4"/>
        <v>417.31</v>
      </c>
      <c r="P95" s="69">
        <f>VLOOKUP(D:D,'Master Table'!C:O,13,FALSE)</f>
        <v>444.74</v>
      </c>
      <c r="Q95" s="111">
        <v>444.74</v>
      </c>
      <c r="R95" s="111">
        <v>0</v>
      </c>
      <c r="S95" s="112"/>
    </row>
    <row r="96" spans="1:19" ht="30" customHeight="1" x14ac:dyDescent="0.2">
      <c r="A96" s="68" t="str">
        <f t="shared" si="5"/>
        <v>BRE099 / 2164</v>
      </c>
      <c r="B96" s="109" t="s">
        <v>7561</v>
      </c>
      <c r="C96" s="109" t="s">
        <v>1160</v>
      </c>
      <c r="D96" s="429" t="s">
        <v>2174</v>
      </c>
      <c r="E96" s="369" t="str">
        <f>VLOOKUP(D:D,'Master Table'!C:D,2,FALSE)</f>
        <v>2164</v>
      </c>
      <c r="F96" s="766" t="s">
        <v>2174</v>
      </c>
      <c r="G96" s="766" t="s">
        <v>2175</v>
      </c>
      <c r="H96" s="769" t="s">
        <v>2176</v>
      </c>
      <c r="I96" s="822" t="s">
        <v>7561</v>
      </c>
      <c r="J96" s="766" t="s">
        <v>11376</v>
      </c>
      <c r="K96" s="766" t="s">
        <v>324</v>
      </c>
      <c r="L96" s="758">
        <v>0</v>
      </c>
      <c r="M96" s="758">
        <v>310</v>
      </c>
      <c r="N96" s="758"/>
      <c r="O96" s="69">
        <f t="shared" si="4"/>
        <v>310</v>
      </c>
      <c r="P96" s="69">
        <f>VLOOKUP(D:D,'Master Table'!C:O,13,FALSE)</f>
        <v>116.56</v>
      </c>
      <c r="Q96" s="111">
        <v>116.56</v>
      </c>
      <c r="R96" s="111">
        <v>60</v>
      </c>
      <c r="S96" s="112">
        <v>84.5</v>
      </c>
    </row>
    <row r="97" spans="1:19" ht="30" customHeight="1" x14ac:dyDescent="0.2">
      <c r="A97" s="68" t="str">
        <f t="shared" si="5"/>
        <v>BRE999 / 2168</v>
      </c>
      <c r="B97" s="109" t="s">
        <v>8281</v>
      </c>
      <c r="C97" s="109" t="s">
        <v>7261</v>
      </c>
      <c r="D97" s="429" t="s">
        <v>2188</v>
      </c>
      <c r="E97" s="369" t="str">
        <f>VLOOKUP(D:D,'Master Table'!C:D,2,FALSE)</f>
        <v>2168</v>
      </c>
      <c r="F97" s="766" t="s">
        <v>2188</v>
      </c>
      <c r="G97" s="766" t="s">
        <v>2189</v>
      </c>
      <c r="H97" s="769" t="s">
        <v>2190</v>
      </c>
      <c r="I97" s="750"/>
      <c r="J97" s="749"/>
      <c r="K97" s="766" t="s">
        <v>324</v>
      </c>
      <c r="L97" s="758">
        <v>0</v>
      </c>
      <c r="M97" s="758">
        <v>4050</v>
      </c>
      <c r="N97" s="758">
        <v>807.08</v>
      </c>
      <c r="O97" s="69">
        <f t="shared" si="4"/>
        <v>4857.08</v>
      </c>
      <c r="P97" s="69">
        <f>VLOOKUP(D:D,'Master Table'!C:O,13,FALSE)</f>
        <v>10</v>
      </c>
      <c r="Q97" s="111">
        <v>10</v>
      </c>
      <c r="R97" s="9">
        <v>343</v>
      </c>
      <c r="S97" s="118">
        <v>775</v>
      </c>
    </row>
    <row r="98" spans="1:19" ht="13.5" thickBot="1" x14ac:dyDescent="0.25"/>
    <row r="99" spans="1:19" s="74" customFormat="1" ht="83.25" customHeight="1" thickBot="1" x14ac:dyDescent="0.25">
      <c r="A99" s="854" t="s">
        <v>10987</v>
      </c>
      <c r="B99" s="855"/>
      <c r="C99" s="855"/>
      <c r="D99" s="855"/>
      <c r="E99" s="855"/>
      <c r="F99" s="855"/>
      <c r="G99" s="855"/>
      <c r="H99" s="855"/>
      <c r="I99" s="855"/>
      <c r="J99" s="855"/>
      <c r="K99" s="855"/>
      <c r="L99" s="855"/>
      <c r="M99" s="855"/>
      <c r="N99" s="855"/>
      <c r="O99" s="855"/>
    </row>
    <row r="100" spans="1:19" s="74" customFormat="1" ht="15" x14ac:dyDescent="0.2">
      <c r="A100" s="718"/>
      <c r="B100" s="718"/>
      <c r="C100" s="718"/>
    </row>
    <row r="101" spans="1:19" s="74" customFormat="1" ht="30" x14ac:dyDescent="0.2">
      <c r="A101" s="763" t="s">
        <v>7422</v>
      </c>
      <c r="B101" s="764" t="s">
        <v>11007</v>
      </c>
      <c r="C101" s="715"/>
    </row>
    <row r="102" spans="1:19" s="74" customFormat="1" ht="45" x14ac:dyDescent="0.2">
      <c r="A102" s="763" t="s">
        <v>10990</v>
      </c>
      <c r="B102" s="764" t="s">
        <v>11008</v>
      </c>
      <c r="C102" s="715"/>
    </row>
    <row r="103" spans="1:19" s="74" customFormat="1" ht="45" x14ac:dyDescent="0.2">
      <c r="A103" s="763" t="s">
        <v>10991</v>
      </c>
      <c r="B103" s="764" t="s">
        <v>11009</v>
      </c>
      <c r="C103" s="715"/>
    </row>
    <row r="104" spans="1:19" ht="15" x14ac:dyDescent="0.2">
      <c r="C104" s="543"/>
      <c r="P104" s="19"/>
      <c r="Q104" s="85"/>
      <c r="R104" s="572"/>
      <c r="S104" s="573"/>
    </row>
    <row r="105" spans="1:19" x14ac:dyDescent="0.2">
      <c r="P105" s="19"/>
      <c r="Q105" s="19"/>
      <c r="R105" s="19"/>
    </row>
    <row r="106" spans="1:19" x14ac:dyDescent="0.2">
      <c r="P106" s="19"/>
      <c r="Q106" s="19"/>
      <c r="R106" s="19"/>
    </row>
    <row r="107" spans="1:19" x14ac:dyDescent="0.2">
      <c r="D107" s="86"/>
      <c r="E107" s="86"/>
    </row>
    <row r="108" spans="1:19" ht="22.5" customHeight="1" x14ac:dyDescent="0.2">
      <c r="D108" s="86"/>
      <c r="E108" s="86"/>
    </row>
    <row r="109" spans="1:19" x14ac:dyDescent="0.2">
      <c r="D109" s="86"/>
      <c r="E109" s="86"/>
    </row>
    <row r="110" spans="1:19" x14ac:dyDescent="0.2">
      <c r="D110" s="86"/>
      <c r="E110" s="86"/>
    </row>
    <row r="111" spans="1:19" s="354" customFormat="1" ht="30" customHeight="1" x14ac:dyDescent="0.2">
      <c r="F111" s="19"/>
      <c r="G111" s="19"/>
      <c r="H111" s="19"/>
      <c r="I111" s="86"/>
      <c r="J111" s="86"/>
      <c r="K111" s="86"/>
      <c r="L111" s="86"/>
      <c r="M111" s="86"/>
      <c r="N111" s="86"/>
      <c r="O111" s="86"/>
    </row>
    <row r="112" spans="1:19" s="354" customFormat="1" ht="30" customHeight="1" x14ac:dyDescent="0.2">
      <c r="F112" s="19"/>
      <c r="G112" s="19"/>
      <c r="H112" s="19"/>
      <c r="I112" s="86"/>
      <c r="J112" s="86"/>
      <c r="K112" s="86"/>
      <c r="L112" s="86"/>
      <c r="M112" s="86"/>
      <c r="N112" s="86"/>
      <c r="O112" s="86"/>
    </row>
    <row r="113" spans="4:18" x14ac:dyDescent="0.2">
      <c r="D113" s="86"/>
      <c r="E113" s="86"/>
    </row>
    <row r="114" spans="4:18" x14ac:dyDescent="0.2">
      <c r="D114" s="86"/>
      <c r="E114" s="86"/>
    </row>
    <row r="115" spans="4:18" x14ac:dyDescent="0.2">
      <c r="D115" s="86"/>
      <c r="E115" s="86"/>
    </row>
    <row r="116" spans="4:18" x14ac:dyDescent="0.2">
      <c r="D116" s="86"/>
      <c r="E116" s="86"/>
    </row>
    <row r="117" spans="4:18" x14ac:dyDescent="0.2">
      <c r="D117" s="86"/>
      <c r="E117" s="86"/>
    </row>
    <row r="118" spans="4:18" x14ac:dyDescent="0.2">
      <c r="P118" s="19"/>
      <c r="Q118" s="19"/>
      <c r="R118" s="19"/>
    </row>
    <row r="119" spans="4:18" x14ac:dyDescent="0.2">
      <c r="P119" s="19"/>
      <c r="Q119" s="19"/>
      <c r="R119" s="19"/>
    </row>
    <row r="120" spans="4:18" x14ac:dyDescent="0.2">
      <c r="P120" s="19"/>
      <c r="Q120" s="19"/>
      <c r="R120" s="19"/>
    </row>
    <row r="121" spans="4:18" x14ac:dyDescent="0.2">
      <c r="P121" s="19"/>
      <c r="Q121" s="19"/>
      <c r="R121" s="19"/>
    </row>
    <row r="122" spans="4:18" x14ac:dyDescent="0.2">
      <c r="P122" s="19"/>
      <c r="Q122" s="19"/>
      <c r="R122" s="19"/>
    </row>
    <row r="123" spans="4:18" x14ac:dyDescent="0.2">
      <c r="P123" s="19"/>
      <c r="Q123" s="19"/>
      <c r="R123" s="19"/>
    </row>
    <row r="124" spans="4:18" x14ac:dyDescent="0.2">
      <c r="P124" s="19"/>
      <c r="Q124" s="19"/>
      <c r="R124" s="19"/>
    </row>
    <row r="125" spans="4:18" x14ac:dyDescent="0.2">
      <c r="P125" s="19"/>
      <c r="Q125" s="19"/>
      <c r="R125" s="19"/>
    </row>
    <row r="126" spans="4:18" x14ac:dyDescent="0.2">
      <c r="P126" s="19"/>
      <c r="Q126" s="19"/>
      <c r="R126" s="19"/>
    </row>
    <row r="127" spans="4:18" x14ac:dyDescent="0.2">
      <c r="P127" s="19"/>
      <c r="Q127" s="19"/>
      <c r="R127" s="19"/>
    </row>
  </sheetData>
  <mergeCells count="6">
    <mergeCell ref="A99:O99"/>
    <mergeCell ref="B71:B72"/>
    <mergeCell ref="B30:B31"/>
    <mergeCell ref="B19:B20"/>
    <mergeCell ref="R30:R31"/>
    <mergeCell ref="R71:R72"/>
  </mergeCells>
  <phoneticPr fontId="56" type="noConversion"/>
  <conditionalFormatting sqref="A72">
    <cfRule type="duplicateValues" dxfId="93" priority="7" stopIfTrue="1"/>
  </conditionalFormatting>
  <conditionalFormatting sqref="A30">
    <cfRule type="duplicateValues" dxfId="92" priority="5" stopIfTrue="1"/>
  </conditionalFormatting>
  <conditionalFormatting sqref="A31">
    <cfRule type="duplicateValues" dxfId="91" priority="4" stopIfTrue="1"/>
  </conditionalFormatting>
  <conditionalFormatting sqref="A73:A94 A3:A29 A96:A97 A32:A71">
    <cfRule type="duplicateValues" dxfId="90" priority="27" stopIfTrue="1"/>
  </conditionalFormatting>
  <conditionalFormatting sqref="K3:K94 K96:K97">
    <cfRule type="cellIs" dxfId="89" priority="3" operator="equal">
      <formula>"Yes"</formula>
    </cfRule>
  </conditionalFormatting>
  <conditionalFormatting sqref="A95">
    <cfRule type="duplicateValues" dxfId="88" priority="2" stopIfTrue="1"/>
  </conditionalFormatting>
  <conditionalFormatting sqref="K95">
    <cfRule type="cellIs" dxfId="87" priority="1" operator="equal">
      <formula>"Yes"</formula>
    </cfRule>
  </conditionalFormatting>
  <pageMargins left="0.23622047244094491" right="0.23622047244094491" top="0.39370078740157483" bottom="0.39370078740157483" header="0.31496062992125984" footer="0.31496062992125984"/>
  <pageSetup paperSize="9" scale="72" fitToHeight="0" orientation="portrait" r:id="rId1"/>
  <headerFooter>
    <oddFooter>&amp;RPage &amp;P / &amp;N</oddFooter>
  </headerFooter>
  <rowBreaks count="2" manualBreakCount="2">
    <brk id="33" max="7" man="1"/>
    <brk id="68" max="7"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A1:P93"/>
  <sheetViews>
    <sheetView zoomScaleNormal="100" workbookViewId="0">
      <pane ySplit="2" topLeftCell="A3" activePane="bottomLeft" state="frozen"/>
      <selection pane="bottomLeft" activeCell="A2" sqref="A2"/>
    </sheetView>
  </sheetViews>
  <sheetFormatPr defaultRowHeight="12.75" outlineLevelCol="1" x14ac:dyDescent="0.2"/>
  <cols>
    <col min="1" max="1" width="21.85546875" style="86" customWidth="1"/>
    <col min="2" max="2" width="37.28515625" style="86" bestFit="1" customWidth="1"/>
    <col min="3" max="3" width="59.28515625" style="86" bestFit="1" customWidth="1"/>
    <col min="4" max="4" width="11.5703125" style="430" hidden="1" customWidth="1" outlineLevel="1"/>
    <col min="5" max="5" width="16.5703125" style="354" hidden="1" customWidth="1" outlineLevel="1"/>
    <col min="6" max="6" width="10.28515625" style="354" hidden="1" customWidth="1" outlineLevel="1"/>
    <col min="7" max="7" width="11.140625" style="354" hidden="1" customWidth="1" outlineLevel="1"/>
    <col min="8" max="8" width="12.85546875" style="354" bestFit="1" customWidth="1" outlineLevel="1"/>
    <col min="9" max="9" width="16.140625" style="354" customWidth="1" outlineLevel="1"/>
    <col min="10" max="10" width="19.7109375" style="354" bestFit="1" customWidth="1" outlineLevel="1"/>
    <col min="11" max="11" width="16.140625" style="354" customWidth="1" outlineLevel="1"/>
    <col min="12" max="12" width="19.5703125" style="98" hidden="1" customWidth="1" outlineLevel="1"/>
    <col min="13" max="13" width="19.5703125" style="98" bestFit="1" customWidth="1"/>
    <col min="14" max="14" width="15.7109375" style="98" bestFit="1" customWidth="1"/>
    <col min="15" max="15" width="14.28515625" style="618" bestFit="1" customWidth="1"/>
    <col min="16" max="16" width="15.7109375" style="618" bestFit="1" customWidth="1"/>
    <col min="17" max="259" width="9.140625" style="86"/>
    <col min="260" max="260" width="14.5703125" style="86" bestFit="1" customWidth="1"/>
    <col min="261" max="261" width="37.28515625" style="86" bestFit="1" customWidth="1"/>
    <col min="262" max="262" width="57.7109375" style="86" customWidth="1"/>
    <col min="263" max="264" width="0" style="86" hidden="1" customWidth="1"/>
    <col min="265" max="265" width="19.5703125" style="86" bestFit="1" customWidth="1"/>
    <col min="266" max="266" width="15.7109375" style="86" bestFit="1" customWidth="1"/>
    <col min="267" max="267" width="11.28515625" style="86" bestFit="1" customWidth="1"/>
    <col min="268" max="515" width="9.140625" style="86"/>
    <col min="516" max="516" width="14.5703125" style="86" bestFit="1" customWidth="1"/>
    <col min="517" max="517" width="37.28515625" style="86" bestFit="1" customWidth="1"/>
    <col min="518" max="518" width="57.7109375" style="86" customWidth="1"/>
    <col min="519" max="520" width="0" style="86" hidden="1" customWidth="1"/>
    <col min="521" max="521" width="19.5703125" style="86" bestFit="1" customWidth="1"/>
    <col min="522" max="522" width="15.7109375" style="86" bestFit="1" customWidth="1"/>
    <col min="523" max="523" width="11.28515625" style="86" bestFit="1" customWidth="1"/>
    <col min="524" max="771" width="9.140625" style="86"/>
    <col min="772" max="772" width="14.5703125" style="86" bestFit="1" customWidth="1"/>
    <col min="773" max="773" width="37.28515625" style="86" bestFit="1" customWidth="1"/>
    <col min="774" max="774" width="57.7109375" style="86" customWidth="1"/>
    <col min="775" max="776" width="0" style="86" hidden="1" customWidth="1"/>
    <col min="777" max="777" width="19.5703125" style="86" bestFit="1" customWidth="1"/>
    <col min="778" max="778" width="15.7109375" style="86" bestFit="1" customWidth="1"/>
    <col min="779" max="779" width="11.28515625" style="86" bestFit="1" customWidth="1"/>
    <col min="780" max="1027" width="9.140625" style="86"/>
    <col min="1028" max="1028" width="14.5703125" style="86" bestFit="1" customWidth="1"/>
    <col min="1029" max="1029" width="37.28515625" style="86" bestFit="1" customWidth="1"/>
    <col min="1030" max="1030" width="57.7109375" style="86" customWidth="1"/>
    <col min="1031" max="1032" width="0" style="86" hidden="1" customWidth="1"/>
    <col min="1033" max="1033" width="19.5703125" style="86" bestFit="1" customWidth="1"/>
    <col min="1034" max="1034" width="15.7109375" style="86" bestFit="1" customWidth="1"/>
    <col min="1035" max="1035" width="11.28515625" style="86" bestFit="1" customWidth="1"/>
    <col min="1036" max="1283" width="9.140625" style="86"/>
    <col min="1284" max="1284" width="14.5703125" style="86" bestFit="1" customWidth="1"/>
    <col min="1285" max="1285" width="37.28515625" style="86" bestFit="1" customWidth="1"/>
    <col min="1286" max="1286" width="57.7109375" style="86" customWidth="1"/>
    <col min="1287" max="1288" width="0" style="86" hidden="1" customWidth="1"/>
    <col min="1289" max="1289" width="19.5703125" style="86" bestFit="1" customWidth="1"/>
    <col min="1290" max="1290" width="15.7109375" style="86" bestFit="1" customWidth="1"/>
    <col min="1291" max="1291" width="11.28515625" style="86" bestFit="1" customWidth="1"/>
    <col min="1292" max="1539" width="9.140625" style="86"/>
    <col min="1540" max="1540" width="14.5703125" style="86" bestFit="1" customWidth="1"/>
    <col min="1541" max="1541" width="37.28515625" style="86" bestFit="1" customWidth="1"/>
    <col min="1542" max="1542" width="57.7109375" style="86" customWidth="1"/>
    <col min="1543" max="1544" width="0" style="86" hidden="1" customWidth="1"/>
    <col min="1545" max="1545" width="19.5703125" style="86" bestFit="1" customWidth="1"/>
    <col min="1546" max="1546" width="15.7109375" style="86" bestFit="1" customWidth="1"/>
    <col min="1547" max="1547" width="11.28515625" style="86" bestFit="1" customWidth="1"/>
    <col min="1548" max="1795" width="9.140625" style="86"/>
    <col min="1796" max="1796" width="14.5703125" style="86" bestFit="1" customWidth="1"/>
    <col min="1797" max="1797" width="37.28515625" style="86" bestFit="1" customWidth="1"/>
    <col min="1798" max="1798" width="57.7109375" style="86" customWidth="1"/>
    <col min="1799" max="1800" width="0" style="86" hidden="1" customWidth="1"/>
    <col min="1801" max="1801" width="19.5703125" style="86" bestFit="1" customWidth="1"/>
    <col min="1802" max="1802" width="15.7109375" style="86" bestFit="1" customWidth="1"/>
    <col min="1803" max="1803" width="11.28515625" style="86" bestFit="1" customWidth="1"/>
    <col min="1804" max="2051" width="9.140625" style="86"/>
    <col min="2052" max="2052" width="14.5703125" style="86" bestFit="1" customWidth="1"/>
    <col min="2053" max="2053" width="37.28515625" style="86" bestFit="1" customWidth="1"/>
    <col min="2054" max="2054" width="57.7109375" style="86" customWidth="1"/>
    <col min="2055" max="2056" width="0" style="86" hidden="1" customWidth="1"/>
    <col min="2057" max="2057" width="19.5703125" style="86" bestFit="1" customWidth="1"/>
    <col min="2058" max="2058" width="15.7109375" style="86" bestFit="1" customWidth="1"/>
    <col min="2059" max="2059" width="11.28515625" style="86" bestFit="1" customWidth="1"/>
    <col min="2060" max="2307" width="9.140625" style="86"/>
    <col min="2308" max="2308" width="14.5703125" style="86" bestFit="1" customWidth="1"/>
    <col min="2309" max="2309" width="37.28515625" style="86" bestFit="1" customWidth="1"/>
    <col min="2310" max="2310" width="57.7109375" style="86" customWidth="1"/>
    <col min="2311" max="2312" width="0" style="86" hidden="1" customWidth="1"/>
    <col min="2313" max="2313" width="19.5703125" style="86" bestFit="1" customWidth="1"/>
    <col min="2314" max="2314" width="15.7109375" style="86" bestFit="1" customWidth="1"/>
    <col min="2315" max="2315" width="11.28515625" style="86" bestFit="1" customWidth="1"/>
    <col min="2316" max="2563" width="9.140625" style="86"/>
    <col min="2564" max="2564" width="14.5703125" style="86" bestFit="1" customWidth="1"/>
    <col min="2565" max="2565" width="37.28515625" style="86" bestFit="1" customWidth="1"/>
    <col min="2566" max="2566" width="57.7109375" style="86" customWidth="1"/>
    <col min="2567" max="2568" width="0" style="86" hidden="1" customWidth="1"/>
    <col min="2569" max="2569" width="19.5703125" style="86" bestFit="1" customWidth="1"/>
    <col min="2570" max="2570" width="15.7109375" style="86" bestFit="1" customWidth="1"/>
    <col min="2571" max="2571" width="11.28515625" style="86" bestFit="1" customWidth="1"/>
    <col min="2572" max="2819" width="9.140625" style="86"/>
    <col min="2820" max="2820" width="14.5703125" style="86" bestFit="1" customWidth="1"/>
    <col min="2821" max="2821" width="37.28515625" style="86" bestFit="1" customWidth="1"/>
    <col min="2822" max="2822" width="57.7109375" style="86" customWidth="1"/>
    <col min="2823" max="2824" width="0" style="86" hidden="1" customWidth="1"/>
    <col min="2825" max="2825" width="19.5703125" style="86" bestFit="1" customWidth="1"/>
    <col min="2826" max="2826" width="15.7109375" style="86" bestFit="1" customWidth="1"/>
    <col min="2827" max="2827" width="11.28515625" style="86" bestFit="1" customWidth="1"/>
    <col min="2828" max="3075" width="9.140625" style="86"/>
    <col min="3076" max="3076" width="14.5703125" style="86" bestFit="1" customWidth="1"/>
    <col min="3077" max="3077" width="37.28515625" style="86" bestFit="1" customWidth="1"/>
    <col min="3078" max="3078" width="57.7109375" style="86" customWidth="1"/>
    <col min="3079" max="3080" width="0" style="86" hidden="1" customWidth="1"/>
    <col min="3081" max="3081" width="19.5703125" style="86" bestFit="1" customWidth="1"/>
    <col min="3082" max="3082" width="15.7109375" style="86" bestFit="1" customWidth="1"/>
    <col min="3083" max="3083" width="11.28515625" style="86" bestFit="1" customWidth="1"/>
    <col min="3084" max="3331" width="9.140625" style="86"/>
    <col min="3332" max="3332" width="14.5703125" style="86" bestFit="1" customWidth="1"/>
    <col min="3333" max="3333" width="37.28515625" style="86" bestFit="1" customWidth="1"/>
    <col min="3334" max="3334" width="57.7109375" style="86" customWidth="1"/>
    <col min="3335" max="3336" width="0" style="86" hidden="1" customWidth="1"/>
    <col min="3337" max="3337" width="19.5703125" style="86" bestFit="1" customWidth="1"/>
    <col min="3338" max="3338" width="15.7109375" style="86" bestFit="1" customWidth="1"/>
    <col min="3339" max="3339" width="11.28515625" style="86" bestFit="1" customWidth="1"/>
    <col min="3340" max="3587" width="9.140625" style="86"/>
    <col min="3588" max="3588" width="14.5703125" style="86" bestFit="1" customWidth="1"/>
    <col min="3589" max="3589" width="37.28515625" style="86" bestFit="1" customWidth="1"/>
    <col min="3590" max="3590" width="57.7109375" style="86" customWidth="1"/>
    <col min="3591" max="3592" width="0" style="86" hidden="1" customWidth="1"/>
    <col min="3593" max="3593" width="19.5703125" style="86" bestFit="1" customWidth="1"/>
    <col min="3594" max="3594" width="15.7109375" style="86" bestFit="1" customWidth="1"/>
    <col min="3595" max="3595" width="11.28515625" style="86" bestFit="1" customWidth="1"/>
    <col min="3596" max="3843" width="9.140625" style="86"/>
    <col min="3844" max="3844" width="14.5703125" style="86" bestFit="1" customWidth="1"/>
    <col min="3845" max="3845" width="37.28515625" style="86" bestFit="1" customWidth="1"/>
    <col min="3846" max="3846" width="57.7109375" style="86" customWidth="1"/>
    <col min="3847" max="3848" width="0" style="86" hidden="1" customWidth="1"/>
    <col min="3849" max="3849" width="19.5703125" style="86" bestFit="1" customWidth="1"/>
    <col min="3850" max="3850" width="15.7109375" style="86" bestFit="1" customWidth="1"/>
    <col min="3851" max="3851" width="11.28515625" style="86" bestFit="1" customWidth="1"/>
    <col min="3852" max="4099" width="9.140625" style="86"/>
    <col min="4100" max="4100" width="14.5703125" style="86" bestFit="1" customWidth="1"/>
    <col min="4101" max="4101" width="37.28515625" style="86" bestFit="1" customWidth="1"/>
    <col min="4102" max="4102" width="57.7109375" style="86" customWidth="1"/>
    <col min="4103" max="4104" width="0" style="86" hidden="1" customWidth="1"/>
    <col min="4105" max="4105" width="19.5703125" style="86" bestFit="1" customWidth="1"/>
    <col min="4106" max="4106" width="15.7109375" style="86" bestFit="1" customWidth="1"/>
    <col min="4107" max="4107" width="11.28515625" style="86" bestFit="1" customWidth="1"/>
    <col min="4108" max="4355" width="9.140625" style="86"/>
    <col min="4356" max="4356" width="14.5703125" style="86" bestFit="1" customWidth="1"/>
    <col min="4357" max="4357" width="37.28515625" style="86" bestFit="1" customWidth="1"/>
    <col min="4358" max="4358" width="57.7109375" style="86" customWidth="1"/>
    <col min="4359" max="4360" width="0" style="86" hidden="1" customWidth="1"/>
    <col min="4361" max="4361" width="19.5703125" style="86" bestFit="1" customWidth="1"/>
    <col min="4362" max="4362" width="15.7109375" style="86" bestFit="1" customWidth="1"/>
    <col min="4363" max="4363" width="11.28515625" style="86" bestFit="1" customWidth="1"/>
    <col min="4364" max="4611" width="9.140625" style="86"/>
    <col min="4612" max="4612" width="14.5703125" style="86" bestFit="1" customWidth="1"/>
    <col min="4613" max="4613" width="37.28515625" style="86" bestFit="1" customWidth="1"/>
    <col min="4614" max="4614" width="57.7109375" style="86" customWidth="1"/>
    <col min="4615" max="4616" width="0" style="86" hidden="1" customWidth="1"/>
    <col min="4617" max="4617" width="19.5703125" style="86" bestFit="1" customWidth="1"/>
    <col min="4618" max="4618" width="15.7109375" style="86" bestFit="1" customWidth="1"/>
    <col min="4619" max="4619" width="11.28515625" style="86" bestFit="1" customWidth="1"/>
    <col min="4620" max="4867" width="9.140625" style="86"/>
    <col min="4868" max="4868" width="14.5703125" style="86" bestFit="1" customWidth="1"/>
    <col min="4869" max="4869" width="37.28515625" style="86" bestFit="1" customWidth="1"/>
    <col min="4870" max="4870" width="57.7109375" style="86" customWidth="1"/>
    <col min="4871" max="4872" width="0" style="86" hidden="1" customWidth="1"/>
    <col min="4873" max="4873" width="19.5703125" style="86" bestFit="1" customWidth="1"/>
    <col min="4874" max="4874" width="15.7109375" style="86" bestFit="1" customWidth="1"/>
    <col min="4875" max="4875" width="11.28515625" style="86" bestFit="1" customWidth="1"/>
    <col min="4876" max="5123" width="9.140625" style="86"/>
    <col min="5124" max="5124" width="14.5703125" style="86" bestFit="1" customWidth="1"/>
    <col min="5125" max="5125" width="37.28515625" style="86" bestFit="1" customWidth="1"/>
    <col min="5126" max="5126" width="57.7109375" style="86" customWidth="1"/>
    <col min="5127" max="5128" width="0" style="86" hidden="1" customWidth="1"/>
    <col min="5129" max="5129" width="19.5703125" style="86" bestFit="1" customWidth="1"/>
    <col min="5130" max="5130" width="15.7109375" style="86" bestFit="1" customWidth="1"/>
    <col min="5131" max="5131" width="11.28515625" style="86" bestFit="1" customWidth="1"/>
    <col min="5132" max="5379" width="9.140625" style="86"/>
    <col min="5380" max="5380" width="14.5703125" style="86" bestFit="1" customWidth="1"/>
    <col min="5381" max="5381" width="37.28515625" style="86" bestFit="1" customWidth="1"/>
    <col min="5382" max="5382" width="57.7109375" style="86" customWidth="1"/>
    <col min="5383" max="5384" width="0" style="86" hidden="1" customWidth="1"/>
    <col min="5385" max="5385" width="19.5703125" style="86" bestFit="1" customWidth="1"/>
    <col min="5386" max="5386" width="15.7109375" style="86" bestFit="1" customWidth="1"/>
    <col min="5387" max="5387" width="11.28515625" style="86" bestFit="1" customWidth="1"/>
    <col min="5388" max="5635" width="9.140625" style="86"/>
    <col min="5636" max="5636" width="14.5703125" style="86" bestFit="1" customWidth="1"/>
    <col min="5637" max="5637" width="37.28515625" style="86" bestFit="1" customWidth="1"/>
    <col min="5638" max="5638" width="57.7109375" style="86" customWidth="1"/>
    <col min="5639" max="5640" width="0" style="86" hidden="1" customWidth="1"/>
    <col min="5641" max="5641" width="19.5703125" style="86" bestFit="1" customWidth="1"/>
    <col min="5642" max="5642" width="15.7109375" style="86" bestFit="1" customWidth="1"/>
    <col min="5643" max="5643" width="11.28515625" style="86" bestFit="1" customWidth="1"/>
    <col min="5644" max="5891" width="9.140625" style="86"/>
    <col min="5892" max="5892" width="14.5703125" style="86" bestFit="1" customWidth="1"/>
    <col min="5893" max="5893" width="37.28515625" style="86" bestFit="1" customWidth="1"/>
    <col min="5894" max="5894" width="57.7109375" style="86" customWidth="1"/>
    <col min="5895" max="5896" width="0" style="86" hidden="1" customWidth="1"/>
    <col min="5897" max="5897" width="19.5703125" style="86" bestFit="1" customWidth="1"/>
    <col min="5898" max="5898" width="15.7109375" style="86" bestFit="1" customWidth="1"/>
    <col min="5899" max="5899" width="11.28515625" style="86" bestFit="1" customWidth="1"/>
    <col min="5900" max="6147" width="9.140625" style="86"/>
    <col min="6148" max="6148" width="14.5703125" style="86" bestFit="1" customWidth="1"/>
    <col min="6149" max="6149" width="37.28515625" style="86" bestFit="1" customWidth="1"/>
    <col min="6150" max="6150" width="57.7109375" style="86" customWidth="1"/>
    <col min="6151" max="6152" width="0" style="86" hidden="1" customWidth="1"/>
    <col min="6153" max="6153" width="19.5703125" style="86" bestFit="1" customWidth="1"/>
    <col min="6154" max="6154" width="15.7109375" style="86" bestFit="1" customWidth="1"/>
    <col min="6155" max="6155" width="11.28515625" style="86" bestFit="1" customWidth="1"/>
    <col min="6156" max="6403" width="9.140625" style="86"/>
    <col min="6404" max="6404" width="14.5703125" style="86" bestFit="1" customWidth="1"/>
    <col min="6405" max="6405" width="37.28515625" style="86" bestFit="1" customWidth="1"/>
    <col min="6406" max="6406" width="57.7109375" style="86" customWidth="1"/>
    <col min="6407" max="6408" width="0" style="86" hidden="1" customWidth="1"/>
    <col min="6409" max="6409" width="19.5703125" style="86" bestFit="1" customWidth="1"/>
    <col min="6410" max="6410" width="15.7109375" style="86" bestFit="1" customWidth="1"/>
    <col min="6411" max="6411" width="11.28515625" style="86" bestFit="1" customWidth="1"/>
    <col min="6412" max="6659" width="9.140625" style="86"/>
    <col min="6660" max="6660" width="14.5703125" style="86" bestFit="1" customWidth="1"/>
    <col min="6661" max="6661" width="37.28515625" style="86" bestFit="1" customWidth="1"/>
    <col min="6662" max="6662" width="57.7109375" style="86" customWidth="1"/>
    <col min="6663" max="6664" width="0" style="86" hidden="1" customWidth="1"/>
    <col min="6665" max="6665" width="19.5703125" style="86" bestFit="1" customWidth="1"/>
    <col min="6666" max="6666" width="15.7109375" style="86" bestFit="1" customWidth="1"/>
    <col min="6667" max="6667" width="11.28515625" style="86" bestFit="1" customWidth="1"/>
    <col min="6668" max="6915" width="9.140625" style="86"/>
    <col min="6916" max="6916" width="14.5703125" style="86" bestFit="1" customWidth="1"/>
    <col min="6917" max="6917" width="37.28515625" style="86" bestFit="1" customWidth="1"/>
    <col min="6918" max="6918" width="57.7109375" style="86" customWidth="1"/>
    <col min="6919" max="6920" width="0" style="86" hidden="1" customWidth="1"/>
    <col min="6921" max="6921" width="19.5703125" style="86" bestFit="1" customWidth="1"/>
    <col min="6922" max="6922" width="15.7109375" style="86" bestFit="1" customWidth="1"/>
    <col min="6923" max="6923" width="11.28515625" style="86" bestFit="1" customWidth="1"/>
    <col min="6924" max="7171" width="9.140625" style="86"/>
    <col min="7172" max="7172" width="14.5703125" style="86" bestFit="1" customWidth="1"/>
    <col min="7173" max="7173" width="37.28515625" style="86" bestFit="1" customWidth="1"/>
    <col min="7174" max="7174" width="57.7109375" style="86" customWidth="1"/>
    <col min="7175" max="7176" width="0" style="86" hidden="1" customWidth="1"/>
    <col min="7177" max="7177" width="19.5703125" style="86" bestFit="1" customWidth="1"/>
    <col min="7178" max="7178" width="15.7109375" style="86" bestFit="1" customWidth="1"/>
    <col min="7179" max="7179" width="11.28515625" style="86" bestFit="1" customWidth="1"/>
    <col min="7180" max="7427" width="9.140625" style="86"/>
    <col min="7428" max="7428" width="14.5703125" style="86" bestFit="1" customWidth="1"/>
    <col min="7429" max="7429" width="37.28515625" style="86" bestFit="1" customWidth="1"/>
    <col min="7430" max="7430" width="57.7109375" style="86" customWidth="1"/>
    <col min="7431" max="7432" width="0" style="86" hidden="1" customWidth="1"/>
    <col min="7433" max="7433" width="19.5703125" style="86" bestFit="1" customWidth="1"/>
    <col min="7434" max="7434" width="15.7109375" style="86" bestFit="1" customWidth="1"/>
    <col min="7435" max="7435" width="11.28515625" style="86" bestFit="1" customWidth="1"/>
    <col min="7436" max="7683" width="9.140625" style="86"/>
    <col min="7684" max="7684" width="14.5703125" style="86" bestFit="1" customWidth="1"/>
    <col min="7685" max="7685" width="37.28515625" style="86" bestFit="1" customWidth="1"/>
    <col min="7686" max="7686" width="57.7109375" style="86" customWidth="1"/>
    <col min="7687" max="7688" width="0" style="86" hidden="1" customWidth="1"/>
    <col min="7689" max="7689" width="19.5703125" style="86" bestFit="1" customWidth="1"/>
    <col min="7690" max="7690" width="15.7109375" style="86" bestFit="1" customWidth="1"/>
    <col min="7691" max="7691" width="11.28515625" style="86" bestFit="1" customWidth="1"/>
    <col min="7692" max="7939" width="9.140625" style="86"/>
    <col min="7940" max="7940" width="14.5703125" style="86" bestFit="1" customWidth="1"/>
    <col min="7941" max="7941" width="37.28515625" style="86" bestFit="1" customWidth="1"/>
    <col min="7942" max="7942" width="57.7109375" style="86" customWidth="1"/>
    <col min="7943" max="7944" width="0" style="86" hidden="1" customWidth="1"/>
    <col min="7945" max="7945" width="19.5703125" style="86" bestFit="1" customWidth="1"/>
    <col min="7946" max="7946" width="15.7109375" style="86" bestFit="1" customWidth="1"/>
    <col min="7947" max="7947" width="11.28515625" style="86" bestFit="1" customWidth="1"/>
    <col min="7948" max="8195" width="9.140625" style="86"/>
    <col min="8196" max="8196" width="14.5703125" style="86" bestFit="1" customWidth="1"/>
    <col min="8197" max="8197" width="37.28515625" style="86" bestFit="1" customWidth="1"/>
    <col min="8198" max="8198" width="57.7109375" style="86" customWidth="1"/>
    <col min="8199" max="8200" width="0" style="86" hidden="1" customWidth="1"/>
    <col min="8201" max="8201" width="19.5703125" style="86" bestFit="1" customWidth="1"/>
    <col min="8202" max="8202" width="15.7109375" style="86" bestFit="1" customWidth="1"/>
    <col min="8203" max="8203" width="11.28515625" style="86" bestFit="1" customWidth="1"/>
    <col min="8204" max="8451" width="9.140625" style="86"/>
    <col min="8452" max="8452" width="14.5703125" style="86" bestFit="1" customWidth="1"/>
    <col min="8453" max="8453" width="37.28515625" style="86" bestFit="1" customWidth="1"/>
    <col min="8454" max="8454" width="57.7109375" style="86" customWidth="1"/>
    <col min="8455" max="8456" width="0" style="86" hidden="1" customWidth="1"/>
    <col min="8457" max="8457" width="19.5703125" style="86" bestFit="1" customWidth="1"/>
    <col min="8458" max="8458" width="15.7109375" style="86" bestFit="1" customWidth="1"/>
    <col min="8459" max="8459" width="11.28515625" style="86" bestFit="1" customWidth="1"/>
    <col min="8460" max="8707" width="9.140625" style="86"/>
    <col min="8708" max="8708" width="14.5703125" style="86" bestFit="1" customWidth="1"/>
    <col min="8709" max="8709" width="37.28515625" style="86" bestFit="1" customWidth="1"/>
    <col min="8710" max="8710" width="57.7109375" style="86" customWidth="1"/>
    <col min="8711" max="8712" width="0" style="86" hidden="1" customWidth="1"/>
    <col min="8713" max="8713" width="19.5703125" style="86" bestFit="1" customWidth="1"/>
    <col min="8714" max="8714" width="15.7109375" style="86" bestFit="1" customWidth="1"/>
    <col min="8715" max="8715" width="11.28515625" style="86" bestFit="1" customWidth="1"/>
    <col min="8716" max="8963" width="9.140625" style="86"/>
    <col min="8964" max="8964" width="14.5703125" style="86" bestFit="1" customWidth="1"/>
    <col min="8965" max="8965" width="37.28515625" style="86" bestFit="1" customWidth="1"/>
    <col min="8966" max="8966" width="57.7109375" style="86" customWidth="1"/>
    <col min="8967" max="8968" width="0" style="86" hidden="1" customWidth="1"/>
    <col min="8969" max="8969" width="19.5703125" style="86" bestFit="1" customWidth="1"/>
    <col min="8970" max="8970" width="15.7109375" style="86" bestFit="1" customWidth="1"/>
    <col min="8971" max="8971" width="11.28515625" style="86" bestFit="1" customWidth="1"/>
    <col min="8972" max="9219" width="9.140625" style="86"/>
    <col min="9220" max="9220" width="14.5703125" style="86" bestFit="1" customWidth="1"/>
    <col min="9221" max="9221" width="37.28515625" style="86" bestFit="1" customWidth="1"/>
    <col min="9222" max="9222" width="57.7109375" style="86" customWidth="1"/>
    <col min="9223" max="9224" width="0" style="86" hidden="1" customWidth="1"/>
    <col min="9225" max="9225" width="19.5703125" style="86" bestFit="1" customWidth="1"/>
    <col min="9226" max="9226" width="15.7109375" style="86" bestFit="1" customWidth="1"/>
    <col min="9227" max="9227" width="11.28515625" style="86" bestFit="1" customWidth="1"/>
    <col min="9228" max="9475" width="9.140625" style="86"/>
    <col min="9476" max="9476" width="14.5703125" style="86" bestFit="1" customWidth="1"/>
    <col min="9477" max="9477" width="37.28515625" style="86" bestFit="1" customWidth="1"/>
    <col min="9478" max="9478" width="57.7109375" style="86" customWidth="1"/>
    <col min="9479" max="9480" width="0" style="86" hidden="1" customWidth="1"/>
    <col min="9481" max="9481" width="19.5703125" style="86" bestFit="1" customWidth="1"/>
    <col min="9482" max="9482" width="15.7109375" style="86" bestFit="1" customWidth="1"/>
    <col min="9483" max="9483" width="11.28515625" style="86" bestFit="1" customWidth="1"/>
    <col min="9484" max="9731" width="9.140625" style="86"/>
    <col min="9732" max="9732" width="14.5703125" style="86" bestFit="1" customWidth="1"/>
    <col min="9733" max="9733" width="37.28515625" style="86" bestFit="1" customWidth="1"/>
    <col min="9734" max="9734" width="57.7109375" style="86" customWidth="1"/>
    <col min="9735" max="9736" width="0" style="86" hidden="1" customWidth="1"/>
    <col min="9737" max="9737" width="19.5703125" style="86" bestFit="1" customWidth="1"/>
    <col min="9738" max="9738" width="15.7109375" style="86" bestFit="1" customWidth="1"/>
    <col min="9739" max="9739" width="11.28515625" style="86" bestFit="1" customWidth="1"/>
    <col min="9740" max="9987" width="9.140625" style="86"/>
    <col min="9988" max="9988" width="14.5703125" style="86" bestFit="1" customWidth="1"/>
    <col min="9989" max="9989" width="37.28515625" style="86" bestFit="1" customWidth="1"/>
    <col min="9990" max="9990" width="57.7109375" style="86" customWidth="1"/>
    <col min="9991" max="9992" width="0" style="86" hidden="1" customWidth="1"/>
    <col min="9993" max="9993" width="19.5703125" style="86" bestFit="1" customWidth="1"/>
    <col min="9994" max="9994" width="15.7109375" style="86" bestFit="1" customWidth="1"/>
    <col min="9995" max="9995" width="11.28515625" style="86" bestFit="1" customWidth="1"/>
    <col min="9996" max="10243" width="9.140625" style="86"/>
    <col min="10244" max="10244" width="14.5703125" style="86" bestFit="1" customWidth="1"/>
    <col min="10245" max="10245" width="37.28515625" style="86" bestFit="1" customWidth="1"/>
    <col min="10246" max="10246" width="57.7109375" style="86" customWidth="1"/>
    <col min="10247" max="10248" width="0" style="86" hidden="1" customWidth="1"/>
    <col min="10249" max="10249" width="19.5703125" style="86" bestFit="1" customWidth="1"/>
    <col min="10250" max="10250" width="15.7109375" style="86" bestFit="1" customWidth="1"/>
    <col min="10251" max="10251" width="11.28515625" style="86" bestFit="1" customWidth="1"/>
    <col min="10252" max="10499" width="9.140625" style="86"/>
    <col min="10500" max="10500" width="14.5703125" style="86" bestFit="1" customWidth="1"/>
    <col min="10501" max="10501" width="37.28515625" style="86" bestFit="1" customWidth="1"/>
    <col min="10502" max="10502" width="57.7109375" style="86" customWidth="1"/>
    <col min="10503" max="10504" width="0" style="86" hidden="1" customWidth="1"/>
    <col min="10505" max="10505" width="19.5703125" style="86" bestFit="1" customWidth="1"/>
    <col min="10506" max="10506" width="15.7109375" style="86" bestFit="1" customWidth="1"/>
    <col min="10507" max="10507" width="11.28515625" style="86" bestFit="1" customWidth="1"/>
    <col min="10508" max="10755" width="9.140625" style="86"/>
    <col min="10756" max="10756" width="14.5703125" style="86" bestFit="1" customWidth="1"/>
    <col min="10757" max="10757" width="37.28515625" style="86" bestFit="1" customWidth="1"/>
    <col min="10758" max="10758" width="57.7109375" style="86" customWidth="1"/>
    <col min="10759" max="10760" width="0" style="86" hidden="1" customWidth="1"/>
    <col min="10761" max="10761" width="19.5703125" style="86" bestFit="1" customWidth="1"/>
    <col min="10762" max="10762" width="15.7109375" style="86" bestFit="1" customWidth="1"/>
    <col min="10763" max="10763" width="11.28515625" style="86" bestFit="1" customWidth="1"/>
    <col min="10764" max="11011" width="9.140625" style="86"/>
    <col min="11012" max="11012" width="14.5703125" style="86" bestFit="1" customWidth="1"/>
    <col min="11013" max="11013" width="37.28515625" style="86" bestFit="1" customWidth="1"/>
    <col min="11014" max="11014" width="57.7109375" style="86" customWidth="1"/>
    <col min="11015" max="11016" width="0" style="86" hidden="1" customWidth="1"/>
    <col min="11017" max="11017" width="19.5703125" style="86" bestFit="1" customWidth="1"/>
    <col min="11018" max="11018" width="15.7109375" style="86" bestFit="1" customWidth="1"/>
    <col min="11019" max="11019" width="11.28515625" style="86" bestFit="1" customWidth="1"/>
    <col min="11020" max="11267" width="9.140625" style="86"/>
    <col min="11268" max="11268" width="14.5703125" style="86" bestFit="1" customWidth="1"/>
    <col min="11269" max="11269" width="37.28515625" style="86" bestFit="1" customWidth="1"/>
    <col min="11270" max="11270" width="57.7109375" style="86" customWidth="1"/>
    <col min="11271" max="11272" width="0" style="86" hidden="1" customWidth="1"/>
    <col min="11273" max="11273" width="19.5703125" style="86" bestFit="1" customWidth="1"/>
    <col min="11274" max="11274" width="15.7109375" style="86" bestFit="1" customWidth="1"/>
    <col min="11275" max="11275" width="11.28515625" style="86" bestFit="1" customWidth="1"/>
    <col min="11276" max="11523" width="9.140625" style="86"/>
    <col min="11524" max="11524" width="14.5703125" style="86" bestFit="1" customWidth="1"/>
    <col min="11525" max="11525" width="37.28515625" style="86" bestFit="1" customWidth="1"/>
    <col min="11526" max="11526" width="57.7109375" style="86" customWidth="1"/>
    <col min="11527" max="11528" width="0" style="86" hidden="1" customWidth="1"/>
    <col min="11529" max="11529" width="19.5703125" style="86" bestFit="1" customWidth="1"/>
    <col min="11530" max="11530" width="15.7109375" style="86" bestFit="1" customWidth="1"/>
    <col min="11531" max="11531" width="11.28515625" style="86" bestFit="1" customWidth="1"/>
    <col min="11532" max="11779" width="9.140625" style="86"/>
    <col min="11780" max="11780" width="14.5703125" style="86" bestFit="1" customWidth="1"/>
    <col min="11781" max="11781" width="37.28515625" style="86" bestFit="1" customWidth="1"/>
    <col min="11782" max="11782" width="57.7109375" style="86" customWidth="1"/>
    <col min="11783" max="11784" width="0" style="86" hidden="1" customWidth="1"/>
    <col min="11785" max="11785" width="19.5703125" style="86" bestFit="1" customWidth="1"/>
    <col min="11786" max="11786" width="15.7109375" style="86" bestFit="1" customWidth="1"/>
    <col min="11787" max="11787" width="11.28515625" style="86" bestFit="1" customWidth="1"/>
    <col min="11788" max="12035" width="9.140625" style="86"/>
    <col min="12036" max="12036" width="14.5703125" style="86" bestFit="1" customWidth="1"/>
    <col min="12037" max="12037" width="37.28515625" style="86" bestFit="1" customWidth="1"/>
    <col min="12038" max="12038" width="57.7109375" style="86" customWidth="1"/>
    <col min="12039" max="12040" width="0" style="86" hidden="1" customWidth="1"/>
    <col min="12041" max="12041" width="19.5703125" style="86" bestFit="1" customWidth="1"/>
    <col min="12042" max="12042" width="15.7109375" style="86" bestFit="1" customWidth="1"/>
    <col min="12043" max="12043" width="11.28515625" style="86" bestFit="1" customWidth="1"/>
    <col min="12044" max="12291" width="9.140625" style="86"/>
    <col min="12292" max="12292" width="14.5703125" style="86" bestFit="1" customWidth="1"/>
    <col min="12293" max="12293" width="37.28515625" style="86" bestFit="1" customWidth="1"/>
    <col min="12294" max="12294" width="57.7109375" style="86" customWidth="1"/>
    <col min="12295" max="12296" width="0" style="86" hidden="1" customWidth="1"/>
    <col min="12297" max="12297" width="19.5703125" style="86" bestFit="1" customWidth="1"/>
    <col min="12298" max="12298" width="15.7109375" style="86" bestFit="1" customWidth="1"/>
    <col min="12299" max="12299" width="11.28515625" style="86" bestFit="1" customWidth="1"/>
    <col min="12300" max="12547" width="9.140625" style="86"/>
    <col min="12548" max="12548" width="14.5703125" style="86" bestFit="1" customWidth="1"/>
    <col min="12549" max="12549" width="37.28515625" style="86" bestFit="1" customWidth="1"/>
    <col min="12550" max="12550" width="57.7109375" style="86" customWidth="1"/>
    <col min="12551" max="12552" width="0" style="86" hidden="1" customWidth="1"/>
    <col min="12553" max="12553" width="19.5703125" style="86" bestFit="1" customWidth="1"/>
    <col min="12554" max="12554" width="15.7109375" style="86" bestFit="1" customWidth="1"/>
    <col min="12555" max="12555" width="11.28515625" style="86" bestFit="1" customWidth="1"/>
    <col min="12556" max="12803" width="9.140625" style="86"/>
    <col min="12804" max="12804" width="14.5703125" style="86" bestFit="1" customWidth="1"/>
    <col min="12805" max="12805" width="37.28515625" style="86" bestFit="1" customWidth="1"/>
    <col min="12806" max="12806" width="57.7109375" style="86" customWidth="1"/>
    <col min="12807" max="12808" width="0" style="86" hidden="1" customWidth="1"/>
    <col min="12809" max="12809" width="19.5703125" style="86" bestFit="1" customWidth="1"/>
    <col min="12810" max="12810" width="15.7109375" style="86" bestFit="1" customWidth="1"/>
    <col min="12811" max="12811" width="11.28515625" style="86" bestFit="1" customWidth="1"/>
    <col min="12812" max="13059" width="9.140625" style="86"/>
    <col min="13060" max="13060" width="14.5703125" style="86" bestFit="1" customWidth="1"/>
    <col min="13061" max="13061" width="37.28515625" style="86" bestFit="1" customWidth="1"/>
    <col min="13062" max="13062" width="57.7109375" style="86" customWidth="1"/>
    <col min="13063" max="13064" width="0" style="86" hidden="1" customWidth="1"/>
    <col min="13065" max="13065" width="19.5703125" style="86" bestFit="1" customWidth="1"/>
    <col min="13066" max="13066" width="15.7109375" style="86" bestFit="1" customWidth="1"/>
    <col min="13067" max="13067" width="11.28515625" style="86" bestFit="1" customWidth="1"/>
    <col min="13068" max="13315" width="9.140625" style="86"/>
    <col min="13316" max="13316" width="14.5703125" style="86" bestFit="1" customWidth="1"/>
    <col min="13317" max="13317" width="37.28515625" style="86" bestFit="1" customWidth="1"/>
    <col min="13318" max="13318" width="57.7109375" style="86" customWidth="1"/>
    <col min="13319" max="13320" width="0" style="86" hidden="1" customWidth="1"/>
    <col min="13321" max="13321" width="19.5703125" style="86" bestFit="1" customWidth="1"/>
    <col min="13322" max="13322" width="15.7109375" style="86" bestFit="1" customWidth="1"/>
    <col min="13323" max="13323" width="11.28515625" style="86" bestFit="1" customWidth="1"/>
    <col min="13324" max="13571" width="9.140625" style="86"/>
    <col min="13572" max="13572" width="14.5703125" style="86" bestFit="1" customWidth="1"/>
    <col min="13573" max="13573" width="37.28515625" style="86" bestFit="1" customWidth="1"/>
    <col min="13574" max="13574" width="57.7109375" style="86" customWidth="1"/>
    <col min="13575" max="13576" width="0" style="86" hidden="1" customWidth="1"/>
    <col min="13577" max="13577" width="19.5703125" style="86" bestFit="1" customWidth="1"/>
    <col min="13578" max="13578" width="15.7109375" style="86" bestFit="1" customWidth="1"/>
    <col min="13579" max="13579" width="11.28515625" style="86" bestFit="1" customWidth="1"/>
    <col min="13580" max="13827" width="9.140625" style="86"/>
    <col min="13828" max="13828" width="14.5703125" style="86" bestFit="1" customWidth="1"/>
    <col min="13829" max="13829" width="37.28515625" style="86" bestFit="1" customWidth="1"/>
    <col min="13830" max="13830" width="57.7109375" style="86" customWidth="1"/>
    <col min="13831" max="13832" width="0" style="86" hidden="1" customWidth="1"/>
    <col min="13833" max="13833" width="19.5703125" style="86" bestFit="1" customWidth="1"/>
    <col min="13834" max="13834" width="15.7109375" style="86" bestFit="1" customWidth="1"/>
    <col min="13835" max="13835" width="11.28515625" style="86" bestFit="1" customWidth="1"/>
    <col min="13836" max="14083" width="9.140625" style="86"/>
    <col min="14084" max="14084" width="14.5703125" style="86" bestFit="1" customWidth="1"/>
    <col min="14085" max="14085" width="37.28515625" style="86" bestFit="1" customWidth="1"/>
    <col min="14086" max="14086" width="57.7109375" style="86" customWidth="1"/>
    <col min="14087" max="14088" width="0" style="86" hidden="1" customWidth="1"/>
    <col min="14089" max="14089" width="19.5703125" style="86" bestFit="1" customWidth="1"/>
    <col min="14090" max="14090" width="15.7109375" style="86" bestFit="1" customWidth="1"/>
    <col min="14091" max="14091" width="11.28515625" style="86" bestFit="1" customWidth="1"/>
    <col min="14092" max="14339" width="9.140625" style="86"/>
    <col min="14340" max="14340" width="14.5703125" style="86" bestFit="1" customWidth="1"/>
    <col min="14341" max="14341" width="37.28515625" style="86" bestFit="1" customWidth="1"/>
    <col min="14342" max="14342" width="57.7109375" style="86" customWidth="1"/>
    <col min="14343" max="14344" width="0" style="86" hidden="1" customWidth="1"/>
    <col min="14345" max="14345" width="19.5703125" style="86" bestFit="1" customWidth="1"/>
    <col min="14346" max="14346" width="15.7109375" style="86" bestFit="1" customWidth="1"/>
    <col min="14347" max="14347" width="11.28515625" style="86" bestFit="1" customWidth="1"/>
    <col min="14348" max="14595" width="9.140625" style="86"/>
    <col min="14596" max="14596" width="14.5703125" style="86" bestFit="1" customWidth="1"/>
    <col min="14597" max="14597" width="37.28515625" style="86" bestFit="1" customWidth="1"/>
    <col min="14598" max="14598" width="57.7109375" style="86" customWidth="1"/>
    <col min="14599" max="14600" width="0" style="86" hidden="1" customWidth="1"/>
    <col min="14601" max="14601" width="19.5703125" style="86" bestFit="1" customWidth="1"/>
    <col min="14602" max="14602" width="15.7109375" style="86" bestFit="1" customWidth="1"/>
    <col min="14603" max="14603" width="11.28515625" style="86" bestFit="1" customWidth="1"/>
    <col min="14604" max="14851" width="9.140625" style="86"/>
    <col min="14852" max="14852" width="14.5703125" style="86" bestFit="1" customWidth="1"/>
    <col min="14853" max="14853" width="37.28515625" style="86" bestFit="1" customWidth="1"/>
    <col min="14854" max="14854" width="57.7109375" style="86" customWidth="1"/>
    <col min="14855" max="14856" width="0" style="86" hidden="1" customWidth="1"/>
    <col min="14857" max="14857" width="19.5703125" style="86" bestFit="1" customWidth="1"/>
    <col min="14858" max="14858" width="15.7109375" style="86" bestFit="1" customWidth="1"/>
    <col min="14859" max="14859" width="11.28515625" style="86" bestFit="1" customWidth="1"/>
    <col min="14860" max="15107" width="9.140625" style="86"/>
    <col min="15108" max="15108" width="14.5703125" style="86" bestFit="1" customWidth="1"/>
    <col min="15109" max="15109" width="37.28515625" style="86" bestFit="1" customWidth="1"/>
    <col min="15110" max="15110" width="57.7109375" style="86" customWidth="1"/>
    <col min="15111" max="15112" width="0" style="86" hidden="1" customWidth="1"/>
    <col min="15113" max="15113" width="19.5703125" style="86" bestFit="1" customWidth="1"/>
    <col min="15114" max="15114" width="15.7109375" style="86" bestFit="1" customWidth="1"/>
    <col min="15115" max="15115" width="11.28515625" style="86" bestFit="1" customWidth="1"/>
    <col min="15116" max="15363" width="9.140625" style="86"/>
    <col min="15364" max="15364" width="14.5703125" style="86" bestFit="1" customWidth="1"/>
    <col min="15365" max="15365" width="37.28515625" style="86" bestFit="1" customWidth="1"/>
    <col min="15366" max="15366" width="57.7109375" style="86" customWidth="1"/>
    <col min="15367" max="15368" width="0" style="86" hidden="1" customWidth="1"/>
    <col min="15369" max="15369" width="19.5703125" style="86" bestFit="1" customWidth="1"/>
    <col min="15370" max="15370" width="15.7109375" style="86" bestFit="1" customWidth="1"/>
    <col min="15371" max="15371" width="11.28515625" style="86" bestFit="1" customWidth="1"/>
    <col min="15372" max="15619" width="9.140625" style="86"/>
    <col min="15620" max="15620" width="14.5703125" style="86" bestFit="1" customWidth="1"/>
    <col min="15621" max="15621" width="37.28515625" style="86" bestFit="1" customWidth="1"/>
    <col min="15622" max="15622" width="57.7109375" style="86" customWidth="1"/>
    <col min="15623" max="15624" width="0" style="86" hidden="1" customWidth="1"/>
    <col min="15625" max="15625" width="19.5703125" style="86" bestFit="1" customWidth="1"/>
    <col min="15626" max="15626" width="15.7109375" style="86" bestFit="1" customWidth="1"/>
    <col min="15627" max="15627" width="11.28515625" style="86" bestFit="1" customWidth="1"/>
    <col min="15628" max="15875" width="9.140625" style="86"/>
    <col min="15876" max="15876" width="14.5703125" style="86" bestFit="1" customWidth="1"/>
    <col min="15877" max="15877" width="37.28515625" style="86" bestFit="1" customWidth="1"/>
    <col min="15878" max="15878" width="57.7109375" style="86" customWidth="1"/>
    <col min="15879" max="15880" width="0" style="86" hidden="1" customWidth="1"/>
    <col min="15881" max="15881" width="19.5703125" style="86" bestFit="1" customWidth="1"/>
    <col min="15882" max="15882" width="15.7109375" style="86" bestFit="1" customWidth="1"/>
    <col min="15883" max="15883" width="11.28515625" style="86" bestFit="1" customWidth="1"/>
    <col min="15884" max="16131" width="9.140625" style="86"/>
    <col min="16132" max="16132" width="14.5703125" style="86" bestFit="1" customWidth="1"/>
    <col min="16133" max="16133" width="37.28515625" style="86" bestFit="1" customWidth="1"/>
    <col min="16134" max="16134" width="57.7109375" style="86" customWidth="1"/>
    <col min="16135" max="16136" width="0" style="86" hidden="1" customWidth="1"/>
    <col min="16137" max="16137" width="19.5703125" style="86" bestFit="1" customWidth="1"/>
    <col min="16138" max="16138" width="15.7109375" style="86" bestFit="1" customWidth="1"/>
    <col min="16139" max="16139" width="11.28515625" style="86" bestFit="1" customWidth="1"/>
    <col min="16140" max="16384" width="9.140625" style="86"/>
  </cols>
  <sheetData>
    <row r="1" spans="1:16" ht="34.5" customHeight="1" x14ac:dyDescent="0.25">
      <c r="A1" s="837" t="str">
        <f>"Missio and Mill Hill Red Box Parish Results 2020 - Cardiff Archdiocese"</f>
        <v>Missio and Mill Hill Red Box Parish Results 2020 - Cardiff Archdiocese</v>
      </c>
      <c r="B1" s="248"/>
      <c r="C1" s="248"/>
      <c r="D1" s="167"/>
      <c r="E1" s="248"/>
      <c r="F1" s="248"/>
      <c r="G1" s="248"/>
      <c r="H1" s="757">
        <v>2020</v>
      </c>
      <c r="I1" s="757">
        <v>2020</v>
      </c>
      <c r="J1" s="757">
        <v>2020</v>
      </c>
      <c r="K1" s="248"/>
      <c r="L1" s="248"/>
      <c r="M1" s="248"/>
      <c r="N1" s="248"/>
    </row>
    <row r="2" spans="1:16" ht="30" customHeight="1" x14ac:dyDescent="0.3">
      <c r="A2" s="622" t="s">
        <v>1</v>
      </c>
      <c r="B2" s="622" t="s">
        <v>2</v>
      </c>
      <c r="C2" s="622" t="s">
        <v>3</v>
      </c>
      <c r="D2" s="622" t="s">
        <v>8214</v>
      </c>
      <c r="E2" s="622" t="s">
        <v>8165</v>
      </c>
      <c r="F2" s="622" t="s">
        <v>7809</v>
      </c>
      <c r="G2" s="622" t="s">
        <v>311</v>
      </c>
      <c r="H2" s="622" t="s">
        <v>308</v>
      </c>
      <c r="I2" s="622" t="s">
        <v>11022</v>
      </c>
      <c r="J2" s="622" t="s">
        <v>11034</v>
      </c>
      <c r="K2" s="622">
        <v>2020</v>
      </c>
      <c r="L2" s="622">
        <f>ARU!P2</f>
        <v>2019</v>
      </c>
      <c r="M2" s="622">
        <v>2019</v>
      </c>
      <c r="N2" s="622">
        <v>2018</v>
      </c>
      <c r="O2" s="622">
        <v>2017</v>
      </c>
      <c r="P2" s="622">
        <v>2016</v>
      </c>
    </row>
    <row r="3" spans="1:16" ht="30" customHeight="1" x14ac:dyDescent="0.2">
      <c r="A3" s="68" t="str">
        <f>D3&amp;" / "&amp;E3</f>
        <v>CAR001 / 2169</v>
      </c>
      <c r="B3" s="89" t="s">
        <v>2195</v>
      </c>
      <c r="C3" s="89" t="s">
        <v>2194</v>
      </c>
      <c r="D3" s="429" t="s">
        <v>2192</v>
      </c>
      <c r="E3" s="369" t="str">
        <f>VLOOKUP(D:D,'Master Table'!C:D,2,FALSE)</f>
        <v>2169</v>
      </c>
      <c r="F3" s="766" t="s">
        <v>2192</v>
      </c>
      <c r="G3" s="766" t="s">
        <v>2193</v>
      </c>
      <c r="H3" s="758"/>
      <c r="I3" s="758">
        <v>235</v>
      </c>
      <c r="J3" s="758"/>
      <c r="K3" s="69">
        <f>H3+I3+J3</f>
        <v>235</v>
      </c>
      <c r="L3" s="832">
        <f>VLOOKUP(D:D,'Master Table'!C:O,13,FALSE)</f>
        <v>240</v>
      </c>
      <c r="M3" s="832">
        <v>240</v>
      </c>
      <c r="N3" s="91">
        <v>965.52</v>
      </c>
      <c r="O3" s="833">
        <v>912</v>
      </c>
      <c r="P3" s="619">
        <v>893.67</v>
      </c>
    </row>
    <row r="4" spans="1:16" ht="30" customHeight="1" x14ac:dyDescent="0.2">
      <c r="A4" s="68" t="str">
        <f t="shared" ref="A4:A72" si="0">D4&amp;" / "&amp;E4</f>
        <v>CAR002 / 2170</v>
      </c>
      <c r="B4" s="89" t="s">
        <v>2195</v>
      </c>
      <c r="C4" s="89" t="s">
        <v>7366</v>
      </c>
      <c r="D4" s="429" t="s">
        <v>2196</v>
      </c>
      <c r="E4" s="369" t="str">
        <f>VLOOKUP(D:D,'Master Table'!C:D,2,FALSE)</f>
        <v>2170</v>
      </c>
      <c r="F4" s="766" t="s">
        <v>2196</v>
      </c>
      <c r="G4" s="766" t="s">
        <v>2197</v>
      </c>
      <c r="H4" s="758">
        <v>900</v>
      </c>
      <c r="I4" s="758">
        <v>810</v>
      </c>
      <c r="J4" s="758"/>
      <c r="K4" s="69">
        <f t="shared" ref="K4:K64" si="1">H4+I4+J4</f>
        <v>1710</v>
      </c>
      <c r="L4" s="832">
        <f>VLOOKUP(D:D,'Master Table'!C:O,13,FALSE)</f>
        <v>1390.06</v>
      </c>
      <c r="M4" s="832">
        <v>1390.06</v>
      </c>
      <c r="N4" s="91">
        <v>780</v>
      </c>
      <c r="O4" s="833">
        <v>856</v>
      </c>
      <c r="P4" s="619">
        <v>870</v>
      </c>
    </row>
    <row r="5" spans="1:16" ht="30" customHeight="1" x14ac:dyDescent="0.2">
      <c r="A5" s="68" t="str">
        <f t="shared" si="0"/>
        <v>CAR003 / 0479448</v>
      </c>
      <c r="B5" s="89" t="s">
        <v>2195</v>
      </c>
      <c r="C5" s="89" t="s">
        <v>231</v>
      </c>
      <c r="D5" s="429" t="s">
        <v>2199</v>
      </c>
      <c r="E5" s="369" t="str">
        <f>VLOOKUP(D:D,'Master Table'!C:D,2,FALSE)</f>
        <v>0479448</v>
      </c>
      <c r="F5" s="766" t="s">
        <v>2199</v>
      </c>
      <c r="G5" s="766" t="s">
        <v>2200</v>
      </c>
      <c r="H5" s="758"/>
      <c r="I5" s="758"/>
      <c r="J5" s="758"/>
      <c r="K5" s="69">
        <f t="shared" si="1"/>
        <v>0</v>
      </c>
      <c r="L5" s="832">
        <f>VLOOKUP(D:D,'Master Table'!C:O,13,FALSE)</f>
        <v>0</v>
      </c>
      <c r="M5" s="832">
        <v>0</v>
      </c>
      <c r="N5" s="91">
        <v>50</v>
      </c>
      <c r="O5" s="833">
        <v>0</v>
      </c>
      <c r="P5" s="619">
        <v>50</v>
      </c>
    </row>
    <row r="6" spans="1:16" ht="30" customHeight="1" x14ac:dyDescent="0.2">
      <c r="A6" s="68" t="str">
        <f t="shared" si="0"/>
        <v>CAR004 / 2172</v>
      </c>
      <c r="B6" s="89" t="s">
        <v>2195</v>
      </c>
      <c r="C6" s="89" t="s">
        <v>1203</v>
      </c>
      <c r="D6" s="429" t="s">
        <v>2201</v>
      </c>
      <c r="E6" s="369" t="str">
        <f>VLOOKUP(D:D,'Master Table'!C:D,2,FALSE)</f>
        <v>2172</v>
      </c>
      <c r="F6" s="766" t="s">
        <v>2201</v>
      </c>
      <c r="G6" s="766" t="s">
        <v>2202</v>
      </c>
      <c r="H6" s="758"/>
      <c r="I6" s="758">
        <v>40</v>
      </c>
      <c r="J6" s="758">
        <v>406.46</v>
      </c>
      <c r="K6" s="69">
        <f t="shared" si="1"/>
        <v>446.46</v>
      </c>
      <c r="L6" s="832">
        <f>VLOOKUP(D:D,'Master Table'!C:O,13,FALSE)</f>
        <v>0</v>
      </c>
      <c r="M6" s="832">
        <v>0</v>
      </c>
      <c r="N6" s="91">
        <v>295.88</v>
      </c>
      <c r="O6" s="833">
        <v>478.75</v>
      </c>
      <c r="P6" s="619">
        <v>841.4</v>
      </c>
    </row>
    <row r="7" spans="1:16" ht="30" customHeight="1" x14ac:dyDescent="0.2">
      <c r="A7" s="68" t="str">
        <f t="shared" si="0"/>
        <v>CAR005 / 2173</v>
      </c>
      <c r="B7" s="89" t="s">
        <v>2195</v>
      </c>
      <c r="C7" s="89" t="s">
        <v>916</v>
      </c>
      <c r="D7" s="429" t="s">
        <v>2204</v>
      </c>
      <c r="E7" s="369" t="str">
        <f>VLOOKUP(D:D,'Master Table'!C:D,2,FALSE)</f>
        <v>2173</v>
      </c>
      <c r="F7" s="766" t="s">
        <v>2204</v>
      </c>
      <c r="G7" s="766" t="s">
        <v>2205</v>
      </c>
      <c r="H7" s="758">
        <v>1105.51</v>
      </c>
      <c r="I7" s="758">
        <v>461.4</v>
      </c>
      <c r="J7" s="758"/>
      <c r="K7" s="69">
        <f t="shared" si="1"/>
        <v>1566.9099999999999</v>
      </c>
      <c r="L7" s="832">
        <f>VLOOKUP(D:D,'Master Table'!C:O,13,FALSE)</f>
        <v>4396.55</v>
      </c>
      <c r="M7" s="832">
        <v>4396.55</v>
      </c>
      <c r="N7" s="91">
        <v>4562.08</v>
      </c>
      <c r="O7" s="833">
        <v>4433.0200000000004</v>
      </c>
      <c r="P7" s="619">
        <v>4939.4800000000005</v>
      </c>
    </row>
    <row r="8" spans="1:16" ht="30" customHeight="1" x14ac:dyDescent="0.2">
      <c r="A8" s="68" t="str">
        <f t="shared" si="0"/>
        <v>CAR006 / 2174</v>
      </c>
      <c r="B8" s="89" t="s">
        <v>2195</v>
      </c>
      <c r="C8" s="89" t="s">
        <v>1004</v>
      </c>
      <c r="D8" s="429" t="s">
        <v>2208</v>
      </c>
      <c r="E8" s="369" t="str">
        <f>VLOOKUP(D:D,'Master Table'!C:D,2,FALSE)</f>
        <v>2174</v>
      </c>
      <c r="F8" s="766" t="s">
        <v>2208</v>
      </c>
      <c r="G8" s="766" t="s">
        <v>2209</v>
      </c>
      <c r="H8" s="758"/>
      <c r="I8" s="758">
        <v>2855</v>
      </c>
      <c r="J8" s="758"/>
      <c r="K8" s="69">
        <f t="shared" si="1"/>
        <v>2855</v>
      </c>
      <c r="L8" s="832">
        <f>VLOOKUP(D:D,'Master Table'!C:O,13,FALSE)</f>
        <v>3065</v>
      </c>
      <c r="M8" s="832">
        <v>3065</v>
      </c>
      <c r="N8" s="91">
        <v>2568</v>
      </c>
      <c r="O8" s="833">
        <v>1990</v>
      </c>
      <c r="P8" s="619">
        <v>2479</v>
      </c>
    </row>
    <row r="9" spans="1:16" ht="30" customHeight="1" x14ac:dyDescent="0.2">
      <c r="A9" s="68" t="str">
        <f t="shared" si="0"/>
        <v>CAR007 / 2175</v>
      </c>
      <c r="B9" s="89" t="s">
        <v>2195</v>
      </c>
      <c r="C9" s="89" t="s">
        <v>1165</v>
      </c>
      <c r="D9" s="429" t="s">
        <v>2211</v>
      </c>
      <c r="E9" s="369" t="str">
        <f>VLOOKUP(D:D,'Master Table'!C:D,2,FALSE)</f>
        <v>2175</v>
      </c>
      <c r="F9" s="766" t="s">
        <v>2211</v>
      </c>
      <c r="G9" s="766" t="s">
        <v>2212</v>
      </c>
      <c r="H9" s="758">
        <v>797.91</v>
      </c>
      <c r="I9" s="758">
        <v>385</v>
      </c>
      <c r="J9" s="758"/>
      <c r="K9" s="69">
        <f t="shared" si="1"/>
        <v>1182.9099999999999</v>
      </c>
      <c r="L9" s="832">
        <f>VLOOKUP(D:D,'Master Table'!C:O,13,FALSE)</f>
        <v>1707.8899999999999</v>
      </c>
      <c r="M9" s="832">
        <v>1707.8899999999999</v>
      </c>
      <c r="N9" s="91">
        <v>1412</v>
      </c>
      <c r="O9" s="833">
        <v>1487.09</v>
      </c>
      <c r="P9" s="619">
        <v>1907.8</v>
      </c>
    </row>
    <row r="10" spans="1:16" ht="30" customHeight="1" x14ac:dyDescent="0.2">
      <c r="A10" s="68" t="str">
        <f t="shared" si="0"/>
        <v>CAR008 / 2176</v>
      </c>
      <c r="B10" s="89" t="s">
        <v>2195</v>
      </c>
      <c r="C10" s="89" t="s">
        <v>2217</v>
      </c>
      <c r="D10" s="429" t="s">
        <v>2215</v>
      </c>
      <c r="E10" s="369" t="str">
        <f>VLOOKUP(D:D,'Master Table'!C:D,2,FALSE)</f>
        <v>2176</v>
      </c>
      <c r="F10" s="766" t="s">
        <v>2215</v>
      </c>
      <c r="G10" s="766" t="s">
        <v>2216</v>
      </c>
      <c r="H10" s="758">
        <v>557.47</v>
      </c>
      <c r="I10" s="758">
        <v>200</v>
      </c>
      <c r="J10" s="758"/>
      <c r="K10" s="69">
        <f t="shared" si="1"/>
        <v>757.47</v>
      </c>
      <c r="L10" s="832">
        <f>VLOOKUP(D:D,'Master Table'!C:O,13,FALSE)</f>
        <v>1636.6299999999999</v>
      </c>
      <c r="M10" s="832">
        <v>1636.6299999999999</v>
      </c>
      <c r="N10" s="91">
        <v>1492.5</v>
      </c>
      <c r="O10" s="833">
        <v>1620.93</v>
      </c>
      <c r="P10" s="619">
        <v>1836</v>
      </c>
    </row>
    <row r="11" spans="1:16" ht="30" customHeight="1" x14ac:dyDescent="0.2">
      <c r="A11" s="68" t="str">
        <f t="shared" si="0"/>
        <v>CAR009 / 2177</v>
      </c>
      <c r="B11" s="89" t="s">
        <v>2195</v>
      </c>
      <c r="C11" s="89" t="s">
        <v>7367</v>
      </c>
      <c r="D11" s="429" t="s">
        <v>2218</v>
      </c>
      <c r="E11" s="369" t="str">
        <f>VLOOKUP(D:D,'Master Table'!C:D,2,FALSE)</f>
        <v>2177</v>
      </c>
      <c r="F11" s="766" t="s">
        <v>2218</v>
      </c>
      <c r="G11" s="766" t="s">
        <v>2219</v>
      </c>
      <c r="H11" s="758"/>
      <c r="I11" s="758">
        <v>994</v>
      </c>
      <c r="J11" s="758"/>
      <c r="K11" s="69">
        <f t="shared" si="1"/>
        <v>994</v>
      </c>
      <c r="L11" s="832">
        <f>VLOOKUP(D:D,'Master Table'!C:O,13,FALSE)</f>
        <v>960.46</v>
      </c>
      <c r="M11" s="832">
        <v>960.46</v>
      </c>
      <c r="N11" s="91">
        <v>669</v>
      </c>
      <c r="O11" s="833">
        <v>2093.34</v>
      </c>
      <c r="P11" s="619">
        <v>3447.4</v>
      </c>
    </row>
    <row r="12" spans="1:16" ht="30" customHeight="1" x14ac:dyDescent="0.2">
      <c r="A12" s="68" t="str">
        <f t="shared" si="0"/>
        <v>CAR010 / 2178</v>
      </c>
      <c r="B12" s="89" t="s">
        <v>2195</v>
      </c>
      <c r="C12" s="89" t="s">
        <v>7368</v>
      </c>
      <c r="D12" s="429" t="s">
        <v>2224</v>
      </c>
      <c r="E12" s="369" t="str">
        <f>VLOOKUP(D:D,'Master Table'!C:D,2,FALSE)</f>
        <v>2178</v>
      </c>
      <c r="F12" s="766" t="s">
        <v>2224</v>
      </c>
      <c r="G12" s="766" t="s">
        <v>2225</v>
      </c>
      <c r="H12" s="758">
        <v>1330.28</v>
      </c>
      <c r="I12" s="758">
        <v>224</v>
      </c>
      <c r="J12" s="758"/>
      <c r="K12" s="69">
        <f t="shared" si="1"/>
        <v>1554.28</v>
      </c>
      <c r="L12" s="832">
        <f>VLOOKUP(D:D,'Master Table'!C:O,13,FALSE)</f>
        <v>2521.0500000000002</v>
      </c>
      <c r="M12" s="832">
        <v>2521.0500000000002</v>
      </c>
      <c r="N12" s="91">
        <v>2879</v>
      </c>
      <c r="O12" s="833">
        <v>2819</v>
      </c>
      <c r="P12" s="619">
        <v>2968</v>
      </c>
    </row>
    <row r="13" spans="1:16" ht="30" customHeight="1" x14ac:dyDescent="0.2">
      <c r="A13" s="68" t="str">
        <f t="shared" si="0"/>
        <v>CAR011 / 2179</v>
      </c>
      <c r="B13" s="89" t="s">
        <v>2195</v>
      </c>
      <c r="C13" s="89" t="s">
        <v>5145</v>
      </c>
      <c r="D13" s="429" t="s">
        <v>2227</v>
      </c>
      <c r="E13" s="369" t="str">
        <f>VLOOKUP(D:D,'Master Table'!C:D,2,FALSE)</f>
        <v>2179</v>
      </c>
      <c r="F13" s="766" t="s">
        <v>2227</v>
      </c>
      <c r="G13" s="766" t="s">
        <v>2228</v>
      </c>
      <c r="H13" s="758"/>
      <c r="I13" s="758">
        <v>35</v>
      </c>
      <c r="J13" s="758"/>
      <c r="K13" s="69">
        <f t="shared" si="1"/>
        <v>35</v>
      </c>
      <c r="L13" s="832">
        <f>VLOOKUP(D:D,'Master Table'!C:O,13,FALSE)</f>
        <v>35</v>
      </c>
      <c r="M13" s="832">
        <v>35</v>
      </c>
      <c r="N13" s="91">
        <v>80</v>
      </c>
      <c r="O13" s="833">
        <v>105</v>
      </c>
      <c r="P13" s="619">
        <v>235.72</v>
      </c>
    </row>
    <row r="14" spans="1:16" ht="30" customHeight="1" x14ac:dyDescent="0.2">
      <c r="A14" s="68" t="str">
        <f t="shared" si="0"/>
        <v>CAR012 / 2180</v>
      </c>
      <c r="B14" s="89" t="s">
        <v>2195</v>
      </c>
      <c r="C14" s="89" t="s">
        <v>5390</v>
      </c>
      <c r="D14" s="429" t="s">
        <v>2230</v>
      </c>
      <c r="E14" s="369" t="str">
        <f>VLOOKUP(D:D,'Master Table'!C:D,2,FALSE)</f>
        <v>2180</v>
      </c>
      <c r="F14" s="766" t="s">
        <v>2230</v>
      </c>
      <c r="G14" s="766" t="s">
        <v>2231</v>
      </c>
      <c r="H14" s="758"/>
      <c r="I14" s="758">
        <v>125</v>
      </c>
      <c r="J14" s="758"/>
      <c r="K14" s="69">
        <f t="shared" si="1"/>
        <v>125</v>
      </c>
      <c r="L14" s="832">
        <f>VLOOKUP(D:D,'Master Table'!C:O,13,FALSE)</f>
        <v>100</v>
      </c>
      <c r="M14" s="832">
        <v>100</v>
      </c>
      <c r="N14" s="91">
        <v>119.75</v>
      </c>
      <c r="O14" s="833">
        <v>170</v>
      </c>
      <c r="P14" s="619">
        <v>220</v>
      </c>
    </row>
    <row r="15" spans="1:16" ht="30" customHeight="1" x14ac:dyDescent="0.2">
      <c r="A15" s="68" t="str">
        <f t="shared" si="0"/>
        <v>CAR013 / 2181</v>
      </c>
      <c r="B15" s="89" t="s">
        <v>2195</v>
      </c>
      <c r="C15" s="89" t="s">
        <v>7369</v>
      </c>
      <c r="D15" s="429" t="s">
        <v>2233</v>
      </c>
      <c r="E15" s="369" t="str">
        <f>VLOOKUP(D:D,'Master Table'!C:D,2,FALSE)</f>
        <v>2181</v>
      </c>
      <c r="F15" s="766" t="s">
        <v>2233</v>
      </c>
      <c r="G15" s="766" t="s">
        <v>2234</v>
      </c>
      <c r="H15" s="758">
        <v>505</v>
      </c>
      <c r="I15" s="758">
        <v>621</v>
      </c>
      <c r="J15" s="758"/>
      <c r="K15" s="69">
        <f t="shared" si="1"/>
        <v>1126</v>
      </c>
      <c r="L15" s="832">
        <f>VLOOKUP(D:D,'Master Table'!C:O,13,FALSE)</f>
        <v>1188</v>
      </c>
      <c r="M15" s="832">
        <v>1188</v>
      </c>
      <c r="N15" s="91">
        <v>1304</v>
      </c>
      <c r="O15" s="833">
        <v>1941</v>
      </c>
      <c r="P15" s="619">
        <v>1327</v>
      </c>
    </row>
    <row r="16" spans="1:16" ht="30" customHeight="1" x14ac:dyDescent="0.2">
      <c r="A16" s="68" t="str">
        <f t="shared" si="0"/>
        <v>CAR014 / 2182</v>
      </c>
      <c r="B16" s="89" t="s">
        <v>2195</v>
      </c>
      <c r="C16" s="89" t="s">
        <v>7370</v>
      </c>
      <c r="D16" s="429" t="s">
        <v>2237</v>
      </c>
      <c r="E16" s="369" t="str">
        <f>VLOOKUP(D:D,'Master Table'!C:D,2,FALSE)</f>
        <v>2182</v>
      </c>
      <c r="F16" s="766" t="s">
        <v>2237</v>
      </c>
      <c r="G16" s="766" t="s">
        <v>2238</v>
      </c>
      <c r="H16" s="758"/>
      <c r="I16" s="758">
        <v>115</v>
      </c>
      <c r="J16" s="758"/>
      <c r="K16" s="69">
        <f t="shared" si="1"/>
        <v>115</v>
      </c>
      <c r="L16" s="832">
        <f>VLOOKUP(D:D,'Master Table'!C:O,13,FALSE)</f>
        <v>580.94000000000005</v>
      </c>
      <c r="M16" s="832">
        <v>580.94000000000005</v>
      </c>
      <c r="N16" s="91">
        <v>1013</v>
      </c>
      <c r="O16" s="833">
        <v>1413</v>
      </c>
      <c r="P16" s="619">
        <v>1544.3899999999999</v>
      </c>
    </row>
    <row r="17" spans="1:16" ht="30" customHeight="1" x14ac:dyDescent="0.2">
      <c r="A17" s="68" t="str">
        <f t="shared" si="0"/>
        <v>CAR015 / 2183</v>
      </c>
      <c r="B17" s="89" t="s">
        <v>2195</v>
      </c>
      <c r="C17" s="89" t="s">
        <v>532</v>
      </c>
      <c r="D17" s="429" t="s">
        <v>2241</v>
      </c>
      <c r="E17" s="369" t="str">
        <f>VLOOKUP(D:D,'Master Table'!C:D,2,FALSE)</f>
        <v>2183</v>
      </c>
      <c r="F17" s="766" t="s">
        <v>2241</v>
      </c>
      <c r="G17" s="766" t="s">
        <v>2242</v>
      </c>
      <c r="H17" s="758">
        <v>425.36</v>
      </c>
      <c r="I17" s="758">
        <v>440</v>
      </c>
      <c r="J17" s="758"/>
      <c r="K17" s="69">
        <f t="shared" si="1"/>
        <v>865.36</v>
      </c>
      <c r="L17" s="832">
        <f>VLOOKUP(D:D,'Master Table'!C:O,13,FALSE)</f>
        <v>1188.3499999999999</v>
      </c>
      <c r="M17" s="832">
        <v>1188.3499999999999</v>
      </c>
      <c r="N17" s="91">
        <v>1318.06</v>
      </c>
      <c r="O17" s="833">
        <v>1172.6100000000001</v>
      </c>
      <c r="P17" s="619">
        <v>1299.4000000000001</v>
      </c>
    </row>
    <row r="18" spans="1:16" ht="30" customHeight="1" x14ac:dyDescent="0.2">
      <c r="A18" s="68" t="str">
        <f t="shared" si="0"/>
        <v>CAR016 / 2184</v>
      </c>
      <c r="B18" s="89" t="s">
        <v>2195</v>
      </c>
      <c r="C18" s="89" t="s">
        <v>158</v>
      </c>
      <c r="D18" s="429" t="s">
        <v>2244</v>
      </c>
      <c r="E18" s="369" t="str">
        <f>VLOOKUP(D:D,'Master Table'!C:D,2,FALSE)</f>
        <v>2184</v>
      </c>
      <c r="F18" s="766" t="s">
        <v>2244</v>
      </c>
      <c r="G18" s="766" t="s">
        <v>2245</v>
      </c>
      <c r="H18" s="758">
        <v>921.96</v>
      </c>
      <c r="I18" s="758">
        <v>100</v>
      </c>
      <c r="J18" s="758"/>
      <c r="K18" s="69">
        <f t="shared" si="1"/>
        <v>1021.96</v>
      </c>
      <c r="L18" s="832">
        <f>VLOOKUP(D:D,'Master Table'!C:O,13,FALSE)</f>
        <v>1977.5900000000004</v>
      </c>
      <c r="M18" s="832">
        <v>1977.5900000000004</v>
      </c>
      <c r="N18" s="91">
        <v>2290.59</v>
      </c>
      <c r="O18" s="833">
        <v>2088.6800000000003</v>
      </c>
      <c r="P18" s="619">
        <v>2206.92</v>
      </c>
    </row>
    <row r="19" spans="1:16" ht="30" customHeight="1" x14ac:dyDescent="0.2">
      <c r="A19" s="68" t="str">
        <f t="shared" si="0"/>
        <v>CAR017 / 2185</v>
      </c>
      <c r="B19" s="89" t="s">
        <v>2195</v>
      </c>
      <c r="C19" s="89" t="s">
        <v>1065</v>
      </c>
      <c r="D19" s="429" t="s">
        <v>2246</v>
      </c>
      <c r="E19" s="369" t="str">
        <f>VLOOKUP(D:D,'Master Table'!C:D,2,FALSE)</f>
        <v>2185</v>
      </c>
      <c r="F19" s="766" t="s">
        <v>2246</v>
      </c>
      <c r="G19" s="766" t="s">
        <v>2247</v>
      </c>
      <c r="H19" s="758"/>
      <c r="I19" s="758">
        <v>320</v>
      </c>
      <c r="J19" s="758"/>
      <c r="K19" s="69">
        <f t="shared" si="1"/>
        <v>320</v>
      </c>
      <c r="L19" s="832">
        <f>VLOOKUP(D:D,'Master Table'!C:O,13,FALSE)</f>
        <v>2253.67</v>
      </c>
      <c r="M19" s="832">
        <v>2253.67</v>
      </c>
      <c r="N19" s="91">
        <v>3050.75</v>
      </c>
      <c r="O19" s="833">
        <v>3315.5</v>
      </c>
      <c r="P19" s="619">
        <v>3321</v>
      </c>
    </row>
    <row r="20" spans="1:16" ht="30" customHeight="1" x14ac:dyDescent="0.2">
      <c r="A20" s="68" t="str">
        <f t="shared" si="0"/>
        <v>CAR018 / 2186</v>
      </c>
      <c r="B20" s="89" t="s">
        <v>2195</v>
      </c>
      <c r="C20" s="89" t="s">
        <v>7371</v>
      </c>
      <c r="D20" s="429" t="s">
        <v>2249</v>
      </c>
      <c r="E20" s="369" t="str">
        <f>VLOOKUP(D:D,'Master Table'!C:D,2,FALSE)</f>
        <v>2186</v>
      </c>
      <c r="F20" s="766" t="s">
        <v>2249</v>
      </c>
      <c r="G20" s="766" t="s">
        <v>2250</v>
      </c>
      <c r="H20" s="758"/>
      <c r="I20" s="758">
        <v>845</v>
      </c>
      <c r="J20" s="758">
        <v>63.32</v>
      </c>
      <c r="K20" s="69">
        <f t="shared" si="1"/>
        <v>908.32</v>
      </c>
      <c r="L20" s="832">
        <f>VLOOKUP(D:D,'Master Table'!C:O,13,FALSE)</f>
        <v>2842.7299999999996</v>
      </c>
      <c r="M20" s="832">
        <v>2842.7299999999996</v>
      </c>
      <c r="N20" s="91">
        <v>2561.8599999999997</v>
      </c>
      <c r="O20" s="833">
        <v>3554.74</v>
      </c>
      <c r="P20" s="619">
        <v>3737.54</v>
      </c>
    </row>
    <row r="21" spans="1:16" ht="30" customHeight="1" x14ac:dyDescent="0.2">
      <c r="A21" s="68" t="str">
        <f t="shared" si="0"/>
        <v>CAR019 / 2187</v>
      </c>
      <c r="B21" s="89" t="s">
        <v>2195</v>
      </c>
      <c r="C21" s="89" t="s">
        <v>7372</v>
      </c>
      <c r="D21" s="429" t="s">
        <v>2252</v>
      </c>
      <c r="E21" s="369" t="str">
        <f>VLOOKUP(D:D,'Master Table'!C:D,2,FALSE)</f>
        <v>2187</v>
      </c>
      <c r="F21" s="766" t="s">
        <v>2252</v>
      </c>
      <c r="G21" s="766" t="s">
        <v>2253</v>
      </c>
      <c r="H21" s="758"/>
      <c r="I21" s="758">
        <v>650</v>
      </c>
      <c r="J21" s="758"/>
      <c r="K21" s="69">
        <f t="shared" si="1"/>
        <v>650</v>
      </c>
      <c r="L21" s="832">
        <f>VLOOKUP(D:D,'Master Table'!C:O,13,FALSE)</f>
        <v>1165.08</v>
      </c>
      <c r="M21" s="832">
        <v>1165.08</v>
      </c>
      <c r="N21" s="91">
        <v>1527.5</v>
      </c>
      <c r="O21" s="833">
        <v>1257.6399999999999</v>
      </c>
      <c r="P21" s="619">
        <v>1383</v>
      </c>
    </row>
    <row r="22" spans="1:16" ht="30" customHeight="1" x14ac:dyDescent="0.2">
      <c r="A22" s="68" t="str">
        <f t="shared" si="0"/>
        <v>CAR021 / 2189</v>
      </c>
      <c r="B22" s="89" t="s">
        <v>7373</v>
      </c>
      <c r="C22" s="89" t="s">
        <v>146</v>
      </c>
      <c r="D22" s="429" t="s">
        <v>2255</v>
      </c>
      <c r="E22" s="369" t="str">
        <f>VLOOKUP(D:D,'Master Table'!C:D,2,FALSE)</f>
        <v>2189</v>
      </c>
      <c r="F22" s="766" t="s">
        <v>2255</v>
      </c>
      <c r="G22" s="766" t="s">
        <v>2256</v>
      </c>
      <c r="H22" s="758"/>
      <c r="I22" s="758">
        <v>302</v>
      </c>
      <c r="J22" s="758">
        <v>108.3</v>
      </c>
      <c r="K22" s="69">
        <f t="shared" si="1"/>
        <v>410.3</v>
      </c>
      <c r="L22" s="832">
        <f>VLOOKUP(D:D,'Master Table'!C:O,13,FALSE)</f>
        <v>842</v>
      </c>
      <c r="M22" s="832">
        <v>842</v>
      </c>
      <c r="N22" s="91">
        <v>828</v>
      </c>
      <c r="O22" s="833">
        <v>751</v>
      </c>
      <c r="P22" s="619">
        <v>802</v>
      </c>
    </row>
    <row r="23" spans="1:16" ht="30" customHeight="1" x14ac:dyDescent="0.2">
      <c r="A23" s="68" t="str">
        <f t="shared" si="0"/>
        <v>CAR023 / 2191</v>
      </c>
      <c r="B23" s="89" t="s">
        <v>7374</v>
      </c>
      <c r="C23" s="89" t="s">
        <v>6440</v>
      </c>
      <c r="D23" s="429" t="s">
        <v>2263</v>
      </c>
      <c r="E23" s="369" t="str">
        <f>VLOOKUP(D:D,'Master Table'!C:D,2,FALSE)</f>
        <v>2191</v>
      </c>
      <c r="F23" s="766" t="s">
        <v>2263</v>
      </c>
      <c r="G23" s="766" t="s">
        <v>2264</v>
      </c>
      <c r="H23" s="758">
        <v>1158.29</v>
      </c>
      <c r="I23" s="758">
        <v>288</v>
      </c>
      <c r="J23" s="758"/>
      <c r="K23" s="69">
        <f t="shared" si="1"/>
        <v>1446.29</v>
      </c>
      <c r="L23" s="832">
        <f>VLOOKUP(D:D,'Master Table'!C:O,13,FALSE)</f>
        <v>1574.72</v>
      </c>
      <c r="M23" s="832">
        <v>1574.72</v>
      </c>
      <c r="N23" s="91">
        <v>1609.84</v>
      </c>
      <c r="O23" s="833">
        <v>1936.35</v>
      </c>
      <c r="P23" s="619">
        <v>1546.22</v>
      </c>
    </row>
    <row r="24" spans="1:16" ht="30" customHeight="1" x14ac:dyDescent="0.2">
      <c r="A24" s="68" t="str">
        <f t="shared" si="0"/>
        <v>CAR024 / 2192</v>
      </c>
      <c r="B24" s="89" t="s">
        <v>7375</v>
      </c>
      <c r="C24" s="89" t="s">
        <v>7376</v>
      </c>
      <c r="D24" s="429" t="s">
        <v>2272</v>
      </c>
      <c r="E24" s="369" t="str">
        <f>VLOOKUP(D:D,'Master Table'!C:D,2,FALSE)</f>
        <v>2192</v>
      </c>
      <c r="F24" s="766" t="s">
        <v>2272</v>
      </c>
      <c r="G24" s="766" t="s">
        <v>2273</v>
      </c>
      <c r="H24" s="758">
        <v>627.94000000000005</v>
      </c>
      <c r="I24" s="758">
        <v>95</v>
      </c>
      <c r="J24" s="758"/>
      <c r="K24" s="69">
        <f t="shared" si="1"/>
        <v>722.94</v>
      </c>
      <c r="L24" s="832">
        <f>VLOOKUP(D:D,'Master Table'!C:O,13,FALSE)</f>
        <v>1073.17</v>
      </c>
      <c r="M24" s="832">
        <v>1073.17</v>
      </c>
      <c r="N24" s="91">
        <v>1223.8900000000001</v>
      </c>
      <c r="O24" s="833">
        <v>1137.5999999999999</v>
      </c>
      <c r="P24" s="619">
        <v>856.11</v>
      </c>
    </row>
    <row r="25" spans="1:16" ht="30" customHeight="1" x14ac:dyDescent="0.2">
      <c r="A25" s="68" t="str">
        <f t="shared" si="0"/>
        <v>CAR026 / 2194</v>
      </c>
      <c r="B25" s="864" t="s">
        <v>7378</v>
      </c>
      <c r="C25" s="570" t="s">
        <v>8407</v>
      </c>
      <c r="D25" s="369" t="s">
        <v>2276</v>
      </c>
      <c r="E25" s="369" t="str">
        <f>VLOOKUP(D:D,'Master Table'!C:D,2,FALSE)</f>
        <v>2194</v>
      </c>
      <c r="F25" s="766" t="s">
        <v>2276</v>
      </c>
      <c r="G25" s="766" t="s">
        <v>2277</v>
      </c>
      <c r="H25" s="758"/>
      <c r="I25" s="758">
        <v>175</v>
      </c>
      <c r="J25" s="758"/>
      <c r="K25" s="69">
        <f t="shared" si="1"/>
        <v>175</v>
      </c>
      <c r="L25" s="832">
        <f>VLOOKUP(D:D,'Master Table'!C:O,13,FALSE)</f>
        <v>851.95</v>
      </c>
      <c r="M25" s="883">
        <f>L25+L26</f>
        <v>941.95</v>
      </c>
      <c r="N25" s="883">
        <v>761.55</v>
      </c>
      <c r="O25" s="833">
        <v>996</v>
      </c>
      <c r="P25" s="619">
        <v>678.51</v>
      </c>
    </row>
    <row r="26" spans="1:16" ht="30" customHeight="1" x14ac:dyDescent="0.2">
      <c r="A26" s="68" t="str">
        <f t="shared" ref="A26" si="2">D26&amp;" / "&amp;E26</f>
        <v>CAR035 / 2203</v>
      </c>
      <c r="B26" s="865"/>
      <c r="C26" s="571" t="s">
        <v>8347</v>
      </c>
      <c r="D26" s="369" t="s">
        <v>2298</v>
      </c>
      <c r="E26" s="369" t="str">
        <f>VLOOKUP(D:D,'Master Table'!C:D,2,FALSE)</f>
        <v>2203</v>
      </c>
      <c r="F26" s="766"/>
      <c r="G26" s="766"/>
      <c r="H26" s="758"/>
      <c r="I26" s="758"/>
      <c r="J26" s="758"/>
      <c r="K26" s="69"/>
      <c r="L26" s="832">
        <f>VLOOKUP(D:D,'Master Table'!C:O,13,FALSE)</f>
        <v>90</v>
      </c>
      <c r="M26" s="884"/>
      <c r="N26" s="884"/>
      <c r="O26" s="833"/>
      <c r="P26" s="619"/>
    </row>
    <row r="27" spans="1:16" ht="30" customHeight="1" x14ac:dyDescent="0.2">
      <c r="A27" s="68" t="str">
        <f t="shared" si="0"/>
        <v>CAR027 / 2195</v>
      </c>
      <c r="B27" s="89" t="s">
        <v>2282</v>
      </c>
      <c r="C27" s="89" t="s">
        <v>1065</v>
      </c>
      <c r="D27" s="429" t="s">
        <v>2280</v>
      </c>
      <c r="E27" s="369" t="str">
        <f>VLOOKUP(D:D,'Master Table'!C:D,2,FALSE)</f>
        <v>2195</v>
      </c>
      <c r="F27" s="766" t="s">
        <v>2280</v>
      </c>
      <c r="G27" s="766" t="s">
        <v>2281</v>
      </c>
      <c r="H27" s="758">
        <v>146.51</v>
      </c>
      <c r="I27" s="758">
        <v>5</v>
      </c>
      <c r="J27" s="758"/>
      <c r="K27" s="69">
        <f t="shared" si="1"/>
        <v>151.51</v>
      </c>
      <c r="L27" s="832">
        <f>VLOOKUP(D:D,'Master Table'!C:O,13,FALSE)</f>
        <v>358.93</v>
      </c>
      <c r="M27" s="832">
        <v>358.93</v>
      </c>
      <c r="N27" s="91">
        <v>642.79</v>
      </c>
      <c r="O27" s="833">
        <v>658.34</v>
      </c>
      <c r="P27" s="619">
        <v>353.40000000000003</v>
      </c>
    </row>
    <row r="28" spans="1:16" ht="30" customHeight="1" x14ac:dyDescent="0.2">
      <c r="A28" s="68" t="str">
        <f t="shared" si="0"/>
        <v>CAR028 / 2196</v>
      </c>
      <c r="B28" s="89" t="s">
        <v>2287</v>
      </c>
      <c r="C28" s="89" t="s">
        <v>3187</v>
      </c>
      <c r="D28" s="429" t="s">
        <v>2284</v>
      </c>
      <c r="E28" s="369" t="str">
        <f>VLOOKUP(D:D,'Master Table'!C:D,2,FALSE)</f>
        <v>2196</v>
      </c>
      <c r="F28" s="766" t="s">
        <v>2284</v>
      </c>
      <c r="G28" s="766" t="s">
        <v>2285</v>
      </c>
      <c r="H28" s="758">
        <v>195</v>
      </c>
      <c r="I28" s="758">
        <v>547</v>
      </c>
      <c r="J28" s="758"/>
      <c r="K28" s="69">
        <f t="shared" si="1"/>
        <v>742</v>
      </c>
      <c r="L28" s="832">
        <f>VLOOKUP(D:D,'Master Table'!C:O,13,FALSE)</f>
        <v>2533.63</v>
      </c>
      <c r="M28" s="832">
        <v>2533.63</v>
      </c>
      <c r="N28" s="91">
        <v>2758.68</v>
      </c>
      <c r="O28" s="833">
        <v>2894.24</v>
      </c>
      <c r="P28" s="619">
        <v>3145.4700000000003</v>
      </c>
    </row>
    <row r="29" spans="1:16" ht="30" customHeight="1" x14ac:dyDescent="0.2">
      <c r="A29" s="68" t="str">
        <f t="shared" si="0"/>
        <v>CAR031 / 2199</v>
      </c>
      <c r="B29" s="89" t="s">
        <v>7380</v>
      </c>
      <c r="C29" s="89" t="s">
        <v>2290</v>
      </c>
      <c r="D29" s="429" t="s">
        <v>2288</v>
      </c>
      <c r="E29" s="369" t="str">
        <f>VLOOKUP(D:D,'Master Table'!C:D,2,FALSE)</f>
        <v>2199</v>
      </c>
      <c r="F29" s="766" t="s">
        <v>2288</v>
      </c>
      <c r="G29" s="766" t="s">
        <v>2289</v>
      </c>
      <c r="H29" s="758">
        <v>40</v>
      </c>
      <c r="I29" s="758">
        <v>514.71</v>
      </c>
      <c r="J29" s="758">
        <v>65</v>
      </c>
      <c r="K29" s="69">
        <f t="shared" si="1"/>
        <v>619.71</v>
      </c>
      <c r="L29" s="832">
        <f>VLOOKUP(D:D,'Master Table'!C:O,13,FALSE)</f>
        <v>783.06</v>
      </c>
      <c r="M29" s="832">
        <v>783.06</v>
      </c>
      <c r="N29" s="91">
        <v>837.88</v>
      </c>
      <c r="O29" s="833">
        <v>977.82</v>
      </c>
      <c r="P29" s="619">
        <v>1047.0999999999999</v>
      </c>
    </row>
    <row r="30" spans="1:16" ht="30" customHeight="1" x14ac:dyDescent="0.2">
      <c r="A30" s="68" t="str">
        <f t="shared" si="0"/>
        <v>CAR032 / 2200</v>
      </c>
      <c r="B30" s="89" t="s">
        <v>2275</v>
      </c>
      <c r="C30" s="89" t="s">
        <v>226</v>
      </c>
      <c r="D30" s="429" t="s">
        <v>2292</v>
      </c>
      <c r="E30" s="369" t="str">
        <f>VLOOKUP(D:D,'Master Table'!C:D,2,FALSE)</f>
        <v>2200</v>
      </c>
      <c r="F30" s="766" t="s">
        <v>2292</v>
      </c>
      <c r="G30" s="766" t="s">
        <v>2293</v>
      </c>
      <c r="H30" s="758"/>
      <c r="I30" s="758">
        <v>300</v>
      </c>
      <c r="J30" s="758"/>
      <c r="K30" s="69">
        <f t="shared" si="1"/>
        <v>300</v>
      </c>
      <c r="L30" s="832">
        <f>VLOOKUP(D:D,'Master Table'!C:O,13,FALSE)</f>
        <v>561.95000000000005</v>
      </c>
      <c r="M30" s="832">
        <v>561.95000000000005</v>
      </c>
      <c r="N30" s="91">
        <v>130</v>
      </c>
      <c r="O30" s="833">
        <v>987.01</v>
      </c>
      <c r="P30" s="619">
        <v>941.48</v>
      </c>
    </row>
    <row r="31" spans="1:16" ht="30" customHeight="1" x14ac:dyDescent="0.2">
      <c r="A31" s="68" t="str">
        <f t="shared" si="0"/>
        <v>CAR034 / 2202</v>
      </c>
      <c r="B31" s="89" t="s">
        <v>2296</v>
      </c>
      <c r="C31" s="89" t="s">
        <v>532</v>
      </c>
      <c r="D31" s="429" t="s">
        <v>2294</v>
      </c>
      <c r="E31" s="369" t="str">
        <f>VLOOKUP(D:D,'Master Table'!C:D,2,FALSE)</f>
        <v>2202</v>
      </c>
      <c r="F31" s="766" t="s">
        <v>2294</v>
      </c>
      <c r="G31" s="766" t="s">
        <v>2295</v>
      </c>
      <c r="H31" s="758"/>
      <c r="I31" s="758">
        <v>75</v>
      </c>
      <c r="J31" s="758"/>
      <c r="K31" s="69">
        <f t="shared" si="1"/>
        <v>75</v>
      </c>
      <c r="L31" s="832">
        <f>VLOOKUP(D:D,'Master Table'!C:O,13,FALSE)</f>
        <v>457.79</v>
      </c>
      <c r="M31" s="832">
        <v>457.79</v>
      </c>
      <c r="N31" s="91">
        <v>456</v>
      </c>
      <c r="O31" s="833">
        <v>294.43</v>
      </c>
      <c r="P31" s="619">
        <v>415.23</v>
      </c>
    </row>
    <row r="32" spans="1:16" ht="30" customHeight="1" x14ac:dyDescent="0.2">
      <c r="A32" s="68" t="s">
        <v>11395</v>
      </c>
      <c r="B32" s="89" t="s">
        <v>11396</v>
      </c>
      <c r="C32" s="89" t="s">
        <v>2300</v>
      </c>
      <c r="D32" s="429"/>
      <c r="E32" s="369"/>
      <c r="F32" s="766" t="s">
        <v>2298</v>
      </c>
      <c r="G32" s="766" t="s">
        <v>2299</v>
      </c>
      <c r="H32" s="758"/>
      <c r="I32" s="758">
        <v>30</v>
      </c>
      <c r="J32" s="758"/>
      <c r="K32" s="69">
        <f t="shared" si="1"/>
        <v>30</v>
      </c>
      <c r="L32" s="832"/>
      <c r="M32" s="832"/>
      <c r="N32" s="91"/>
      <c r="O32" s="833"/>
      <c r="P32" s="619"/>
    </row>
    <row r="33" spans="1:16" ht="30" customHeight="1" x14ac:dyDescent="0.2">
      <c r="A33" s="68" t="str">
        <f t="shared" si="0"/>
        <v>CAR036 / 2204</v>
      </c>
      <c r="B33" s="89" t="s">
        <v>7381</v>
      </c>
      <c r="C33" s="89" t="s">
        <v>7382</v>
      </c>
      <c r="D33" s="429" t="s">
        <v>2302</v>
      </c>
      <c r="E33" s="369" t="str">
        <f>VLOOKUP(D:D,'Master Table'!C:D,2,FALSE)</f>
        <v>2204</v>
      </c>
      <c r="F33" s="766" t="s">
        <v>2302</v>
      </c>
      <c r="G33" s="766" t="s">
        <v>2303</v>
      </c>
      <c r="H33" s="758">
        <v>413.59</v>
      </c>
      <c r="I33" s="758">
        <v>50</v>
      </c>
      <c r="J33" s="758"/>
      <c r="K33" s="69">
        <f t="shared" si="1"/>
        <v>463.59</v>
      </c>
      <c r="L33" s="832">
        <f>VLOOKUP(D:D,'Master Table'!C:O,13,FALSE)</f>
        <v>1165.29</v>
      </c>
      <c r="M33" s="832">
        <v>1165.29</v>
      </c>
      <c r="N33" s="91">
        <v>1243.3599999999999</v>
      </c>
      <c r="O33" s="833">
        <v>1368.56</v>
      </c>
      <c r="P33" s="619">
        <v>1381.39</v>
      </c>
    </row>
    <row r="34" spans="1:16" ht="30" customHeight="1" x14ac:dyDescent="0.2">
      <c r="A34" s="68" t="str">
        <f t="shared" si="0"/>
        <v>CAR037 / 2205</v>
      </c>
      <c r="B34" s="89" t="s">
        <v>2307</v>
      </c>
      <c r="C34" s="89" t="s">
        <v>3187</v>
      </c>
      <c r="D34" s="429" t="s">
        <v>2305</v>
      </c>
      <c r="E34" s="369" t="str">
        <f>VLOOKUP(D:D,'Master Table'!C:D,2,FALSE)</f>
        <v>2205</v>
      </c>
      <c r="F34" s="766" t="s">
        <v>2305</v>
      </c>
      <c r="G34" s="766" t="s">
        <v>2306</v>
      </c>
      <c r="H34" s="758">
        <v>71.8</v>
      </c>
      <c r="I34" s="758">
        <v>438.07</v>
      </c>
      <c r="J34" s="758">
        <v>340.93</v>
      </c>
      <c r="K34" s="69">
        <f t="shared" si="1"/>
        <v>850.8</v>
      </c>
      <c r="L34" s="832">
        <f>VLOOKUP(D:D,'Master Table'!C:O,13,FALSE)</f>
        <v>1550.08</v>
      </c>
      <c r="M34" s="832">
        <v>1550.08</v>
      </c>
      <c r="N34" s="91">
        <v>1420.38</v>
      </c>
      <c r="O34" s="833">
        <v>1559.51</v>
      </c>
      <c r="P34" s="619">
        <v>1463.73</v>
      </c>
    </row>
    <row r="35" spans="1:16" ht="30" customHeight="1" x14ac:dyDescent="0.2">
      <c r="A35" s="68" t="str">
        <f t="shared" si="0"/>
        <v>CAR038 / 2206</v>
      </c>
      <c r="B35" s="89" t="s">
        <v>2311</v>
      </c>
      <c r="C35" s="89" t="s">
        <v>226</v>
      </c>
      <c r="D35" s="429" t="s">
        <v>2308</v>
      </c>
      <c r="E35" s="369" t="str">
        <f>VLOOKUP(D:D,'Master Table'!C:D,2,FALSE)</f>
        <v>2206</v>
      </c>
      <c r="F35" s="766" t="s">
        <v>2308</v>
      </c>
      <c r="G35" s="766" t="s">
        <v>2309</v>
      </c>
      <c r="H35" s="758"/>
      <c r="I35" s="758">
        <v>123</v>
      </c>
      <c r="J35" s="758"/>
      <c r="K35" s="69">
        <f t="shared" si="1"/>
        <v>123</v>
      </c>
      <c r="L35" s="832">
        <f>VLOOKUP(D:D,'Master Table'!C:O,13,FALSE)</f>
        <v>342.12</v>
      </c>
      <c r="M35" s="832">
        <v>342.12</v>
      </c>
      <c r="N35" s="91">
        <v>321.97000000000003</v>
      </c>
      <c r="O35" s="833">
        <v>471.1</v>
      </c>
      <c r="P35" s="619">
        <v>271.25</v>
      </c>
    </row>
    <row r="36" spans="1:16" ht="30" customHeight="1" x14ac:dyDescent="0.2">
      <c r="A36" s="68" t="str">
        <f t="shared" si="0"/>
        <v>CAR038A / 2207</v>
      </c>
      <c r="B36" s="89" t="s">
        <v>2315</v>
      </c>
      <c r="C36" s="89" t="s">
        <v>2667</v>
      </c>
      <c r="D36" s="429" t="s">
        <v>2312</v>
      </c>
      <c r="E36" s="369" t="str">
        <f>VLOOKUP(D:D,'Master Table'!C:D,2,FALSE)</f>
        <v>2207</v>
      </c>
      <c r="F36" s="766" t="s">
        <v>2312</v>
      </c>
      <c r="G36" s="766" t="s">
        <v>2313</v>
      </c>
      <c r="H36" s="758"/>
      <c r="I36" s="758">
        <v>35</v>
      </c>
      <c r="J36" s="758"/>
      <c r="K36" s="69">
        <f t="shared" si="1"/>
        <v>35</v>
      </c>
      <c r="L36" s="832">
        <f>VLOOKUP(D:D,'Master Table'!C:O,13,FALSE)</f>
        <v>560.02</v>
      </c>
      <c r="M36" s="832">
        <v>560.02</v>
      </c>
      <c r="N36" s="91">
        <v>538.61</v>
      </c>
      <c r="O36" s="833">
        <v>1098.0700000000002</v>
      </c>
      <c r="P36" s="619">
        <v>1281.06</v>
      </c>
    </row>
    <row r="37" spans="1:16" ht="30" customHeight="1" x14ac:dyDescent="0.2">
      <c r="A37" s="68" t="str">
        <f t="shared" si="0"/>
        <v>CAR041 / 2209</v>
      </c>
      <c r="B37" s="89" t="s">
        <v>2319</v>
      </c>
      <c r="C37" s="89" t="s">
        <v>1376</v>
      </c>
      <c r="D37" s="429" t="s">
        <v>2316</v>
      </c>
      <c r="E37" s="369" t="str">
        <f>VLOOKUP(D:D,'Master Table'!C:D,2,FALSE)</f>
        <v>2209</v>
      </c>
      <c r="F37" s="766" t="s">
        <v>2316</v>
      </c>
      <c r="G37" s="766" t="s">
        <v>2317</v>
      </c>
      <c r="H37" s="758">
        <v>1143.2</v>
      </c>
      <c r="I37" s="758">
        <v>305.7</v>
      </c>
      <c r="J37" s="758"/>
      <c r="K37" s="69">
        <f t="shared" si="1"/>
        <v>1448.9</v>
      </c>
      <c r="L37" s="832">
        <f>VLOOKUP(D:D,'Master Table'!C:O,13,FALSE)</f>
        <v>2906.8</v>
      </c>
      <c r="M37" s="832">
        <v>2906.8</v>
      </c>
      <c r="N37" s="91">
        <v>2621</v>
      </c>
      <c r="O37" s="833">
        <v>2233</v>
      </c>
      <c r="P37" s="619">
        <v>2268</v>
      </c>
    </row>
    <row r="38" spans="1:16" ht="30" customHeight="1" x14ac:dyDescent="0.2">
      <c r="A38" s="68" t="str">
        <f t="shared" si="0"/>
        <v>CAR043 / 2210</v>
      </c>
      <c r="B38" s="89" t="s">
        <v>7383</v>
      </c>
      <c r="C38" s="89" t="s">
        <v>89</v>
      </c>
      <c r="D38" s="429" t="s">
        <v>2320</v>
      </c>
      <c r="E38" s="369" t="str">
        <f>VLOOKUP(D:D,'Master Table'!C:D,2,FALSE)</f>
        <v>2210</v>
      </c>
      <c r="F38" s="766" t="s">
        <v>2320</v>
      </c>
      <c r="G38" s="766" t="s">
        <v>2321</v>
      </c>
      <c r="H38" s="758"/>
      <c r="I38" s="758">
        <v>100</v>
      </c>
      <c r="J38" s="758"/>
      <c r="K38" s="69">
        <f t="shared" si="1"/>
        <v>100</v>
      </c>
      <c r="L38" s="832">
        <f>VLOOKUP(D:D,'Master Table'!C:O,13,FALSE)</f>
        <v>1281.1400000000001</v>
      </c>
      <c r="M38" s="832">
        <v>1281.1400000000001</v>
      </c>
      <c r="N38" s="91">
        <v>955</v>
      </c>
      <c r="O38" s="833">
        <v>1087</v>
      </c>
      <c r="P38" s="619">
        <v>1216.67</v>
      </c>
    </row>
    <row r="39" spans="1:16" ht="30" customHeight="1" x14ac:dyDescent="0.2">
      <c r="A39" s="68" t="s">
        <v>11397</v>
      </c>
      <c r="B39" s="89" t="s">
        <v>2326</v>
      </c>
      <c r="C39" s="89" t="s">
        <v>2325</v>
      </c>
      <c r="D39" s="429"/>
      <c r="E39" s="369"/>
      <c r="F39" s="766" t="s">
        <v>2323</v>
      </c>
      <c r="G39" s="766" t="s">
        <v>2324</v>
      </c>
      <c r="H39" s="758"/>
      <c r="I39" s="758">
        <v>25</v>
      </c>
      <c r="J39" s="758"/>
      <c r="K39" s="69">
        <f t="shared" si="1"/>
        <v>25</v>
      </c>
      <c r="L39" s="832"/>
      <c r="M39" s="832"/>
      <c r="N39" s="91"/>
      <c r="O39" s="833"/>
      <c r="P39" s="619"/>
    </row>
    <row r="40" spans="1:16" ht="30" customHeight="1" x14ac:dyDescent="0.2">
      <c r="A40" s="68" t="str">
        <f t="shared" si="0"/>
        <v>CAR045 / 2212</v>
      </c>
      <c r="B40" s="89" t="s">
        <v>7386</v>
      </c>
      <c r="C40" s="89" t="s">
        <v>7387</v>
      </c>
      <c r="D40" s="429" t="s">
        <v>2328</v>
      </c>
      <c r="E40" s="369" t="str">
        <f>VLOOKUP(D:D,'Master Table'!C:D,2,FALSE)</f>
        <v>2212</v>
      </c>
      <c r="F40" s="766" t="s">
        <v>2328</v>
      </c>
      <c r="G40" s="766" t="s">
        <v>2329</v>
      </c>
      <c r="H40" s="758"/>
      <c r="I40" s="758"/>
      <c r="J40" s="758"/>
      <c r="K40" s="69">
        <f t="shared" si="1"/>
        <v>0</v>
      </c>
      <c r="L40" s="832">
        <f>VLOOKUP(D:D,'Master Table'!C:O,13,FALSE)</f>
        <v>1235.5</v>
      </c>
      <c r="M40" s="832">
        <v>1235.5</v>
      </c>
      <c r="N40" s="91">
        <v>1129.01</v>
      </c>
      <c r="O40" s="833">
        <v>1055</v>
      </c>
      <c r="P40" s="619">
        <v>1086.5</v>
      </c>
    </row>
    <row r="41" spans="1:16" ht="30" customHeight="1" x14ac:dyDescent="0.2">
      <c r="A41" s="68" t="str">
        <f t="shared" si="0"/>
        <v>CAR046 / 2213</v>
      </c>
      <c r="B41" s="89" t="s">
        <v>2301</v>
      </c>
      <c r="C41" s="89" t="s">
        <v>1871</v>
      </c>
      <c r="D41" s="429" t="s">
        <v>2332</v>
      </c>
      <c r="E41" s="369" t="str">
        <f>VLOOKUP(D:D,'Master Table'!C:D,2,FALSE)</f>
        <v>2213</v>
      </c>
      <c r="F41" s="766" t="s">
        <v>2332</v>
      </c>
      <c r="G41" s="766" t="s">
        <v>2333</v>
      </c>
      <c r="H41" s="758">
        <v>230</v>
      </c>
      <c r="I41" s="758">
        <v>12</v>
      </c>
      <c r="J41" s="758"/>
      <c r="K41" s="69">
        <f t="shared" si="1"/>
        <v>242</v>
      </c>
      <c r="L41" s="832">
        <f>VLOOKUP(D:D,'Master Table'!C:O,13,FALSE)</f>
        <v>825</v>
      </c>
      <c r="M41" s="832">
        <v>825</v>
      </c>
      <c r="N41" s="91">
        <v>860</v>
      </c>
      <c r="O41" s="833">
        <v>735</v>
      </c>
      <c r="P41" s="619">
        <v>1011</v>
      </c>
    </row>
    <row r="42" spans="1:16" ht="30" customHeight="1" x14ac:dyDescent="0.2">
      <c r="A42" s="68" t="str">
        <f t="shared" si="0"/>
        <v>CAR050 / 2215</v>
      </c>
      <c r="B42" s="89" t="s">
        <v>2291</v>
      </c>
      <c r="C42" s="89" t="s">
        <v>1386</v>
      </c>
      <c r="D42" s="429" t="s">
        <v>2335</v>
      </c>
      <c r="E42" s="369" t="str">
        <f>VLOOKUP(D:D,'Master Table'!C:D,2,FALSE)</f>
        <v>2215</v>
      </c>
      <c r="F42" s="766" t="s">
        <v>2335</v>
      </c>
      <c r="G42" s="766" t="s">
        <v>2336</v>
      </c>
      <c r="H42" s="758"/>
      <c r="I42" s="758">
        <v>1195</v>
      </c>
      <c r="J42" s="758"/>
      <c r="K42" s="69">
        <f t="shared" si="1"/>
        <v>1195</v>
      </c>
      <c r="L42" s="832">
        <f>VLOOKUP(D:D,'Master Table'!C:O,13,FALSE)</f>
        <v>1458.55</v>
      </c>
      <c r="M42" s="832">
        <v>1458.55</v>
      </c>
      <c r="N42" s="91">
        <v>1587.81</v>
      </c>
      <c r="O42" s="833">
        <v>1838.82</v>
      </c>
      <c r="P42" s="619">
        <v>1338.19</v>
      </c>
    </row>
    <row r="43" spans="1:16" ht="30" customHeight="1" x14ac:dyDescent="0.2">
      <c r="A43" s="68" t="str">
        <f t="shared" si="0"/>
        <v>CAR051 / 2216</v>
      </c>
      <c r="B43" s="89" t="s">
        <v>2291</v>
      </c>
      <c r="C43" s="89" t="s">
        <v>7388</v>
      </c>
      <c r="D43" s="429" t="s">
        <v>2337</v>
      </c>
      <c r="E43" s="369" t="str">
        <f>VLOOKUP(D:D,'Master Table'!C:D,2,FALSE)</f>
        <v>2216</v>
      </c>
      <c r="F43" s="766" t="s">
        <v>2337</v>
      </c>
      <c r="G43" s="766" t="s">
        <v>2338</v>
      </c>
      <c r="H43" s="758">
        <v>265.49</v>
      </c>
      <c r="I43" s="758">
        <v>210</v>
      </c>
      <c r="J43" s="758"/>
      <c r="K43" s="69">
        <f t="shared" si="1"/>
        <v>475.49</v>
      </c>
      <c r="L43" s="832">
        <f>VLOOKUP(D:D,'Master Table'!C:O,13,FALSE)</f>
        <v>835.14</v>
      </c>
      <c r="M43" s="832">
        <v>835.14</v>
      </c>
      <c r="N43" s="91">
        <v>781.7</v>
      </c>
      <c r="O43" s="833">
        <v>1640.47</v>
      </c>
      <c r="P43" s="619">
        <v>1954.5</v>
      </c>
    </row>
    <row r="44" spans="1:16" ht="30" customHeight="1" x14ac:dyDescent="0.2">
      <c r="A44" s="68" t="str">
        <f t="shared" si="0"/>
        <v>CAR053 / 2218</v>
      </c>
      <c r="B44" s="89" t="s">
        <v>2348</v>
      </c>
      <c r="C44" s="89" t="s">
        <v>2347</v>
      </c>
      <c r="D44" s="429" t="s">
        <v>2345</v>
      </c>
      <c r="E44" s="369" t="str">
        <f>VLOOKUP(D:D,'Master Table'!C:D,2,FALSE)</f>
        <v>2218</v>
      </c>
      <c r="F44" s="766" t="s">
        <v>2345</v>
      </c>
      <c r="G44" s="766" t="s">
        <v>2346</v>
      </c>
      <c r="H44" s="758">
        <v>596.67999999999995</v>
      </c>
      <c r="I44" s="758">
        <v>312.5</v>
      </c>
      <c r="J44" s="758"/>
      <c r="K44" s="69">
        <f t="shared" si="1"/>
        <v>909.18</v>
      </c>
      <c r="L44" s="832">
        <f>VLOOKUP(D:D,'Master Table'!C:O,13,FALSE)</f>
        <v>653.26</v>
      </c>
      <c r="M44" s="832">
        <v>653.26</v>
      </c>
      <c r="N44" s="91">
        <v>542.64</v>
      </c>
      <c r="O44" s="833">
        <v>699.22</v>
      </c>
      <c r="P44" s="619">
        <v>738.55000000000007</v>
      </c>
    </row>
    <row r="45" spans="1:16" ht="30" customHeight="1" x14ac:dyDescent="0.2">
      <c r="A45" s="68" t="str">
        <f t="shared" si="0"/>
        <v>CAR054 / 2219</v>
      </c>
      <c r="B45" s="89" t="s">
        <v>2352</v>
      </c>
      <c r="C45" s="89" t="s">
        <v>7389</v>
      </c>
      <c r="D45" s="429" t="s">
        <v>2349</v>
      </c>
      <c r="E45" s="369" t="str">
        <f>VLOOKUP(D:D,'Master Table'!C:D,2,FALSE)</f>
        <v>2219</v>
      </c>
      <c r="F45" s="766" t="s">
        <v>2349</v>
      </c>
      <c r="G45" s="766" t="s">
        <v>2350</v>
      </c>
      <c r="H45" s="758"/>
      <c r="I45" s="758">
        <v>980</v>
      </c>
      <c r="J45" s="758"/>
      <c r="K45" s="69">
        <f t="shared" si="1"/>
        <v>980</v>
      </c>
      <c r="L45" s="832">
        <f>VLOOKUP(D:D,'Master Table'!C:O,13,FALSE)</f>
        <v>2174.85</v>
      </c>
      <c r="M45" s="832">
        <v>2174.85</v>
      </c>
      <c r="N45" s="91">
        <v>2224.9300000000003</v>
      </c>
      <c r="O45" s="833">
        <v>1728</v>
      </c>
      <c r="P45" s="619">
        <v>1485</v>
      </c>
    </row>
    <row r="46" spans="1:16" ht="30" customHeight="1" x14ac:dyDescent="0.2">
      <c r="A46" s="68" t="str">
        <f t="shared" si="0"/>
        <v>CAR056 / 2220</v>
      </c>
      <c r="B46" s="89" t="s">
        <v>2356</v>
      </c>
      <c r="C46" s="89" t="s">
        <v>7390</v>
      </c>
      <c r="D46" s="429" t="s">
        <v>2353</v>
      </c>
      <c r="E46" s="369" t="str">
        <f>VLOOKUP(D:D,'Master Table'!C:D,2,FALSE)</f>
        <v>2220</v>
      </c>
      <c r="F46" s="766" t="s">
        <v>2353</v>
      </c>
      <c r="G46" s="766" t="s">
        <v>2354</v>
      </c>
      <c r="H46" s="758"/>
      <c r="I46" s="758">
        <v>512</v>
      </c>
      <c r="J46" s="758"/>
      <c r="K46" s="69">
        <f t="shared" si="1"/>
        <v>512</v>
      </c>
      <c r="L46" s="832">
        <f>VLOOKUP(D:D,'Master Table'!C:O,13,FALSE)</f>
        <v>4071.5299999999997</v>
      </c>
      <c r="M46" s="832">
        <v>4071.5299999999997</v>
      </c>
      <c r="N46" s="91">
        <v>3974.7</v>
      </c>
      <c r="O46" s="833">
        <v>4205.83</v>
      </c>
      <c r="P46" s="619">
        <v>764.32</v>
      </c>
    </row>
    <row r="47" spans="1:16" ht="30" customHeight="1" x14ac:dyDescent="0.2">
      <c r="A47" s="68" t="str">
        <f t="shared" si="0"/>
        <v>CAR057 / 2221</v>
      </c>
      <c r="B47" s="89" t="s">
        <v>2360</v>
      </c>
      <c r="C47" s="89" t="s">
        <v>7391</v>
      </c>
      <c r="D47" s="429" t="s">
        <v>2357</v>
      </c>
      <c r="E47" s="369" t="str">
        <f>VLOOKUP(D:D,'Master Table'!C:D,2,FALSE)</f>
        <v>2221</v>
      </c>
      <c r="F47" s="766" t="s">
        <v>2357</v>
      </c>
      <c r="G47" s="766" t="s">
        <v>2358</v>
      </c>
      <c r="H47" s="758">
        <v>920.21</v>
      </c>
      <c r="I47" s="758">
        <v>327.05</v>
      </c>
      <c r="J47" s="758">
        <v>850</v>
      </c>
      <c r="K47" s="69">
        <f t="shared" si="1"/>
        <v>2097.2600000000002</v>
      </c>
      <c r="L47" s="832">
        <f>VLOOKUP(D:D,'Master Table'!C:O,13,FALSE)</f>
        <v>2866.76</v>
      </c>
      <c r="M47" s="832">
        <v>2866.76</v>
      </c>
      <c r="N47" s="91">
        <v>2306.11</v>
      </c>
      <c r="O47" s="833">
        <v>2296.31</v>
      </c>
      <c r="P47" s="619">
        <v>2747.15</v>
      </c>
    </row>
    <row r="48" spans="1:16" ht="30" customHeight="1" x14ac:dyDescent="0.2">
      <c r="A48" s="68" t="str">
        <f t="shared" si="0"/>
        <v>CAR059 / 2223</v>
      </c>
      <c r="B48" s="89" t="s">
        <v>7392</v>
      </c>
      <c r="C48" s="89" t="s">
        <v>7393</v>
      </c>
      <c r="D48" s="429" t="s">
        <v>2366</v>
      </c>
      <c r="E48" s="369" t="str">
        <f>VLOOKUP(D:D,'Master Table'!C:D,2,FALSE)</f>
        <v>2223</v>
      </c>
      <c r="F48" s="766" t="s">
        <v>2366</v>
      </c>
      <c r="G48" s="766" t="s">
        <v>2367</v>
      </c>
      <c r="H48" s="758">
        <v>809.5</v>
      </c>
      <c r="I48" s="758">
        <v>100</v>
      </c>
      <c r="J48" s="758"/>
      <c r="K48" s="69">
        <f t="shared" si="1"/>
        <v>909.5</v>
      </c>
      <c r="L48" s="832">
        <f>VLOOKUP(D:D,'Master Table'!C:O,13,FALSE)</f>
        <v>2012.85</v>
      </c>
      <c r="M48" s="832">
        <v>2012.85</v>
      </c>
      <c r="N48" s="91">
        <v>2143.2600000000002</v>
      </c>
      <c r="O48" s="833">
        <v>2390.5</v>
      </c>
      <c r="P48" s="619">
        <v>1804</v>
      </c>
    </row>
    <row r="49" spans="1:16" ht="30" customHeight="1" x14ac:dyDescent="0.2">
      <c r="A49" s="68" t="str">
        <f t="shared" si="0"/>
        <v>CAR060 / 2224</v>
      </c>
      <c r="B49" s="89" t="s">
        <v>2331</v>
      </c>
      <c r="C49" s="89" t="s">
        <v>226</v>
      </c>
      <c r="D49" s="429" t="s">
        <v>2371</v>
      </c>
      <c r="E49" s="369" t="str">
        <f>VLOOKUP(D:D,'Master Table'!C:D,2,FALSE)</f>
        <v>2224</v>
      </c>
      <c r="F49" s="766" t="s">
        <v>2371</v>
      </c>
      <c r="G49" s="766" t="s">
        <v>2372</v>
      </c>
      <c r="H49" s="758"/>
      <c r="I49" s="758">
        <v>365</v>
      </c>
      <c r="J49" s="758"/>
      <c r="K49" s="69">
        <f t="shared" si="1"/>
        <v>365</v>
      </c>
      <c r="L49" s="832">
        <f>VLOOKUP(D:D,'Master Table'!C:O,13,FALSE)</f>
        <v>1490.05</v>
      </c>
      <c r="M49" s="832">
        <v>1490.05</v>
      </c>
      <c r="N49" s="91">
        <v>1957.32</v>
      </c>
      <c r="O49" s="833">
        <v>2120.37</v>
      </c>
      <c r="P49" s="619">
        <v>2060.5699999999997</v>
      </c>
    </row>
    <row r="50" spans="1:16" ht="30" customHeight="1" x14ac:dyDescent="0.2">
      <c r="A50" s="68" t="str">
        <f t="shared" si="0"/>
        <v>CAR061 / 2225</v>
      </c>
      <c r="B50" s="89" t="s">
        <v>2331</v>
      </c>
      <c r="C50" s="89" t="s">
        <v>7394</v>
      </c>
      <c r="D50" s="429" t="s">
        <v>2374</v>
      </c>
      <c r="E50" s="369" t="str">
        <f>VLOOKUP(D:D,'Master Table'!C:D,2,FALSE)</f>
        <v>2225</v>
      </c>
      <c r="F50" s="766" t="s">
        <v>2374</v>
      </c>
      <c r="G50" s="766" t="s">
        <v>2375</v>
      </c>
      <c r="H50" s="758">
        <v>825.11</v>
      </c>
      <c r="I50" s="758"/>
      <c r="J50" s="758"/>
      <c r="K50" s="69">
        <f t="shared" si="1"/>
        <v>825.11</v>
      </c>
      <c r="L50" s="832">
        <f>VLOOKUP(D:D,'Master Table'!C:O,13,FALSE)</f>
        <v>946.92000000000007</v>
      </c>
      <c r="M50" s="832">
        <v>946.92000000000007</v>
      </c>
      <c r="N50" s="91">
        <v>976.04</v>
      </c>
      <c r="O50" s="833">
        <v>1044.92</v>
      </c>
      <c r="P50" s="619">
        <v>1108.49</v>
      </c>
    </row>
    <row r="51" spans="1:16" ht="30" customHeight="1" x14ac:dyDescent="0.2">
      <c r="A51" s="68" t="str">
        <f t="shared" si="0"/>
        <v>CAR062 / 2226</v>
      </c>
      <c r="B51" s="89" t="s">
        <v>7395</v>
      </c>
      <c r="C51" s="89" t="s">
        <v>5211</v>
      </c>
      <c r="D51" s="429" t="s">
        <v>2377</v>
      </c>
      <c r="E51" s="369" t="str">
        <f>VLOOKUP(D:D,'Master Table'!C:D,2,FALSE)</f>
        <v>2226</v>
      </c>
      <c r="F51" s="766" t="s">
        <v>2377</v>
      </c>
      <c r="G51" s="766" t="s">
        <v>2378</v>
      </c>
      <c r="H51" s="758"/>
      <c r="I51" s="758"/>
      <c r="J51" s="758">
        <v>50</v>
      </c>
      <c r="K51" s="69">
        <f t="shared" si="1"/>
        <v>50</v>
      </c>
      <c r="L51" s="832">
        <f>VLOOKUP(D:D,'Master Table'!C:O,13,FALSE)</f>
        <v>1177.24</v>
      </c>
      <c r="M51" s="832">
        <v>1177.24</v>
      </c>
      <c r="N51" s="91">
        <v>20</v>
      </c>
      <c r="O51" s="833">
        <v>180</v>
      </c>
      <c r="P51" s="619">
        <v>290.5</v>
      </c>
    </row>
    <row r="52" spans="1:16" ht="30" customHeight="1" x14ac:dyDescent="0.2">
      <c r="A52" s="68" t="str">
        <f t="shared" si="0"/>
        <v>CAR063 / 2227</v>
      </c>
      <c r="B52" s="89" t="s">
        <v>2383</v>
      </c>
      <c r="C52" s="606" t="s">
        <v>226</v>
      </c>
      <c r="D52" s="429" t="s">
        <v>2380</v>
      </c>
      <c r="E52" s="369" t="str">
        <f>VLOOKUP(D:D,'Master Table'!C:D,2,FALSE)</f>
        <v>2227</v>
      </c>
      <c r="F52" s="766" t="s">
        <v>2380</v>
      </c>
      <c r="G52" s="766" t="s">
        <v>2381</v>
      </c>
      <c r="H52" s="758">
        <v>227.2</v>
      </c>
      <c r="I52" s="758">
        <v>415</v>
      </c>
      <c r="J52" s="758"/>
      <c r="K52" s="69">
        <f t="shared" si="1"/>
        <v>642.20000000000005</v>
      </c>
      <c r="L52" s="832">
        <f>VLOOKUP(D:D,'Master Table'!C:O,13,FALSE)</f>
        <v>970.21</v>
      </c>
      <c r="M52" s="832">
        <v>970.21</v>
      </c>
      <c r="N52" s="91">
        <v>403.45</v>
      </c>
      <c r="O52" s="833">
        <v>687.76</v>
      </c>
      <c r="P52" s="619">
        <v>521.67000000000007</v>
      </c>
    </row>
    <row r="53" spans="1:16" ht="30" customHeight="1" x14ac:dyDescent="0.2">
      <c r="A53" s="68" t="str">
        <f t="shared" si="0"/>
        <v>CAR064 / 2228</v>
      </c>
      <c r="B53" s="879" t="s">
        <v>7397</v>
      </c>
      <c r="C53" s="606" t="s">
        <v>8299</v>
      </c>
      <c r="D53" s="520" t="s">
        <v>2385</v>
      </c>
      <c r="E53" s="369" t="str">
        <f>VLOOKUP(D:D,'Master Table'!C:D,2,FALSE)</f>
        <v>2228</v>
      </c>
      <c r="F53" s="766" t="s">
        <v>2385</v>
      </c>
      <c r="G53" s="766" t="s">
        <v>2386</v>
      </c>
      <c r="H53" s="758">
        <v>672.94</v>
      </c>
      <c r="I53" s="758">
        <v>20</v>
      </c>
      <c r="J53" s="758"/>
      <c r="K53" s="69">
        <f t="shared" si="1"/>
        <v>692.94</v>
      </c>
      <c r="L53" s="832">
        <f>VLOOKUP(D:D,'Master Table'!C:O,13,FALSE)</f>
        <v>1446.91</v>
      </c>
      <c r="M53" s="883">
        <v>1446.91</v>
      </c>
      <c r="N53" s="885">
        <v>2857.88</v>
      </c>
      <c r="O53" s="833">
        <v>3240.73</v>
      </c>
      <c r="P53" s="619">
        <v>2843.1800000000003</v>
      </c>
    </row>
    <row r="54" spans="1:16" ht="30" customHeight="1" x14ac:dyDescent="0.2">
      <c r="A54" s="68" t="str">
        <f t="shared" ref="A54" si="3">D54&amp;" / "&amp;E54</f>
        <v>CAR022 / 2190</v>
      </c>
      <c r="B54" s="880"/>
      <c r="C54" s="523" t="s">
        <v>8300</v>
      </c>
      <c r="D54" s="520" t="s">
        <v>2259</v>
      </c>
      <c r="E54" s="369" t="str">
        <f>VLOOKUP(D:D,'Master Table'!C:D,2,FALSE)</f>
        <v>2190</v>
      </c>
      <c r="F54" s="766"/>
      <c r="G54" s="766"/>
      <c r="H54" s="758"/>
      <c r="I54" s="758"/>
      <c r="J54" s="758"/>
      <c r="K54" s="69"/>
      <c r="L54" s="832">
        <f>VLOOKUP(D:D,'Master Table'!C:O,13,FALSE)</f>
        <v>0</v>
      </c>
      <c r="M54" s="884"/>
      <c r="N54" s="886"/>
      <c r="O54" s="833"/>
      <c r="P54" s="619"/>
    </row>
    <row r="55" spans="1:16" ht="30" customHeight="1" x14ac:dyDescent="0.2">
      <c r="A55" s="68" t="str">
        <f t="shared" si="0"/>
        <v>CAR066 / 2229</v>
      </c>
      <c r="B55" s="881" t="s">
        <v>7400</v>
      </c>
      <c r="C55" s="606" t="s">
        <v>8301</v>
      </c>
      <c r="D55" s="429" t="s">
        <v>2388</v>
      </c>
      <c r="E55" s="369" t="str">
        <f>VLOOKUP(D:D,'Master Table'!C:D,2,FALSE)</f>
        <v>2229</v>
      </c>
      <c r="F55" s="766" t="s">
        <v>2388</v>
      </c>
      <c r="G55" s="766" t="s">
        <v>2389</v>
      </c>
      <c r="H55" s="758"/>
      <c r="I55" s="758">
        <v>25</v>
      </c>
      <c r="J55" s="758"/>
      <c r="K55" s="69">
        <f t="shared" si="1"/>
        <v>25</v>
      </c>
      <c r="L55" s="832">
        <f>VLOOKUP(D:D,'Master Table'!C:O,13,FALSE)</f>
        <v>850.09</v>
      </c>
      <c r="M55" s="883">
        <f>L55+L56</f>
        <v>1046.0900000000001</v>
      </c>
      <c r="N55" s="885">
        <v>-581.92999999999995</v>
      </c>
      <c r="O55" s="833">
        <v>763</v>
      </c>
      <c r="P55" s="619">
        <v>1561.98</v>
      </c>
    </row>
    <row r="56" spans="1:16" ht="30" customHeight="1" x14ac:dyDescent="0.2">
      <c r="A56" s="68" t="str">
        <f t="shared" ref="A56" si="4">D56&amp;" / "&amp;E56</f>
        <v>CAR076 / 2238</v>
      </c>
      <c r="B56" s="882"/>
      <c r="C56" s="523" t="s">
        <v>8302</v>
      </c>
      <c r="D56" s="429" t="s">
        <v>2421</v>
      </c>
      <c r="E56" s="369" t="str">
        <f>VLOOKUP(D:D,'Master Table'!C:D,2,FALSE)</f>
        <v>2238</v>
      </c>
      <c r="F56" s="766" t="s">
        <v>2421</v>
      </c>
      <c r="G56" s="766" t="s">
        <v>2422</v>
      </c>
      <c r="H56" s="758"/>
      <c r="I56" s="758">
        <v>222</v>
      </c>
      <c r="J56" s="758"/>
      <c r="K56" s="69">
        <f>H56+I56+J56</f>
        <v>222</v>
      </c>
      <c r="L56" s="832">
        <f>VLOOKUP(D:D,'Master Table'!C:O,13,FALSE)</f>
        <v>196</v>
      </c>
      <c r="M56" s="884"/>
      <c r="N56" s="886"/>
      <c r="O56" s="833"/>
      <c r="P56" s="619"/>
    </row>
    <row r="57" spans="1:16" ht="30" customHeight="1" x14ac:dyDescent="0.2">
      <c r="A57" s="68" t="str">
        <f t="shared" si="0"/>
        <v>CAR067 / 2230</v>
      </c>
      <c r="B57" s="89" t="s">
        <v>195</v>
      </c>
      <c r="C57" s="89" t="s">
        <v>2395</v>
      </c>
      <c r="D57" s="429" t="s">
        <v>2393</v>
      </c>
      <c r="E57" s="369" t="str">
        <f>VLOOKUP(D:D,'Master Table'!C:D,2,FALSE)</f>
        <v>2230</v>
      </c>
      <c r="F57" s="766" t="s">
        <v>2393</v>
      </c>
      <c r="G57" s="766" t="s">
        <v>2394</v>
      </c>
      <c r="H57" s="758"/>
      <c r="I57" s="758">
        <v>151</v>
      </c>
      <c r="J57" s="758"/>
      <c r="K57" s="69">
        <f t="shared" si="1"/>
        <v>151</v>
      </c>
      <c r="L57" s="832">
        <f>VLOOKUP(D:D,'Master Table'!C:O,13,FALSE)</f>
        <v>216</v>
      </c>
      <c r="M57" s="832">
        <v>216</v>
      </c>
      <c r="N57" s="91">
        <v>111</v>
      </c>
      <c r="O57" s="833">
        <v>136</v>
      </c>
      <c r="P57" s="619">
        <v>249.08</v>
      </c>
    </row>
    <row r="58" spans="1:16" ht="30" customHeight="1" x14ac:dyDescent="0.2">
      <c r="A58" s="68" t="str">
        <f t="shared" si="0"/>
        <v>CAR068 / 2231</v>
      </c>
      <c r="B58" s="89" t="s">
        <v>195</v>
      </c>
      <c r="C58" s="89" t="s">
        <v>2398</v>
      </c>
      <c r="D58" s="429" t="s">
        <v>2396</v>
      </c>
      <c r="E58" s="369" t="str">
        <f>VLOOKUP(D:D,'Master Table'!C:D,2,FALSE)</f>
        <v>2231</v>
      </c>
      <c r="F58" s="766" t="s">
        <v>2396</v>
      </c>
      <c r="G58" s="766" t="s">
        <v>2397</v>
      </c>
      <c r="H58" s="758"/>
      <c r="I58" s="758">
        <v>80</v>
      </c>
      <c r="J58" s="758"/>
      <c r="K58" s="69">
        <f t="shared" si="1"/>
        <v>80</v>
      </c>
      <c r="L58" s="832">
        <f>VLOOKUP(D:D,'Master Table'!C:O,13,FALSE)</f>
        <v>748.95</v>
      </c>
      <c r="M58" s="832">
        <v>748.95</v>
      </c>
      <c r="N58" s="91">
        <v>756.48</v>
      </c>
      <c r="O58" s="833">
        <v>80</v>
      </c>
      <c r="P58" s="619">
        <v>985</v>
      </c>
    </row>
    <row r="59" spans="1:16" ht="30" customHeight="1" x14ac:dyDescent="0.2">
      <c r="A59" s="68" t="str">
        <f t="shared" si="0"/>
        <v>CAR069 / 2232</v>
      </c>
      <c r="B59" s="89" t="s">
        <v>195</v>
      </c>
      <c r="C59" s="89" t="s">
        <v>7402</v>
      </c>
      <c r="D59" s="429" t="s">
        <v>2399</v>
      </c>
      <c r="E59" s="369" t="str">
        <f>VLOOKUP(D:D,'Master Table'!C:D,2,FALSE)</f>
        <v>2232</v>
      </c>
      <c r="F59" s="766" t="s">
        <v>2399</v>
      </c>
      <c r="G59" s="766" t="s">
        <v>2400</v>
      </c>
      <c r="H59" s="758"/>
      <c r="I59" s="758"/>
      <c r="J59" s="758"/>
      <c r="K59" s="69">
        <f t="shared" si="1"/>
        <v>0</v>
      </c>
      <c r="L59" s="832">
        <f>VLOOKUP(D:D,'Master Table'!C:O,13,FALSE)</f>
        <v>463.62</v>
      </c>
      <c r="M59" s="832">
        <v>463.62</v>
      </c>
      <c r="N59" s="91">
        <v>315.64999999999998</v>
      </c>
      <c r="O59" s="833">
        <v>529</v>
      </c>
      <c r="P59" s="619">
        <v>690.15</v>
      </c>
    </row>
    <row r="60" spans="1:16" ht="30" customHeight="1" x14ac:dyDescent="0.2">
      <c r="A60" s="68" t="str">
        <f t="shared" si="0"/>
        <v>CAR070 / 2233</v>
      </c>
      <c r="B60" s="89" t="s">
        <v>195</v>
      </c>
      <c r="C60" s="89" t="s">
        <v>2404</v>
      </c>
      <c r="D60" s="429" t="s">
        <v>2402</v>
      </c>
      <c r="E60" s="369" t="str">
        <f>VLOOKUP(D:D,'Master Table'!C:D,2,FALSE)</f>
        <v>2233</v>
      </c>
      <c r="F60" s="766" t="s">
        <v>2402</v>
      </c>
      <c r="G60" s="766" t="s">
        <v>2403</v>
      </c>
      <c r="H60" s="758">
        <v>774.09</v>
      </c>
      <c r="I60" s="758">
        <v>331</v>
      </c>
      <c r="J60" s="758"/>
      <c r="K60" s="69">
        <f t="shared" si="1"/>
        <v>1105.0900000000001</v>
      </c>
      <c r="L60" s="832">
        <f>VLOOKUP(D:D,'Master Table'!C:O,13,FALSE)</f>
        <v>1346.56</v>
      </c>
      <c r="M60" s="832">
        <v>1346.56</v>
      </c>
      <c r="N60" s="91">
        <v>1099.69</v>
      </c>
      <c r="O60" s="833">
        <v>1378.43</v>
      </c>
      <c r="P60" s="619">
        <v>1258.1500000000001</v>
      </c>
    </row>
    <row r="61" spans="1:16" ht="30" customHeight="1" x14ac:dyDescent="0.2">
      <c r="A61" s="68" t="str">
        <f t="shared" si="0"/>
        <v>CAR071 / 2234</v>
      </c>
      <c r="B61" s="89" t="s">
        <v>195</v>
      </c>
      <c r="C61" s="89" t="s">
        <v>7403</v>
      </c>
      <c r="D61" s="429" t="s">
        <v>2406</v>
      </c>
      <c r="E61" s="369" t="str">
        <f>VLOOKUP(D:D,'Master Table'!C:D,2,FALSE)</f>
        <v>2234</v>
      </c>
      <c r="F61" s="766" t="s">
        <v>2406</v>
      </c>
      <c r="G61" s="766" t="s">
        <v>2407</v>
      </c>
      <c r="H61" s="758">
        <v>160.16</v>
      </c>
      <c r="I61" s="758">
        <v>25</v>
      </c>
      <c r="J61" s="758"/>
      <c r="K61" s="69">
        <f t="shared" si="1"/>
        <v>185.16</v>
      </c>
      <c r="L61" s="832">
        <f>VLOOKUP(D:D,'Master Table'!C:O,13,FALSE)</f>
        <v>637.09</v>
      </c>
      <c r="M61" s="832">
        <v>637.09</v>
      </c>
      <c r="N61" s="91">
        <v>675.39</v>
      </c>
      <c r="O61" s="833">
        <v>633.09</v>
      </c>
      <c r="P61" s="619">
        <v>794.86</v>
      </c>
    </row>
    <row r="62" spans="1:16" ht="30" customHeight="1" x14ac:dyDescent="0.2">
      <c r="A62" s="68" t="str">
        <f t="shared" si="0"/>
        <v>CAR072 / 2235</v>
      </c>
      <c r="B62" s="89" t="s">
        <v>195</v>
      </c>
      <c r="C62" s="89" t="s">
        <v>2414</v>
      </c>
      <c r="D62" s="429" t="s">
        <v>2412</v>
      </c>
      <c r="E62" s="369" t="str">
        <f>VLOOKUP(D:D,'Master Table'!C:D,2,FALSE)</f>
        <v>2235</v>
      </c>
      <c r="F62" s="766" t="s">
        <v>2412</v>
      </c>
      <c r="G62" s="766" t="s">
        <v>2413</v>
      </c>
      <c r="H62" s="758"/>
      <c r="I62" s="758">
        <v>124</v>
      </c>
      <c r="J62" s="758"/>
      <c r="K62" s="69">
        <f t="shared" si="1"/>
        <v>124</v>
      </c>
      <c r="L62" s="832">
        <f>VLOOKUP(D:D,'Master Table'!C:O,13,FALSE)</f>
        <v>149</v>
      </c>
      <c r="M62" s="832">
        <v>149</v>
      </c>
      <c r="N62" s="91">
        <v>224</v>
      </c>
      <c r="O62" s="833">
        <v>199</v>
      </c>
      <c r="P62" s="619">
        <v>129</v>
      </c>
    </row>
    <row r="63" spans="1:16" ht="30" customHeight="1" x14ac:dyDescent="0.2">
      <c r="A63" s="68" t="str">
        <f t="shared" si="0"/>
        <v>CAR073 / 2236</v>
      </c>
      <c r="B63" s="89" t="s">
        <v>195</v>
      </c>
      <c r="C63" s="89" t="s">
        <v>158</v>
      </c>
      <c r="D63" s="429" t="s">
        <v>2415</v>
      </c>
      <c r="E63" s="369" t="str">
        <f>VLOOKUP(D:D,'Master Table'!C:D,2,FALSE)</f>
        <v>2236</v>
      </c>
      <c r="F63" s="766" t="s">
        <v>2415</v>
      </c>
      <c r="G63" s="766" t="s">
        <v>2416</v>
      </c>
      <c r="H63" s="758">
        <v>965.5</v>
      </c>
      <c r="I63" s="758">
        <v>45</v>
      </c>
      <c r="J63" s="758"/>
      <c r="K63" s="69">
        <f t="shared" si="1"/>
        <v>1010.5</v>
      </c>
      <c r="L63" s="832">
        <f>VLOOKUP(D:D,'Master Table'!C:O,13,FALSE)</f>
        <v>1676.5</v>
      </c>
      <c r="M63" s="832">
        <v>1676.5</v>
      </c>
      <c r="N63" s="91">
        <v>1645</v>
      </c>
      <c r="O63" s="833">
        <v>1595</v>
      </c>
      <c r="P63" s="619">
        <v>1858</v>
      </c>
    </row>
    <row r="64" spans="1:16" ht="30" customHeight="1" x14ac:dyDescent="0.2">
      <c r="A64" s="68" t="str">
        <f t="shared" si="0"/>
        <v>CAR074 / 2237</v>
      </c>
      <c r="B64" s="877" t="s">
        <v>7405</v>
      </c>
      <c r="C64" s="468" t="s">
        <v>8405</v>
      </c>
      <c r="D64" s="429" t="s">
        <v>2417</v>
      </c>
      <c r="E64" s="369" t="str">
        <f>VLOOKUP(D:D,'Master Table'!C:D,2,FALSE)</f>
        <v>2237</v>
      </c>
      <c r="F64" s="766" t="s">
        <v>2417</v>
      </c>
      <c r="G64" s="766" t="s">
        <v>2418</v>
      </c>
      <c r="H64" s="758"/>
      <c r="I64" s="758">
        <v>612</v>
      </c>
      <c r="J64" s="758"/>
      <c r="K64" s="69">
        <f t="shared" si="1"/>
        <v>612</v>
      </c>
      <c r="L64" s="832">
        <f>VLOOKUP(D:D,'Master Table'!C:O,13,FALSE)</f>
        <v>2327.7600000000002</v>
      </c>
      <c r="M64" s="832">
        <v>2327.7600000000002</v>
      </c>
      <c r="N64" s="91">
        <v>2304.7399999999998</v>
      </c>
      <c r="O64" s="833">
        <v>2455.48</v>
      </c>
      <c r="P64" s="619">
        <v>2422.46</v>
      </c>
    </row>
    <row r="65" spans="1:16" ht="30" customHeight="1" x14ac:dyDescent="0.2">
      <c r="A65" s="68" t="str">
        <f t="shared" ref="A65" si="5">D65&amp;" / "&amp;E65</f>
        <v>CAR044 / 2211</v>
      </c>
      <c r="B65" s="878"/>
      <c r="C65" s="529" t="s">
        <v>8406</v>
      </c>
      <c r="D65" s="429" t="s">
        <v>2323</v>
      </c>
      <c r="E65" s="369" t="str">
        <f>VLOOKUP(D:D,'Master Table'!C:D,2,FALSE)</f>
        <v>2211</v>
      </c>
      <c r="F65" s="766"/>
      <c r="G65" s="766"/>
      <c r="H65" s="758"/>
      <c r="I65" s="758"/>
      <c r="J65" s="758"/>
      <c r="K65" s="69"/>
      <c r="L65" s="832">
        <f>VLOOKUP(D:D,'Master Table'!C:O,13,FALSE)</f>
        <v>25</v>
      </c>
      <c r="M65" s="832">
        <v>25</v>
      </c>
      <c r="N65" s="91">
        <v>25</v>
      </c>
      <c r="O65" s="833">
        <v>0</v>
      </c>
      <c r="P65" s="619">
        <v>25</v>
      </c>
    </row>
    <row r="66" spans="1:16" ht="30" customHeight="1" x14ac:dyDescent="0.2">
      <c r="A66" s="68" t="str">
        <f t="shared" si="0"/>
        <v>CAR077 / 2239</v>
      </c>
      <c r="B66" s="89" t="s">
        <v>2428</v>
      </c>
      <c r="C66" s="89" t="s">
        <v>5256</v>
      </c>
      <c r="D66" s="429" t="s">
        <v>2426</v>
      </c>
      <c r="E66" s="369" t="str">
        <f>VLOOKUP(D:D,'Master Table'!C:D,2,FALSE)</f>
        <v>2239</v>
      </c>
      <c r="F66" s="766" t="s">
        <v>2426</v>
      </c>
      <c r="G66" s="766" t="s">
        <v>2427</v>
      </c>
      <c r="H66" s="758">
        <v>997.62</v>
      </c>
      <c r="I66" s="758">
        <v>81</v>
      </c>
      <c r="J66" s="758"/>
      <c r="K66" s="69">
        <f t="shared" ref="K66:K79" si="6">H66+I66+J66</f>
        <v>1078.6199999999999</v>
      </c>
      <c r="L66" s="832">
        <f>VLOOKUP(D:D,'Master Table'!C:O,13,FALSE)</f>
        <v>967.6</v>
      </c>
      <c r="M66" s="832">
        <v>967.6</v>
      </c>
      <c r="N66" s="91">
        <v>2035.17</v>
      </c>
      <c r="O66" s="833">
        <v>1171.04</v>
      </c>
      <c r="P66" s="619">
        <v>1430.34</v>
      </c>
    </row>
    <row r="67" spans="1:16" ht="30" customHeight="1" x14ac:dyDescent="0.2">
      <c r="A67" s="68" t="str">
        <f t="shared" si="0"/>
        <v>CAR078 / 2240</v>
      </c>
      <c r="B67" s="89" t="s">
        <v>2434</v>
      </c>
      <c r="C67" s="89" t="s">
        <v>119</v>
      </c>
      <c r="D67" s="429" t="s">
        <v>2432</v>
      </c>
      <c r="E67" s="369" t="str">
        <f>VLOOKUP(D:D,'Master Table'!C:D,2,FALSE)</f>
        <v>2240</v>
      </c>
      <c r="F67" s="766" t="s">
        <v>2432</v>
      </c>
      <c r="G67" s="766" t="s">
        <v>2436</v>
      </c>
      <c r="H67" s="758"/>
      <c r="I67" s="758">
        <v>40</v>
      </c>
      <c r="J67" s="758">
        <v>29.44</v>
      </c>
      <c r="K67" s="69">
        <f t="shared" si="6"/>
        <v>69.44</v>
      </c>
      <c r="L67" s="832">
        <f>VLOOKUP(D:D,'Master Table'!C:O,13,FALSE)</f>
        <v>1167.5</v>
      </c>
      <c r="M67" s="832">
        <v>1167.5</v>
      </c>
      <c r="N67" s="91">
        <v>1085</v>
      </c>
      <c r="O67" s="833">
        <v>1842</v>
      </c>
      <c r="P67" s="619">
        <v>2603.35</v>
      </c>
    </row>
    <row r="68" spans="1:16" ht="30" customHeight="1" x14ac:dyDescent="0.2">
      <c r="A68" s="68" t="str">
        <f t="shared" si="0"/>
        <v>CAR082 / 2241</v>
      </c>
      <c r="B68" s="89" t="s">
        <v>2438</v>
      </c>
      <c r="C68" s="89" t="s">
        <v>2437</v>
      </c>
      <c r="D68" s="429" t="s">
        <v>2435</v>
      </c>
      <c r="E68" s="369" t="str">
        <f>VLOOKUP(D:D,'Master Table'!C:D,2,FALSE)</f>
        <v>2241</v>
      </c>
      <c r="F68" s="766" t="s">
        <v>2435</v>
      </c>
      <c r="G68" s="766" t="s">
        <v>2440</v>
      </c>
      <c r="H68" s="758">
        <v>527</v>
      </c>
      <c r="I68" s="758">
        <v>30</v>
      </c>
      <c r="J68" s="758"/>
      <c r="K68" s="69">
        <f t="shared" si="6"/>
        <v>557</v>
      </c>
      <c r="L68" s="832">
        <f>VLOOKUP(D:D,'Master Table'!C:O,13,FALSE)</f>
        <v>10</v>
      </c>
      <c r="M68" s="832">
        <v>10</v>
      </c>
      <c r="N68" s="91">
        <v>10</v>
      </c>
      <c r="O68" s="833">
        <v>10</v>
      </c>
      <c r="P68" s="619">
        <v>25</v>
      </c>
    </row>
    <row r="69" spans="1:16" ht="30" customHeight="1" x14ac:dyDescent="0.2">
      <c r="A69" s="68" t="str">
        <f t="shared" si="0"/>
        <v>CAR083 / 2242</v>
      </c>
      <c r="B69" s="89" t="s">
        <v>2441</v>
      </c>
      <c r="C69" s="89" t="s">
        <v>7406</v>
      </c>
      <c r="D69" s="429" t="s">
        <v>2439</v>
      </c>
      <c r="E69" s="369" t="str">
        <f>VLOOKUP(D:D,'Master Table'!C:D,2,FALSE)</f>
        <v>2242</v>
      </c>
      <c r="F69" s="766" t="s">
        <v>2439</v>
      </c>
      <c r="G69" s="766" t="s">
        <v>2443</v>
      </c>
      <c r="H69" s="758"/>
      <c r="I69" s="758">
        <v>50</v>
      </c>
      <c r="J69" s="758">
        <v>70</v>
      </c>
      <c r="K69" s="69">
        <f t="shared" si="6"/>
        <v>120</v>
      </c>
      <c r="L69" s="832">
        <f>VLOOKUP(D:D,'Master Table'!C:O,13,FALSE)</f>
        <v>10</v>
      </c>
      <c r="M69" s="832">
        <v>10</v>
      </c>
      <c r="N69" s="91">
        <v>10</v>
      </c>
      <c r="O69" s="833">
        <v>10</v>
      </c>
      <c r="P69" s="619">
        <v>10</v>
      </c>
    </row>
    <row r="70" spans="1:16" ht="30" customHeight="1" x14ac:dyDescent="0.2">
      <c r="A70" s="68" t="str">
        <f t="shared" si="0"/>
        <v>CAR084 / 2243</v>
      </c>
      <c r="B70" s="89" t="s">
        <v>7407</v>
      </c>
      <c r="C70" s="89" t="s">
        <v>7408</v>
      </c>
      <c r="D70" s="429" t="s">
        <v>2442</v>
      </c>
      <c r="E70" s="369" t="str">
        <f>VLOOKUP(D:D,'Master Table'!C:D,2,FALSE)</f>
        <v>2243</v>
      </c>
      <c r="F70" s="766" t="s">
        <v>2442</v>
      </c>
      <c r="G70" s="766" t="s">
        <v>2446</v>
      </c>
      <c r="H70" s="758">
        <v>50</v>
      </c>
      <c r="I70" s="758">
        <v>623</v>
      </c>
      <c r="J70" s="758"/>
      <c r="K70" s="69">
        <f t="shared" si="6"/>
        <v>673</v>
      </c>
      <c r="L70" s="832">
        <f>VLOOKUP(D:D,'Master Table'!C:O,13,FALSE)</f>
        <v>404.98</v>
      </c>
      <c r="M70" s="832">
        <v>404.98</v>
      </c>
      <c r="N70" s="91">
        <v>452.75</v>
      </c>
      <c r="O70" s="833">
        <v>379.29</v>
      </c>
      <c r="P70" s="619">
        <v>396.59000000000003</v>
      </c>
    </row>
    <row r="71" spans="1:16" ht="30" customHeight="1" x14ac:dyDescent="0.2">
      <c r="A71" s="68" t="str">
        <f t="shared" si="0"/>
        <v>CAR085 / 2244</v>
      </c>
      <c r="B71" s="89" t="s">
        <v>7409</v>
      </c>
      <c r="C71" s="89" t="s">
        <v>2447</v>
      </c>
      <c r="D71" s="429" t="s">
        <v>2445</v>
      </c>
      <c r="E71" s="369" t="str">
        <f>VLOOKUP(D:D,'Master Table'!C:D,2,FALSE)</f>
        <v>2244</v>
      </c>
      <c r="F71" s="766" t="s">
        <v>2445</v>
      </c>
      <c r="G71" s="766" t="s">
        <v>2450</v>
      </c>
      <c r="H71" s="758">
        <v>209.61</v>
      </c>
      <c r="I71" s="758">
        <v>345</v>
      </c>
      <c r="J71" s="758">
        <v>18.02</v>
      </c>
      <c r="K71" s="69">
        <f t="shared" si="6"/>
        <v>572.63</v>
      </c>
      <c r="L71" s="832">
        <f>VLOOKUP(D:D,'Master Table'!C:O,13,FALSE)</f>
        <v>6527.01</v>
      </c>
      <c r="M71" s="832">
        <v>6527.01</v>
      </c>
      <c r="N71" s="91">
        <v>1663.21</v>
      </c>
      <c r="O71" s="833">
        <v>1276.3400000000001</v>
      </c>
      <c r="P71" s="619">
        <v>1543.6399999999999</v>
      </c>
    </row>
    <row r="72" spans="1:16" ht="30" customHeight="1" x14ac:dyDescent="0.2">
      <c r="A72" s="68" t="str">
        <f t="shared" si="0"/>
        <v>CAR086 / 2245</v>
      </c>
      <c r="B72" s="89" t="s">
        <v>2452</v>
      </c>
      <c r="C72" s="89" t="s">
        <v>7410</v>
      </c>
      <c r="D72" s="429" t="s">
        <v>2449</v>
      </c>
      <c r="E72" s="369" t="str">
        <f>VLOOKUP(D:D,'Master Table'!C:D,2,FALSE)</f>
        <v>2245</v>
      </c>
      <c r="F72" s="766" t="s">
        <v>2449</v>
      </c>
      <c r="G72" s="766" t="s">
        <v>2454</v>
      </c>
      <c r="H72" s="758">
        <v>93.6</v>
      </c>
      <c r="I72" s="758">
        <v>325</v>
      </c>
      <c r="J72" s="758">
        <v>150.56</v>
      </c>
      <c r="K72" s="69">
        <f t="shared" si="6"/>
        <v>569.16000000000008</v>
      </c>
      <c r="L72" s="832">
        <f>VLOOKUP(D:D,'Master Table'!C:O,13,FALSE)</f>
        <v>1296.53</v>
      </c>
      <c r="M72" s="832">
        <v>1296.53</v>
      </c>
      <c r="N72" s="91">
        <v>1523.16</v>
      </c>
      <c r="O72" s="833">
        <v>1685.59</v>
      </c>
      <c r="P72" s="619">
        <v>1211.51</v>
      </c>
    </row>
    <row r="73" spans="1:16" ht="30" customHeight="1" x14ac:dyDescent="0.2">
      <c r="A73" s="68" t="str">
        <f t="shared" ref="A73:A79" si="7">D73&amp;" / "&amp;E73</f>
        <v>CAR098 / 2247</v>
      </c>
      <c r="B73" s="89" t="s">
        <v>7411</v>
      </c>
      <c r="C73" s="89" t="s">
        <v>7412</v>
      </c>
      <c r="D73" s="429" t="s">
        <v>2453</v>
      </c>
      <c r="E73" s="369" t="str">
        <f>VLOOKUP(D:D,'Master Table'!C:D,2,FALSE)</f>
        <v>2247</v>
      </c>
      <c r="F73" s="766" t="s">
        <v>2453</v>
      </c>
      <c r="G73" s="766" t="s">
        <v>2458</v>
      </c>
      <c r="H73" s="758"/>
      <c r="I73" s="758">
        <v>20</v>
      </c>
      <c r="J73" s="758"/>
      <c r="K73" s="69">
        <f t="shared" si="6"/>
        <v>20</v>
      </c>
      <c r="L73" s="832">
        <f>VLOOKUP(D:D,'Master Table'!C:O,13,FALSE)</f>
        <v>767.23</v>
      </c>
      <c r="M73" s="832">
        <v>767.23</v>
      </c>
      <c r="N73" s="91">
        <v>887.2</v>
      </c>
      <c r="O73" s="833">
        <v>986.07</v>
      </c>
      <c r="P73" s="619">
        <v>940.27</v>
      </c>
    </row>
    <row r="74" spans="1:16" ht="30" customHeight="1" x14ac:dyDescent="0.2">
      <c r="A74" s="68" t="str">
        <f t="shared" si="7"/>
        <v>CAR099 / 2248</v>
      </c>
      <c r="B74" s="89" t="s">
        <v>2459</v>
      </c>
      <c r="C74" s="89" t="s">
        <v>297</v>
      </c>
      <c r="D74" s="429" t="s">
        <v>2457</v>
      </c>
      <c r="E74" s="369" t="str">
        <f>VLOOKUP(D:D,'Master Table'!C:D,2,FALSE)</f>
        <v>2248</v>
      </c>
      <c r="F74" s="766" t="s">
        <v>2457</v>
      </c>
      <c r="G74" s="768"/>
      <c r="H74" s="758"/>
      <c r="I74" s="758">
        <v>20</v>
      </c>
      <c r="J74" s="758"/>
      <c r="K74" s="69">
        <f t="shared" si="6"/>
        <v>20</v>
      </c>
      <c r="L74" s="832">
        <f>VLOOKUP(D:D,'Master Table'!C:O,13,FALSE)</f>
        <v>258.7</v>
      </c>
      <c r="M74" s="832">
        <v>258.7</v>
      </c>
      <c r="N74" s="91">
        <v>252.92</v>
      </c>
      <c r="O74" s="833">
        <v>205.3</v>
      </c>
      <c r="P74" s="619">
        <v>363.45</v>
      </c>
    </row>
    <row r="75" spans="1:16" ht="30" customHeight="1" x14ac:dyDescent="0.2">
      <c r="A75" s="68" t="str">
        <f t="shared" si="7"/>
        <v>CAR100 / 2249</v>
      </c>
      <c r="B75" s="89" t="s">
        <v>7413</v>
      </c>
      <c r="C75" s="89" t="s">
        <v>7414</v>
      </c>
      <c r="D75" s="429" t="s">
        <v>2460</v>
      </c>
      <c r="E75" s="369" t="str">
        <f>VLOOKUP(D:D,'Master Table'!C:D,2,FALSE)</f>
        <v>2249</v>
      </c>
      <c r="F75" s="766" t="s">
        <v>2460</v>
      </c>
      <c r="G75" s="766"/>
      <c r="H75" s="758"/>
      <c r="I75" s="758">
        <v>480</v>
      </c>
      <c r="J75" s="758">
        <v>211.58</v>
      </c>
      <c r="K75" s="69">
        <f t="shared" si="6"/>
        <v>691.58</v>
      </c>
      <c r="L75" s="832">
        <f>VLOOKUP(D:D,'Master Table'!C:O,13,FALSE)</f>
        <v>1316.0700000000002</v>
      </c>
      <c r="M75" s="832">
        <v>1316.0700000000002</v>
      </c>
      <c r="N75" s="91">
        <v>1297.0999999999999</v>
      </c>
      <c r="O75" s="833">
        <v>1235.51</v>
      </c>
      <c r="P75" s="619">
        <v>1468.75</v>
      </c>
    </row>
    <row r="76" spans="1:16" ht="30" customHeight="1" x14ac:dyDescent="0.2">
      <c r="A76" s="68" t="str">
        <f t="shared" si="7"/>
        <v>CAR102 / 2252</v>
      </c>
      <c r="B76" s="89" t="s">
        <v>2271</v>
      </c>
      <c r="C76" s="89" t="s">
        <v>2467</v>
      </c>
      <c r="D76" s="429" t="s">
        <v>2465</v>
      </c>
      <c r="E76" s="369" t="str">
        <f>VLOOKUP(D:D,'Master Table'!C:D,2,FALSE)</f>
        <v>2252</v>
      </c>
      <c r="F76" s="766" t="s">
        <v>2465</v>
      </c>
      <c r="G76" s="766"/>
      <c r="H76" s="758"/>
      <c r="I76" s="758">
        <v>55</v>
      </c>
      <c r="J76" s="758">
        <v>53.82</v>
      </c>
      <c r="K76" s="69">
        <f t="shared" si="6"/>
        <v>108.82</v>
      </c>
      <c r="L76" s="832">
        <f>VLOOKUP(D:D,'Master Table'!C:O,13,FALSE)</f>
        <v>668.78</v>
      </c>
      <c r="M76" s="832">
        <v>668.78</v>
      </c>
      <c r="N76" s="91">
        <v>572.20000000000005</v>
      </c>
      <c r="O76" s="833">
        <v>495.13</v>
      </c>
      <c r="P76" s="619">
        <v>695</v>
      </c>
    </row>
    <row r="77" spans="1:16" ht="30" customHeight="1" x14ac:dyDescent="0.2">
      <c r="A77" s="68" t="str">
        <f t="shared" si="7"/>
        <v>CAR103 / 2253</v>
      </c>
      <c r="B77" s="89" t="s">
        <v>7415</v>
      </c>
      <c r="C77" s="89" t="s">
        <v>7416</v>
      </c>
      <c r="D77" s="429" t="s">
        <v>2469</v>
      </c>
      <c r="E77" s="369" t="str">
        <f>VLOOKUP(D:D,'Master Table'!C:D,2,FALSE)</f>
        <v>2253</v>
      </c>
      <c r="F77" s="766" t="s">
        <v>2469</v>
      </c>
      <c r="G77" s="766"/>
      <c r="H77" s="758"/>
      <c r="I77" s="758">
        <v>100</v>
      </c>
      <c r="J77" s="758"/>
      <c r="K77" s="69">
        <f t="shared" si="6"/>
        <v>100</v>
      </c>
      <c r="L77" s="832">
        <f>VLOOKUP(D:D,'Master Table'!C:O,13,FALSE)</f>
        <v>540.63</v>
      </c>
      <c r="M77" s="832">
        <v>540.63</v>
      </c>
      <c r="N77" s="91">
        <v>647.07000000000005</v>
      </c>
      <c r="O77" s="833">
        <v>703.91</v>
      </c>
      <c r="P77" s="619">
        <v>483.8</v>
      </c>
    </row>
    <row r="78" spans="1:16" ht="30" customHeight="1" x14ac:dyDescent="0.2">
      <c r="A78" s="68" t="str">
        <f t="shared" si="7"/>
        <v>CAR104 / 2254</v>
      </c>
      <c r="B78" s="89" t="s">
        <v>7417</v>
      </c>
      <c r="C78" s="89" t="s">
        <v>7188</v>
      </c>
      <c r="D78" s="429" t="s">
        <v>2478</v>
      </c>
      <c r="E78" s="369" t="str">
        <f>VLOOKUP(D:D,'Master Table'!C:D,2,FALSE)</f>
        <v>2254</v>
      </c>
      <c r="F78" s="766" t="s">
        <v>2478</v>
      </c>
      <c r="G78" s="766"/>
      <c r="H78" s="758">
        <v>3088.82</v>
      </c>
      <c r="I78" s="758">
        <v>69</v>
      </c>
      <c r="J78" s="758">
        <v>40</v>
      </c>
      <c r="K78" s="69">
        <f t="shared" si="6"/>
        <v>3197.82</v>
      </c>
      <c r="L78" s="832">
        <f>VLOOKUP(D:D,'Master Table'!C:O,13,FALSE)</f>
        <v>218.95</v>
      </c>
      <c r="M78" s="832">
        <v>218.95</v>
      </c>
      <c r="N78" s="91">
        <v>269.47000000000003</v>
      </c>
      <c r="O78" s="833">
        <v>269</v>
      </c>
      <c r="P78" s="619">
        <v>338.04</v>
      </c>
    </row>
    <row r="79" spans="1:16" ht="30" customHeight="1" x14ac:dyDescent="0.2">
      <c r="A79" s="68" t="str">
        <f t="shared" si="7"/>
        <v>CAR999 / 2257</v>
      </c>
      <c r="B79" s="89" t="s">
        <v>7419</v>
      </c>
      <c r="C79" s="89" t="s">
        <v>7261</v>
      </c>
      <c r="D79" s="429" t="s">
        <v>2499</v>
      </c>
      <c r="E79" s="369" t="str">
        <f>VLOOKUP(D:D,'Master Table'!C:D,2,FALSE)</f>
        <v>2257</v>
      </c>
      <c r="F79" s="766" t="s">
        <v>2499</v>
      </c>
      <c r="G79" s="766"/>
      <c r="H79" s="758"/>
      <c r="I79" s="758">
        <v>4150</v>
      </c>
      <c r="J79" s="758"/>
      <c r="K79" s="69">
        <f t="shared" si="6"/>
        <v>4150</v>
      </c>
      <c r="L79" s="832">
        <f>VLOOKUP(D:D,'Master Table'!C:O,13,FALSE)</f>
        <v>527.37</v>
      </c>
      <c r="M79" s="832">
        <v>527.37</v>
      </c>
      <c r="N79" s="91">
        <v>1997.17</v>
      </c>
      <c r="O79" s="833">
        <v>2696.6</v>
      </c>
      <c r="P79" s="619">
        <v>903.44</v>
      </c>
    </row>
    <row r="80" spans="1:16" ht="13.5" thickBot="1" x14ac:dyDescent="0.25">
      <c r="C80" s="98"/>
      <c r="D80" s="98"/>
      <c r="E80" s="618"/>
      <c r="F80" s="618"/>
      <c r="G80" s="86"/>
      <c r="H80" s="86"/>
      <c r="I80" s="86"/>
      <c r="J80" s="86"/>
      <c r="K80" s="86"/>
      <c r="L80" s="86"/>
      <c r="M80" s="86"/>
      <c r="N80" s="86"/>
      <c r="O80" s="86"/>
      <c r="P80" s="86"/>
    </row>
    <row r="81" spans="1:16" s="74" customFormat="1" ht="83.25" customHeight="1" thickBot="1" x14ac:dyDescent="0.25">
      <c r="A81" s="854" t="s">
        <v>10987</v>
      </c>
      <c r="B81" s="855"/>
      <c r="C81" s="855"/>
      <c r="D81" s="855"/>
      <c r="E81" s="855"/>
      <c r="F81" s="855"/>
      <c r="G81" s="855"/>
      <c r="H81" s="855"/>
      <c r="I81" s="855"/>
      <c r="J81" s="855"/>
      <c r="K81" s="855"/>
      <c r="L81" s="855"/>
      <c r="M81" s="855"/>
      <c r="N81" s="855"/>
      <c r="O81" s="855"/>
    </row>
    <row r="82" spans="1:16" s="74" customFormat="1" ht="15" x14ac:dyDescent="0.2">
      <c r="A82" s="718"/>
      <c r="B82" s="718"/>
      <c r="C82" s="718"/>
    </row>
    <row r="83" spans="1:16" s="74" customFormat="1" ht="30" x14ac:dyDescent="0.2">
      <c r="A83" s="763" t="s">
        <v>7422</v>
      </c>
      <c r="B83" s="764" t="s">
        <v>11007</v>
      </c>
      <c r="C83" s="715"/>
    </row>
    <row r="84" spans="1:16" s="74" customFormat="1" ht="60" x14ac:dyDescent="0.2">
      <c r="A84" s="763" t="s">
        <v>10990</v>
      </c>
      <c r="B84" s="764" t="s">
        <v>11008</v>
      </c>
      <c r="C84" s="715"/>
    </row>
    <row r="85" spans="1:16" s="74" customFormat="1" ht="60" x14ac:dyDescent="0.2">
      <c r="A85" s="763" t="s">
        <v>10991</v>
      </c>
      <c r="B85" s="764" t="s">
        <v>11009</v>
      </c>
      <c r="C85" s="715"/>
    </row>
    <row r="86" spans="1:16" x14ac:dyDescent="0.2">
      <c r="D86" s="86"/>
      <c r="E86" s="86"/>
      <c r="F86" s="86"/>
      <c r="G86" s="86"/>
      <c r="H86" s="86"/>
      <c r="I86" s="86"/>
      <c r="J86" s="86"/>
      <c r="K86" s="86"/>
      <c r="L86" s="86"/>
      <c r="M86" s="86"/>
      <c r="N86" s="86"/>
      <c r="O86" s="86"/>
      <c r="P86" s="86"/>
    </row>
    <row r="87" spans="1:16" x14ac:dyDescent="0.2">
      <c r="D87" s="86"/>
      <c r="E87" s="86"/>
      <c r="F87" s="86"/>
      <c r="G87" s="86"/>
      <c r="H87" s="86"/>
      <c r="I87" s="86"/>
      <c r="J87" s="86"/>
      <c r="K87" s="86"/>
      <c r="L87" s="86"/>
      <c r="M87" s="86"/>
      <c r="N87" s="86"/>
      <c r="O87" s="86"/>
      <c r="P87" s="86"/>
    </row>
    <row r="88" spans="1:16" x14ac:dyDescent="0.2">
      <c r="D88" s="86"/>
      <c r="E88" s="86"/>
      <c r="F88" s="86"/>
      <c r="G88" s="86"/>
      <c r="H88" s="86"/>
      <c r="I88" s="86"/>
      <c r="J88" s="86"/>
      <c r="K88" s="86"/>
      <c r="L88" s="86"/>
      <c r="M88" s="86"/>
      <c r="N88" s="86"/>
      <c r="O88" s="86"/>
      <c r="P88" s="86"/>
    </row>
    <row r="89" spans="1:16" x14ac:dyDescent="0.2">
      <c r="D89" s="86"/>
      <c r="E89" s="86"/>
      <c r="F89" s="86"/>
      <c r="G89" s="86"/>
      <c r="H89" s="86"/>
      <c r="I89" s="86"/>
      <c r="J89" s="86"/>
      <c r="K89" s="86"/>
      <c r="L89" s="86"/>
      <c r="M89" s="86"/>
      <c r="N89" s="86"/>
      <c r="O89" s="86"/>
      <c r="P89" s="86"/>
    </row>
    <row r="90" spans="1:16" x14ac:dyDescent="0.2">
      <c r="D90" s="86"/>
      <c r="E90" s="86"/>
      <c r="F90" s="86"/>
      <c r="G90" s="86"/>
      <c r="H90" s="86"/>
      <c r="I90" s="86"/>
      <c r="J90" s="86"/>
      <c r="K90" s="86"/>
      <c r="L90" s="86"/>
      <c r="M90" s="86"/>
      <c r="N90" s="86"/>
      <c r="O90" s="86"/>
      <c r="P90" s="86"/>
    </row>
    <row r="91" spans="1:16" x14ac:dyDescent="0.2">
      <c r="D91" s="86"/>
      <c r="E91" s="86"/>
      <c r="L91" s="86"/>
      <c r="M91" s="86"/>
      <c r="N91" s="86"/>
      <c r="O91" s="86"/>
      <c r="P91" s="86"/>
    </row>
    <row r="92" spans="1:16" x14ac:dyDescent="0.2">
      <c r="D92" s="86"/>
      <c r="E92" s="86"/>
      <c r="L92" s="86"/>
      <c r="M92" s="86"/>
      <c r="N92" s="86"/>
      <c r="O92" s="86"/>
      <c r="P92" s="86"/>
    </row>
    <row r="93" spans="1:16" x14ac:dyDescent="0.2">
      <c r="D93" s="86"/>
      <c r="E93" s="86"/>
      <c r="L93" s="86"/>
      <c r="M93" s="86"/>
      <c r="N93" s="86"/>
      <c r="O93" s="86"/>
      <c r="P93" s="86"/>
    </row>
  </sheetData>
  <mergeCells count="11">
    <mergeCell ref="A81:O81"/>
    <mergeCell ref="B64:B65"/>
    <mergeCell ref="B25:B26"/>
    <mergeCell ref="B53:B54"/>
    <mergeCell ref="B55:B56"/>
    <mergeCell ref="M55:M56"/>
    <mergeCell ref="N55:N56"/>
    <mergeCell ref="M53:M54"/>
    <mergeCell ref="N53:N54"/>
    <mergeCell ref="N25:N26"/>
    <mergeCell ref="M25:M26"/>
  </mergeCells>
  <conditionalFormatting sqref="A26">
    <cfRule type="duplicateValues" dxfId="86" priority="5" stopIfTrue="1"/>
  </conditionalFormatting>
  <conditionalFormatting sqref="A25">
    <cfRule type="duplicateValues" dxfId="85" priority="6" stopIfTrue="1"/>
  </conditionalFormatting>
  <conditionalFormatting sqref="A54">
    <cfRule type="duplicateValues" dxfId="84" priority="4" stopIfTrue="1"/>
  </conditionalFormatting>
  <conditionalFormatting sqref="A56">
    <cfRule type="duplicateValues" dxfId="83" priority="3" stopIfTrue="1"/>
  </conditionalFormatting>
  <conditionalFormatting sqref="A65">
    <cfRule type="duplicateValues" dxfId="82" priority="2" stopIfTrue="1"/>
  </conditionalFormatting>
  <conditionalFormatting sqref="A75:A79">
    <cfRule type="duplicateValues" dxfId="81" priority="1" stopIfTrue="1"/>
  </conditionalFormatting>
  <conditionalFormatting sqref="A55 A3:A24 A27:A53 A57:A64 A66:A74">
    <cfRule type="duplicateValues" dxfId="80" priority="49" stopIfTrue="1"/>
  </conditionalFormatting>
  <pageMargins left="0.23622047244094491" right="0.23622047244094491" top="0.39370078740157483" bottom="0.39370078740157483" header="0.31496062992125984" footer="0.31496062992125984"/>
  <pageSetup paperSize="9" scale="66" fitToHeight="0" orientation="portrait" r:id="rId1"/>
  <headerFooter>
    <oddFooter>&amp;RPage &amp;P / &amp;N</oddFooter>
  </headerFooter>
  <rowBreaks count="1" manualBreakCount="1">
    <brk id="40" max="6"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pageSetUpPr fitToPage="1"/>
  </sheetPr>
  <dimension ref="A1:T146"/>
  <sheetViews>
    <sheetView zoomScaleNormal="100" workbookViewId="0">
      <pane ySplit="2" topLeftCell="A3" activePane="bottomLeft" state="frozen"/>
      <selection pane="bottomLeft" activeCell="B2" sqref="B2"/>
    </sheetView>
  </sheetViews>
  <sheetFormatPr defaultColWidth="9.140625" defaultRowHeight="15" outlineLevelCol="1" x14ac:dyDescent="0.2"/>
  <cols>
    <col min="1" max="1" width="21.85546875" style="74" customWidth="1"/>
    <col min="2" max="2" width="32.5703125" style="74" bestFit="1" customWidth="1"/>
    <col min="3" max="3" width="72.42578125" style="74" bestFit="1" customWidth="1"/>
    <col min="4" max="4" width="16.5703125" style="370" hidden="1" customWidth="1" outlineLevel="1"/>
    <col min="5" max="5" width="16.7109375" style="283" hidden="1" customWidth="1" outlineLevel="1"/>
    <col min="6" max="6" width="15.5703125" style="85" hidden="1" customWidth="1" outlineLevel="1"/>
    <col min="7" max="7" width="15.5703125" style="85" hidden="1" customWidth="1" collapsed="1"/>
    <col min="8" max="8" width="15.5703125" style="85" hidden="1" customWidth="1"/>
    <col min="9" max="10" width="15.5703125" style="74" hidden="1" customWidth="1"/>
    <col min="11" max="11" width="16.85546875" style="85" bestFit="1" customWidth="1"/>
    <col min="12" max="12" width="19.7109375" style="85" bestFit="1" customWidth="1"/>
    <col min="13" max="13" width="20.85546875" style="85" bestFit="1" customWidth="1"/>
    <col min="14" max="14" width="16.85546875" style="85" bestFit="1" customWidth="1"/>
    <col min="15" max="15" width="13" style="74" hidden="1" customWidth="1"/>
    <col min="16" max="16" width="15.7109375" style="74" bestFit="1" customWidth="1"/>
    <col min="17" max="19" width="12.85546875" style="74" bestFit="1" customWidth="1"/>
    <col min="20" max="16384" width="9.140625" style="74"/>
  </cols>
  <sheetData>
    <row r="1" spans="1:19" ht="29.1" customHeight="1" x14ac:dyDescent="0.25">
      <c r="A1" s="785" t="str">
        <f>"Missio and Mill Hill Red Box Parish Results 2020 - Clifton Diocese"</f>
        <v>Missio and Mill Hill Red Box Parish Results 2020 - Clifton Diocese</v>
      </c>
      <c r="B1" s="246"/>
      <c r="C1" s="246"/>
      <c r="D1" s="166"/>
      <c r="E1" s="246"/>
      <c r="K1" s="757">
        <v>2020</v>
      </c>
      <c r="L1" s="757">
        <v>2020</v>
      </c>
      <c r="M1" s="757">
        <v>2020</v>
      </c>
      <c r="O1" s="246"/>
      <c r="P1" s="246"/>
      <c r="Q1" s="247"/>
      <c r="R1" s="568"/>
      <c r="S1" s="569"/>
    </row>
    <row r="2" spans="1:19" s="608" customFormat="1" ht="30" customHeight="1" x14ac:dyDescent="0.3">
      <c r="A2" s="622" t="s">
        <v>1</v>
      </c>
      <c r="B2" s="622" t="s">
        <v>2</v>
      </c>
      <c r="C2" s="622" t="s">
        <v>3</v>
      </c>
      <c r="D2" s="622" t="s">
        <v>8214</v>
      </c>
      <c r="E2" s="622" t="s">
        <v>8165</v>
      </c>
      <c r="F2" s="622" t="s">
        <v>7809</v>
      </c>
      <c r="G2" s="622" t="s">
        <v>311</v>
      </c>
      <c r="H2" s="622" t="s">
        <v>312</v>
      </c>
      <c r="I2" s="622" t="s">
        <v>2</v>
      </c>
      <c r="J2" s="622" t="s">
        <v>10989</v>
      </c>
      <c r="K2" s="622" t="s">
        <v>308</v>
      </c>
      <c r="L2" s="622" t="s">
        <v>10990</v>
      </c>
      <c r="M2" s="622" t="s">
        <v>10991</v>
      </c>
      <c r="N2" s="622">
        <v>2020</v>
      </c>
      <c r="O2" s="622">
        <f>ARU!P2</f>
        <v>2019</v>
      </c>
      <c r="P2" s="622">
        <v>2019</v>
      </c>
      <c r="Q2" s="622">
        <v>2018</v>
      </c>
      <c r="R2" s="622">
        <v>2017</v>
      </c>
      <c r="S2" s="622">
        <v>2016</v>
      </c>
    </row>
    <row r="3" spans="1:19" ht="29.1" customHeight="1" x14ac:dyDescent="0.2">
      <c r="A3" s="68" t="str">
        <f>D3&amp;" / "&amp;E3</f>
        <v>CLF001 / 2259</v>
      </c>
      <c r="B3" s="78" t="s">
        <v>7423</v>
      </c>
      <c r="C3" s="78" t="s">
        <v>942</v>
      </c>
      <c r="D3" s="448" t="s">
        <v>2503</v>
      </c>
      <c r="E3" s="369" t="str">
        <f>VLOOKUP(D:D,'Master Table'!C:D,2,FALSE)</f>
        <v>2259</v>
      </c>
      <c r="F3" s="544" t="s">
        <v>2503</v>
      </c>
      <c r="G3" s="544" t="s">
        <v>2504</v>
      </c>
      <c r="H3" s="544" t="s">
        <v>2505</v>
      </c>
      <c r="I3" s="544" t="s">
        <v>2506</v>
      </c>
      <c r="J3" s="544" t="s">
        <v>324</v>
      </c>
      <c r="K3" s="758"/>
      <c r="L3" s="758">
        <v>826</v>
      </c>
      <c r="M3" s="758">
        <v>548.42000000000007</v>
      </c>
      <c r="N3" s="771">
        <f>K3+L3+M3</f>
        <v>1374.42</v>
      </c>
      <c r="O3" s="446">
        <f>VLOOKUP(D:D,'Master Table'!C:O,13,FALSE)</f>
        <v>2130</v>
      </c>
      <c r="P3" s="446">
        <v>2130</v>
      </c>
      <c r="Q3" s="103">
        <v>1519</v>
      </c>
      <c r="R3" s="103">
        <v>1415</v>
      </c>
      <c r="S3" s="103">
        <v>1345</v>
      </c>
    </row>
    <row r="4" spans="1:19" ht="29.1" customHeight="1" x14ac:dyDescent="0.2">
      <c r="A4" s="68" t="str">
        <f t="shared" ref="A4:A73" si="0">D4&amp;" / "&amp;E4</f>
        <v>CLF002 / 2260</v>
      </c>
      <c r="B4" s="78" t="s">
        <v>2509</v>
      </c>
      <c r="C4" s="78" t="s">
        <v>916</v>
      </c>
      <c r="D4" s="448" t="s">
        <v>2507</v>
      </c>
      <c r="E4" s="369" t="str">
        <f>VLOOKUP(D:D,'Master Table'!C:D,2,FALSE)</f>
        <v>2260</v>
      </c>
      <c r="F4" s="544" t="s">
        <v>2507</v>
      </c>
      <c r="G4" s="544" t="s">
        <v>2508</v>
      </c>
      <c r="H4" s="544" t="s">
        <v>214</v>
      </c>
      <c r="I4" s="544" t="s">
        <v>2509</v>
      </c>
      <c r="J4" s="544" t="s">
        <v>324</v>
      </c>
      <c r="K4" s="758">
        <v>492.07</v>
      </c>
      <c r="L4" s="758">
        <v>380</v>
      </c>
      <c r="M4" s="758"/>
      <c r="N4" s="771">
        <f t="shared" ref="N4:N57" si="1">K4+L4+M4</f>
        <v>872.06999999999994</v>
      </c>
      <c r="O4" s="446">
        <f>VLOOKUP(D:D,'Master Table'!C:O,13,FALSE)</f>
        <v>1003.09</v>
      </c>
      <c r="P4" s="446">
        <v>1003.09</v>
      </c>
      <c r="Q4" s="103">
        <v>1214.67</v>
      </c>
      <c r="R4" s="103">
        <v>1193.1100000000001</v>
      </c>
      <c r="S4" s="103">
        <v>1922.19</v>
      </c>
    </row>
    <row r="5" spans="1:19" ht="29.1" customHeight="1" x14ac:dyDescent="0.2">
      <c r="A5" s="68" t="str">
        <f t="shared" si="0"/>
        <v>CLF004 / 2262</v>
      </c>
      <c r="B5" s="78" t="s">
        <v>2512</v>
      </c>
      <c r="C5" s="78" t="s">
        <v>226</v>
      </c>
      <c r="D5" s="448" t="s">
        <v>2510</v>
      </c>
      <c r="E5" s="369" t="str">
        <f>VLOOKUP(D:D,'Master Table'!C:D,2,FALSE)</f>
        <v>2262</v>
      </c>
      <c r="F5" s="544" t="s">
        <v>2510</v>
      </c>
      <c r="G5" s="544" t="s">
        <v>2511</v>
      </c>
      <c r="H5" s="544" t="s">
        <v>31</v>
      </c>
      <c r="I5" s="544" t="s">
        <v>2512</v>
      </c>
      <c r="J5" s="544" t="s">
        <v>324</v>
      </c>
      <c r="K5" s="758">
        <v>10</v>
      </c>
      <c r="L5" s="758">
        <v>285</v>
      </c>
      <c r="M5" s="758"/>
      <c r="N5" s="771">
        <f t="shared" si="1"/>
        <v>295</v>
      </c>
      <c r="O5" s="446">
        <f>VLOOKUP(D:D,'Master Table'!C:O,13,FALSE)</f>
        <v>1270.55</v>
      </c>
      <c r="P5" s="446">
        <v>1270.55</v>
      </c>
      <c r="Q5" s="103">
        <v>830.57</v>
      </c>
      <c r="R5" s="103">
        <v>1293.8899999999999</v>
      </c>
      <c r="S5" s="103">
        <v>1340.83</v>
      </c>
    </row>
    <row r="6" spans="1:19" ht="29.1" customHeight="1" x14ac:dyDescent="0.2">
      <c r="A6" s="68" t="str">
        <f t="shared" si="0"/>
        <v>CLF005 / 2263</v>
      </c>
      <c r="B6" s="78" t="s">
        <v>2512</v>
      </c>
      <c r="C6" s="78" t="s">
        <v>7424</v>
      </c>
      <c r="D6" s="448" t="s">
        <v>2513</v>
      </c>
      <c r="E6" s="369" t="str">
        <f>VLOOKUP(D:D,'Master Table'!C:D,2,FALSE)</f>
        <v>2263</v>
      </c>
      <c r="F6" s="544" t="s">
        <v>2513</v>
      </c>
      <c r="G6" s="544" t="s">
        <v>2514</v>
      </c>
      <c r="H6" s="544" t="s">
        <v>2515</v>
      </c>
      <c r="I6" s="544" t="s">
        <v>2512</v>
      </c>
      <c r="J6" s="544" t="s">
        <v>324</v>
      </c>
      <c r="K6" s="758">
        <v>461.08</v>
      </c>
      <c r="L6" s="758">
        <v>720</v>
      </c>
      <c r="M6" s="758"/>
      <c r="N6" s="771">
        <f t="shared" si="1"/>
        <v>1181.08</v>
      </c>
      <c r="O6" s="446">
        <f>VLOOKUP(D:D,'Master Table'!C:O,13,FALSE)</f>
        <v>1827.39</v>
      </c>
      <c r="P6" s="446">
        <v>1827.39</v>
      </c>
      <c r="Q6" s="103">
        <v>1780.91</v>
      </c>
      <c r="R6" s="103">
        <v>1679.16</v>
      </c>
      <c r="S6" s="103">
        <v>1759.54</v>
      </c>
    </row>
    <row r="7" spans="1:19" ht="29.1" customHeight="1" x14ac:dyDescent="0.2">
      <c r="A7" s="68" t="str">
        <f t="shared" si="0"/>
        <v>CLF006 / 2264</v>
      </c>
      <c r="B7" s="78" t="s">
        <v>2512</v>
      </c>
      <c r="C7" s="78" t="s">
        <v>1312</v>
      </c>
      <c r="D7" s="448" t="s">
        <v>2520</v>
      </c>
      <c r="E7" s="369" t="str">
        <f>VLOOKUP(D:D,'Master Table'!C:D,2,FALSE)</f>
        <v>2264</v>
      </c>
      <c r="F7" s="544" t="s">
        <v>2520</v>
      </c>
      <c r="G7" s="544" t="s">
        <v>2521</v>
      </c>
      <c r="H7" s="544" t="s">
        <v>1312</v>
      </c>
      <c r="I7" s="544" t="s">
        <v>2512</v>
      </c>
      <c r="J7" s="544" t="s">
        <v>324</v>
      </c>
      <c r="K7" s="758">
        <v>700.02</v>
      </c>
      <c r="L7" s="758">
        <v>110</v>
      </c>
      <c r="M7" s="758"/>
      <c r="N7" s="771">
        <f t="shared" si="1"/>
        <v>810.02</v>
      </c>
      <c r="O7" s="446">
        <f>VLOOKUP(D:D,'Master Table'!C:O,13,FALSE)</f>
        <v>660.14</v>
      </c>
      <c r="P7" s="446">
        <v>660.14</v>
      </c>
      <c r="Q7" s="103">
        <v>922.34</v>
      </c>
      <c r="R7" s="103">
        <v>866.38</v>
      </c>
      <c r="S7" s="103">
        <v>1255.08</v>
      </c>
    </row>
    <row r="8" spans="1:19" ht="29.1" customHeight="1" x14ac:dyDescent="0.2">
      <c r="A8" s="68" t="str">
        <f t="shared" si="0"/>
        <v>CLF007 / 2265</v>
      </c>
      <c r="B8" s="78" t="s">
        <v>2512</v>
      </c>
      <c r="C8" s="78" t="s">
        <v>942</v>
      </c>
      <c r="D8" s="448" t="s">
        <v>2523</v>
      </c>
      <c r="E8" s="369" t="str">
        <f>VLOOKUP(D:D,'Master Table'!C:D,2,FALSE)</f>
        <v>2265</v>
      </c>
      <c r="F8" s="544" t="s">
        <v>2523</v>
      </c>
      <c r="G8" s="544" t="s">
        <v>2524</v>
      </c>
      <c r="H8" s="544" t="s">
        <v>1731</v>
      </c>
      <c r="I8" s="544" t="s">
        <v>2512</v>
      </c>
      <c r="J8" s="544" t="s">
        <v>324</v>
      </c>
      <c r="K8" s="758">
        <v>395.03</v>
      </c>
      <c r="L8" s="758">
        <v>350</v>
      </c>
      <c r="M8" s="758"/>
      <c r="N8" s="771">
        <f t="shared" si="1"/>
        <v>745.03</v>
      </c>
      <c r="O8" s="446">
        <f>VLOOKUP(D:D,'Master Table'!C:O,13,FALSE)</f>
        <v>937.55</v>
      </c>
      <c r="P8" s="446">
        <v>937.55</v>
      </c>
      <c r="Q8" s="103">
        <v>868.05</v>
      </c>
      <c r="R8" s="103">
        <v>1046.3</v>
      </c>
      <c r="S8" s="103">
        <v>1255.43</v>
      </c>
    </row>
    <row r="9" spans="1:19" ht="29.1" customHeight="1" x14ac:dyDescent="0.2">
      <c r="A9" s="68" t="str">
        <f t="shared" si="0"/>
        <v>CLF009 / 2267</v>
      </c>
      <c r="B9" s="78" t="s">
        <v>2512</v>
      </c>
      <c r="C9" s="78" t="s">
        <v>2530</v>
      </c>
      <c r="D9" s="448" t="s">
        <v>2528</v>
      </c>
      <c r="E9" s="369" t="str">
        <f>VLOOKUP(D:D,'Master Table'!C:D,2,FALSE)</f>
        <v>2267</v>
      </c>
      <c r="F9" s="544" t="s">
        <v>2528</v>
      </c>
      <c r="G9" s="544" t="s">
        <v>2529</v>
      </c>
      <c r="H9" s="544" t="s">
        <v>2530</v>
      </c>
      <c r="I9" s="544" t="s">
        <v>2531</v>
      </c>
      <c r="J9" s="544" t="s">
        <v>324</v>
      </c>
      <c r="K9" s="758"/>
      <c r="L9" s="758">
        <v>10</v>
      </c>
      <c r="M9" s="758"/>
      <c r="N9" s="771">
        <f t="shared" si="1"/>
        <v>10</v>
      </c>
      <c r="O9" s="446">
        <f>VLOOKUP(D:D,'Master Table'!C:O,13,FALSE)</f>
        <v>10</v>
      </c>
      <c r="P9" s="446">
        <v>10</v>
      </c>
      <c r="Q9" s="103">
        <v>125.18</v>
      </c>
      <c r="R9" s="103">
        <v>110</v>
      </c>
      <c r="S9" s="103">
        <v>232.02</v>
      </c>
    </row>
    <row r="10" spans="1:19" ht="29.1" customHeight="1" x14ac:dyDescent="0.2">
      <c r="A10" s="68" t="str">
        <f t="shared" si="0"/>
        <v>CLF010 / 2268</v>
      </c>
      <c r="B10" s="78" t="s">
        <v>2538</v>
      </c>
      <c r="C10" s="78" t="s">
        <v>1489</v>
      </c>
      <c r="D10" s="448" t="s">
        <v>2532</v>
      </c>
      <c r="E10" s="369" t="str">
        <f>VLOOKUP(D:D,'Master Table'!C:D,2,FALSE)</f>
        <v>2268</v>
      </c>
      <c r="F10" s="544" t="s">
        <v>2532</v>
      </c>
      <c r="G10" s="544" t="s">
        <v>2533</v>
      </c>
      <c r="H10" s="544" t="s">
        <v>252</v>
      </c>
      <c r="I10" s="544" t="s">
        <v>2534</v>
      </c>
      <c r="J10" s="544" t="s">
        <v>351</v>
      </c>
      <c r="K10" s="758"/>
      <c r="L10" s="758">
        <v>30</v>
      </c>
      <c r="M10" s="758"/>
      <c r="N10" s="771">
        <f t="shared" si="1"/>
        <v>30</v>
      </c>
      <c r="O10" s="446">
        <f>VLOOKUP(D:D,'Master Table'!C:O,13,FALSE)</f>
        <v>30</v>
      </c>
      <c r="P10" s="446">
        <v>30</v>
      </c>
      <c r="Q10" s="103">
        <v>30</v>
      </c>
      <c r="R10" s="103">
        <v>30</v>
      </c>
      <c r="S10" s="103">
        <v>117.15</v>
      </c>
    </row>
    <row r="11" spans="1:19" ht="29.1" customHeight="1" x14ac:dyDescent="0.2">
      <c r="A11" s="68" t="str">
        <f t="shared" si="0"/>
        <v>CLF010P / 148005</v>
      </c>
      <c r="B11" s="78" t="s">
        <v>2538</v>
      </c>
      <c r="C11" s="78" t="s">
        <v>7425</v>
      </c>
      <c r="D11" s="448" t="s">
        <v>2535</v>
      </c>
      <c r="E11" s="369" t="str">
        <f>VLOOKUP(D:D,'Master Table'!C:D,2,FALSE)</f>
        <v>148005</v>
      </c>
      <c r="F11" s="544" t="s">
        <v>2535</v>
      </c>
      <c r="G11" s="544" t="s">
        <v>2536</v>
      </c>
      <c r="H11" s="544" t="s">
        <v>2537</v>
      </c>
      <c r="I11" s="544" t="s">
        <v>2538</v>
      </c>
      <c r="J11" s="544" t="s">
        <v>351</v>
      </c>
      <c r="K11" s="758">
        <v>226</v>
      </c>
      <c r="L11" s="758">
        <v>255</v>
      </c>
      <c r="M11" s="758"/>
      <c r="N11" s="771">
        <f t="shared" si="1"/>
        <v>481</v>
      </c>
      <c r="O11" s="446">
        <f>VLOOKUP(D:D,'Master Table'!C:O,13,FALSE)</f>
        <v>830.36</v>
      </c>
      <c r="P11" s="446">
        <v>830.36</v>
      </c>
      <c r="Q11" s="103">
        <v>620.5</v>
      </c>
      <c r="R11" s="103">
        <v>766</v>
      </c>
      <c r="S11" s="103">
        <v>512.65</v>
      </c>
    </row>
    <row r="12" spans="1:19" ht="29.1" customHeight="1" x14ac:dyDescent="0.2">
      <c r="A12" s="68" t="str">
        <f t="shared" si="0"/>
        <v>CLF011 / 2269</v>
      </c>
      <c r="B12" s="78" t="s">
        <v>2542</v>
      </c>
      <c r="C12" s="78" t="s">
        <v>453</v>
      </c>
      <c r="D12" s="448" t="s">
        <v>2539</v>
      </c>
      <c r="E12" s="369" t="str">
        <f>VLOOKUP(D:D,'Master Table'!C:D,2,FALSE)</f>
        <v>2269</v>
      </c>
      <c r="F12" s="544" t="s">
        <v>2539</v>
      </c>
      <c r="G12" s="544" t="s">
        <v>2540</v>
      </c>
      <c r="H12" s="544" t="s">
        <v>2541</v>
      </c>
      <c r="I12" s="544" t="s">
        <v>2542</v>
      </c>
      <c r="J12" s="544" t="s">
        <v>324</v>
      </c>
      <c r="K12" s="758"/>
      <c r="L12" s="758">
        <v>1083</v>
      </c>
      <c r="M12" s="758"/>
      <c r="N12" s="771">
        <f t="shared" si="1"/>
        <v>1083</v>
      </c>
      <c r="O12" s="446">
        <f>VLOOKUP(D:D,'Master Table'!C:O,13,FALSE)</f>
        <v>2060.92</v>
      </c>
      <c r="P12" s="446">
        <v>2060.92</v>
      </c>
      <c r="Q12" s="103">
        <v>2131.52</v>
      </c>
      <c r="R12" s="103">
        <v>2094.08</v>
      </c>
      <c r="S12" s="103">
        <v>2429.6999999999998</v>
      </c>
    </row>
    <row r="13" spans="1:19" ht="29.1" customHeight="1" x14ac:dyDescent="0.2">
      <c r="A13" s="68" t="str">
        <f t="shared" si="0"/>
        <v>CLF012 / 2270</v>
      </c>
      <c r="B13" s="78" t="s">
        <v>7426</v>
      </c>
      <c r="C13" s="78" t="s">
        <v>7427</v>
      </c>
      <c r="D13" s="448" t="s">
        <v>2544</v>
      </c>
      <c r="E13" s="369" t="str">
        <f>VLOOKUP(D:D,'Master Table'!C:D,2,FALSE)</f>
        <v>2270</v>
      </c>
      <c r="F13" s="544" t="s">
        <v>2544</v>
      </c>
      <c r="G13" s="544" t="s">
        <v>2545</v>
      </c>
      <c r="H13" s="544" t="s">
        <v>1366</v>
      </c>
      <c r="I13" s="544" t="s">
        <v>2546</v>
      </c>
      <c r="J13" s="544" t="s">
        <v>324</v>
      </c>
      <c r="K13" s="758">
        <v>93.62</v>
      </c>
      <c r="L13" s="758">
        <v>96.5</v>
      </c>
      <c r="M13" s="758"/>
      <c r="N13" s="771">
        <f t="shared" si="1"/>
        <v>190.12</v>
      </c>
      <c r="O13" s="446">
        <f>VLOOKUP(D:D,'Master Table'!C:O,13,FALSE)</f>
        <v>512.67999999999995</v>
      </c>
      <c r="P13" s="446">
        <v>512.67999999999995</v>
      </c>
      <c r="Q13" s="103">
        <v>20</v>
      </c>
      <c r="R13" s="103">
        <v>30</v>
      </c>
      <c r="S13" s="103">
        <v>35</v>
      </c>
    </row>
    <row r="14" spans="1:19" ht="29.1" customHeight="1" x14ac:dyDescent="0.2">
      <c r="A14" s="68" t="str">
        <f t="shared" si="0"/>
        <v>CLF013 / 2271</v>
      </c>
      <c r="B14" s="78" t="s">
        <v>2506</v>
      </c>
      <c r="C14" s="78" t="s">
        <v>916</v>
      </c>
      <c r="D14" s="448" t="s">
        <v>2547</v>
      </c>
      <c r="E14" s="369" t="str">
        <f>VLOOKUP(D:D,'Master Table'!C:D,2,FALSE)</f>
        <v>2271</v>
      </c>
      <c r="F14" s="544" t="s">
        <v>2547</v>
      </c>
      <c r="G14" s="544" t="s">
        <v>2548</v>
      </c>
      <c r="H14" s="544" t="s">
        <v>214</v>
      </c>
      <c r="I14" s="544" t="s">
        <v>2506</v>
      </c>
      <c r="J14" s="544" t="s">
        <v>324</v>
      </c>
      <c r="K14" s="758">
        <v>707.64</v>
      </c>
      <c r="L14" s="758"/>
      <c r="M14" s="758"/>
      <c r="N14" s="771">
        <f t="shared" si="1"/>
        <v>707.64</v>
      </c>
      <c r="O14" s="446">
        <f>VLOOKUP(D:D,'Master Table'!C:O,13,FALSE)</f>
        <v>769.64</v>
      </c>
      <c r="P14" s="446">
        <v>769.64</v>
      </c>
      <c r="Q14" s="103">
        <v>1102.67</v>
      </c>
      <c r="R14" s="103">
        <v>797.16</v>
      </c>
      <c r="S14" s="103">
        <v>541</v>
      </c>
    </row>
    <row r="15" spans="1:19" ht="29.1" customHeight="1" x14ac:dyDescent="0.2">
      <c r="A15" s="68" t="str">
        <f t="shared" si="0"/>
        <v>CLF014 / 2272</v>
      </c>
      <c r="B15" s="78" t="s">
        <v>2506</v>
      </c>
      <c r="C15" s="78" t="s">
        <v>231</v>
      </c>
      <c r="D15" s="448" t="s">
        <v>2549</v>
      </c>
      <c r="E15" s="369" t="str">
        <f>VLOOKUP(D:D,'Master Table'!C:D,2,FALSE)</f>
        <v>2272</v>
      </c>
      <c r="F15" s="544" t="s">
        <v>2549</v>
      </c>
      <c r="G15" s="544" t="s">
        <v>2550</v>
      </c>
      <c r="H15" s="544" t="s">
        <v>428</v>
      </c>
      <c r="I15" s="544" t="s">
        <v>2506</v>
      </c>
      <c r="J15" s="544" t="s">
        <v>324</v>
      </c>
      <c r="K15" s="758">
        <v>1305.71</v>
      </c>
      <c r="L15" s="758">
        <v>500</v>
      </c>
      <c r="M15" s="758"/>
      <c r="N15" s="771">
        <f t="shared" si="1"/>
        <v>1805.71</v>
      </c>
      <c r="O15" s="446">
        <f>VLOOKUP(D:D,'Master Table'!C:O,13,FALSE)</f>
        <v>3819.75</v>
      </c>
      <c r="P15" s="446">
        <v>3819.75</v>
      </c>
      <c r="Q15" s="103">
        <v>3672.99</v>
      </c>
      <c r="R15" s="103">
        <v>2328.59</v>
      </c>
      <c r="S15" s="103">
        <v>2004.55</v>
      </c>
    </row>
    <row r="16" spans="1:19" ht="29.1" customHeight="1" x14ac:dyDescent="0.2">
      <c r="A16" s="68" t="str">
        <f t="shared" si="0"/>
        <v>CLF015 / 2273</v>
      </c>
      <c r="B16" s="78" t="s">
        <v>2506</v>
      </c>
      <c r="C16" s="78" t="s">
        <v>2554</v>
      </c>
      <c r="D16" s="448" t="s">
        <v>2552</v>
      </c>
      <c r="E16" s="369" t="str">
        <f>VLOOKUP(D:D,'Master Table'!C:D,2,FALSE)</f>
        <v>2273</v>
      </c>
      <c r="F16" s="544" t="s">
        <v>2552</v>
      </c>
      <c r="G16" s="544" t="s">
        <v>2553</v>
      </c>
      <c r="H16" s="544" t="s">
        <v>2554</v>
      </c>
      <c r="I16" s="544" t="s">
        <v>2506</v>
      </c>
      <c r="J16" s="544" t="s">
        <v>324</v>
      </c>
      <c r="K16" s="758"/>
      <c r="L16" s="758"/>
      <c r="M16" s="758">
        <v>76.22</v>
      </c>
      <c r="N16" s="771">
        <f t="shared" si="1"/>
        <v>76.22</v>
      </c>
      <c r="O16" s="446">
        <f>VLOOKUP(D:D,'Master Table'!C:O,13,FALSE)</f>
        <v>0</v>
      </c>
      <c r="P16" s="446">
        <v>0</v>
      </c>
      <c r="Q16" s="103">
        <v>159.19999999999999</v>
      </c>
      <c r="R16" s="103">
        <v>0</v>
      </c>
      <c r="S16" s="103">
        <v>186.41</v>
      </c>
    </row>
    <row r="17" spans="1:19" ht="29.1" customHeight="1" x14ac:dyDescent="0.2">
      <c r="A17" s="68" t="str">
        <f t="shared" si="0"/>
        <v>CLF016 / 2274</v>
      </c>
      <c r="B17" s="78" t="s">
        <v>2506</v>
      </c>
      <c r="C17" s="78" t="s">
        <v>7428</v>
      </c>
      <c r="D17" s="448" t="s">
        <v>2555</v>
      </c>
      <c r="E17" s="369" t="str">
        <f>VLOOKUP(D:D,'Master Table'!C:D,2,FALSE)</f>
        <v>2274</v>
      </c>
      <c r="F17" s="544" t="s">
        <v>2555</v>
      </c>
      <c r="G17" s="544" t="s">
        <v>2556</v>
      </c>
      <c r="H17" s="544" t="s">
        <v>2557</v>
      </c>
      <c r="I17" s="544" t="s">
        <v>2506</v>
      </c>
      <c r="J17" s="544" t="s">
        <v>324</v>
      </c>
      <c r="K17" s="758">
        <v>557.26</v>
      </c>
      <c r="L17" s="758">
        <v>181</v>
      </c>
      <c r="M17" s="758"/>
      <c r="N17" s="771">
        <f t="shared" si="1"/>
        <v>738.26</v>
      </c>
      <c r="O17" s="446">
        <f>VLOOKUP(D:D,'Master Table'!C:O,13,FALSE)</f>
        <v>905.35</v>
      </c>
      <c r="P17" s="446">
        <v>905.35</v>
      </c>
      <c r="Q17" s="103">
        <v>795.55</v>
      </c>
      <c r="R17" s="103">
        <v>700.28</v>
      </c>
      <c r="S17" s="103">
        <v>652.76</v>
      </c>
    </row>
    <row r="18" spans="1:19" ht="29.1" customHeight="1" x14ac:dyDescent="0.2">
      <c r="A18" s="68" t="s">
        <v>11013</v>
      </c>
      <c r="B18" s="68" t="s">
        <v>2506</v>
      </c>
      <c r="C18" s="68" t="s">
        <v>94</v>
      </c>
      <c r="D18" s="770" t="s">
        <v>2559</v>
      </c>
      <c r="E18" s="369"/>
      <c r="F18" s="544" t="s">
        <v>2559</v>
      </c>
      <c r="G18" s="544" t="s">
        <v>2560</v>
      </c>
      <c r="H18" s="544" t="s">
        <v>94</v>
      </c>
      <c r="I18" s="544" t="s">
        <v>2506</v>
      </c>
      <c r="J18" s="544" t="s">
        <v>324</v>
      </c>
      <c r="K18" s="758"/>
      <c r="L18" s="758">
        <v>20</v>
      </c>
      <c r="M18" s="758"/>
      <c r="N18" s="771">
        <f t="shared" si="1"/>
        <v>20</v>
      </c>
      <c r="O18" s="446"/>
      <c r="P18" s="446"/>
      <c r="Q18" s="103"/>
      <c r="R18" s="103"/>
      <c r="S18" s="103"/>
    </row>
    <row r="19" spans="1:19" ht="29.1" customHeight="1" x14ac:dyDescent="0.2">
      <c r="A19" s="68" t="str">
        <f t="shared" si="0"/>
        <v>CLF018 / 2276</v>
      </c>
      <c r="B19" s="78" t="s">
        <v>2506</v>
      </c>
      <c r="C19" s="78" t="s">
        <v>7429</v>
      </c>
      <c r="D19" s="448" t="s">
        <v>2561</v>
      </c>
      <c r="E19" s="369" t="str">
        <f>VLOOKUP(D:D,'Master Table'!C:D,2,FALSE)</f>
        <v>2276</v>
      </c>
      <c r="F19" s="544" t="s">
        <v>2561</v>
      </c>
      <c r="G19" s="544" t="s">
        <v>2562</v>
      </c>
      <c r="H19" s="544" t="s">
        <v>2563</v>
      </c>
      <c r="I19" s="544" t="s">
        <v>2506</v>
      </c>
      <c r="J19" s="544" t="s">
        <v>324</v>
      </c>
      <c r="K19" s="758">
        <v>164.64</v>
      </c>
      <c r="L19" s="758"/>
      <c r="M19" s="758"/>
      <c r="N19" s="771">
        <f t="shared" si="1"/>
        <v>164.64</v>
      </c>
      <c r="O19" s="446">
        <f>VLOOKUP(D:D,'Master Table'!C:O,13,FALSE)</f>
        <v>625.21</v>
      </c>
      <c r="P19" s="446">
        <v>625.21</v>
      </c>
      <c r="Q19" s="103">
        <v>658.7</v>
      </c>
      <c r="R19" s="103">
        <v>774.95</v>
      </c>
      <c r="S19" s="103">
        <v>616.44000000000005</v>
      </c>
    </row>
    <row r="20" spans="1:19" ht="29.1" customHeight="1" x14ac:dyDescent="0.2">
      <c r="A20" s="68" t="str">
        <f t="shared" si="0"/>
        <v>CLF019 / 2277</v>
      </c>
      <c r="B20" s="78" t="s">
        <v>2506</v>
      </c>
      <c r="C20" s="78" t="s">
        <v>7430</v>
      </c>
      <c r="D20" s="448" t="s">
        <v>2564</v>
      </c>
      <c r="E20" s="369" t="str">
        <f>VLOOKUP(D:D,'Master Table'!C:D,2,FALSE)</f>
        <v>2277</v>
      </c>
      <c r="F20" s="544" t="s">
        <v>2564</v>
      </c>
      <c r="G20" s="544" t="s">
        <v>2565</v>
      </c>
      <c r="H20" s="544" t="s">
        <v>822</v>
      </c>
      <c r="I20" s="544" t="s">
        <v>2506</v>
      </c>
      <c r="J20" s="544" t="s">
        <v>324</v>
      </c>
      <c r="K20" s="758">
        <v>1225.93</v>
      </c>
      <c r="L20" s="758">
        <v>450</v>
      </c>
      <c r="M20" s="758">
        <v>340.68</v>
      </c>
      <c r="N20" s="771">
        <f t="shared" si="1"/>
        <v>2016.6100000000001</v>
      </c>
      <c r="O20" s="446">
        <f>VLOOKUP(D:D,'Master Table'!C:O,13,FALSE)</f>
        <v>1914.57</v>
      </c>
      <c r="P20" s="446">
        <v>1914.57</v>
      </c>
      <c r="Q20" s="103">
        <v>2052.09</v>
      </c>
      <c r="R20" s="103">
        <v>2253.5</v>
      </c>
      <c r="S20" s="103">
        <v>2304</v>
      </c>
    </row>
    <row r="21" spans="1:19" ht="29.1" customHeight="1" x14ac:dyDescent="0.2">
      <c r="A21" s="68" t="str">
        <f t="shared" si="0"/>
        <v>CLF020 / 2278</v>
      </c>
      <c r="B21" s="78" t="s">
        <v>2506</v>
      </c>
      <c r="C21" s="78" t="s">
        <v>6487</v>
      </c>
      <c r="D21" s="448" t="s">
        <v>2567</v>
      </c>
      <c r="E21" s="369" t="str">
        <f>VLOOKUP(D:D,'Master Table'!C:D,2,FALSE)</f>
        <v>2278</v>
      </c>
      <c r="F21" s="544" t="s">
        <v>2567</v>
      </c>
      <c r="G21" s="544" t="s">
        <v>2568</v>
      </c>
      <c r="H21" s="544" t="s">
        <v>630</v>
      </c>
      <c r="I21" s="544" t="s">
        <v>2506</v>
      </c>
      <c r="J21" s="544" t="s">
        <v>324</v>
      </c>
      <c r="K21" s="758">
        <v>488.72</v>
      </c>
      <c r="L21" s="758">
        <v>50</v>
      </c>
      <c r="M21" s="758"/>
      <c r="N21" s="771">
        <f t="shared" si="1"/>
        <v>538.72</v>
      </c>
      <c r="O21" s="446">
        <f>VLOOKUP(D:D,'Master Table'!C:O,13,FALSE)</f>
        <v>768.28</v>
      </c>
      <c r="P21" s="446">
        <v>768.28</v>
      </c>
      <c r="Q21" s="103">
        <v>1227.68</v>
      </c>
      <c r="R21" s="103">
        <v>1112.3899999999999</v>
      </c>
      <c r="S21" s="103">
        <v>1241.45</v>
      </c>
    </row>
    <row r="22" spans="1:19" ht="29.1" customHeight="1" x14ac:dyDescent="0.2">
      <c r="A22" s="68" t="str">
        <f t="shared" si="0"/>
        <v>CLF021 / 2279</v>
      </c>
      <c r="B22" s="78" t="s">
        <v>2506</v>
      </c>
      <c r="C22" s="78" t="s">
        <v>7431</v>
      </c>
      <c r="D22" s="448" t="s">
        <v>2570</v>
      </c>
      <c r="E22" s="369" t="str">
        <f>VLOOKUP(D:D,'Master Table'!C:D,2,FALSE)</f>
        <v>2279</v>
      </c>
      <c r="F22" s="544" t="s">
        <v>2570</v>
      </c>
      <c r="G22" s="544" t="s">
        <v>2571</v>
      </c>
      <c r="H22" s="544" t="s">
        <v>2572</v>
      </c>
      <c r="I22" s="544" t="s">
        <v>2506</v>
      </c>
      <c r="J22" s="544" t="s">
        <v>324</v>
      </c>
      <c r="K22" s="758">
        <v>144.4</v>
      </c>
      <c r="L22" s="758">
        <v>525</v>
      </c>
      <c r="M22" s="758"/>
      <c r="N22" s="771">
        <f t="shared" si="1"/>
        <v>669.4</v>
      </c>
      <c r="O22" s="446">
        <f>VLOOKUP(D:D,'Master Table'!C:O,13,FALSE)</f>
        <v>941.78</v>
      </c>
      <c r="P22" s="446">
        <v>941.78</v>
      </c>
      <c r="Q22" s="103">
        <v>1379.13</v>
      </c>
      <c r="R22" s="103">
        <v>1741.51</v>
      </c>
      <c r="S22" s="103">
        <v>829.99</v>
      </c>
    </row>
    <row r="23" spans="1:19" ht="29.1" customHeight="1" x14ac:dyDescent="0.2">
      <c r="A23" s="68" t="str">
        <f t="shared" si="0"/>
        <v>CLF022 / 2280</v>
      </c>
      <c r="B23" s="78" t="s">
        <v>2506</v>
      </c>
      <c r="C23" s="78" t="s">
        <v>7432</v>
      </c>
      <c r="D23" s="448" t="s">
        <v>2573</v>
      </c>
      <c r="E23" s="369" t="str">
        <f>VLOOKUP(D:D,'Master Table'!C:D,2,FALSE)</f>
        <v>2280</v>
      </c>
      <c r="F23" s="544" t="s">
        <v>2573</v>
      </c>
      <c r="G23" s="544" t="s">
        <v>2574</v>
      </c>
      <c r="H23" s="544" t="s">
        <v>2575</v>
      </c>
      <c r="I23" s="544" t="s">
        <v>2506</v>
      </c>
      <c r="J23" s="544" t="s">
        <v>324</v>
      </c>
      <c r="K23" s="758">
        <v>651.66999999999996</v>
      </c>
      <c r="L23" s="758">
        <v>5</v>
      </c>
      <c r="M23" s="758"/>
      <c r="N23" s="771">
        <f t="shared" si="1"/>
        <v>656.67</v>
      </c>
      <c r="O23" s="446">
        <f>VLOOKUP(D:D,'Master Table'!C:O,13,FALSE)</f>
        <v>655.53</v>
      </c>
      <c r="P23" s="446">
        <v>655.53</v>
      </c>
      <c r="Q23" s="103">
        <v>739.63</v>
      </c>
      <c r="R23" s="103">
        <v>736.1</v>
      </c>
      <c r="S23" s="103">
        <v>610.42000000000007</v>
      </c>
    </row>
    <row r="24" spans="1:19" ht="29.1" customHeight="1" x14ac:dyDescent="0.2">
      <c r="A24" s="68" t="str">
        <f t="shared" si="0"/>
        <v>CLF024 / 2282</v>
      </c>
      <c r="B24" s="78" t="s">
        <v>2506</v>
      </c>
      <c r="C24" s="78" t="s">
        <v>532</v>
      </c>
      <c r="D24" s="448" t="s">
        <v>2579</v>
      </c>
      <c r="E24" s="369" t="str">
        <f>VLOOKUP(D:D,'Master Table'!C:D,2,FALSE)</f>
        <v>2282</v>
      </c>
      <c r="F24" s="544" t="s">
        <v>2579</v>
      </c>
      <c r="G24" s="544" t="s">
        <v>2580</v>
      </c>
      <c r="H24" s="544" t="s">
        <v>61</v>
      </c>
      <c r="I24" s="544" t="s">
        <v>2506</v>
      </c>
      <c r="J24" s="544" t="s">
        <v>324</v>
      </c>
      <c r="K24" s="758"/>
      <c r="L24" s="758">
        <v>15</v>
      </c>
      <c r="M24" s="758"/>
      <c r="N24" s="771">
        <f t="shared" si="1"/>
        <v>15</v>
      </c>
      <c r="O24" s="446">
        <f>VLOOKUP(D:D,'Master Table'!C:O,13,FALSE)</f>
        <v>875.05</v>
      </c>
      <c r="P24" s="446">
        <v>875.05</v>
      </c>
      <c r="Q24" s="103">
        <v>660</v>
      </c>
      <c r="R24" s="103">
        <v>709.47</v>
      </c>
      <c r="S24" s="103">
        <v>435.74</v>
      </c>
    </row>
    <row r="25" spans="1:19" ht="29.1" customHeight="1" x14ac:dyDescent="0.2">
      <c r="A25" s="68" t="str">
        <f t="shared" si="0"/>
        <v>CLF025 / 2283</v>
      </c>
      <c r="B25" s="78" t="s">
        <v>2506</v>
      </c>
      <c r="C25" s="78" t="s">
        <v>2583</v>
      </c>
      <c r="D25" s="448" t="s">
        <v>2581</v>
      </c>
      <c r="E25" s="369" t="str">
        <f>VLOOKUP(D:D,'Master Table'!C:D,2,FALSE)</f>
        <v>2283</v>
      </c>
      <c r="F25" s="544" t="s">
        <v>2581</v>
      </c>
      <c r="G25" s="544" t="s">
        <v>2582</v>
      </c>
      <c r="H25" s="544" t="s">
        <v>2583</v>
      </c>
      <c r="I25" s="544" t="s">
        <v>2506</v>
      </c>
      <c r="J25" s="544" t="s">
        <v>324</v>
      </c>
      <c r="K25" s="758">
        <v>38.82</v>
      </c>
      <c r="L25" s="758">
        <v>5</v>
      </c>
      <c r="M25" s="758">
        <v>68.34</v>
      </c>
      <c r="N25" s="771">
        <f t="shared" si="1"/>
        <v>112.16</v>
      </c>
      <c r="O25" s="446">
        <f>VLOOKUP(D:D,'Master Table'!C:O,13,FALSE)</f>
        <v>715.34</v>
      </c>
      <c r="P25" s="446">
        <v>715.34</v>
      </c>
      <c r="Q25" s="103">
        <v>317.92</v>
      </c>
      <c r="R25" s="103">
        <v>505.75</v>
      </c>
      <c r="S25" s="103">
        <v>405.41</v>
      </c>
    </row>
    <row r="26" spans="1:19" ht="29.1" customHeight="1" x14ac:dyDescent="0.2">
      <c r="A26" s="68" t="str">
        <f t="shared" si="0"/>
        <v>CLF026 / 2284</v>
      </c>
      <c r="B26" s="78" t="s">
        <v>2506</v>
      </c>
      <c r="C26" s="78" t="s">
        <v>158</v>
      </c>
      <c r="D26" s="448" t="s">
        <v>2587</v>
      </c>
      <c r="E26" s="369" t="str">
        <f>VLOOKUP(D:D,'Master Table'!C:D,2,FALSE)</f>
        <v>2284</v>
      </c>
      <c r="F26" s="544" t="s">
        <v>2587</v>
      </c>
      <c r="G26" s="544" t="s">
        <v>2588</v>
      </c>
      <c r="H26" s="544" t="s">
        <v>124</v>
      </c>
      <c r="I26" s="544" t="s">
        <v>2506</v>
      </c>
      <c r="J26" s="544" t="s">
        <v>324</v>
      </c>
      <c r="K26" s="758">
        <v>153.01</v>
      </c>
      <c r="L26" s="758">
        <v>20</v>
      </c>
      <c r="M26" s="758"/>
      <c r="N26" s="771">
        <f t="shared" si="1"/>
        <v>173.01</v>
      </c>
      <c r="O26" s="446">
        <f>VLOOKUP(D:D,'Master Table'!C:O,13,FALSE)</f>
        <v>2182.86</v>
      </c>
      <c r="P26" s="446">
        <v>2182.86</v>
      </c>
      <c r="Q26" s="103">
        <v>2218.15</v>
      </c>
      <c r="R26" s="103">
        <v>2448</v>
      </c>
      <c r="S26" s="103">
        <v>1823.5</v>
      </c>
    </row>
    <row r="27" spans="1:19" ht="29.1" customHeight="1" x14ac:dyDescent="0.2">
      <c r="A27" s="68" t="str">
        <f t="shared" si="0"/>
        <v>CLF027 / 2285</v>
      </c>
      <c r="B27" s="78" t="s">
        <v>2506</v>
      </c>
      <c r="C27" s="78" t="s">
        <v>7433</v>
      </c>
      <c r="D27" s="448" t="s">
        <v>2590</v>
      </c>
      <c r="E27" s="369" t="str">
        <f>VLOOKUP(D:D,'Master Table'!C:D,2,FALSE)</f>
        <v>2285</v>
      </c>
      <c r="F27" s="544" t="s">
        <v>2590</v>
      </c>
      <c r="G27" s="544" t="s">
        <v>2591</v>
      </c>
      <c r="H27" s="544" t="s">
        <v>640</v>
      </c>
      <c r="I27" s="544" t="s">
        <v>2506</v>
      </c>
      <c r="J27" s="544" t="s">
        <v>324</v>
      </c>
      <c r="K27" s="758"/>
      <c r="L27" s="758"/>
      <c r="M27" s="758">
        <v>281.62</v>
      </c>
      <c r="N27" s="771">
        <f t="shared" si="1"/>
        <v>281.62</v>
      </c>
      <c r="O27" s="446">
        <f>VLOOKUP(D:D,'Master Table'!C:O,13,FALSE)</f>
        <v>695.58999999999992</v>
      </c>
      <c r="P27" s="446">
        <v>695.58999999999992</v>
      </c>
      <c r="Q27" s="103">
        <v>1082.6600000000001</v>
      </c>
      <c r="R27" s="103">
        <v>1163.1099999999999</v>
      </c>
      <c r="S27" s="103">
        <v>1456.19</v>
      </c>
    </row>
    <row r="28" spans="1:19" ht="29.1" customHeight="1" x14ac:dyDescent="0.2">
      <c r="A28" s="68" t="str">
        <f t="shared" si="0"/>
        <v>CLF028 / 2286</v>
      </c>
      <c r="B28" s="78" t="s">
        <v>2506</v>
      </c>
      <c r="C28" s="78" t="s">
        <v>934</v>
      </c>
      <c r="D28" s="448" t="s">
        <v>2593</v>
      </c>
      <c r="E28" s="369" t="str">
        <f>VLOOKUP(D:D,'Master Table'!C:D,2,FALSE)</f>
        <v>2286</v>
      </c>
      <c r="F28" s="544" t="s">
        <v>2593</v>
      </c>
      <c r="G28" s="544" t="s">
        <v>2594</v>
      </c>
      <c r="H28" s="544" t="s">
        <v>934</v>
      </c>
      <c r="I28" s="544" t="s">
        <v>2506</v>
      </c>
      <c r="J28" s="544" t="s">
        <v>324</v>
      </c>
      <c r="K28" s="758"/>
      <c r="L28" s="758">
        <v>300</v>
      </c>
      <c r="M28" s="758">
        <v>853.48</v>
      </c>
      <c r="N28" s="771">
        <f t="shared" si="1"/>
        <v>1153.48</v>
      </c>
      <c r="O28" s="446">
        <f>VLOOKUP(D:D,'Master Table'!C:O,13,FALSE)</f>
        <v>230</v>
      </c>
      <c r="P28" s="446">
        <v>230</v>
      </c>
      <c r="Q28" s="103">
        <v>491.47</v>
      </c>
      <c r="R28" s="103">
        <v>1411</v>
      </c>
      <c r="S28" s="103">
        <v>1095.47</v>
      </c>
    </row>
    <row r="29" spans="1:19" ht="29.1" customHeight="1" x14ac:dyDescent="0.2">
      <c r="A29" s="68" t="str">
        <f t="shared" si="0"/>
        <v>CLF029 / 2287</v>
      </c>
      <c r="B29" s="78" t="s">
        <v>2506</v>
      </c>
      <c r="C29" s="78" t="s">
        <v>246</v>
      </c>
      <c r="D29" s="448" t="s">
        <v>2595</v>
      </c>
      <c r="E29" s="369" t="str">
        <f>VLOOKUP(D:D,'Master Table'!C:D,2,FALSE)</f>
        <v>2287</v>
      </c>
      <c r="F29" s="544" t="s">
        <v>2595</v>
      </c>
      <c r="G29" s="544" t="s">
        <v>2596</v>
      </c>
      <c r="H29" s="544" t="s">
        <v>2597</v>
      </c>
      <c r="I29" s="544" t="s">
        <v>2506</v>
      </c>
      <c r="J29" s="544" t="s">
        <v>324</v>
      </c>
      <c r="K29" s="758"/>
      <c r="L29" s="758">
        <v>230</v>
      </c>
      <c r="M29" s="758"/>
      <c r="N29" s="771">
        <f t="shared" si="1"/>
        <v>230</v>
      </c>
      <c r="O29" s="446">
        <f>VLOOKUP(D:D,'Master Table'!C:O,13,FALSE)</f>
        <v>160</v>
      </c>
      <c r="P29" s="446">
        <v>160</v>
      </c>
      <c r="Q29" s="103">
        <v>100</v>
      </c>
      <c r="R29" s="103">
        <v>195</v>
      </c>
      <c r="S29" s="103">
        <v>814.67</v>
      </c>
    </row>
    <row r="30" spans="1:19" ht="29.1" customHeight="1" x14ac:dyDescent="0.2">
      <c r="A30" s="68" t="str">
        <f t="shared" si="0"/>
        <v>CLF031 / 2289</v>
      </c>
      <c r="B30" s="78" t="s">
        <v>2506</v>
      </c>
      <c r="C30" s="78" t="s">
        <v>2603</v>
      </c>
      <c r="D30" s="448" t="s">
        <v>2601</v>
      </c>
      <c r="E30" s="369" t="str">
        <f>VLOOKUP(D:D,'Master Table'!C:D,2,FALSE)</f>
        <v>2289</v>
      </c>
      <c r="F30" s="544" t="s">
        <v>2601</v>
      </c>
      <c r="G30" s="544" t="s">
        <v>2602</v>
      </c>
      <c r="H30" s="544" t="s">
        <v>2603</v>
      </c>
      <c r="I30" s="544" t="s">
        <v>2506</v>
      </c>
      <c r="J30" s="544" t="s">
        <v>324</v>
      </c>
      <c r="K30" s="758"/>
      <c r="L30" s="758">
        <v>85</v>
      </c>
      <c r="M30" s="758"/>
      <c r="N30" s="771">
        <f t="shared" si="1"/>
        <v>85</v>
      </c>
      <c r="O30" s="446">
        <f>VLOOKUP(D:D,'Master Table'!C:O,13,FALSE)</f>
        <v>90</v>
      </c>
      <c r="P30" s="446">
        <v>90</v>
      </c>
      <c r="Q30" s="103">
        <v>90</v>
      </c>
      <c r="R30" s="103">
        <v>90</v>
      </c>
      <c r="S30" s="103">
        <v>95</v>
      </c>
    </row>
    <row r="31" spans="1:19" ht="29.1" customHeight="1" x14ac:dyDescent="0.2">
      <c r="A31" s="68" t="str">
        <f t="shared" si="0"/>
        <v>CLF032 / 2291</v>
      </c>
      <c r="B31" s="78" t="s">
        <v>2606</v>
      </c>
      <c r="C31" s="78" t="s">
        <v>3516</v>
      </c>
      <c r="D31" s="448" t="s">
        <v>2604</v>
      </c>
      <c r="E31" s="369" t="str">
        <f>VLOOKUP(D:D,'Master Table'!C:D,2,FALSE)</f>
        <v>2291</v>
      </c>
      <c r="F31" s="544" t="s">
        <v>2604</v>
      </c>
      <c r="G31" s="544" t="s">
        <v>2605</v>
      </c>
      <c r="H31" s="544" t="s">
        <v>244</v>
      </c>
      <c r="I31" s="544" t="s">
        <v>2606</v>
      </c>
      <c r="J31" s="544" t="s">
        <v>324</v>
      </c>
      <c r="K31" s="758"/>
      <c r="L31" s="758">
        <v>250</v>
      </c>
      <c r="M31" s="758"/>
      <c r="N31" s="771">
        <f t="shared" si="1"/>
        <v>250</v>
      </c>
      <c r="O31" s="446">
        <f>VLOOKUP(D:D,'Master Table'!C:O,13,FALSE)</f>
        <v>554.33000000000004</v>
      </c>
      <c r="P31" s="446">
        <v>554.33000000000004</v>
      </c>
      <c r="Q31" s="103">
        <v>307.94</v>
      </c>
      <c r="R31" s="103">
        <v>486</v>
      </c>
      <c r="S31" s="103">
        <v>393</v>
      </c>
    </row>
    <row r="32" spans="1:19" ht="29.1" customHeight="1" x14ac:dyDescent="0.2">
      <c r="A32" s="68" t="str">
        <f t="shared" si="0"/>
        <v>CLF033 / 2292</v>
      </c>
      <c r="B32" s="78" t="s">
        <v>2506</v>
      </c>
      <c r="C32" s="78" t="s">
        <v>2609</v>
      </c>
      <c r="D32" s="448" t="s">
        <v>2607</v>
      </c>
      <c r="E32" s="369" t="str">
        <f>VLOOKUP(D:D,'Master Table'!C:D,2,FALSE)</f>
        <v>2292</v>
      </c>
      <c r="F32" s="544" t="s">
        <v>2607</v>
      </c>
      <c r="G32" s="544" t="s">
        <v>2608</v>
      </c>
      <c r="H32" s="544" t="s">
        <v>2609</v>
      </c>
      <c r="I32" s="544" t="s">
        <v>2506</v>
      </c>
      <c r="J32" s="544" t="s">
        <v>324</v>
      </c>
      <c r="K32" s="758"/>
      <c r="L32" s="758">
        <v>150</v>
      </c>
      <c r="M32" s="758"/>
      <c r="N32" s="771">
        <f t="shared" si="1"/>
        <v>150</v>
      </c>
      <c r="O32" s="446">
        <f>VLOOKUP(D:D,'Master Table'!C:O,13,FALSE)</f>
        <v>215</v>
      </c>
      <c r="P32" s="446">
        <v>215</v>
      </c>
      <c r="Q32" s="103">
        <v>310</v>
      </c>
      <c r="R32" s="103">
        <v>726</v>
      </c>
      <c r="S32" s="103">
        <v>506.58</v>
      </c>
    </row>
    <row r="33" spans="1:19" ht="29.1" customHeight="1" x14ac:dyDescent="0.2">
      <c r="A33" s="68" t="str">
        <f t="shared" si="0"/>
        <v>CLF034 / 2293</v>
      </c>
      <c r="B33" s="78" t="s">
        <v>2616</v>
      </c>
      <c r="C33" s="78" t="s">
        <v>4329</v>
      </c>
      <c r="D33" s="448" t="s">
        <v>2613</v>
      </c>
      <c r="E33" s="369" t="str">
        <f>VLOOKUP(D:D,'Master Table'!C:D,2,FALSE)</f>
        <v>2293</v>
      </c>
      <c r="F33" s="544" t="s">
        <v>2613</v>
      </c>
      <c r="G33" s="544" t="s">
        <v>2614</v>
      </c>
      <c r="H33" s="544" t="s">
        <v>2615</v>
      </c>
      <c r="I33" s="544" t="s">
        <v>2616</v>
      </c>
      <c r="J33" s="544" t="s">
        <v>324</v>
      </c>
      <c r="K33" s="758"/>
      <c r="L33" s="758">
        <v>30</v>
      </c>
      <c r="M33" s="758"/>
      <c r="N33" s="771">
        <f t="shared" si="1"/>
        <v>30</v>
      </c>
      <c r="O33" s="446">
        <f>VLOOKUP(D:D,'Master Table'!C:O,13,FALSE)</f>
        <v>280</v>
      </c>
      <c r="P33" s="446">
        <v>280</v>
      </c>
      <c r="Q33" s="103">
        <v>183</v>
      </c>
      <c r="R33" s="103">
        <v>167.1</v>
      </c>
      <c r="S33" s="103">
        <v>473.96</v>
      </c>
    </row>
    <row r="34" spans="1:19" ht="29.1" customHeight="1" x14ac:dyDescent="0.2">
      <c r="A34" s="68" t="str">
        <f t="shared" si="0"/>
        <v>CLF035 / 2294</v>
      </c>
      <c r="B34" s="78" t="s">
        <v>2620</v>
      </c>
      <c r="C34" s="78" t="s">
        <v>7434</v>
      </c>
      <c r="D34" s="448" t="s">
        <v>2617</v>
      </c>
      <c r="E34" s="369" t="str">
        <f>VLOOKUP(D:D,'Master Table'!C:D,2,FALSE)</f>
        <v>2294</v>
      </c>
      <c r="F34" s="544" t="s">
        <v>2617</v>
      </c>
      <c r="G34" s="544" t="s">
        <v>2618</v>
      </c>
      <c r="H34" s="544" t="s">
        <v>2619</v>
      </c>
      <c r="I34" s="544" t="s">
        <v>2620</v>
      </c>
      <c r="J34" s="544" t="s">
        <v>324</v>
      </c>
      <c r="K34" s="758">
        <v>186.22</v>
      </c>
      <c r="L34" s="758">
        <v>161</v>
      </c>
      <c r="M34" s="758"/>
      <c r="N34" s="771">
        <f t="shared" si="1"/>
        <v>347.22</v>
      </c>
      <c r="O34" s="446">
        <f>VLOOKUP(D:D,'Master Table'!C:O,13,FALSE)</f>
        <v>716.45</v>
      </c>
      <c r="P34" s="446">
        <v>716.45</v>
      </c>
      <c r="Q34" s="103">
        <v>823.75</v>
      </c>
      <c r="R34" s="103">
        <v>913.33</v>
      </c>
      <c r="S34" s="103">
        <v>871.6</v>
      </c>
    </row>
    <row r="35" spans="1:19" ht="29.1" customHeight="1" x14ac:dyDescent="0.2">
      <c r="A35" s="68" t="str">
        <f t="shared" si="0"/>
        <v>CLF036 / 2295</v>
      </c>
      <c r="B35" s="78" t="s">
        <v>2623</v>
      </c>
      <c r="C35" s="78" t="s">
        <v>1047</v>
      </c>
      <c r="D35" s="448" t="s">
        <v>2621</v>
      </c>
      <c r="E35" s="369" t="str">
        <f>VLOOKUP(D:D,'Master Table'!C:D,2,FALSE)</f>
        <v>2295</v>
      </c>
      <c r="F35" s="544" t="s">
        <v>2621</v>
      </c>
      <c r="G35" s="544" t="s">
        <v>2622</v>
      </c>
      <c r="H35" s="544" t="s">
        <v>83</v>
      </c>
      <c r="I35" s="544" t="s">
        <v>2623</v>
      </c>
      <c r="J35" s="544" t="s">
        <v>324</v>
      </c>
      <c r="K35" s="758">
        <v>624.99</v>
      </c>
      <c r="L35" s="758">
        <v>429</v>
      </c>
      <c r="M35" s="758">
        <v>45</v>
      </c>
      <c r="N35" s="771">
        <f t="shared" si="1"/>
        <v>1098.99</v>
      </c>
      <c r="O35" s="446">
        <f>VLOOKUP(D:D,'Master Table'!C:O,13,FALSE)</f>
        <v>2436.35</v>
      </c>
      <c r="P35" s="446">
        <v>2436.35</v>
      </c>
      <c r="Q35" s="103">
        <v>1614.46</v>
      </c>
      <c r="R35" s="103">
        <v>1957.62</v>
      </c>
      <c r="S35" s="103">
        <v>1626.3</v>
      </c>
    </row>
    <row r="36" spans="1:19" ht="29.1" customHeight="1" x14ac:dyDescent="0.2">
      <c r="A36" s="68" t="s">
        <v>11014</v>
      </c>
      <c r="B36" s="68" t="s">
        <v>2628</v>
      </c>
      <c r="C36" s="68" t="s">
        <v>2627</v>
      </c>
      <c r="D36" s="448"/>
      <c r="E36" s="369"/>
      <c r="F36" s="544" t="s">
        <v>2625</v>
      </c>
      <c r="G36" s="544" t="s">
        <v>2626</v>
      </c>
      <c r="H36" s="544" t="s">
        <v>2627</v>
      </c>
      <c r="I36" s="544" t="s">
        <v>2628</v>
      </c>
      <c r="J36" s="544" t="s">
        <v>324</v>
      </c>
      <c r="K36" s="758"/>
      <c r="L36" s="758">
        <v>20</v>
      </c>
      <c r="M36" s="758"/>
      <c r="N36" s="771">
        <f t="shared" si="1"/>
        <v>20</v>
      </c>
      <c r="O36" s="446"/>
      <c r="P36" s="446"/>
      <c r="Q36" s="103"/>
      <c r="R36" s="103"/>
      <c r="S36" s="103"/>
    </row>
    <row r="37" spans="1:19" ht="29.1" customHeight="1" x14ac:dyDescent="0.2">
      <c r="A37" s="68" t="s">
        <v>11015</v>
      </c>
      <c r="B37" s="68" t="s">
        <v>2631</v>
      </c>
      <c r="C37" s="68" t="s">
        <v>532</v>
      </c>
      <c r="D37" s="448"/>
      <c r="E37" s="369"/>
      <c r="F37" s="544" t="s">
        <v>2629</v>
      </c>
      <c r="G37" s="544" t="s">
        <v>2630</v>
      </c>
      <c r="H37" s="544" t="s">
        <v>532</v>
      </c>
      <c r="I37" s="544" t="s">
        <v>2631</v>
      </c>
      <c r="J37" s="544" t="s">
        <v>324</v>
      </c>
      <c r="K37" s="758"/>
      <c r="L37" s="758">
        <v>10</v>
      </c>
      <c r="M37" s="758"/>
      <c r="N37" s="771">
        <f t="shared" si="1"/>
        <v>10</v>
      </c>
      <c r="O37" s="446"/>
      <c r="P37" s="446"/>
      <c r="Q37" s="103"/>
      <c r="R37" s="103"/>
      <c r="S37" s="103"/>
    </row>
    <row r="38" spans="1:19" ht="29.1" customHeight="1" x14ac:dyDescent="0.2">
      <c r="A38" s="68" t="str">
        <f t="shared" si="0"/>
        <v>CLF037 / 2296</v>
      </c>
      <c r="B38" s="78" t="s">
        <v>2635</v>
      </c>
      <c r="C38" s="78" t="s">
        <v>7435</v>
      </c>
      <c r="D38" s="448" t="s">
        <v>2632</v>
      </c>
      <c r="E38" s="369" t="str">
        <f>VLOOKUP(D:D,'Master Table'!C:D,2,FALSE)</f>
        <v>2296</v>
      </c>
      <c r="F38" s="544" t="s">
        <v>2632</v>
      </c>
      <c r="G38" s="544" t="s">
        <v>2633</v>
      </c>
      <c r="H38" s="544" t="s">
        <v>2634</v>
      </c>
      <c r="I38" s="544" t="s">
        <v>2740</v>
      </c>
      <c r="J38" s="544" t="s">
        <v>324</v>
      </c>
      <c r="K38" s="758"/>
      <c r="L38" s="758">
        <v>627</v>
      </c>
      <c r="M38" s="758"/>
      <c r="N38" s="771">
        <f t="shared" si="1"/>
        <v>627</v>
      </c>
      <c r="O38" s="446">
        <f>VLOOKUP(D:D,'Master Table'!C:O,13,FALSE)</f>
        <v>939.64</v>
      </c>
      <c r="P38" s="446">
        <v>939.64</v>
      </c>
      <c r="Q38" s="103">
        <v>913.31</v>
      </c>
      <c r="R38" s="103">
        <v>1128.76</v>
      </c>
      <c r="S38" s="103">
        <v>910.29</v>
      </c>
    </row>
    <row r="39" spans="1:19" ht="29.1" customHeight="1" x14ac:dyDescent="0.2">
      <c r="A39" s="68" t="str">
        <f t="shared" si="0"/>
        <v>CLF038 / 2297</v>
      </c>
      <c r="B39" s="78" t="s">
        <v>2638</v>
      </c>
      <c r="C39" s="78" t="s">
        <v>1588</v>
      </c>
      <c r="D39" s="448" t="s">
        <v>2636</v>
      </c>
      <c r="E39" s="369" t="str">
        <f>VLOOKUP(D:D,'Master Table'!C:D,2,FALSE)</f>
        <v>2297</v>
      </c>
      <c r="F39" s="544" t="s">
        <v>2636</v>
      </c>
      <c r="G39" s="544" t="s">
        <v>2637</v>
      </c>
      <c r="H39" s="544" t="s">
        <v>1588</v>
      </c>
      <c r="I39" s="544" t="s">
        <v>2638</v>
      </c>
      <c r="J39" s="544" t="s">
        <v>324</v>
      </c>
      <c r="K39" s="758">
        <v>299.29000000000002</v>
      </c>
      <c r="L39" s="758">
        <v>1203</v>
      </c>
      <c r="M39" s="758"/>
      <c r="N39" s="771">
        <f t="shared" si="1"/>
        <v>1502.29</v>
      </c>
      <c r="O39" s="446">
        <f>VLOOKUP(D:D,'Master Table'!C:O,13,FALSE)</f>
        <v>2818.23</v>
      </c>
      <c r="P39" s="446">
        <v>2818.23</v>
      </c>
      <c r="Q39" s="103">
        <v>2208.25</v>
      </c>
      <c r="R39" s="103">
        <v>3227.74</v>
      </c>
      <c r="S39" s="103">
        <v>3817.17</v>
      </c>
    </row>
    <row r="40" spans="1:19" ht="29.1" customHeight="1" x14ac:dyDescent="0.2">
      <c r="A40" s="68" t="str">
        <f t="shared" si="0"/>
        <v>CLF039 / 2298</v>
      </c>
      <c r="B40" s="78" t="s">
        <v>2638</v>
      </c>
      <c r="C40" s="78" t="s">
        <v>2642</v>
      </c>
      <c r="D40" s="448" t="s">
        <v>2640</v>
      </c>
      <c r="E40" s="369" t="str">
        <f>VLOOKUP(D:D,'Master Table'!C:D,2,FALSE)</f>
        <v>2298</v>
      </c>
      <c r="F40" s="544" t="s">
        <v>2640</v>
      </c>
      <c r="G40" s="544" t="s">
        <v>2641</v>
      </c>
      <c r="H40" s="544" t="s">
        <v>2642</v>
      </c>
      <c r="I40" s="544" t="s">
        <v>2638</v>
      </c>
      <c r="J40" s="544" t="s">
        <v>324</v>
      </c>
      <c r="K40" s="758">
        <v>2228.25</v>
      </c>
      <c r="L40" s="758">
        <v>1236</v>
      </c>
      <c r="M40" s="758"/>
      <c r="N40" s="771">
        <f t="shared" si="1"/>
        <v>3464.25</v>
      </c>
      <c r="O40" s="446">
        <f>VLOOKUP(D:D,'Master Table'!C:O,13,FALSE)</f>
        <v>4463.38</v>
      </c>
      <c r="P40" s="446">
        <v>4463.38</v>
      </c>
      <c r="Q40" s="103">
        <v>4972.45</v>
      </c>
      <c r="R40" s="103">
        <v>4097.43</v>
      </c>
      <c r="S40" s="103">
        <v>4142.79</v>
      </c>
    </row>
    <row r="41" spans="1:19" ht="29.1" customHeight="1" x14ac:dyDescent="0.2">
      <c r="A41" s="68" t="str">
        <f t="shared" si="0"/>
        <v>CLF040 / 2299</v>
      </c>
      <c r="B41" s="78" t="s">
        <v>2638</v>
      </c>
      <c r="C41" s="78" t="s">
        <v>453</v>
      </c>
      <c r="D41" s="448" t="s">
        <v>2643</v>
      </c>
      <c r="E41" s="369" t="str">
        <f>VLOOKUP(D:D,'Master Table'!C:D,2,FALSE)</f>
        <v>2299</v>
      </c>
      <c r="F41" s="544" t="s">
        <v>2643</v>
      </c>
      <c r="G41" s="544" t="s">
        <v>2644</v>
      </c>
      <c r="H41" s="544" t="s">
        <v>453</v>
      </c>
      <c r="I41" s="544" t="s">
        <v>2638</v>
      </c>
      <c r="J41" s="544" t="s">
        <v>324</v>
      </c>
      <c r="K41" s="758">
        <v>120</v>
      </c>
      <c r="L41" s="758">
        <v>265</v>
      </c>
      <c r="M41" s="758"/>
      <c r="N41" s="771">
        <f t="shared" si="1"/>
        <v>385</v>
      </c>
      <c r="O41" s="446">
        <f>VLOOKUP(D:D,'Master Table'!C:O,13,FALSE)</f>
        <v>581.09</v>
      </c>
      <c r="P41" s="446">
        <v>581.09</v>
      </c>
      <c r="Q41" s="103">
        <v>552.04</v>
      </c>
      <c r="R41" s="103">
        <v>819.87</v>
      </c>
      <c r="S41" s="103">
        <v>801.64</v>
      </c>
    </row>
    <row r="42" spans="1:19" ht="29.1" customHeight="1" x14ac:dyDescent="0.2">
      <c r="A42" s="68" t="str">
        <f t="shared" si="0"/>
        <v>CLF041 / 2300</v>
      </c>
      <c r="B42" s="78" t="s">
        <v>2648</v>
      </c>
      <c r="C42" s="78" t="s">
        <v>1284</v>
      </c>
      <c r="D42" s="448" t="s">
        <v>2646</v>
      </c>
      <c r="E42" s="369" t="str">
        <f>VLOOKUP(D:D,'Master Table'!C:D,2,FALSE)</f>
        <v>2300</v>
      </c>
      <c r="F42" s="544" t="s">
        <v>2646</v>
      </c>
      <c r="G42" s="544" t="s">
        <v>2647</v>
      </c>
      <c r="H42" s="544" t="s">
        <v>428</v>
      </c>
      <c r="I42" s="544" t="s">
        <v>2648</v>
      </c>
      <c r="J42" s="544" t="s">
        <v>324</v>
      </c>
      <c r="K42" s="758"/>
      <c r="L42" s="758"/>
      <c r="M42" s="758"/>
      <c r="N42" s="771">
        <f t="shared" si="1"/>
        <v>0</v>
      </c>
      <c r="O42" s="446">
        <f>VLOOKUP(D:D,'Master Table'!C:O,13,FALSE)</f>
        <v>40.730000000000004</v>
      </c>
      <c r="P42" s="446">
        <v>40.730000000000004</v>
      </c>
      <c r="Q42" s="103">
        <v>367.98</v>
      </c>
      <c r="R42" s="103">
        <v>834.06</v>
      </c>
      <c r="S42" s="103">
        <v>866.31000000000006</v>
      </c>
    </row>
    <row r="43" spans="1:19" ht="29.1" customHeight="1" x14ac:dyDescent="0.2">
      <c r="A43" s="68" t="str">
        <f t="shared" si="0"/>
        <v>CLF043 / 2302</v>
      </c>
      <c r="B43" s="78" t="s">
        <v>2656</v>
      </c>
      <c r="C43" s="78" t="s">
        <v>2655</v>
      </c>
      <c r="D43" s="448" t="s">
        <v>2653</v>
      </c>
      <c r="E43" s="369" t="str">
        <f>VLOOKUP(D:D,'Master Table'!C:D,2,FALSE)</f>
        <v>2302</v>
      </c>
      <c r="F43" s="544" t="s">
        <v>2653</v>
      </c>
      <c r="G43" s="544" t="s">
        <v>2654</v>
      </c>
      <c r="H43" s="544" t="s">
        <v>2655</v>
      </c>
      <c r="I43" s="544" t="s">
        <v>2656</v>
      </c>
      <c r="J43" s="544" t="s">
        <v>324</v>
      </c>
      <c r="K43" s="758">
        <v>1081.1199999999999</v>
      </c>
      <c r="L43" s="758">
        <v>661.45</v>
      </c>
      <c r="M43" s="758"/>
      <c r="N43" s="771">
        <f t="shared" si="1"/>
        <v>1742.57</v>
      </c>
      <c r="O43" s="446">
        <f>VLOOKUP(D:D,'Master Table'!C:O,13,FALSE)</f>
        <v>2940.6099999999997</v>
      </c>
      <c r="P43" s="446">
        <v>2940.6099999999997</v>
      </c>
      <c r="Q43" s="103">
        <v>3911.59</v>
      </c>
      <c r="R43" s="103">
        <v>2994.58</v>
      </c>
      <c r="S43" s="103">
        <v>3179.07</v>
      </c>
    </row>
    <row r="44" spans="1:19" ht="29.1" customHeight="1" x14ac:dyDescent="0.2">
      <c r="A44" s="68" t="str">
        <f t="shared" si="0"/>
        <v>CLF044 / 2303</v>
      </c>
      <c r="B44" s="78" t="s">
        <v>2660</v>
      </c>
      <c r="C44" s="78" t="s">
        <v>7228</v>
      </c>
      <c r="D44" s="448" t="s">
        <v>2657</v>
      </c>
      <c r="E44" s="369" t="str">
        <f>VLOOKUP(D:D,'Master Table'!C:D,2,FALSE)</f>
        <v>2303</v>
      </c>
      <c r="F44" s="544" t="s">
        <v>2657</v>
      </c>
      <c r="G44" s="544" t="s">
        <v>2658</v>
      </c>
      <c r="H44" s="544" t="s">
        <v>2659</v>
      </c>
      <c r="I44" s="544" t="s">
        <v>2660</v>
      </c>
      <c r="J44" s="544" t="s">
        <v>324</v>
      </c>
      <c r="K44" s="758">
        <v>151.81</v>
      </c>
      <c r="L44" s="758">
        <v>220</v>
      </c>
      <c r="M44" s="758"/>
      <c r="N44" s="771">
        <f t="shared" si="1"/>
        <v>371.81</v>
      </c>
      <c r="O44" s="446">
        <f>VLOOKUP(D:D,'Master Table'!C:O,13,FALSE)</f>
        <v>1109.7</v>
      </c>
      <c r="P44" s="446">
        <v>1109.7</v>
      </c>
      <c r="Q44" s="103">
        <v>402.06</v>
      </c>
      <c r="R44" s="103">
        <v>467.16</v>
      </c>
      <c r="S44" s="103">
        <v>586.20000000000005</v>
      </c>
    </row>
    <row r="45" spans="1:19" ht="29.1" customHeight="1" x14ac:dyDescent="0.2">
      <c r="A45" s="68" t="str">
        <f t="shared" si="0"/>
        <v>CLF045 / 2304</v>
      </c>
      <c r="B45" s="78" t="s">
        <v>7436</v>
      </c>
      <c r="C45" s="78" t="s">
        <v>7437</v>
      </c>
      <c r="D45" s="448" t="s">
        <v>2661</v>
      </c>
      <c r="E45" s="369" t="str">
        <f>VLOOKUP(D:D,'Master Table'!C:D,2,FALSE)</f>
        <v>2304</v>
      </c>
      <c r="F45" s="544" t="s">
        <v>2661</v>
      </c>
      <c r="G45" s="544" t="s">
        <v>2662</v>
      </c>
      <c r="H45" s="544" t="s">
        <v>2663</v>
      </c>
      <c r="I45" s="544" t="s">
        <v>2664</v>
      </c>
      <c r="J45" s="544" t="s">
        <v>324</v>
      </c>
      <c r="K45" s="758">
        <v>332.18</v>
      </c>
      <c r="L45" s="758">
        <v>180</v>
      </c>
      <c r="M45" s="758"/>
      <c r="N45" s="771">
        <f t="shared" si="1"/>
        <v>512.18000000000006</v>
      </c>
      <c r="O45" s="446">
        <f>VLOOKUP(D:D,'Master Table'!C:O,13,FALSE)</f>
        <v>90</v>
      </c>
      <c r="P45" s="446">
        <v>90</v>
      </c>
      <c r="Q45" s="103">
        <v>80</v>
      </c>
      <c r="R45" s="103">
        <v>85</v>
      </c>
      <c r="S45" s="103">
        <v>45</v>
      </c>
    </row>
    <row r="46" spans="1:19" ht="29.1" customHeight="1" x14ac:dyDescent="0.2">
      <c r="A46" s="68" t="str">
        <f t="shared" si="0"/>
        <v>CLF046 / 2305</v>
      </c>
      <c r="B46" s="78" t="s">
        <v>2671</v>
      </c>
      <c r="C46" s="78" t="s">
        <v>7438</v>
      </c>
      <c r="D46" s="448" t="s">
        <v>2669</v>
      </c>
      <c r="E46" s="369" t="str">
        <f>VLOOKUP(D:D,'Master Table'!C:D,2,FALSE)</f>
        <v>2305</v>
      </c>
      <c r="F46" s="544" t="s">
        <v>2669</v>
      </c>
      <c r="G46" s="544" t="s">
        <v>2670</v>
      </c>
      <c r="H46" s="544" t="s">
        <v>1032</v>
      </c>
      <c r="I46" s="544" t="s">
        <v>2671</v>
      </c>
      <c r="J46" s="544" t="s">
        <v>324</v>
      </c>
      <c r="K46" s="758"/>
      <c r="L46" s="758">
        <v>345</v>
      </c>
      <c r="M46" s="758"/>
      <c r="N46" s="771">
        <f t="shared" si="1"/>
        <v>345</v>
      </c>
      <c r="O46" s="446">
        <f>VLOOKUP(D:D,'Master Table'!C:O,13,FALSE)</f>
        <v>335</v>
      </c>
      <c r="P46" s="446">
        <v>335</v>
      </c>
      <c r="Q46" s="103">
        <v>1061.31</v>
      </c>
      <c r="R46" s="103">
        <v>846.98</v>
      </c>
      <c r="S46" s="103">
        <v>892.54</v>
      </c>
    </row>
    <row r="47" spans="1:19" ht="29.1" customHeight="1" x14ac:dyDescent="0.2">
      <c r="A47" s="68" t="str">
        <f t="shared" si="0"/>
        <v>CLF047 / 2306</v>
      </c>
      <c r="B47" s="78" t="s">
        <v>7439</v>
      </c>
      <c r="C47" s="78" t="s">
        <v>7440</v>
      </c>
      <c r="D47" s="448" t="s">
        <v>2672</v>
      </c>
      <c r="E47" s="369" t="str">
        <f>VLOOKUP(D:D,'Master Table'!C:D,2,FALSE)</f>
        <v>2306</v>
      </c>
      <c r="F47" s="544" t="s">
        <v>2672</v>
      </c>
      <c r="G47" s="544" t="s">
        <v>2673</v>
      </c>
      <c r="H47" s="544" t="s">
        <v>2674</v>
      </c>
      <c r="I47" s="544" t="s">
        <v>2675</v>
      </c>
      <c r="J47" s="544" t="s">
        <v>351</v>
      </c>
      <c r="K47" s="758">
        <v>311.05</v>
      </c>
      <c r="L47" s="758">
        <v>120</v>
      </c>
      <c r="M47" s="758"/>
      <c r="N47" s="771">
        <f t="shared" si="1"/>
        <v>431.05</v>
      </c>
      <c r="O47" s="446">
        <f>VLOOKUP(D:D,'Master Table'!C:O,13,FALSE)</f>
        <v>368.73</v>
      </c>
      <c r="P47" s="446">
        <v>368.73</v>
      </c>
      <c r="Q47" s="103">
        <v>441.76</v>
      </c>
      <c r="R47" s="103">
        <v>570</v>
      </c>
      <c r="S47" s="103">
        <v>644.52</v>
      </c>
    </row>
    <row r="48" spans="1:19" ht="29.1" customHeight="1" x14ac:dyDescent="0.2">
      <c r="A48" s="68" t="str">
        <f t="shared" si="0"/>
        <v>CLF048 / 2307</v>
      </c>
      <c r="B48" s="78" t="s">
        <v>2678</v>
      </c>
      <c r="C48" s="78" t="s">
        <v>7441</v>
      </c>
      <c r="D48" s="448" t="s">
        <v>2676</v>
      </c>
      <c r="E48" s="369" t="str">
        <f>VLOOKUP(D:D,'Master Table'!C:D,2,FALSE)</f>
        <v>2307</v>
      </c>
      <c r="F48" s="544" t="s">
        <v>2676</v>
      </c>
      <c r="G48" s="544" t="s">
        <v>2677</v>
      </c>
      <c r="H48" s="544" t="s">
        <v>276</v>
      </c>
      <c r="I48" s="544" t="s">
        <v>2678</v>
      </c>
      <c r="J48" s="544" t="s">
        <v>324</v>
      </c>
      <c r="K48" s="758">
        <v>554.12</v>
      </c>
      <c r="L48" s="758">
        <v>237</v>
      </c>
      <c r="M48" s="758"/>
      <c r="N48" s="771">
        <f t="shared" si="1"/>
        <v>791.12</v>
      </c>
      <c r="O48" s="446">
        <f>VLOOKUP(D:D,'Master Table'!C:O,13,FALSE)</f>
        <v>1463.68</v>
      </c>
      <c r="P48" s="446">
        <v>1463.68</v>
      </c>
      <c r="Q48" s="103">
        <v>1614.01</v>
      </c>
      <c r="R48" s="103">
        <v>1780.58</v>
      </c>
      <c r="S48" s="103">
        <v>1793.41</v>
      </c>
    </row>
    <row r="49" spans="1:19" ht="29.1" customHeight="1" x14ac:dyDescent="0.2">
      <c r="A49" s="68" t="str">
        <f t="shared" si="0"/>
        <v>CLF049 / 2308</v>
      </c>
      <c r="B49" s="78" t="s">
        <v>2682</v>
      </c>
      <c r="C49" s="78" t="s">
        <v>2681</v>
      </c>
      <c r="D49" s="448" t="s">
        <v>2679</v>
      </c>
      <c r="E49" s="369" t="str">
        <f>VLOOKUP(D:D,'Master Table'!C:D,2,FALSE)</f>
        <v>2308</v>
      </c>
      <c r="F49" s="544" t="s">
        <v>2679</v>
      </c>
      <c r="G49" s="544" t="s">
        <v>2680</v>
      </c>
      <c r="H49" s="544" t="s">
        <v>2681</v>
      </c>
      <c r="I49" s="544" t="s">
        <v>2682</v>
      </c>
      <c r="J49" s="544" t="s">
        <v>324</v>
      </c>
      <c r="K49" s="758">
        <v>163.56</v>
      </c>
      <c r="L49" s="758">
        <v>338</v>
      </c>
      <c r="M49" s="758"/>
      <c r="N49" s="771">
        <f t="shared" si="1"/>
        <v>501.56</v>
      </c>
      <c r="O49" s="446">
        <f>VLOOKUP(D:D,'Master Table'!C:O,13,FALSE)</f>
        <v>822.8</v>
      </c>
      <c r="P49" s="446">
        <v>822.8</v>
      </c>
      <c r="Q49" s="103">
        <v>564.96</v>
      </c>
      <c r="R49" s="103">
        <v>933.4</v>
      </c>
      <c r="S49" s="103">
        <v>921.77</v>
      </c>
    </row>
    <row r="50" spans="1:19" ht="29.1" customHeight="1" x14ac:dyDescent="0.2">
      <c r="A50" s="78" t="s">
        <v>11016</v>
      </c>
      <c r="B50" s="78" t="s">
        <v>2686</v>
      </c>
      <c r="C50" s="78" t="s">
        <v>2685</v>
      </c>
      <c r="D50" s="766" t="s">
        <v>2683</v>
      </c>
      <c r="E50" s="766" t="s">
        <v>2684</v>
      </c>
      <c r="F50" s="544" t="s">
        <v>2683</v>
      </c>
      <c r="G50" s="544" t="s">
        <v>2684</v>
      </c>
      <c r="H50" s="544" t="s">
        <v>2685</v>
      </c>
      <c r="I50" s="544" t="s">
        <v>2686</v>
      </c>
      <c r="J50" s="544" t="s">
        <v>324</v>
      </c>
      <c r="K50" s="758"/>
      <c r="L50" s="758">
        <v>81.81</v>
      </c>
      <c r="M50" s="758"/>
      <c r="N50" s="771">
        <f t="shared" si="1"/>
        <v>81.81</v>
      </c>
      <c r="O50" s="446"/>
      <c r="P50" s="446"/>
      <c r="Q50" s="103"/>
      <c r="R50" s="103"/>
      <c r="S50" s="103"/>
    </row>
    <row r="51" spans="1:19" ht="29.1" customHeight="1" x14ac:dyDescent="0.2">
      <c r="A51" s="68" t="str">
        <f t="shared" si="0"/>
        <v>CLF050 / 2309</v>
      </c>
      <c r="B51" s="78" t="s">
        <v>2689</v>
      </c>
      <c r="C51" s="78" t="s">
        <v>938</v>
      </c>
      <c r="D51" s="448" t="s">
        <v>2687</v>
      </c>
      <c r="E51" s="369" t="str">
        <f>VLOOKUP(D:D,'Master Table'!C:D,2,FALSE)</f>
        <v>2309</v>
      </c>
      <c r="F51" s="544" t="s">
        <v>2687</v>
      </c>
      <c r="G51" s="544" t="s">
        <v>2688</v>
      </c>
      <c r="H51" s="544" t="s">
        <v>938</v>
      </c>
      <c r="I51" s="544" t="s">
        <v>2689</v>
      </c>
      <c r="J51" s="544" t="s">
        <v>351</v>
      </c>
      <c r="K51" s="758"/>
      <c r="L51" s="758">
        <v>130</v>
      </c>
      <c r="M51" s="758"/>
      <c r="N51" s="771">
        <f t="shared" si="1"/>
        <v>130</v>
      </c>
      <c r="O51" s="446">
        <f>VLOOKUP(D:D,'Master Table'!C:O,13,FALSE)</f>
        <v>569.35</v>
      </c>
      <c r="P51" s="446">
        <v>569.35</v>
      </c>
      <c r="Q51" s="103">
        <v>473.36</v>
      </c>
      <c r="R51" s="103">
        <v>685.35</v>
      </c>
      <c r="S51" s="103">
        <v>635.56000000000006</v>
      </c>
    </row>
    <row r="52" spans="1:19" ht="29.1" customHeight="1" x14ac:dyDescent="0.2">
      <c r="A52" s="68" t="str">
        <f t="shared" si="0"/>
        <v>CLF050P / 0444438</v>
      </c>
      <c r="B52" s="78" t="s">
        <v>7442</v>
      </c>
      <c r="C52" s="78" t="s">
        <v>231</v>
      </c>
      <c r="D52" s="448" t="s">
        <v>2690</v>
      </c>
      <c r="E52" s="369" t="str">
        <f>VLOOKUP(D:D,'Master Table'!C:D,2,FALSE)</f>
        <v>0444438</v>
      </c>
      <c r="F52" s="544" t="s">
        <v>2690</v>
      </c>
      <c r="G52" s="544" t="s">
        <v>2691</v>
      </c>
      <c r="H52" s="544" t="s">
        <v>11011</v>
      </c>
      <c r="I52" s="544" t="s">
        <v>2693</v>
      </c>
      <c r="J52" s="544" t="s">
        <v>351</v>
      </c>
      <c r="K52" s="758"/>
      <c r="L52" s="758"/>
      <c r="M52" s="758"/>
      <c r="N52" s="771">
        <f t="shared" si="1"/>
        <v>0</v>
      </c>
      <c r="O52" s="446">
        <f>VLOOKUP(D:D,'Master Table'!C:O,13,FALSE)</f>
        <v>0</v>
      </c>
      <c r="P52" s="446">
        <v>0</v>
      </c>
      <c r="Q52" s="103">
        <v>120</v>
      </c>
      <c r="R52" s="103">
        <v>60</v>
      </c>
      <c r="S52" s="103">
        <v>60</v>
      </c>
    </row>
    <row r="53" spans="1:19" ht="29.1" customHeight="1" x14ac:dyDescent="0.2">
      <c r="A53" s="68" t="str">
        <f t="shared" si="0"/>
        <v>CLF051 / 2310</v>
      </c>
      <c r="B53" s="78" t="s">
        <v>2699</v>
      </c>
      <c r="C53" s="78" t="s">
        <v>3516</v>
      </c>
      <c r="D53" s="448" t="s">
        <v>2697</v>
      </c>
      <c r="E53" s="369" t="str">
        <f>VLOOKUP(D:D,'Master Table'!C:D,2,FALSE)</f>
        <v>2310</v>
      </c>
      <c r="F53" s="544" t="s">
        <v>2697</v>
      </c>
      <c r="G53" s="544" t="s">
        <v>2698</v>
      </c>
      <c r="H53" s="544" t="s">
        <v>124</v>
      </c>
      <c r="I53" s="544" t="s">
        <v>2699</v>
      </c>
      <c r="J53" s="544" t="s">
        <v>324</v>
      </c>
      <c r="K53" s="758">
        <v>87.21</v>
      </c>
      <c r="L53" s="758">
        <v>170</v>
      </c>
      <c r="M53" s="758"/>
      <c r="N53" s="771">
        <f t="shared" si="1"/>
        <v>257.20999999999998</v>
      </c>
      <c r="O53" s="446">
        <f>VLOOKUP(D:D,'Master Table'!C:O,13,FALSE)</f>
        <v>664.26</v>
      </c>
      <c r="P53" s="446">
        <v>664.26</v>
      </c>
      <c r="Q53" s="103">
        <v>500.81</v>
      </c>
      <c r="R53" s="103">
        <v>774.76</v>
      </c>
      <c r="S53" s="103">
        <v>974.07</v>
      </c>
    </row>
    <row r="54" spans="1:19" ht="29.1" customHeight="1" x14ac:dyDescent="0.2">
      <c r="A54" s="68" t="str">
        <f t="shared" si="0"/>
        <v>CLF052 / 2311</v>
      </c>
      <c r="B54" s="78" t="s">
        <v>2704</v>
      </c>
      <c r="C54" s="78" t="s">
        <v>2703</v>
      </c>
      <c r="D54" s="448" t="s">
        <v>2701</v>
      </c>
      <c r="E54" s="369" t="str">
        <f>VLOOKUP(D:D,'Master Table'!C:D,2,FALSE)</f>
        <v>2311</v>
      </c>
      <c r="F54" s="544" t="s">
        <v>2701</v>
      </c>
      <c r="G54" s="544" t="s">
        <v>2702</v>
      </c>
      <c r="H54" s="544" t="s">
        <v>2703</v>
      </c>
      <c r="I54" s="544" t="s">
        <v>2704</v>
      </c>
      <c r="J54" s="544" t="s">
        <v>324</v>
      </c>
      <c r="K54" s="758">
        <v>153.18</v>
      </c>
      <c r="L54" s="758">
        <v>150</v>
      </c>
      <c r="M54" s="758"/>
      <c r="N54" s="771">
        <f t="shared" si="1"/>
        <v>303.18</v>
      </c>
      <c r="O54" s="446">
        <f>VLOOKUP(D:D,'Master Table'!C:O,13,FALSE)</f>
        <v>557.74</v>
      </c>
      <c r="P54" s="446">
        <v>557.74</v>
      </c>
      <c r="Q54" s="103">
        <v>1835.17</v>
      </c>
      <c r="R54" s="103">
        <v>1537.84</v>
      </c>
      <c r="S54" s="103">
        <v>2205.27</v>
      </c>
    </row>
    <row r="55" spans="1:19" ht="29.1" customHeight="1" x14ac:dyDescent="0.2">
      <c r="A55" s="68" t="str">
        <f t="shared" si="0"/>
        <v>CLF053 / 2312</v>
      </c>
      <c r="B55" s="890" t="s">
        <v>2506</v>
      </c>
      <c r="C55" s="526" t="s">
        <v>8399</v>
      </c>
      <c r="D55" s="448" t="s">
        <v>2708</v>
      </c>
      <c r="E55" s="369" t="str">
        <f>VLOOKUP(D:D,'Master Table'!C:D,2,FALSE)</f>
        <v>2312</v>
      </c>
      <c r="F55" s="544" t="s">
        <v>2708</v>
      </c>
      <c r="G55" s="544" t="s">
        <v>2709</v>
      </c>
      <c r="H55" s="544" t="s">
        <v>1546</v>
      </c>
      <c r="I55" s="544" t="s">
        <v>2506</v>
      </c>
      <c r="J55" s="544" t="s">
        <v>324</v>
      </c>
      <c r="K55" s="758">
        <v>275</v>
      </c>
      <c r="L55" s="758">
        <v>572</v>
      </c>
      <c r="M55" s="758"/>
      <c r="N55" s="887">
        <f t="shared" si="1"/>
        <v>847</v>
      </c>
      <c r="O55" s="446">
        <f>VLOOKUP(D:D,'Master Table'!C:O,13,FALSE)</f>
        <v>1689</v>
      </c>
      <c r="P55" s="856">
        <v>1689</v>
      </c>
      <c r="Q55" s="856">
        <v>1104</v>
      </c>
      <c r="R55" s="103">
        <v>1439</v>
      </c>
      <c r="S55" s="103">
        <v>1352</v>
      </c>
    </row>
    <row r="56" spans="1:19" ht="29.1" customHeight="1" x14ac:dyDescent="0.2">
      <c r="A56" s="68" t="str">
        <f t="shared" ref="A56" si="2">D56&amp;" / "&amp;E56</f>
        <v>CLF023 / 0444446</v>
      </c>
      <c r="B56" s="891"/>
      <c r="C56" s="254" t="s">
        <v>8400</v>
      </c>
      <c r="D56" s="448" t="s">
        <v>2576</v>
      </c>
      <c r="E56" s="369" t="str">
        <f>VLOOKUP(D:D,'Master Table'!C:D,2,FALSE)</f>
        <v>0444446</v>
      </c>
      <c r="F56" s="544"/>
      <c r="G56" s="544"/>
      <c r="H56" s="544"/>
      <c r="I56" s="544"/>
      <c r="J56" s="544"/>
      <c r="K56" s="758"/>
      <c r="L56" s="758"/>
      <c r="M56" s="758"/>
      <c r="N56" s="888"/>
      <c r="O56" s="446">
        <f>VLOOKUP(D:D,'Master Table'!C:O,13,FALSE)</f>
        <v>0</v>
      </c>
      <c r="P56" s="857"/>
      <c r="Q56" s="857"/>
      <c r="R56" s="103"/>
      <c r="S56" s="103"/>
    </row>
    <row r="57" spans="1:19" ht="29.1" customHeight="1" x14ac:dyDescent="0.2">
      <c r="A57" s="68" t="str">
        <f t="shared" si="0"/>
        <v>CLF055 / 2314</v>
      </c>
      <c r="B57" s="78" t="s">
        <v>2717</v>
      </c>
      <c r="C57" s="78" t="s">
        <v>2716</v>
      </c>
      <c r="D57" s="448" t="s">
        <v>2714</v>
      </c>
      <c r="E57" s="369" t="str">
        <f>VLOOKUP(D:D,'Master Table'!C:D,2,FALSE)</f>
        <v>2314</v>
      </c>
      <c r="F57" s="544" t="s">
        <v>2714</v>
      </c>
      <c r="G57" s="544" t="s">
        <v>2715</v>
      </c>
      <c r="H57" s="544" t="s">
        <v>11012</v>
      </c>
      <c r="I57" s="544" t="s">
        <v>2717</v>
      </c>
      <c r="J57" s="544" t="s">
        <v>324</v>
      </c>
      <c r="K57" s="758"/>
      <c r="L57" s="758">
        <v>330.46</v>
      </c>
      <c r="M57" s="758"/>
      <c r="N57" s="771">
        <f t="shared" si="1"/>
        <v>330.46</v>
      </c>
      <c r="O57" s="446">
        <f>VLOOKUP(D:D,'Master Table'!C:O,13,FALSE)</f>
        <v>280</v>
      </c>
      <c r="P57" s="446">
        <v>280</v>
      </c>
      <c r="Q57" s="103">
        <v>220</v>
      </c>
      <c r="R57" s="103">
        <v>220</v>
      </c>
      <c r="S57" s="103">
        <v>170</v>
      </c>
    </row>
    <row r="58" spans="1:19" ht="29.1" customHeight="1" x14ac:dyDescent="0.2">
      <c r="A58" s="68" t="str">
        <f t="shared" si="0"/>
        <v>CLF056 / 2315</v>
      </c>
      <c r="B58" s="78" t="s">
        <v>2721</v>
      </c>
      <c r="C58" s="78" t="s">
        <v>7445</v>
      </c>
      <c r="D58" s="448" t="s">
        <v>2718</v>
      </c>
      <c r="E58" s="369" t="str">
        <f>VLOOKUP(D:D,'Master Table'!C:D,2,FALSE)</f>
        <v>2315</v>
      </c>
      <c r="F58" s="544" t="s">
        <v>2718</v>
      </c>
      <c r="G58" s="544" t="s">
        <v>2719</v>
      </c>
      <c r="H58" s="544" t="s">
        <v>2720</v>
      </c>
      <c r="I58" s="544" t="s">
        <v>2721</v>
      </c>
      <c r="J58" s="544" t="s">
        <v>324</v>
      </c>
      <c r="K58" s="758">
        <v>516.04</v>
      </c>
      <c r="L58" s="758">
        <v>90</v>
      </c>
      <c r="M58" s="758"/>
      <c r="N58" s="771">
        <f t="shared" ref="N58:N105" si="3">K58+L58+M58</f>
        <v>606.04</v>
      </c>
      <c r="O58" s="446">
        <f>VLOOKUP(D:D,'Master Table'!C:O,13,FALSE)</f>
        <v>739.23</v>
      </c>
      <c r="P58" s="446">
        <v>739.23</v>
      </c>
      <c r="Q58" s="103">
        <v>624.55999999999995</v>
      </c>
      <c r="R58" s="103">
        <v>769.28</v>
      </c>
      <c r="S58" s="103">
        <v>919.14</v>
      </c>
    </row>
    <row r="59" spans="1:19" ht="29.1" customHeight="1" x14ac:dyDescent="0.2">
      <c r="A59" s="68" t="str">
        <f t="shared" si="0"/>
        <v>CLF057 / 2316</v>
      </c>
      <c r="B59" s="78" t="s">
        <v>2725</v>
      </c>
      <c r="C59" s="78" t="s">
        <v>3295</v>
      </c>
      <c r="D59" s="448" t="s">
        <v>2723</v>
      </c>
      <c r="E59" s="369" t="str">
        <f>VLOOKUP(D:D,'Master Table'!C:D,2,FALSE)</f>
        <v>2316</v>
      </c>
      <c r="F59" s="544" t="s">
        <v>2723</v>
      </c>
      <c r="G59" s="544" t="s">
        <v>2724</v>
      </c>
      <c r="H59" s="544" t="s">
        <v>78</v>
      </c>
      <c r="I59" s="544" t="s">
        <v>2725</v>
      </c>
      <c r="J59" s="544" t="s">
        <v>324</v>
      </c>
      <c r="K59" s="758">
        <v>810</v>
      </c>
      <c r="L59" s="758">
        <v>55</v>
      </c>
      <c r="M59" s="758"/>
      <c r="N59" s="771">
        <f t="shared" si="3"/>
        <v>865</v>
      </c>
      <c r="O59" s="446">
        <f>VLOOKUP(D:D,'Master Table'!C:O,13,FALSE)</f>
        <v>1280.54</v>
      </c>
      <c r="P59" s="446">
        <v>1280.54</v>
      </c>
      <c r="Q59" s="103">
        <v>1539.33</v>
      </c>
      <c r="R59" s="103">
        <v>809.33</v>
      </c>
      <c r="S59" s="103">
        <v>928.36</v>
      </c>
    </row>
    <row r="60" spans="1:19" ht="29.1" customHeight="1" x14ac:dyDescent="0.2">
      <c r="A60" s="68" t="str">
        <f t="shared" si="0"/>
        <v>CLF058 / 2317</v>
      </c>
      <c r="B60" s="78" t="s">
        <v>2732</v>
      </c>
      <c r="C60" s="78" t="s">
        <v>7228</v>
      </c>
      <c r="D60" s="448" t="s">
        <v>2729</v>
      </c>
      <c r="E60" s="369" t="str">
        <f>VLOOKUP(D:D,'Master Table'!C:D,2,FALSE)</f>
        <v>2317</v>
      </c>
      <c r="F60" s="544" t="s">
        <v>2729</v>
      </c>
      <c r="G60" s="544" t="s">
        <v>2730</v>
      </c>
      <c r="H60" s="544" t="s">
        <v>2731</v>
      </c>
      <c r="I60" s="544" t="s">
        <v>2732</v>
      </c>
      <c r="J60" s="544" t="s">
        <v>324</v>
      </c>
      <c r="K60" s="758">
        <v>49.73</v>
      </c>
      <c r="L60" s="758">
        <v>485</v>
      </c>
      <c r="M60" s="758"/>
      <c r="N60" s="771">
        <f t="shared" si="3"/>
        <v>534.73</v>
      </c>
      <c r="O60" s="446">
        <f>VLOOKUP(D:D,'Master Table'!C:O,13,FALSE)</f>
        <v>518.26</v>
      </c>
      <c r="P60" s="446">
        <v>518.26</v>
      </c>
      <c r="Q60" s="103">
        <v>786.84</v>
      </c>
      <c r="R60" s="103">
        <v>1003.39</v>
      </c>
      <c r="S60" s="103">
        <v>437.96</v>
      </c>
    </row>
    <row r="61" spans="1:19" ht="29.1" customHeight="1" x14ac:dyDescent="0.2">
      <c r="A61" s="68" t="str">
        <f t="shared" si="0"/>
        <v>CLF059 / 2318</v>
      </c>
      <c r="B61" s="78" t="s">
        <v>2740</v>
      </c>
      <c r="C61" s="78" t="s">
        <v>2739</v>
      </c>
      <c r="D61" s="448" t="s">
        <v>2737</v>
      </c>
      <c r="E61" s="369" t="str">
        <f>VLOOKUP(D:D,'Master Table'!C:D,2,FALSE)</f>
        <v>2318</v>
      </c>
      <c r="F61" s="544" t="s">
        <v>2737</v>
      </c>
      <c r="G61" s="544" t="s">
        <v>2738</v>
      </c>
      <c r="H61" s="544" t="s">
        <v>2739</v>
      </c>
      <c r="I61" s="544" t="s">
        <v>2740</v>
      </c>
      <c r="J61" s="544" t="s">
        <v>324</v>
      </c>
      <c r="K61" s="758"/>
      <c r="L61" s="758">
        <v>374</v>
      </c>
      <c r="M61" s="758"/>
      <c r="N61" s="771">
        <f t="shared" si="3"/>
        <v>374</v>
      </c>
      <c r="O61" s="446">
        <f>VLOOKUP(D:D,'Master Table'!C:O,13,FALSE)</f>
        <v>805.19</v>
      </c>
      <c r="P61" s="446">
        <v>805.19</v>
      </c>
      <c r="Q61" s="103">
        <v>366.46000000000004</v>
      </c>
      <c r="R61" s="103">
        <v>464.57</v>
      </c>
      <c r="S61" s="103">
        <v>664.81</v>
      </c>
    </row>
    <row r="62" spans="1:19" ht="29.1" customHeight="1" x14ac:dyDescent="0.2">
      <c r="A62" s="68" t="str">
        <f t="shared" si="0"/>
        <v>CLF060 / 2319</v>
      </c>
      <c r="B62" s="78" t="s">
        <v>2743</v>
      </c>
      <c r="C62" s="78" t="s">
        <v>1065</v>
      </c>
      <c r="D62" s="448" t="s">
        <v>2741</v>
      </c>
      <c r="E62" s="369" t="str">
        <f>VLOOKUP(D:D,'Master Table'!C:D,2,FALSE)</f>
        <v>2319</v>
      </c>
      <c r="F62" s="544" t="s">
        <v>2741</v>
      </c>
      <c r="G62" s="544" t="s">
        <v>2742</v>
      </c>
      <c r="H62" s="544" t="s">
        <v>1065</v>
      </c>
      <c r="I62" s="544" t="s">
        <v>2743</v>
      </c>
      <c r="J62" s="544" t="s">
        <v>324</v>
      </c>
      <c r="K62" s="758">
        <v>567.01</v>
      </c>
      <c r="L62" s="758">
        <v>692</v>
      </c>
      <c r="M62" s="758"/>
      <c r="N62" s="771">
        <f t="shared" si="3"/>
        <v>1259.01</v>
      </c>
      <c r="O62" s="446">
        <f>VLOOKUP(D:D,'Master Table'!C:O,13,FALSE)</f>
        <v>1138.8600000000001</v>
      </c>
      <c r="P62" s="446">
        <v>1138.8600000000001</v>
      </c>
      <c r="Q62" s="103">
        <v>1182.5700000000002</v>
      </c>
      <c r="R62" s="103">
        <v>1584.1</v>
      </c>
      <c r="S62" s="103">
        <v>892.5</v>
      </c>
    </row>
    <row r="63" spans="1:19" ht="29.1" customHeight="1" x14ac:dyDescent="0.2">
      <c r="A63" s="68" t="str">
        <f t="shared" si="0"/>
        <v>CLF060X / 2320</v>
      </c>
      <c r="B63" s="78" t="s">
        <v>2743</v>
      </c>
      <c r="C63" s="78" t="s">
        <v>1047</v>
      </c>
      <c r="D63" s="448" t="s">
        <v>2744</v>
      </c>
      <c r="E63" s="369" t="str">
        <f>VLOOKUP(D:D,'Master Table'!C:D,2,FALSE)</f>
        <v>2320</v>
      </c>
      <c r="F63" s="544" t="s">
        <v>2744</v>
      </c>
      <c r="G63" s="544" t="s">
        <v>2745</v>
      </c>
      <c r="H63" s="544" t="s">
        <v>83</v>
      </c>
      <c r="I63" s="544" t="s">
        <v>2746</v>
      </c>
      <c r="J63" s="544" t="s">
        <v>324</v>
      </c>
      <c r="K63" s="758">
        <v>142</v>
      </c>
      <c r="L63" s="758">
        <v>510</v>
      </c>
      <c r="M63" s="758"/>
      <c r="N63" s="771">
        <f t="shared" si="3"/>
        <v>652</v>
      </c>
      <c r="O63" s="446">
        <f>VLOOKUP(D:D,'Master Table'!C:O,13,FALSE)</f>
        <v>1142.8</v>
      </c>
      <c r="P63" s="446">
        <v>1142.8</v>
      </c>
      <c r="Q63" s="103">
        <v>564.66000000000008</v>
      </c>
      <c r="R63" s="103">
        <v>887.31</v>
      </c>
      <c r="S63" s="103">
        <v>715.65</v>
      </c>
    </row>
    <row r="64" spans="1:19" ht="29.1" customHeight="1" x14ac:dyDescent="0.2">
      <c r="A64" s="68" t="str">
        <f t="shared" si="0"/>
        <v>CLF062 / 2322</v>
      </c>
      <c r="B64" s="78" t="s">
        <v>2755</v>
      </c>
      <c r="C64" s="78" t="s">
        <v>7446</v>
      </c>
      <c r="D64" s="448" t="s">
        <v>2752</v>
      </c>
      <c r="E64" s="369" t="str">
        <f>VLOOKUP(D:D,'Master Table'!C:D,2,FALSE)</f>
        <v>2322</v>
      </c>
      <c r="F64" s="544" t="s">
        <v>2752</v>
      </c>
      <c r="G64" s="544" t="s">
        <v>2753</v>
      </c>
      <c r="H64" s="544" t="s">
        <v>2754</v>
      </c>
      <c r="I64" s="544" t="s">
        <v>2755</v>
      </c>
      <c r="J64" s="544" t="s">
        <v>324</v>
      </c>
      <c r="K64" s="758"/>
      <c r="L64" s="758">
        <v>385</v>
      </c>
      <c r="M64" s="758">
        <v>746.8</v>
      </c>
      <c r="N64" s="771">
        <f t="shared" si="3"/>
        <v>1131.8</v>
      </c>
      <c r="O64" s="446">
        <f>VLOOKUP(D:D,'Master Table'!C:O,13,FALSE)</f>
        <v>90</v>
      </c>
      <c r="P64" s="446">
        <v>90</v>
      </c>
      <c r="Q64" s="103">
        <v>983.09</v>
      </c>
      <c r="R64" s="103">
        <v>955.75</v>
      </c>
      <c r="S64" s="103">
        <v>921</v>
      </c>
    </row>
    <row r="65" spans="1:20" ht="29.1" customHeight="1" x14ac:dyDescent="0.2">
      <c r="A65" s="68" t="str">
        <f t="shared" si="0"/>
        <v>CLF063 / 2323</v>
      </c>
      <c r="B65" s="78" t="s">
        <v>2760</v>
      </c>
      <c r="C65" s="78" t="s">
        <v>7447</v>
      </c>
      <c r="D65" s="448" t="s">
        <v>2757</v>
      </c>
      <c r="E65" s="369" t="str">
        <f>VLOOKUP(D:D,'Master Table'!C:D,2,FALSE)</f>
        <v>2323</v>
      </c>
      <c r="F65" s="544" t="s">
        <v>2757</v>
      </c>
      <c r="G65" s="544" t="s">
        <v>2758</v>
      </c>
      <c r="H65" s="544" t="s">
        <v>2759</v>
      </c>
      <c r="I65" s="544" t="s">
        <v>2760</v>
      </c>
      <c r="J65" s="544" t="s">
        <v>324</v>
      </c>
      <c r="K65" s="758">
        <v>104.26</v>
      </c>
      <c r="L65" s="758">
        <v>20</v>
      </c>
      <c r="M65" s="758"/>
      <c r="N65" s="771">
        <f t="shared" si="3"/>
        <v>124.26</v>
      </c>
      <c r="O65" s="446">
        <f>VLOOKUP(D:D,'Master Table'!C:O,13,FALSE)</f>
        <v>411.86</v>
      </c>
      <c r="P65" s="446">
        <v>411.86</v>
      </c>
      <c r="Q65" s="103">
        <v>786.72</v>
      </c>
      <c r="R65" s="103">
        <v>1749.55</v>
      </c>
      <c r="S65" s="103">
        <v>567.54</v>
      </c>
    </row>
    <row r="66" spans="1:20" ht="29.1" customHeight="1" x14ac:dyDescent="0.2">
      <c r="A66" s="68" t="str">
        <f t="shared" si="0"/>
        <v>CLF064 / 2324</v>
      </c>
      <c r="B66" s="78" t="s">
        <v>2763</v>
      </c>
      <c r="C66" s="78" t="s">
        <v>7447</v>
      </c>
      <c r="D66" s="448" t="s">
        <v>2761</v>
      </c>
      <c r="E66" s="369" t="str">
        <f>VLOOKUP(D:D,'Master Table'!C:D,2,FALSE)</f>
        <v>2324</v>
      </c>
      <c r="F66" s="544" t="s">
        <v>2761</v>
      </c>
      <c r="G66" s="544" t="s">
        <v>2762</v>
      </c>
      <c r="H66" s="544" t="s">
        <v>796</v>
      </c>
      <c r="I66" s="544" t="s">
        <v>2763</v>
      </c>
      <c r="J66" s="544" t="s">
        <v>324</v>
      </c>
      <c r="K66" s="758"/>
      <c r="L66" s="758">
        <v>45</v>
      </c>
      <c r="M66" s="758"/>
      <c r="N66" s="771">
        <f t="shared" si="3"/>
        <v>45</v>
      </c>
      <c r="O66" s="446">
        <f>VLOOKUP(D:D,'Master Table'!C:O,13,FALSE)</f>
        <v>1172.02</v>
      </c>
      <c r="P66" s="446">
        <v>1172.02</v>
      </c>
      <c r="Q66" s="103">
        <v>836.4</v>
      </c>
      <c r="R66" s="103">
        <v>678.45</v>
      </c>
      <c r="S66" s="103">
        <v>539.54</v>
      </c>
    </row>
    <row r="67" spans="1:20" ht="29.1" customHeight="1" x14ac:dyDescent="0.2">
      <c r="A67" s="68" t="str">
        <f t="shared" si="0"/>
        <v>CLF066 / 2326</v>
      </c>
      <c r="B67" s="78" t="s">
        <v>2771</v>
      </c>
      <c r="C67" s="78" t="s">
        <v>7448</v>
      </c>
      <c r="D67" s="448" t="s">
        <v>2768</v>
      </c>
      <c r="E67" s="369" t="str">
        <f>VLOOKUP(D:D,'Master Table'!C:D,2,FALSE)</f>
        <v>2326</v>
      </c>
      <c r="F67" s="544" t="s">
        <v>2768</v>
      </c>
      <c r="G67" s="544" t="s">
        <v>2769</v>
      </c>
      <c r="H67" s="544" t="s">
        <v>2770</v>
      </c>
      <c r="I67" s="544" t="s">
        <v>2771</v>
      </c>
      <c r="J67" s="544" t="s">
        <v>324</v>
      </c>
      <c r="K67" s="758">
        <v>621.09</v>
      </c>
      <c r="L67" s="758">
        <v>180</v>
      </c>
      <c r="M67" s="758"/>
      <c r="N67" s="771">
        <f t="shared" si="3"/>
        <v>801.09</v>
      </c>
      <c r="O67" s="446">
        <f>VLOOKUP(D:D,'Master Table'!C:O,13,FALSE)</f>
        <v>321.01</v>
      </c>
      <c r="P67" s="446">
        <v>321.01</v>
      </c>
      <c r="Q67" s="103">
        <v>1756.31</v>
      </c>
      <c r="R67" s="103">
        <v>75</v>
      </c>
      <c r="S67" s="103">
        <v>862.78</v>
      </c>
    </row>
    <row r="68" spans="1:20" ht="29.1" customHeight="1" x14ac:dyDescent="0.2">
      <c r="A68" s="68" t="str">
        <f t="shared" si="0"/>
        <v>CLF067 / 2327</v>
      </c>
      <c r="B68" s="78" t="s">
        <v>2775</v>
      </c>
      <c r="C68" s="78" t="s">
        <v>453</v>
      </c>
      <c r="D68" s="448" t="s">
        <v>2773</v>
      </c>
      <c r="E68" s="369" t="str">
        <f>VLOOKUP(D:D,'Master Table'!C:D,2,FALSE)</f>
        <v>2327</v>
      </c>
      <c r="F68" s="544" t="s">
        <v>2773</v>
      </c>
      <c r="G68" s="544" t="s">
        <v>2774</v>
      </c>
      <c r="H68" s="544" t="s">
        <v>56</v>
      </c>
      <c r="I68" s="544" t="s">
        <v>2775</v>
      </c>
      <c r="J68" s="544" t="s">
        <v>324</v>
      </c>
      <c r="K68" s="758"/>
      <c r="L68" s="758">
        <v>254</v>
      </c>
      <c r="M68" s="758"/>
      <c r="N68" s="771">
        <f t="shared" si="3"/>
        <v>254</v>
      </c>
      <c r="O68" s="446">
        <f>VLOOKUP(D:D,'Master Table'!C:O,13,FALSE)</f>
        <v>371.52</v>
      </c>
      <c r="P68" s="446">
        <v>371.52</v>
      </c>
      <c r="Q68" s="103">
        <v>498.7</v>
      </c>
      <c r="R68" s="103">
        <v>441.89</v>
      </c>
      <c r="S68" s="103">
        <v>424.66</v>
      </c>
    </row>
    <row r="69" spans="1:20" ht="29.1" customHeight="1" x14ac:dyDescent="0.2">
      <c r="A69" s="68" t="s">
        <v>11017</v>
      </c>
      <c r="B69" s="68" t="s">
        <v>2778</v>
      </c>
      <c r="C69" s="68" t="s">
        <v>1165</v>
      </c>
      <c r="D69" s="68" t="s">
        <v>2776</v>
      </c>
      <c r="E69" s="68" t="s">
        <v>2777</v>
      </c>
      <c r="F69" s="544" t="s">
        <v>2776</v>
      </c>
      <c r="G69" s="544" t="s">
        <v>2777</v>
      </c>
      <c r="H69" s="544" t="s">
        <v>1165</v>
      </c>
      <c r="I69" s="544" t="s">
        <v>2778</v>
      </c>
      <c r="J69" s="544" t="s">
        <v>324</v>
      </c>
      <c r="K69" s="758"/>
      <c r="L69" s="758">
        <v>110</v>
      </c>
      <c r="M69" s="758"/>
      <c r="N69" s="771">
        <f t="shared" si="3"/>
        <v>110</v>
      </c>
      <c r="O69" s="446"/>
      <c r="P69" s="446"/>
      <c r="Q69" s="103"/>
      <c r="R69" s="103"/>
      <c r="S69" s="103"/>
    </row>
    <row r="70" spans="1:20" ht="29.1" customHeight="1" x14ac:dyDescent="0.2">
      <c r="A70" s="68" t="str">
        <f t="shared" si="0"/>
        <v>CLF069 / 2328</v>
      </c>
      <c r="B70" s="78" t="s">
        <v>2782</v>
      </c>
      <c r="C70" s="78" t="s">
        <v>7449</v>
      </c>
      <c r="D70" s="448" t="s">
        <v>2779</v>
      </c>
      <c r="E70" s="369" t="str">
        <f>VLOOKUP(D:D,'Master Table'!C:D,2,FALSE)</f>
        <v>2328</v>
      </c>
      <c r="F70" s="544" t="s">
        <v>2779</v>
      </c>
      <c r="G70" s="544" t="s">
        <v>2780</v>
      </c>
      <c r="H70" s="544" t="s">
        <v>2176</v>
      </c>
      <c r="I70" s="544" t="s">
        <v>2782</v>
      </c>
      <c r="J70" s="544" t="s">
        <v>324</v>
      </c>
      <c r="K70" s="758">
        <v>402.36</v>
      </c>
      <c r="L70" s="758">
        <v>270</v>
      </c>
      <c r="M70" s="758"/>
      <c r="N70" s="771">
        <f t="shared" si="3"/>
        <v>672.36</v>
      </c>
      <c r="O70" s="446">
        <f>VLOOKUP(D:D,'Master Table'!C:O,13,FALSE)</f>
        <v>1742.23</v>
      </c>
      <c r="P70" s="446">
        <v>1742.23</v>
      </c>
      <c r="Q70" s="103">
        <v>1418.28</v>
      </c>
      <c r="R70" s="103">
        <v>1655.09</v>
      </c>
      <c r="S70" s="103">
        <v>1413.34</v>
      </c>
    </row>
    <row r="71" spans="1:20" ht="29.1" customHeight="1" x14ac:dyDescent="0.2">
      <c r="A71" s="68" t="str">
        <f t="shared" si="0"/>
        <v>CLF070 / 2329</v>
      </c>
      <c r="B71" s="78" t="s">
        <v>2785</v>
      </c>
      <c r="C71" s="78" t="s">
        <v>7450</v>
      </c>
      <c r="D71" s="448" t="s">
        <v>2783</v>
      </c>
      <c r="E71" s="369" t="str">
        <f>VLOOKUP(D:D,'Master Table'!C:D,2,FALSE)</f>
        <v>2329</v>
      </c>
      <c r="F71" s="544" t="s">
        <v>2783</v>
      </c>
      <c r="G71" s="544" t="s">
        <v>2784</v>
      </c>
      <c r="H71" s="544" t="s">
        <v>709</v>
      </c>
      <c r="I71" s="544" t="s">
        <v>2785</v>
      </c>
      <c r="J71" s="544" t="s">
        <v>324</v>
      </c>
      <c r="K71" s="758"/>
      <c r="L71" s="758">
        <v>300</v>
      </c>
      <c r="M71" s="758">
        <v>220.72</v>
      </c>
      <c r="N71" s="771">
        <f t="shared" si="3"/>
        <v>520.72</v>
      </c>
      <c r="O71" s="446">
        <f>VLOOKUP(D:D,'Master Table'!C:O,13,FALSE)</f>
        <v>324.44</v>
      </c>
      <c r="P71" s="446">
        <v>324.44</v>
      </c>
      <c r="Q71" s="103">
        <v>180</v>
      </c>
      <c r="R71" s="103">
        <v>446</v>
      </c>
      <c r="S71" s="103">
        <v>260.76</v>
      </c>
      <c r="T71" s="74" t="s">
        <v>7262</v>
      </c>
    </row>
    <row r="72" spans="1:20" ht="29.1" customHeight="1" x14ac:dyDescent="0.2">
      <c r="A72" s="68" t="str">
        <f t="shared" si="0"/>
        <v>CLF072 / 2331</v>
      </c>
      <c r="B72" s="78" t="s">
        <v>2792</v>
      </c>
      <c r="C72" s="78" t="s">
        <v>231</v>
      </c>
      <c r="D72" s="448" t="s">
        <v>2790</v>
      </c>
      <c r="E72" s="369" t="str">
        <f>VLOOKUP(D:D,'Master Table'!C:D,2,FALSE)</f>
        <v>2331</v>
      </c>
      <c r="F72" s="544" t="s">
        <v>2790</v>
      </c>
      <c r="G72" s="544" t="s">
        <v>2791</v>
      </c>
      <c r="H72" s="544" t="s">
        <v>428</v>
      </c>
      <c r="I72" s="544" t="s">
        <v>2792</v>
      </c>
      <c r="J72" s="544" t="s">
        <v>324</v>
      </c>
      <c r="K72" s="758">
        <v>262</v>
      </c>
      <c r="L72" s="758">
        <v>10</v>
      </c>
      <c r="M72" s="758"/>
      <c r="N72" s="771">
        <f t="shared" si="3"/>
        <v>272</v>
      </c>
      <c r="O72" s="446">
        <f>VLOOKUP(D:D,'Master Table'!C:O,13,FALSE)</f>
        <v>643</v>
      </c>
      <c r="P72" s="446">
        <v>643</v>
      </c>
      <c r="Q72" s="103">
        <v>543</v>
      </c>
      <c r="R72" s="103">
        <v>942.6</v>
      </c>
      <c r="S72" s="103">
        <v>960</v>
      </c>
    </row>
    <row r="73" spans="1:20" ht="29.1" customHeight="1" x14ac:dyDescent="0.2">
      <c r="A73" s="68" t="str">
        <f t="shared" si="0"/>
        <v>CLF074 / 2333</v>
      </c>
      <c r="B73" s="78" t="s">
        <v>2803</v>
      </c>
      <c r="C73" s="78" t="s">
        <v>1366</v>
      </c>
      <c r="D73" s="448" t="s">
        <v>2801</v>
      </c>
      <c r="E73" s="369" t="str">
        <f>VLOOKUP(D:D,'Master Table'!C:D,2,FALSE)</f>
        <v>2333</v>
      </c>
      <c r="F73" s="544" t="s">
        <v>2801</v>
      </c>
      <c r="G73" s="544" t="s">
        <v>2802</v>
      </c>
      <c r="H73" s="544" t="s">
        <v>61</v>
      </c>
      <c r="I73" s="544" t="s">
        <v>2803</v>
      </c>
      <c r="J73" s="544" t="s">
        <v>324</v>
      </c>
      <c r="K73" s="758">
        <v>101.38</v>
      </c>
      <c r="L73" s="758">
        <v>20</v>
      </c>
      <c r="M73" s="758"/>
      <c r="N73" s="771">
        <f t="shared" si="3"/>
        <v>121.38</v>
      </c>
      <c r="O73" s="446">
        <f>VLOOKUP(D:D,'Master Table'!C:O,13,FALSE)</f>
        <v>183.76000000000002</v>
      </c>
      <c r="P73" s="446">
        <v>183.76000000000002</v>
      </c>
      <c r="Q73" s="103">
        <v>200.51</v>
      </c>
      <c r="R73" s="103">
        <v>247.16</v>
      </c>
      <c r="S73" s="103">
        <v>216.46</v>
      </c>
    </row>
    <row r="74" spans="1:20" ht="29.1" customHeight="1" x14ac:dyDescent="0.2">
      <c r="A74" s="68" t="str">
        <f t="shared" ref="A74:A117" si="4">D74&amp;" / "&amp;E74</f>
        <v>CLF075 / 2334</v>
      </c>
      <c r="B74" s="78" t="s">
        <v>2506</v>
      </c>
      <c r="C74" s="78" t="s">
        <v>1165</v>
      </c>
      <c r="D74" s="448" t="s">
        <v>2805</v>
      </c>
      <c r="E74" s="369" t="str">
        <f>VLOOKUP(D:D,'Master Table'!C:D,2,FALSE)</f>
        <v>2334</v>
      </c>
      <c r="F74" s="544" t="s">
        <v>2805</v>
      </c>
      <c r="G74" s="544" t="s">
        <v>2806</v>
      </c>
      <c r="H74" s="544" t="s">
        <v>238</v>
      </c>
      <c r="I74" s="544" t="s">
        <v>2506</v>
      </c>
      <c r="J74" s="544" t="s">
        <v>324</v>
      </c>
      <c r="K74" s="758"/>
      <c r="L74" s="758">
        <v>71</v>
      </c>
      <c r="M74" s="758"/>
      <c r="N74" s="771">
        <f t="shared" si="3"/>
        <v>71</v>
      </c>
      <c r="O74" s="446">
        <f>VLOOKUP(D:D,'Master Table'!C:O,13,FALSE)</f>
        <v>985.36</v>
      </c>
      <c r="P74" s="446">
        <v>985.36</v>
      </c>
      <c r="Q74" s="103">
        <v>1235.03</v>
      </c>
      <c r="R74" s="103">
        <v>1297</v>
      </c>
      <c r="S74" s="103">
        <v>1173</v>
      </c>
    </row>
    <row r="75" spans="1:20" ht="29.1" customHeight="1" x14ac:dyDescent="0.2">
      <c r="A75" s="68" t="str">
        <f t="shared" si="4"/>
        <v>CLF076 / 2335</v>
      </c>
      <c r="B75" s="78" t="s">
        <v>2809</v>
      </c>
      <c r="C75" s="78" t="s">
        <v>1366</v>
      </c>
      <c r="D75" s="448" t="s">
        <v>2807</v>
      </c>
      <c r="E75" s="369" t="str">
        <f>VLOOKUP(D:D,'Master Table'!C:D,2,FALSE)</f>
        <v>2335</v>
      </c>
      <c r="F75" s="544" t="s">
        <v>2807</v>
      </c>
      <c r="G75" s="544" t="s">
        <v>2808</v>
      </c>
      <c r="H75" s="544" t="s">
        <v>61</v>
      </c>
      <c r="I75" s="544" t="s">
        <v>2809</v>
      </c>
      <c r="J75" s="544" t="s">
        <v>324</v>
      </c>
      <c r="K75" s="758">
        <v>899.4</v>
      </c>
      <c r="L75" s="758">
        <v>132.30000000000001</v>
      </c>
      <c r="M75" s="758"/>
      <c r="N75" s="771">
        <f t="shared" si="3"/>
        <v>1031.7</v>
      </c>
      <c r="O75" s="446">
        <f>VLOOKUP(D:D,'Master Table'!C:O,13,FALSE)</f>
        <v>1034.23</v>
      </c>
      <c r="P75" s="446">
        <v>1034.23</v>
      </c>
      <c r="Q75" s="103">
        <v>1318.07</v>
      </c>
      <c r="R75" s="103">
        <v>1086.56</v>
      </c>
      <c r="S75" s="103">
        <v>972.17000000000007</v>
      </c>
    </row>
    <row r="76" spans="1:20" ht="29.1" customHeight="1" x14ac:dyDescent="0.2">
      <c r="A76" s="68" t="str">
        <f t="shared" si="4"/>
        <v>CLF077 / 2336</v>
      </c>
      <c r="B76" s="78" t="s">
        <v>2813</v>
      </c>
      <c r="C76" s="78" t="s">
        <v>1366</v>
      </c>
      <c r="D76" s="448" t="s">
        <v>2811</v>
      </c>
      <c r="E76" s="369" t="str">
        <f>VLOOKUP(D:D,'Master Table'!C:D,2,FALSE)</f>
        <v>2336</v>
      </c>
      <c r="F76" s="544" t="s">
        <v>2811</v>
      </c>
      <c r="G76" s="544" t="s">
        <v>2812</v>
      </c>
      <c r="H76" s="544" t="s">
        <v>15</v>
      </c>
      <c r="I76" s="544" t="s">
        <v>2813</v>
      </c>
      <c r="J76" s="544" t="s">
        <v>324</v>
      </c>
      <c r="K76" s="758">
        <v>875.85</v>
      </c>
      <c r="L76" s="758">
        <v>1370</v>
      </c>
      <c r="M76" s="758"/>
      <c r="N76" s="771">
        <f t="shared" si="3"/>
        <v>2245.85</v>
      </c>
      <c r="O76" s="446">
        <f>VLOOKUP(D:D,'Master Table'!C:O,13,FALSE)</f>
        <v>2243.5</v>
      </c>
      <c r="P76" s="446">
        <v>2243.5</v>
      </c>
      <c r="Q76" s="103">
        <v>2091.1999999999998</v>
      </c>
      <c r="R76" s="103">
        <v>1993.6</v>
      </c>
      <c r="S76" s="103">
        <v>1823.3500000000001</v>
      </c>
    </row>
    <row r="77" spans="1:20" ht="29.1" customHeight="1" x14ac:dyDescent="0.2">
      <c r="A77" s="68" t="str">
        <f t="shared" si="4"/>
        <v>CLF080 / 2339</v>
      </c>
      <c r="B77" s="890" t="s">
        <v>2825</v>
      </c>
      <c r="C77" s="526" t="s">
        <v>8397</v>
      </c>
      <c r="D77" s="448" t="s">
        <v>2822</v>
      </c>
      <c r="E77" s="369" t="str">
        <f>VLOOKUP(D:D,'Master Table'!C:D,2,FALSE)</f>
        <v>2339</v>
      </c>
      <c r="F77" s="544" t="s">
        <v>2822</v>
      </c>
      <c r="G77" s="544" t="s">
        <v>2823</v>
      </c>
      <c r="H77" s="544" t="s">
        <v>2824</v>
      </c>
      <c r="I77" s="544" t="s">
        <v>2825</v>
      </c>
      <c r="J77" s="544" t="s">
        <v>324</v>
      </c>
      <c r="K77" s="758"/>
      <c r="L77" s="758">
        <v>950.18000000000006</v>
      </c>
      <c r="M77" s="758">
        <v>58.43</v>
      </c>
      <c r="N77" s="887">
        <v>1033.6099999999999</v>
      </c>
      <c r="O77" s="446">
        <f>VLOOKUP(D:D,'Master Table'!C:O,13,FALSE)</f>
        <v>3038.78</v>
      </c>
      <c r="P77" s="856">
        <f>O77+O78</f>
        <v>3138.78</v>
      </c>
      <c r="Q77" s="856">
        <v>2810.41</v>
      </c>
      <c r="R77" s="103">
        <v>3596.4</v>
      </c>
      <c r="S77" s="103">
        <v>3340.5</v>
      </c>
    </row>
    <row r="78" spans="1:20" ht="29.1" customHeight="1" x14ac:dyDescent="0.2">
      <c r="A78" s="68" t="str">
        <f t="shared" ref="A78" si="5">D78&amp;" / "&amp;E78</f>
        <v>CLF081 / 2340</v>
      </c>
      <c r="B78" s="891"/>
      <c r="C78" s="254" t="s">
        <v>8398</v>
      </c>
      <c r="D78" s="448" t="s">
        <v>2826</v>
      </c>
      <c r="E78" s="369" t="str">
        <f>VLOOKUP(D:D,'Master Table'!C:D,2,FALSE)</f>
        <v>2340</v>
      </c>
      <c r="F78" s="544" t="s">
        <v>2826</v>
      </c>
      <c r="G78" s="544" t="s">
        <v>2827</v>
      </c>
      <c r="H78" s="544" t="s">
        <v>2828</v>
      </c>
      <c r="I78" s="544" t="s">
        <v>2825</v>
      </c>
      <c r="J78" s="544" t="s">
        <v>324</v>
      </c>
      <c r="K78" s="758"/>
      <c r="L78" s="758">
        <v>25</v>
      </c>
      <c r="M78" s="758"/>
      <c r="N78" s="888"/>
      <c r="O78" s="446">
        <f>VLOOKUP(D:D,'Master Table'!C:O,13,FALSE)</f>
        <v>100</v>
      </c>
      <c r="P78" s="857"/>
      <c r="Q78" s="857"/>
      <c r="R78" s="103"/>
      <c r="S78" s="103"/>
    </row>
    <row r="79" spans="1:20" ht="29.1" customHeight="1" x14ac:dyDescent="0.2">
      <c r="A79" s="68" t="str">
        <f t="shared" si="4"/>
        <v>CLF082 / 2341</v>
      </c>
      <c r="B79" s="78" t="s">
        <v>2825</v>
      </c>
      <c r="C79" s="78" t="s">
        <v>7453</v>
      </c>
      <c r="D79" s="448" t="s">
        <v>2829</v>
      </c>
      <c r="E79" s="369" t="str">
        <f>VLOOKUP(D:D,'Master Table'!C:D,2,FALSE)</f>
        <v>2341</v>
      </c>
      <c r="F79" s="544" t="s">
        <v>2829</v>
      </c>
      <c r="G79" s="544" t="s">
        <v>2830</v>
      </c>
      <c r="H79" s="544" t="s">
        <v>2831</v>
      </c>
      <c r="I79" s="544" t="s">
        <v>2825</v>
      </c>
      <c r="J79" s="544" t="s">
        <v>324</v>
      </c>
      <c r="K79" s="758">
        <v>461.77</v>
      </c>
      <c r="L79" s="758">
        <v>35</v>
      </c>
      <c r="M79" s="758"/>
      <c r="N79" s="771">
        <f t="shared" si="3"/>
        <v>496.77</v>
      </c>
      <c r="O79" s="446">
        <f>VLOOKUP(D:D,'Master Table'!C:O,13,FALSE)</f>
        <v>796.59</v>
      </c>
      <c r="P79" s="446">
        <v>796.59</v>
      </c>
      <c r="Q79" s="103">
        <v>746.95</v>
      </c>
      <c r="R79" s="103">
        <v>667.73</v>
      </c>
      <c r="S79" s="103">
        <v>585.52</v>
      </c>
    </row>
    <row r="80" spans="1:20" ht="29.1" customHeight="1" x14ac:dyDescent="0.2">
      <c r="A80" s="68" t="str">
        <f t="shared" si="4"/>
        <v>CLF083 / 2342</v>
      </c>
      <c r="B80" s="78" t="s">
        <v>2835</v>
      </c>
      <c r="C80" s="78" t="s">
        <v>7356</v>
      </c>
      <c r="D80" s="448" t="s">
        <v>2832</v>
      </c>
      <c r="E80" s="369" t="str">
        <f>VLOOKUP(D:D,'Master Table'!C:D,2,FALSE)</f>
        <v>2342</v>
      </c>
      <c r="F80" s="544" t="s">
        <v>2832</v>
      </c>
      <c r="G80" s="544" t="s">
        <v>2833</v>
      </c>
      <c r="H80" s="544" t="s">
        <v>2834</v>
      </c>
      <c r="I80" s="544" t="s">
        <v>2835</v>
      </c>
      <c r="J80" s="544" t="s">
        <v>324</v>
      </c>
      <c r="K80" s="758">
        <v>407.81</v>
      </c>
      <c r="L80" s="758">
        <v>36</v>
      </c>
      <c r="M80" s="758"/>
      <c r="N80" s="771">
        <f t="shared" si="3"/>
        <v>443.81</v>
      </c>
      <c r="O80" s="446">
        <f>VLOOKUP(D:D,'Master Table'!C:O,13,FALSE)</f>
        <v>575.98</v>
      </c>
      <c r="P80" s="446">
        <v>575.98</v>
      </c>
      <c r="Q80" s="103">
        <v>555.66</v>
      </c>
      <c r="R80" s="103">
        <v>563.05999999999995</v>
      </c>
      <c r="S80" s="103">
        <v>491.27</v>
      </c>
    </row>
    <row r="81" spans="1:19" ht="29.1" customHeight="1" x14ac:dyDescent="0.2">
      <c r="A81" s="68" t="str">
        <f t="shared" si="4"/>
        <v>CLF084 / 2343</v>
      </c>
      <c r="B81" s="78" t="s">
        <v>2838</v>
      </c>
      <c r="C81" s="78" t="s">
        <v>532</v>
      </c>
      <c r="D81" s="448" t="s">
        <v>2836</v>
      </c>
      <c r="E81" s="369" t="str">
        <f>VLOOKUP(D:D,'Master Table'!C:D,2,FALSE)</f>
        <v>2343</v>
      </c>
      <c r="F81" s="544" t="s">
        <v>2836</v>
      </c>
      <c r="G81" s="544" t="s">
        <v>2837</v>
      </c>
      <c r="H81" s="544" t="s">
        <v>61</v>
      </c>
      <c r="I81" s="544" t="s">
        <v>2838</v>
      </c>
      <c r="J81" s="544" t="s">
        <v>324</v>
      </c>
      <c r="K81" s="758">
        <v>366.62</v>
      </c>
      <c r="L81" s="758">
        <v>170</v>
      </c>
      <c r="M81" s="758"/>
      <c r="N81" s="771">
        <f t="shared" si="3"/>
        <v>536.62</v>
      </c>
      <c r="O81" s="446">
        <f>VLOOKUP(D:D,'Master Table'!C:O,13,FALSE)</f>
        <v>763.2</v>
      </c>
      <c r="P81" s="446">
        <v>763.2</v>
      </c>
      <c r="Q81" s="103">
        <v>1008.58</v>
      </c>
      <c r="R81" s="103">
        <v>765.07</v>
      </c>
      <c r="S81" s="103">
        <v>1320.51</v>
      </c>
    </row>
    <row r="82" spans="1:19" ht="29.1" customHeight="1" x14ac:dyDescent="0.2">
      <c r="A82" s="68" t="str">
        <f t="shared" si="4"/>
        <v>CLF085 / 2344</v>
      </c>
      <c r="B82" s="78" t="s">
        <v>2842</v>
      </c>
      <c r="C82" s="78" t="s">
        <v>1266</v>
      </c>
      <c r="D82" s="448" t="s">
        <v>2839</v>
      </c>
      <c r="E82" s="369" t="str">
        <f>VLOOKUP(D:D,'Master Table'!C:D,2,FALSE)</f>
        <v>2344</v>
      </c>
      <c r="F82" s="544" t="s">
        <v>2839</v>
      </c>
      <c r="G82" s="544" t="s">
        <v>2840</v>
      </c>
      <c r="H82" s="544" t="s">
        <v>2841</v>
      </c>
      <c r="I82" s="544" t="s">
        <v>2842</v>
      </c>
      <c r="J82" s="544" t="s">
        <v>324</v>
      </c>
      <c r="K82" s="758">
        <v>130.80000000000001</v>
      </c>
      <c r="L82" s="758">
        <v>140</v>
      </c>
      <c r="M82" s="758"/>
      <c r="N82" s="771">
        <f t="shared" si="3"/>
        <v>270.8</v>
      </c>
      <c r="O82" s="446">
        <f>VLOOKUP(D:D,'Master Table'!C:O,13,FALSE)</f>
        <v>501.01</v>
      </c>
      <c r="P82" s="446">
        <v>501.01</v>
      </c>
      <c r="Q82" s="103">
        <v>564.54999999999995</v>
      </c>
      <c r="R82" s="103">
        <v>726.8</v>
      </c>
      <c r="S82" s="103">
        <v>868.1</v>
      </c>
    </row>
    <row r="83" spans="1:19" ht="29.1" customHeight="1" x14ac:dyDescent="0.2">
      <c r="A83" s="68" t="str">
        <f t="shared" si="4"/>
        <v>CLF087 / 2346</v>
      </c>
      <c r="B83" s="78" t="s">
        <v>2850</v>
      </c>
      <c r="C83" s="78" t="s">
        <v>297</v>
      </c>
      <c r="D83" s="448" t="s">
        <v>2848</v>
      </c>
      <c r="E83" s="369" t="str">
        <f>VLOOKUP(D:D,'Master Table'!C:D,2,FALSE)</f>
        <v>2346</v>
      </c>
      <c r="F83" s="544" t="s">
        <v>2848</v>
      </c>
      <c r="G83" s="544" t="s">
        <v>2849</v>
      </c>
      <c r="H83" s="544" t="s">
        <v>297</v>
      </c>
      <c r="I83" s="544" t="s">
        <v>2850</v>
      </c>
      <c r="J83" s="544" t="s">
        <v>324</v>
      </c>
      <c r="K83" s="758">
        <v>1732</v>
      </c>
      <c r="L83" s="758">
        <v>735</v>
      </c>
      <c r="M83" s="758"/>
      <c r="N83" s="771">
        <f t="shared" si="3"/>
        <v>2467</v>
      </c>
      <c r="O83" s="446">
        <f>VLOOKUP(D:D,'Master Table'!C:O,13,FALSE)</f>
        <v>2733.62</v>
      </c>
      <c r="P83" s="446">
        <v>2733.62</v>
      </c>
      <c r="Q83" s="103">
        <v>2635.47</v>
      </c>
      <c r="R83" s="103">
        <v>2624.35</v>
      </c>
      <c r="S83" s="103">
        <v>2555.71</v>
      </c>
    </row>
    <row r="84" spans="1:19" ht="29.1" customHeight="1" x14ac:dyDescent="0.2">
      <c r="A84" s="68" t="s">
        <v>11018</v>
      </c>
      <c r="B84" s="68" t="s">
        <v>2854</v>
      </c>
      <c r="C84" s="68" t="s">
        <v>2853</v>
      </c>
      <c r="D84" s="68" t="s">
        <v>2851</v>
      </c>
      <c r="E84" s="68">
        <v>444423</v>
      </c>
      <c r="F84" s="544" t="s">
        <v>2851</v>
      </c>
      <c r="G84" s="544">
        <v>444423</v>
      </c>
      <c r="H84" s="544" t="s">
        <v>2853</v>
      </c>
      <c r="I84" s="544" t="s">
        <v>2854</v>
      </c>
      <c r="J84" s="544" t="s">
        <v>324</v>
      </c>
      <c r="K84" s="758"/>
      <c r="L84" s="758">
        <v>298.95</v>
      </c>
      <c r="M84" s="758"/>
      <c r="N84" s="771">
        <f t="shared" si="3"/>
        <v>298.95</v>
      </c>
      <c r="O84" s="446"/>
      <c r="P84" s="446"/>
      <c r="Q84" s="103"/>
      <c r="R84" s="103"/>
      <c r="S84" s="103"/>
    </row>
    <row r="85" spans="1:19" ht="29.1" customHeight="1" x14ac:dyDescent="0.2">
      <c r="A85" s="68" t="str">
        <f t="shared" si="4"/>
        <v>CLF087Z / 2347</v>
      </c>
      <c r="B85" s="78" t="s">
        <v>2861</v>
      </c>
      <c r="C85" s="78" t="s">
        <v>5152</v>
      </c>
      <c r="D85" s="448" t="s">
        <v>2859</v>
      </c>
      <c r="E85" s="369" t="str">
        <f>VLOOKUP(D:D,'Master Table'!C:D,2,FALSE)</f>
        <v>2347</v>
      </c>
      <c r="F85" s="544" t="s">
        <v>2859</v>
      </c>
      <c r="G85" s="544" t="s">
        <v>2860</v>
      </c>
      <c r="H85" s="544" t="s">
        <v>37</v>
      </c>
      <c r="I85" s="544" t="s">
        <v>2861</v>
      </c>
      <c r="J85" s="544" t="s">
        <v>324</v>
      </c>
      <c r="K85" s="758">
        <v>773.19</v>
      </c>
      <c r="L85" s="758"/>
      <c r="M85" s="758"/>
      <c r="N85" s="771">
        <f t="shared" si="3"/>
        <v>773.19</v>
      </c>
      <c r="O85" s="446">
        <f>VLOOKUP(D:D,'Master Table'!C:O,13,FALSE)</f>
        <v>1593.25</v>
      </c>
      <c r="P85" s="446">
        <v>1593.25</v>
      </c>
      <c r="Q85" s="103">
        <v>1520.1799999999998</v>
      </c>
      <c r="R85" s="103">
        <v>1288.95</v>
      </c>
      <c r="S85" s="103">
        <v>1696.27</v>
      </c>
    </row>
    <row r="86" spans="1:19" ht="29.1" customHeight="1" x14ac:dyDescent="0.2">
      <c r="A86" s="68" t="str">
        <f t="shared" si="4"/>
        <v>CLF088 / 2348</v>
      </c>
      <c r="B86" s="78" t="s">
        <v>2865</v>
      </c>
      <c r="C86" s="78" t="s">
        <v>7454</v>
      </c>
      <c r="D86" s="448" t="s">
        <v>2862</v>
      </c>
      <c r="E86" s="369" t="str">
        <f>VLOOKUP(D:D,'Master Table'!C:D,2,FALSE)</f>
        <v>2348</v>
      </c>
      <c r="F86" s="544" t="s">
        <v>2862</v>
      </c>
      <c r="G86" s="544" t="s">
        <v>2863</v>
      </c>
      <c r="H86" s="544" t="s">
        <v>2864</v>
      </c>
      <c r="I86" s="544" t="s">
        <v>2865</v>
      </c>
      <c r="J86" s="544" t="s">
        <v>324</v>
      </c>
      <c r="K86" s="758">
        <v>2411.2600000000002</v>
      </c>
      <c r="L86" s="758">
        <v>1952</v>
      </c>
      <c r="M86" s="758"/>
      <c r="N86" s="771">
        <f t="shared" si="3"/>
        <v>4363.26</v>
      </c>
      <c r="O86" s="446">
        <f>VLOOKUP(D:D,'Master Table'!C:O,13,FALSE)</f>
        <v>6713.8199999999988</v>
      </c>
      <c r="P86" s="446">
        <v>6713.8199999999988</v>
      </c>
      <c r="Q86" s="103">
        <v>4022.22</v>
      </c>
      <c r="R86" s="103">
        <v>5795.14</v>
      </c>
      <c r="S86" s="103">
        <v>5710.04</v>
      </c>
    </row>
    <row r="87" spans="1:19" ht="29.1" customHeight="1" x14ac:dyDescent="0.2">
      <c r="A87" s="68" t="str">
        <f t="shared" si="4"/>
        <v>CLF089 / 2349</v>
      </c>
      <c r="B87" s="78" t="s">
        <v>2865</v>
      </c>
      <c r="C87" s="78" t="s">
        <v>7318</v>
      </c>
      <c r="D87" s="448" t="s">
        <v>2866</v>
      </c>
      <c r="E87" s="369" t="str">
        <f>VLOOKUP(D:D,'Master Table'!C:D,2,FALSE)</f>
        <v>2349</v>
      </c>
      <c r="F87" s="544" t="s">
        <v>2866</v>
      </c>
      <c r="G87" s="544" t="s">
        <v>2867</v>
      </c>
      <c r="H87" s="544" t="s">
        <v>31</v>
      </c>
      <c r="I87" s="544" t="s">
        <v>2865</v>
      </c>
      <c r="J87" s="544" t="s">
        <v>324</v>
      </c>
      <c r="K87" s="758">
        <v>1306.6199999999999</v>
      </c>
      <c r="L87" s="758">
        <v>416</v>
      </c>
      <c r="M87" s="758"/>
      <c r="N87" s="771">
        <f t="shared" si="3"/>
        <v>1722.62</v>
      </c>
      <c r="O87" s="446">
        <f>VLOOKUP(D:D,'Master Table'!C:O,13,FALSE)</f>
        <v>1439.0700000000002</v>
      </c>
      <c r="P87" s="446">
        <v>1439.0700000000002</v>
      </c>
      <c r="Q87" s="103">
        <v>894.22</v>
      </c>
      <c r="R87" s="103">
        <v>1179.9100000000001</v>
      </c>
      <c r="S87" s="103">
        <v>1189.49</v>
      </c>
    </row>
    <row r="88" spans="1:19" ht="29.1" customHeight="1" x14ac:dyDescent="0.2">
      <c r="A88" s="68" t="str">
        <f t="shared" si="4"/>
        <v>CLF090 / 2350</v>
      </c>
      <c r="B88" s="78" t="s">
        <v>2865</v>
      </c>
      <c r="C88" s="78" t="s">
        <v>1165</v>
      </c>
      <c r="D88" s="448" t="s">
        <v>2869</v>
      </c>
      <c r="E88" s="369" t="str">
        <f>VLOOKUP(D:D,'Master Table'!C:D,2,FALSE)</f>
        <v>2350</v>
      </c>
      <c r="F88" s="544" t="s">
        <v>2869</v>
      </c>
      <c r="G88" s="544" t="s">
        <v>2870</v>
      </c>
      <c r="H88" s="544" t="s">
        <v>238</v>
      </c>
      <c r="I88" s="544" t="s">
        <v>2865</v>
      </c>
      <c r="J88" s="544" t="s">
        <v>324</v>
      </c>
      <c r="K88" s="758">
        <v>261.19</v>
      </c>
      <c r="L88" s="758">
        <v>255</v>
      </c>
      <c r="M88" s="758">
        <v>1115</v>
      </c>
      <c r="N88" s="771">
        <f t="shared" si="3"/>
        <v>1631.19</v>
      </c>
      <c r="O88" s="446">
        <f>VLOOKUP(D:D,'Master Table'!C:O,13,FALSE)</f>
        <v>1758.7</v>
      </c>
      <c r="P88" s="446">
        <v>1758.7</v>
      </c>
      <c r="Q88" s="103">
        <v>957.54</v>
      </c>
      <c r="R88" s="103">
        <v>1692.94</v>
      </c>
      <c r="S88" s="103">
        <v>1495.4</v>
      </c>
    </row>
    <row r="89" spans="1:19" ht="29.1" customHeight="1" x14ac:dyDescent="0.2">
      <c r="A89" s="68" t="str">
        <f t="shared" si="4"/>
        <v>CLF091 / 2351</v>
      </c>
      <c r="B89" s="78" t="s">
        <v>2873</v>
      </c>
      <c r="C89" s="78" t="s">
        <v>2900</v>
      </c>
      <c r="D89" s="448" t="s">
        <v>2871</v>
      </c>
      <c r="E89" s="369" t="str">
        <f>VLOOKUP(D:D,'Master Table'!C:D,2,FALSE)</f>
        <v>2351</v>
      </c>
      <c r="F89" s="544" t="s">
        <v>2871</v>
      </c>
      <c r="G89" s="544" t="s">
        <v>2872</v>
      </c>
      <c r="H89" s="544" t="s">
        <v>69</v>
      </c>
      <c r="I89" s="544" t="s">
        <v>2873</v>
      </c>
      <c r="J89" s="544" t="s">
        <v>324</v>
      </c>
      <c r="K89" s="758"/>
      <c r="L89" s="758">
        <v>1310.05</v>
      </c>
      <c r="M89" s="758"/>
      <c r="N89" s="771">
        <f t="shared" si="3"/>
        <v>1310.05</v>
      </c>
      <c r="O89" s="446">
        <f>VLOOKUP(D:D,'Master Table'!C:O,13,FALSE)</f>
        <v>3646.58</v>
      </c>
      <c r="P89" s="446">
        <v>3646.58</v>
      </c>
      <c r="Q89" s="103">
        <v>4132.95</v>
      </c>
      <c r="R89" s="103">
        <v>4313.29</v>
      </c>
      <c r="S89" s="103">
        <v>4116.88</v>
      </c>
    </row>
    <row r="90" spans="1:19" ht="29.1" customHeight="1" x14ac:dyDescent="0.2">
      <c r="A90" s="68" t="str">
        <f t="shared" si="4"/>
        <v>CLF092 / 2352</v>
      </c>
      <c r="B90" s="78" t="s">
        <v>2873</v>
      </c>
      <c r="C90" s="78" t="s">
        <v>659</v>
      </c>
      <c r="D90" s="448" t="s">
        <v>2874</v>
      </c>
      <c r="E90" s="369" t="str">
        <f>VLOOKUP(D:D,'Master Table'!C:D,2,FALSE)</f>
        <v>2352</v>
      </c>
      <c r="F90" s="544" t="s">
        <v>2874</v>
      </c>
      <c r="G90" s="544" t="s">
        <v>2875</v>
      </c>
      <c r="H90" s="544" t="s">
        <v>659</v>
      </c>
      <c r="I90" s="544" t="s">
        <v>2873</v>
      </c>
      <c r="J90" s="544" t="s">
        <v>324</v>
      </c>
      <c r="K90" s="758">
        <v>291.58999999999997</v>
      </c>
      <c r="L90" s="758">
        <v>390</v>
      </c>
      <c r="M90" s="758"/>
      <c r="N90" s="771">
        <f t="shared" si="3"/>
        <v>681.58999999999992</v>
      </c>
      <c r="O90" s="446">
        <f>VLOOKUP(D:D,'Master Table'!C:O,13,FALSE)</f>
        <v>1021.18</v>
      </c>
      <c r="P90" s="446">
        <v>1021.18</v>
      </c>
      <c r="Q90" s="103">
        <v>1008.21</v>
      </c>
      <c r="R90" s="103">
        <v>1323.41</v>
      </c>
      <c r="S90" s="103">
        <v>1029.43</v>
      </c>
    </row>
    <row r="91" spans="1:19" ht="29.1" customHeight="1" x14ac:dyDescent="0.2">
      <c r="A91" s="68" t="str">
        <f t="shared" si="4"/>
        <v>CLF093 / 2353</v>
      </c>
      <c r="B91" s="78" t="s">
        <v>2878</v>
      </c>
      <c r="C91" s="78" t="s">
        <v>7356</v>
      </c>
      <c r="D91" s="448" t="s">
        <v>2876</v>
      </c>
      <c r="E91" s="369" t="str">
        <f>VLOOKUP(D:D,'Master Table'!C:D,2,FALSE)</f>
        <v>2353</v>
      </c>
      <c r="F91" s="544" t="s">
        <v>2876</v>
      </c>
      <c r="G91" s="544" t="s">
        <v>2877</v>
      </c>
      <c r="H91" s="544" t="s">
        <v>252</v>
      </c>
      <c r="I91" s="544" t="s">
        <v>2878</v>
      </c>
      <c r="J91" s="544" t="s">
        <v>324</v>
      </c>
      <c r="K91" s="758">
        <v>169.08</v>
      </c>
      <c r="L91" s="758">
        <v>55</v>
      </c>
      <c r="M91" s="758"/>
      <c r="N91" s="771">
        <f t="shared" si="3"/>
        <v>224.08</v>
      </c>
      <c r="O91" s="446">
        <f>VLOOKUP(D:D,'Master Table'!C:O,13,FALSE)</f>
        <v>365.68</v>
      </c>
      <c r="P91" s="446">
        <v>365.68</v>
      </c>
      <c r="Q91" s="103">
        <v>351.05</v>
      </c>
      <c r="R91" s="103">
        <v>432</v>
      </c>
      <c r="S91" s="103">
        <v>652.75</v>
      </c>
    </row>
    <row r="92" spans="1:19" ht="29.1" customHeight="1" x14ac:dyDescent="0.2">
      <c r="A92" s="68" t="str">
        <f t="shared" si="4"/>
        <v>CLF094 / 2354</v>
      </c>
      <c r="B92" s="78" t="s">
        <v>2881</v>
      </c>
      <c r="C92" s="78" t="s">
        <v>1366</v>
      </c>
      <c r="D92" s="448" t="s">
        <v>2879</v>
      </c>
      <c r="E92" s="369" t="str">
        <f>VLOOKUP(D:D,'Master Table'!C:D,2,FALSE)</f>
        <v>2354</v>
      </c>
      <c r="F92" s="544" t="s">
        <v>2879</v>
      </c>
      <c r="G92" s="544" t="s">
        <v>2880</v>
      </c>
      <c r="H92" s="544" t="s">
        <v>1366</v>
      </c>
      <c r="I92" s="544" t="s">
        <v>2881</v>
      </c>
      <c r="J92" s="544" t="s">
        <v>324</v>
      </c>
      <c r="K92" s="758"/>
      <c r="L92" s="758">
        <v>90</v>
      </c>
      <c r="M92" s="758">
        <v>446.9</v>
      </c>
      <c r="N92" s="771">
        <f t="shared" si="3"/>
        <v>536.9</v>
      </c>
      <c r="O92" s="446">
        <f>VLOOKUP(D:D,'Master Table'!C:O,13,FALSE)</f>
        <v>258.48</v>
      </c>
      <c r="P92" s="446">
        <v>258.48</v>
      </c>
      <c r="Q92" s="103">
        <v>299.08999999999997</v>
      </c>
      <c r="R92" s="103">
        <v>503</v>
      </c>
      <c r="S92" s="103">
        <v>499.8</v>
      </c>
    </row>
    <row r="93" spans="1:19" ht="29.1" customHeight="1" x14ac:dyDescent="0.2">
      <c r="A93" s="68" t="str">
        <f t="shared" si="4"/>
        <v>CLF095 / 2355</v>
      </c>
      <c r="B93" s="78" t="s">
        <v>7455</v>
      </c>
      <c r="C93" s="78" t="s">
        <v>916</v>
      </c>
      <c r="D93" s="448" t="s">
        <v>2882</v>
      </c>
      <c r="E93" s="369" t="str">
        <f>VLOOKUP(D:D,'Master Table'!C:D,2,FALSE)</f>
        <v>2355</v>
      </c>
      <c r="F93" s="544" t="s">
        <v>2882</v>
      </c>
      <c r="G93" s="544" t="s">
        <v>2883</v>
      </c>
      <c r="H93" s="544" t="s">
        <v>214</v>
      </c>
      <c r="I93" s="544" t="s">
        <v>2506</v>
      </c>
      <c r="J93" s="544" t="s">
        <v>324</v>
      </c>
      <c r="K93" s="758">
        <v>565.66999999999996</v>
      </c>
      <c r="L93" s="758">
        <v>115</v>
      </c>
      <c r="M93" s="758"/>
      <c r="N93" s="771">
        <f t="shared" si="3"/>
        <v>680.67</v>
      </c>
      <c r="O93" s="446">
        <f>VLOOKUP(D:D,'Master Table'!C:O,13,FALSE)</f>
        <v>1030.32</v>
      </c>
      <c r="P93" s="446">
        <v>1030.32</v>
      </c>
      <c r="Q93" s="103">
        <v>1073.9299999999998</v>
      </c>
      <c r="R93" s="103">
        <v>1137.76</v>
      </c>
      <c r="S93" s="103">
        <v>1232.1000000000001</v>
      </c>
    </row>
    <row r="94" spans="1:19" ht="29.1" customHeight="1" x14ac:dyDescent="0.2">
      <c r="A94" s="68" t="str">
        <f t="shared" si="4"/>
        <v>CLF096 / 2356</v>
      </c>
      <c r="B94" s="78" t="s">
        <v>2886</v>
      </c>
      <c r="C94" s="78" t="s">
        <v>7456</v>
      </c>
      <c r="D94" s="448" t="s">
        <v>2884</v>
      </c>
      <c r="E94" s="369" t="str">
        <f>VLOOKUP(D:D,'Master Table'!C:D,2,FALSE)</f>
        <v>2356</v>
      </c>
      <c r="F94" s="544" t="s">
        <v>2884</v>
      </c>
      <c r="G94" s="544" t="s">
        <v>2885</v>
      </c>
      <c r="H94" s="544" t="s">
        <v>1284</v>
      </c>
      <c r="I94" s="544" t="s">
        <v>2886</v>
      </c>
      <c r="J94" s="544" t="s">
        <v>324</v>
      </c>
      <c r="K94" s="758">
        <v>373.33</v>
      </c>
      <c r="L94" s="758">
        <v>90.16</v>
      </c>
      <c r="M94" s="758"/>
      <c r="N94" s="771">
        <f t="shared" si="3"/>
        <v>463.49</v>
      </c>
      <c r="O94" s="446">
        <f>VLOOKUP(D:D,'Master Table'!C:O,13,FALSE)</f>
        <v>609.21</v>
      </c>
      <c r="P94" s="446">
        <v>609.21</v>
      </c>
      <c r="Q94" s="103">
        <v>578.52</v>
      </c>
      <c r="R94" s="103">
        <v>600.54</v>
      </c>
      <c r="S94" s="103">
        <v>546.34</v>
      </c>
    </row>
    <row r="95" spans="1:19" ht="29.1" customHeight="1" x14ac:dyDescent="0.2">
      <c r="A95" s="68" t="str">
        <f t="shared" si="4"/>
        <v>CLF097 / 2357</v>
      </c>
      <c r="B95" s="78" t="s">
        <v>2240</v>
      </c>
      <c r="C95" s="78" t="s">
        <v>1008</v>
      </c>
      <c r="D95" s="448" t="s">
        <v>2891</v>
      </c>
      <c r="E95" s="369" t="str">
        <f>VLOOKUP(D:D,'Master Table'!C:D,2,FALSE)</f>
        <v>2357</v>
      </c>
      <c r="F95" s="544" t="s">
        <v>2891</v>
      </c>
      <c r="G95" s="544" t="s">
        <v>2892</v>
      </c>
      <c r="H95" s="544" t="s">
        <v>1008</v>
      </c>
      <c r="I95" s="544" t="s">
        <v>2240</v>
      </c>
      <c r="J95" s="544" t="s">
        <v>324</v>
      </c>
      <c r="K95" s="758">
        <v>1091.99</v>
      </c>
      <c r="L95" s="758">
        <v>562</v>
      </c>
      <c r="M95" s="758"/>
      <c r="N95" s="771">
        <f t="shared" si="3"/>
        <v>1653.99</v>
      </c>
      <c r="O95" s="446">
        <f>VLOOKUP(D:D,'Master Table'!C:O,13,FALSE)</f>
        <v>3098.14</v>
      </c>
      <c r="P95" s="446">
        <v>3098.14</v>
      </c>
      <c r="Q95" s="103">
        <v>3400.15</v>
      </c>
      <c r="R95" s="103">
        <v>3251.31</v>
      </c>
      <c r="S95" s="103">
        <v>3223.9700000000003</v>
      </c>
    </row>
    <row r="96" spans="1:19" ht="29.1" customHeight="1" x14ac:dyDescent="0.2">
      <c r="A96" s="68" t="str">
        <f t="shared" si="4"/>
        <v>CLF098 / 2358</v>
      </c>
      <c r="B96" s="78" t="s">
        <v>2901</v>
      </c>
      <c r="C96" s="78" t="s">
        <v>2900</v>
      </c>
      <c r="D96" s="448" t="s">
        <v>2898</v>
      </c>
      <c r="E96" s="369" t="str">
        <f>VLOOKUP(D:D,'Master Table'!C:D,2,FALSE)</f>
        <v>2358</v>
      </c>
      <c r="F96" s="544" t="s">
        <v>2898</v>
      </c>
      <c r="G96" s="544" t="s">
        <v>2899</v>
      </c>
      <c r="H96" s="544" t="s">
        <v>2900</v>
      </c>
      <c r="I96" s="544" t="s">
        <v>2901</v>
      </c>
      <c r="J96" s="544" t="s">
        <v>324</v>
      </c>
      <c r="K96" s="758">
        <v>322.39999999999998</v>
      </c>
      <c r="L96" s="758">
        <v>375</v>
      </c>
      <c r="M96" s="758"/>
      <c r="N96" s="771">
        <f t="shared" si="3"/>
        <v>697.4</v>
      </c>
      <c r="O96" s="446">
        <f>VLOOKUP(D:D,'Master Table'!C:O,13,FALSE)</f>
        <v>1385.14</v>
      </c>
      <c r="P96" s="446">
        <v>1385.14</v>
      </c>
      <c r="Q96" s="103">
        <v>1454.01</v>
      </c>
      <c r="R96" s="103">
        <v>1216.53</v>
      </c>
      <c r="S96" s="103">
        <v>1332.05</v>
      </c>
    </row>
    <row r="97" spans="1:19" ht="29.1" customHeight="1" x14ac:dyDescent="0.2">
      <c r="A97" s="68" t="str">
        <f t="shared" si="4"/>
        <v>CLF099 / 2359</v>
      </c>
      <c r="B97" s="78" t="s">
        <v>2904</v>
      </c>
      <c r="C97" s="78" t="s">
        <v>2578</v>
      </c>
      <c r="D97" s="448" t="s">
        <v>2902</v>
      </c>
      <c r="E97" s="369" t="str">
        <f>VLOOKUP(D:D,'Master Table'!C:D,2,FALSE)</f>
        <v>2359</v>
      </c>
      <c r="F97" s="544" t="s">
        <v>2902</v>
      </c>
      <c r="G97" s="544" t="s">
        <v>2903</v>
      </c>
      <c r="H97" s="544" t="s">
        <v>989</v>
      </c>
      <c r="I97" s="544" t="s">
        <v>2904</v>
      </c>
      <c r="J97" s="544" t="s">
        <v>324</v>
      </c>
      <c r="K97" s="758">
        <v>128.82</v>
      </c>
      <c r="L97" s="758">
        <v>269.61</v>
      </c>
      <c r="M97" s="758"/>
      <c r="N97" s="771">
        <f t="shared" si="3"/>
        <v>398.43</v>
      </c>
      <c r="O97" s="446">
        <f>VLOOKUP(D:D,'Master Table'!C:O,13,FALSE)</f>
        <v>645.09</v>
      </c>
      <c r="P97" s="446">
        <v>645.09</v>
      </c>
      <c r="Q97" s="103">
        <v>640.13</v>
      </c>
      <c r="R97" s="103">
        <v>665.32999999999993</v>
      </c>
      <c r="S97" s="103">
        <v>571.40000000000009</v>
      </c>
    </row>
    <row r="98" spans="1:19" ht="29.1" customHeight="1" x14ac:dyDescent="0.2">
      <c r="A98" s="68" t="s">
        <v>11019</v>
      </c>
      <c r="B98" s="68" t="s">
        <v>2908</v>
      </c>
      <c r="C98" s="68" t="s">
        <v>2907</v>
      </c>
      <c r="D98" s="68" t="s">
        <v>2905</v>
      </c>
      <c r="E98" s="68">
        <v>444431</v>
      </c>
      <c r="F98" s="544" t="s">
        <v>2905</v>
      </c>
      <c r="G98" s="544">
        <v>444431</v>
      </c>
      <c r="H98" s="544" t="s">
        <v>2907</v>
      </c>
      <c r="I98" s="544" t="s">
        <v>2908</v>
      </c>
      <c r="J98" s="544" t="s">
        <v>324</v>
      </c>
      <c r="K98" s="758"/>
      <c r="L98" s="758"/>
      <c r="M98" s="758">
        <v>19</v>
      </c>
      <c r="N98" s="771">
        <f t="shared" si="3"/>
        <v>19</v>
      </c>
      <c r="O98" s="446"/>
      <c r="P98" s="446"/>
      <c r="Q98" s="103"/>
      <c r="R98" s="103"/>
      <c r="S98" s="103"/>
    </row>
    <row r="99" spans="1:19" ht="29.1" customHeight="1" x14ac:dyDescent="0.2">
      <c r="A99" s="68" t="str">
        <f t="shared" si="4"/>
        <v>CLF100 / 2360</v>
      </c>
      <c r="B99" s="78" t="s">
        <v>2912</v>
      </c>
      <c r="C99" s="78" t="s">
        <v>2911</v>
      </c>
      <c r="D99" s="448" t="s">
        <v>2909</v>
      </c>
      <c r="E99" s="369" t="str">
        <f>VLOOKUP(D:D,'Master Table'!C:D,2,FALSE)</f>
        <v>2360</v>
      </c>
      <c r="F99" s="544" t="s">
        <v>2909</v>
      </c>
      <c r="G99" s="544" t="s">
        <v>2910</v>
      </c>
      <c r="H99" s="544" t="s">
        <v>2911</v>
      </c>
      <c r="I99" s="544" t="s">
        <v>2740</v>
      </c>
      <c r="J99" s="544" t="s">
        <v>324</v>
      </c>
      <c r="K99" s="758">
        <v>146.43</v>
      </c>
      <c r="L99" s="758">
        <v>70</v>
      </c>
      <c r="M99" s="758"/>
      <c r="N99" s="771">
        <f t="shared" si="3"/>
        <v>216.43</v>
      </c>
      <c r="O99" s="446">
        <f>VLOOKUP(D:D,'Master Table'!C:O,13,FALSE)</f>
        <v>492.64</v>
      </c>
      <c r="P99" s="446">
        <v>492.64</v>
      </c>
      <c r="Q99" s="103">
        <v>446.55</v>
      </c>
      <c r="R99" s="103">
        <v>450.63</v>
      </c>
      <c r="S99" s="103">
        <v>453.49</v>
      </c>
    </row>
    <row r="100" spans="1:19" ht="29.1" customHeight="1" x14ac:dyDescent="0.2">
      <c r="A100" s="68" t="str">
        <f t="shared" si="4"/>
        <v>CLF101 / 2361</v>
      </c>
      <c r="B100" s="78" t="s">
        <v>2915</v>
      </c>
      <c r="C100" s="78" t="s">
        <v>7216</v>
      </c>
      <c r="D100" s="448" t="s">
        <v>2913</v>
      </c>
      <c r="E100" s="369" t="str">
        <f>VLOOKUP(D:D,'Master Table'!C:D,2,FALSE)</f>
        <v>2361</v>
      </c>
      <c r="F100" s="544" t="s">
        <v>2913</v>
      </c>
      <c r="G100" s="544" t="s">
        <v>2914</v>
      </c>
      <c r="H100" s="544" t="s">
        <v>11</v>
      </c>
      <c r="I100" s="544" t="s">
        <v>2915</v>
      </c>
      <c r="J100" s="544" t="s">
        <v>324</v>
      </c>
      <c r="K100" s="758">
        <v>555.77</v>
      </c>
      <c r="L100" s="758">
        <v>290</v>
      </c>
      <c r="M100" s="758"/>
      <c r="N100" s="771">
        <f t="shared" si="3"/>
        <v>845.77</v>
      </c>
      <c r="O100" s="446">
        <f>VLOOKUP(D:D,'Master Table'!C:O,13,FALSE)</f>
        <v>1796.21</v>
      </c>
      <c r="P100" s="446">
        <v>1796.21</v>
      </c>
      <c r="Q100" s="103">
        <v>1405.2</v>
      </c>
      <c r="R100" s="103">
        <v>1422.27</v>
      </c>
      <c r="S100" s="103">
        <v>2063.5</v>
      </c>
    </row>
    <row r="101" spans="1:19" ht="29.1" customHeight="1" x14ac:dyDescent="0.2">
      <c r="A101" s="68" t="str">
        <f t="shared" si="4"/>
        <v>CLF102 / 2362</v>
      </c>
      <c r="B101" s="78" t="s">
        <v>2915</v>
      </c>
      <c r="C101" s="78" t="s">
        <v>1203</v>
      </c>
      <c r="D101" s="448" t="s">
        <v>2917</v>
      </c>
      <c r="E101" s="369" t="str">
        <f>VLOOKUP(D:D,'Master Table'!C:D,2,FALSE)</f>
        <v>2362</v>
      </c>
      <c r="F101" s="544" t="s">
        <v>2917</v>
      </c>
      <c r="G101" s="544" t="s">
        <v>2918</v>
      </c>
      <c r="H101" s="544" t="s">
        <v>1203</v>
      </c>
      <c r="I101" s="544" t="s">
        <v>2915</v>
      </c>
      <c r="J101" s="544" t="s">
        <v>324</v>
      </c>
      <c r="K101" s="758">
        <v>1078.8900000000001</v>
      </c>
      <c r="L101" s="758">
        <v>655.20000000000005</v>
      </c>
      <c r="M101" s="758"/>
      <c r="N101" s="771">
        <f t="shared" si="3"/>
        <v>1734.0900000000001</v>
      </c>
      <c r="O101" s="446">
        <f>VLOOKUP(D:D,'Master Table'!C:O,13,FALSE)</f>
        <v>1654.8300000000002</v>
      </c>
      <c r="P101" s="446">
        <v>1654.8300000000002</v>
      </c>
      <c r="Q101" s="103">
        <v>2414.7399999999998</v>
      </c>
      <c r="R101" s="103">
        <v>2789.37</v>
      </c>
      <c r="S101" s="103">
        <v>3443.2000000000003</v>
      </c>
    </row>
    <row r="102" spans="1:19" ht="29.1" customHeight="1" x14ac:dyDescent="0.2">
      <c r="A102" s="68" t="str">
        <f t="shared" si="4"/>
        <v>CLF103 / 2363</v>
      </c>
      <c r="B102" s="78" t="s">
        <v>2915</v>
      </c>
      <c r="C102" s="78" t="s">
        <v>532</v>
      </c>
      <c r="D102" s="448" t="s">
        <v>2920</v>
      </c>
      <c r="E102" s="369" t="str">
        <f>VLOOKUP(D:D,'Master Table'!C:D,2,FALSE)</f>
        <v>2363</v>
      </c>
      <c r="F102" s="544" t="s">
        <v>2920</v>
      </c>
      <c r="G102" s="544" t="s">
        <v>2921</v>
      </c>
      <c r="H102" s="544" t="s">
        <v>61</v>
      </c>
      <c r="I102" s="544" t="s">
        <v>2915</v>
      </c>
      <c r="J102" s="544" t="s">
        <v>324</v>
      </c>
      <c r="K102" s="758">
        <v>128.19999999999999</v>
      </c>
      <c r="L102" s="758">
        <v>115</v>
      </c>
      <c r="M102" s="758"/>
      <c r="N102" s="771">
        <f t="shared" si="3"/>
        <v>243.2</v>
      </c>
      <c r="O102" s="446">
        <f>VLOOKUP(D:D,'Master Table'!C:O,13,FALSE)</f>
        <v>421.38</v>
      </c>
      <c r="P102" s="446">
        <v>421.38</v>
      </c>
      <c r="Q102" s="103">
        <v>428.53</v>
      </c>
      <c r="R102" s="103">
        <v>516.39</v>
      </c>
      <c r="S102" s="103">
        <v>503.37</v>
      </c>
    </row>
    <row r="103" spans="1:19" ht="29.1" customHeight="1" x14ac:dyDescent="0.2">
      <c r="A103" s="68" t="str">
        <f t="shared" si="4"/>
        <v>CLF104 / 2364</v>
      </c>
      <c r="B103" s="78" t="s">
        <v>2925</v>
      </c>
      <c r="C103" s="78" t="s">
        <v>2924</v>
      </c>
      <c r="D103" s="448" t="s">
        <v>2922</v>
      </c>
      <c r="E103" s="369" t="str">
        <f>VLOOKUP(D:D,'Master Table'!C:D,2,FALSE)</f>
        <v>2364</v>
      </c>
      <c r="F103" s="544" t="s">
        <v>2922</v>
      </c>
      <c r="G103" s="544" t="s">
        <v>2923</v>
      </c>
      <c r="H103" s="544" t="s">
        <v>2924</v>
      </c>
      <c r="I103" s="544" t="s">
        <v>2925</v>
      </c>
      <c r="J103" s="544" t="s">
        <v>324</v>
      </c>
      <c r="K103" s="758">
        <v>191.98</v>
      </c>
      <c r="L103" s="758">
        <v>217</v>
      </c>
      <c r="M103" s="758"/>
      <c r="N103" s="771">
        <f t="shared" si="3"/>
        <v>408.98</v>
      </c>
      <c r="O103" s="446">
        <f>VLOOKUP(D:D,'Master Table'!C:O,13,FALSE)</f>
        <v>2331.44</v>
      </c>
      <c r="P103" s="446">
        <v>2331.44</v>
      </c>
      <c r="Q103" s="103">
        <v>2300</v>
      </c>
      <c r="R103" s="103">
        <v>3026.8</v>
      </c>
      <c r="S103" s="103">
        <v>2315</v>
      </c>
    </row>
    <row r="104" spans="1:19" ht="29.1" customHeight="1" x14ac:dyDescent="0.2">
      <c r="A104" s="68" t="str">
        <f t="shared" si="4"/>
        <v>CLF105 / 2365</v>
      </c>
      <c r="B104" s="78" t="s">
        <v>2931</v>
      </c>
      <c r="C104" s="78" t="s">
        <v>7346</v>
      </c>
      <c r="D104" s="448" t="s">
        <v>2929</v>
      </c>
      <c r="E104" s="369" t="str">
        <f>VLOOKUP(D:D,'Master Table'!C:D,2,FALSE)</f>
        <v>2365</v>
      </c>
      <c r="F104" s="544" t="s">
        <v>2929</v>
      </c>
      <c r="G104" s="544" t="s">
        <v>2930</v>
      </c>
      <c r="H104" s="544" t="s">
        <v>1606</v>
      </c>
      <c r="I104" s="544" t="s">
        <v>2931</v>
      </c>
      <c r="J104" s="544" t="s">
        <v>324</v>
      </c>
      <c r="K104" s="758">
        <v>817.76</v>
      </c>
      <c r="L104" s="758">
        <v>395</v>
      </c>
      <c r="M104" s="758"/>
      <c r="N104" s="771">
        <f t="shared" si="3"/>
        <v>1212.76</v>
      </c>
      <c r="O104" s="446">
        <f>VLOOKUP(D:D,'Master Table'!C:O,13,FALSE)</f>
        <v>1115.79</v>
      </c>
      <c r="P104" s="446">
        <v>1115.79</v>
      </c>
      <c r="Q104" s="103">
        <v>1325.66</v>
      </c>
      <c r="R104" s="103">
        <v>1617.9</v>
      </c>
      <c r="S104" s="103">
        <v>1703.31</v>
      </c>
    </row>
    <row r="105" spans="1:19" ht="29.1" customHeight="1" x14ac:dyDescent="0.2">
      <c r="A105" s="68" t="str">
        <f t="shared" si="4"/>
        <v>CLF106 / 2366</v>
      </c>
      <c r="B105" s="78" t="s">
        <v>2939</v>
      </c>
      <c r="C105" s="78" t="s">
        <v>2938</v>
      </c>
      <c r="D105" s="448" t="s">
        <v>2936</v>
      </c>
      <c r="E105" s="369" t="str">
        <f>VLOOKUP(D:D,'Master Table'!C:D,2,FALSE)</f>
        <v>2366</v>
      </c>
      <c r="F105" s="544" t="s">
        <v>2936</v>
      </c>
      <c r="G105" s="544" t="s">
        <v>2937</v>
      </c>
      <c r="H105" s="544" t="s">
        <v>186</v>
      </c>
      <c r="I105" s="544" t="s">
        <v>2939</v>
      </c>
      <c r="J105" s="544" t="s">
        <v>324</v>
      </c>
      <c r="K105" s="758">
        <v>24.9</v>
      </c>
      <c r="L105" s="758"/>
      <c r="M105" s="758"/>
      <c r="N105" s="771">
        <f t="shared" si="3"/>
        <v>24.9</v>
      </c>
      <c r="O105" s="446">
        <f>VLOOKUP(D:D,'Master Table'!C:O,13,FALSE)</f>
        <v>41.73</v>
      </c>
      <c r="P105" s="446">
        <v>41.73</v>
      </c>
      <c r="Q105" s="103">
        <v>324.42</v>
      </c>
      <c r="R105" s="103">
        <v>717.85</v>
      </c>
      <c r="S105" s="103">
        <v>802.52</v>
      </c>
    </row>
    <row r="106" spans="1:19" x14ac:dyDescent="0.2">
      <c r="A106" s="68" t="str">
        <f t="shared" si="4"/>
        <v>CLF107 / 2367</v>
      </c>
      <c r="B106" s="78" t="s">
        <v>7457</v>
      </c>
      <c r="C106" s="78" t="s">
        <v>1284</v>
      </c>
      <c r="D106" s="448" t="s">
        <v>2940</v>
      </c>
      <c r="E106" s="369" t="str">
        <f>VLOOKUP(D:D,'Master Table'!C:D,2,FALSE)</f>
        <v>2367</v>
      </c>
      <c r="F106" s="544" t="s">
        <v>2940</v>
      </c>
      <c r="G106" s="544" t="s">
        <v>2941</v>
      </c>
      <c r="H106" s="544" t="s">
        <v>47</v>
      </c>
      <c r="I106" s="544" t="s">
        <v>2942</v>
      </c>
      <c r="J106" s="544" t="s">
        <v>324</v>
      </c>
      <c r="K106" s="758">
        <v>174.31</v>
      </c>
      <c r="L106" s="758">
        <v>225</v>
      </c>
      <c r="M106" s="758"/>
      <c r="N106" s="771">
        <f t="shared" ref="N106:N110" si="6">K106+L106+M106</f>
        <v>399.31</v>
      </c>
      <c r="O106" s="446">
        <f>VLOOKUP(D:D,'Master Table'!C:O,13,FALSE)</f>
        <v>369.33</v>
      </c>
      <c r="P106" s="446">
        <v>369.33</v>
      </c>
      <c r="Q106" s="103">
        <v>231.27</v>
      </c>
      <c r="R106" s="103">
        <v>373.5</v>
      </c>
      <c r="S106" s="103">
        <v>400.07</v>
      </c>
    </row>
    <row r="107" spans="1:19" x14ac:dyDescent="0.2">
      <c r="A107" s="68" t="str">
        <f t="shared" si="4"/>
        <v>CLF108 / 2368</v>
      </c>
      <c r="B107" s="78" t="s">
        <v>2945</v>
      </c>
      <c r="C107" s="78" t="s">
        <v>1349</v>
      </c>
      <c r="D107" s="448" t="s">
        <v>2943</v>
      </c>
      <c r="E107" s="369" t="str">
        <f>VLOOKUP(D:D,'Master Table'!C:D,2,FALSE)</f>
        <v>2368</v>
      </c>
      <c r="F107" s="544" t="s">
        <v>2943</v>
      </c>
      <c r="G107" s="544" t="s">
        <v>2944</v>
      </c>
      <c r="H107" s="544" t="s">
        <v>94</v>
      </c>
      <c r="I107" s="544" t="s">
        <v>2945</v>
      </c>
      <c r="J107" s="544" t="s">
        <v>324</v>
      </c>
      <c r="K107" s="758"/>
      <c r="L107" s="758">
        <v>365</v>
      </c>
      <c r="M107" s="758"/>
      <c r="N107" s="771">
        <f t="shared" si="6"/>
        <v>365</v>
      </c>
      <c r="O107" s="446">
        <f>VLOOKUP(D:D,'Master Table'!C:O,13,FALSE)</f>
        <v>386.84</v>
      </c>
      <c r="P107" s="446">
        <v>386.84</v>
      </c>
      <c r="Q107" s="103">
        <v>188.11</v>
      </c>
      <c r="R107" s="103">
        <v>165</v>
      </c>
      <c r="S107" s="103">
        <v>380.33000000000004</v>
      </c>
    </row>
    <row r="108" spans="1:19" ht="28.5" hidden="1" customHeight="1" x14ac:dyDescent="0.2">
      <c r="A108" s="68" t="str">
        <f t="shared" si="4"/>
        <v>CLF109 / 2369</v>
      </c>
      <c r="B108" s="78" t="s">
        <v>2948</v>
      </c>
      <c r="C108" s="78" t="s">
        <v>1366</v>
      </c>
      <c r="D108" s="448" t="s">
        <v>2946</v>
      </c>
      <c r="E108" s="369" t="str">
        <f>VLOOKUP(D:D,'Master Table'!C:D,2,FALSE)</f>
        <v>2369</v>
      </c>
      <c r="F108" s="544" t="s">
        <v>2946</v>
      </c>
      <c r="G108" s="544" t="s">
        <v>2947</v>
      </c>
      <c r="H108" s="544" t="s">
        <v>61</v>
      </c>
      <c r="I108" s="544" t="s">
        <v>2865</v>
      </c>
      <c r="J108" s="544" t="s">
        <v>324</v>
      </c>
      <c r="K108" s="758"/>
      <c r="L108" s="758">
        <v>202</v>
      </c>
      <c r="M108" s="758">
        <v>60</v>
      </c>
      <c r="N108" s="771">
        <f t="shared" si="6"/>
        <v>262</v>
      </c>
      <c r="O108" s="446">
        <f>VLOOKUP(D:D,'Master Table'!C:O,13,FALSE)</f>
        <v>487.83</v>
      </c>
      <c r="P108" s="446">
        <v>487.83</v>
      </c>
      <c r="Q108" s="103">
        <v>464.44</v>
      </c>
      <c r="R108" s="103">
        <v>0</v>
      </c>
      <c r="S108" s="103">
        <v>5</v>
      </c>
    </row>
    <row r="109" spans="1:19" ht="28.5" hidden="1" customHeight="1" x14ac:dyDescent="0.2">
      <c r="A109" s="68" t="str">
        <f t="shared" si="4"/>
        <v>CLF110 / 2370</v>
      </c>
      <c r="B109" s="78" t="s">
        <v>2952</v>
      </c>
      <c r="C109" s="78" t="s">
        <v>7199</v>
      </c>
      <c r="D109" s="448" t="s">
        <v>2950</v>
      </c>
      <c r="E109" s="369" t="str">
        <f>VLOOKUP(D:D,'Master Table'!C:D,2,FALSE)</f>
        <v>2370</v>
      </c>
      <c r="F109" s="544" t="s">
        <v>2950</v>
      </c>
      <c r="G109" s="544" t="s">
        <v>2951</v>
      </c>
      <c r="H109" s="544" t="s">
        <v>442</v>
      </c>
      <c r="I109" s="544" t="s">
        <v>2952</v>
      </c>
      <c r="J109" s="544" t="s">
        <v>324</v>
      </c>
      <c r="K109" s="758"/>
      <c r="L109" s="758">
        <v>546</v>
      </c>
      <c r="M109" s="758"/>
      <c r="N109" s="771">
        <f t="shared" si="6"/>
        <v>546</v>
      </c>
      <c r="O109" s="446">
        <f>VLOOKUP(D:D,'Master Table'!C:O,13,FALSE)</f>
        <v>2146.2600000000002</v>
      </c>
      <c r="P109" s="446">
        <v>2146.2600000000002</v>
      </c>
      <c r="Q109" s="103">
        <v>2381.3900000000003</v>
      </c>
      <c r="R109" s="103">
        <v>2893.38</v>
      </c>
      <c r="S109" s="103">
        <v>2729.59</v>
      </c>
    </row>
    <row r="110" spans="1:19" x14ac:dyDescent="0.2">
      <c r="A110" s="68" t="str">
        <f t="shared" si="4"/>
        <v>CLF111 / 2371</v>
      </c>
      <c r="B110" s="78" t="s">
        <v>2865</v>
      </c>
      <c r="C110" s="525" t="s">
        <v>1065</v>
      </c>
      <c r="D110" s="448" t="s">
        <v>2957</v>
      </c>
      <c r="E110" s="369" t="str">
        <f>VLOOKUP(D:D,'Master Table'!C:D,2,FALSE)</f>
        <v>2371</v>
      </c>
      <c r="F110" s="544" t="s">
        <v>2957</v>
      </c>
      <c r="G110" s="544" t="s">
        <v>2958</v>
      </c>
      <c r="H110" s="544" t="s">
        <v>276</v>
      </c>
      <c r="I110" s="544" t="s">
        <v>2865</v>
      </c>
      <c r="J110" s="544" t="s">
        <v>324</v>
      </c>
      <c r="K110" s="758">
        <v>544</v>
      </c>
      <c r="L110" s="758">
        <v>899</v>
      </c>
      <c r="M110" s="758"/>
      <c r="N110" s="771">
        <f t="shared" si="6"/>
        <v>1443</v>
      </c>
      <c r="O110" s="446">
        <f>VLOOKUP(D:D,'Master Table'!C:O,13,FALSE)</f>
        <v>2217</v>
      </c>
      <c r="P110" s="446">
        <v>2217</v>
      </c>
      <c r="Q110" s="103">
        <v>2081</v>
      </c>
      <c r="R110" s="103">
        <v>1992</v>
      </c>
      <c r="S110" s="103">
        <v>1855</v>
      </c>
    </row>
    <row r="111" spans="1:19" x14ac:dyDescent="0.2">
      <c r="A111" s="68" t="str">
        <f t="shared" si="4"/>
        <v>CLF042 / 2301</v>
      </c>
      <c r="B111" s="544" t="s">
        <v>8374</v>
      </c>
      <c r="C111" s="526" t="s">
        <v>8233</v>
      </c>
      <c r="D111" s="524" t="s">
        <v>2649</v>
      </c>
      <c r="E111" s="369" t="str">
        <f>VLOOKUP(D:D,'Master Table'!C:D,2,FALSE)</f>
        <v>2301</v>
      </c>
      <c r="F111" s="544" t="s">
        <v>2649</v>
      </c>
      <c r="G111" s="544" t="s">
        <v>2650</v>
      </c>
      <c r="H111" s="544" t="s">
        <v>2651</v>
      </c>
      <c r="I111" s="544" t="s">
        <v>2652</v>
      </c>
      <c r="J111" s="544" t="s">
        <v>324</v>
      </c>
      <c r="K111" s="758"/>
      <c r="L111" s="758">
        <v>45</v>
      </c>
      <c r="M111" s="758"/>
      <c r="N111" s="887">
        <v>610</v>
      </c>
      <c r="O111" s="446">
        <f>VLOOKUP(D:D,'Master Table'!C:O,13,FALSE)</f>
        <v>25</v>
      </c>
      <c r="P111" s="446">
        <v>25</v>
      </c>
      <c r="Q111" s="856">
        <v>1827.84</v>
      </c>
      <c r="R111" s="103">
        <v>2521.6400000000003</v>
      </c>
      <c r="S111" s="103">
        <v>1920.77</v>
      </c>
    </row>
    <row r="112" spans="1:19" x14ac:dyDescent="0.2">
      <c r="A112" s="68" t="str">
        <f t="shared" ref="A112" si="7">D112&amp;" / "&amp;E112</f>
        <v>CLF061 / 2321</v>
      </c>
      <c r="B112" s="545" t="s">
        <v>8373</v>
      </c>
      <c r="C112" s="527" t="s">
        <v>8234</v>
      </c>
      <c r="D112" s="524" t="s">
        <v>2747</v>
      </c>
      <c r="E112" s="369" t="str">
        <f>VLOOKUP(D:D,'Master Table'!C:D,2,FALSE)</f>
        <v>2321</v>
      </c>
      <c r="F112" s="544" t="s">
        <v>2747</v>
      </c>
      <c r="G112" s="544" t="s">
        <v>2748</v>
      </c>
      <c r="H112" s="544" t="s">
        <v>2749</v>
      </c>
      <c r="I112" s="544" t="s">
        <v>2750</v>
      </c>
      <c r="J112" s="544" t="s">
        <v>324</v>
      </c>
      <c r="K112" s="758"/>
      <c r="L112" s="758">
        <v>50</v>
      </c>
      <c r="M112" s="758"/>
      <c r="N112" s="892"/>
      <c r="O112" s="446">
        <f>VLOOKUP(D:D,'Master Table'!C:O,13,FALSE)</f>
        <v>170</v>
      </c>
      <c r="P112" s="446">
        <v>170</v>
      </c>
      <c r="Q112" s="889"/>
      <c r="R112" s="103"/>
      <c r="S112" s="103"/>
    </row>
    <row r="113" spans="1:19" x14ac:dyDescent="0.2">
      <c r="A113" s="68" t="str">
        <f t="shared" ref="A113" si="8">D113&amp;" / "&amp;E113</f>
        <v>CLF071 / 2330</v>
      </c>
      <c r="B113" s="545" t="s">
        <v>8370</v>
      </c>
      <c r="C113" s="527" t="s">
        <v>8235</v>
      </c>
      <c r="D113" s="524" t="s">
        <v>2786</v>
      </c>
      <c r="E113" s="369" t="str">
        <f>VLOOKUP(D:D,'Master Table'!C:D,2,FALSE)</f>
        <v>2330</v>
      </c>
      <c r="F113" s="544"/>
      <c r="G113" s="544"/>
      <c r="H113" s="544"/>
      <c r="I113" s="544"/>
      <c r="J113" s="544"/>
      <c r="K113" s="758"/>
      <c r="L113" s="758"/>
      <c r="M113" s="758"/>
      <c r="N113" s="892"/>
      <c r="O113" s="446">
        <f>VLOOKUP(D:D,'Master Table'!C:O,13,FALSE)</f>
        <v>33.58</v>
      </c>
      <c r="P113" s="446">
        <v>33.58</v>
      </c>
      <c r="Q113" s="889"/>
      <c r="R113" s="103"/>
      <c r="S113" s="103"/>
    </row>
    <row r="114" spans="1:19" x14ac:dyDescent="0.2">
      <c r="A114" s="68" t="str">
        <f t="shared" ref="A114" si="9">D114&amp;" / "&amp;E114</f>
        <v>CLF073 / 0444453</v>
      </c>
      <c r="B114" s="545" t="s">
        <v>8371</v>
      </c>
      <c r="C114" s="527" t="s">
        <v>1355</v>
      </c>
      <c r="D114" s="524" t="s">
        <v>2797</v>
      </c>
      <c r="E114" s="369" t="str">
        <f>VLOOKUP(D:D,'Master Table'!C:D,2,FALSE)</f>
        <v>0444453</v>
      </c>
      <c r="F114" s="544"/>
      <c r="G114" s="544"/>
      <c r="H114" s="544"/>
      <c r="I114" s="544"/>
      <c r="J114" s="544"/>
      <c r="K114" s="758"/>
      <c r="L114" s="758"/>
      <c r="M114" s="758"/>
      <c r="N114" s="892"/>
      <c r="O114" s="446">
        <f>VLOOKUP(D:D,'Master Table'!C:O,13,FALSE)</f>
        <v>0</v>
      </c>
      <c r="P114" s="446">
        <v>0</v>
      </c>
      <c r="Q114" s="889"/>
      <c r="R114" s="103"/>
      <c r="S114" s="103"/>
    </row>
    <row r="115" spans="1:19" x14ac:dyDescent="0.2">
      <c r="A115" s="68" t="str">
        <f t="shared" si="4"/>
        <v>CLF079 / 2338</v>
      </c>
      <c r="B115" s="545" t="s">
        <v>8369</v>
      </c>
      <c r="C115" s="527" t="s">
        <v>8236</v>
      </c>
      <c r="D115" s="524" t="s">
        <v>2818</v>
      </c>
      <c r="E115" s="369" t="str">
        <f>VLOOKUP(D:D,'Master Table'!C:D,2,FALSE)</f>
        <v>2338</v>
      </c>
      <c r="F115" s="544" t="s">
        <v>2818</v>
      </c>
      <c r="G115" s="544" t="s">
        <v>2819</v>
      </c>
      <c r="H115" s="544" t="s">
        <v>2820</v>
      </c>
      <c r="I115" s="544" t="s">
        <v>2821</v>
      </c>
      <c r="J115" s="544" t="s">
        <v>324</v>
      </c>
      <c r="K115" s="758"/>
      <c r="L115" s="758">
        <v>300</v>
      </c>
      <c r="M115" s="758"/>
      <c r="N115" s="892"/>
      <c r="O115" s="446">
        <f>VLOOKUP(D:D,'Master Table'!C:O,13,FALSE)</f>
        <v>592.11</v>
      </c>
      <c r="P115" s="446">
        <v>592.11</v>
      </c>
      <c r="Q115" s="889"/>
      <c r="R115" s="103"/>
      <c r="S115" s="103"/>
    </row>
    <row r="116" spans="1:19" x14ac:dyDescent="0.2">
      <c r="A116" s="68" t="str">
        <f t="shared" ref="A116" si="10">D116&amp;" / "&amp;E116</f>
        <v>CLF086 / 2345</v>
      </c>
      <c r="B116" s="546" t="s">
        <v>8372</v>
      </c>
      <c r="C116" s="528" t="s">
        <v>7624</v>
      </c>
      <c r="D116" s="524" t="s">
        <v>2845</v>
      </c>
      <c r="E116" s="369" t="str">
        <f>VLOOKUP(D:D,'Master Table'!C:D,2,FALSE)</f>
        <v>2345</v>
      </c>
      <c r="F116" s="544" t="s">
        <v>2845</v>
      </c>
      <c r="G116" s="544" t="s">
        <v>2846</v>
      </c>
      <c r="H116" s="544" t="s">
        <v>1015</v>
      </c>
      <c r="I116" s="544" t="s">
        <v>2847</v>
      </c>
      <c r="J116" s="544" t="s">
        <v>324</v>
      </c>
      <c r="K116" s="758"/>
      <c r="L116" s="758">
        <v>215</v>
      </c>
      <c r="M116" s="758"/>
      <c r="N116" s="888"/>
      <c r="O116" s="446">
        <f>VLOOKUP(D:D,'Master Table'!C:O,13,FALSE)</f>
        <v>351.46</v>
      </c>
      <c r="P116" s="446">
        <v>351.46</v>
      </c>
      <c r="Q116" s="857"/>
      <c r="R116" s="103"/>
      <c r="S116" s="103"/>
    </row>
    <row r="117" spans="1:19" x14ac:dyDescent="0.2">
      <c r="A117" s="68" t="str">
        <f t="shared" si="4"/>
        <v>CLF999 / 2375</v>
      </c>
      <c r="B117" s="78" t="s">
        <v>7462</v>
      </c>
      <c r="C117" s="254" t="s">
        <v>7261</v>
      </c>
      <c r="D117" s="448" t="s">
        <v>2962</v>
      </c>
      <c r="E117" s="369" t="str">
        <f>VLOOKUP(D:D,'Master Table'!C:D,2,FALSE)</f>
        <v>2375</v>
      </c>
      <c r="F117" s="544" t="s">
        <v>2962</v>
      </c>
      <c r="G117" s="544" t="s">
        <v>2963</v>
      </c>
      <c r="H117" s="544" t="s">
        <v>2964</v>
      </c>
      <c r="I117" s="544"/>
      <c r="J117" s="544" t="s">
        <v>324</v>
      </c>
      <c r="K117" s="772">
        <v>216.13</v>
      </c>
      <c r="L117" s="772">
        <v>5198.1000000000004</v>
      </c>
      <c r="M117" s="772">
        <v>1177.52</v>
      </c>
      <c r="N117" s="773">
        <f>K117+L117+M117</f>
        <v>6591.75</v>
      </c>
      <c r="O117" s="446">
        <f>VLOOKUP(D:D,'Master Table'!C:O,13,FALSE)</f>
        <v>192.13</v>
      </c>
      <c r="P117" s="446">
        <v>192.13</v>
      </c>
      <c r="Q117" s="103">
        <v>2269.66</v>
      </c>
      <c r="R117" s="103">
        <v>779.09</v>
      </c>
      <c r="S117" s="103">
        <v>2463.66</v>
      </c>
    </row>
    <row r="118" spans="1:19" x14ac:dyDescent="0.2">
      <c r="D118" s="74"/>
      <c r="E118" s="74"/>
      <c r="F118" s="74"/>
      <c r="G118" s="74"/>
      <c r="H118" s="74"/>
      <c r="K118" s="74"/>
      <c r="L118" s="74"/>
      <c r="M118" s="74"/>
      <c r="N118" s="74"/>
    </row>
    <row r="119" spans="1:19" ht="15.75" thickBot="1" x14ac:dyDescent="0.25">
      <c r="D119" s="74"/>
      <c r="E119" s="74"/>
      <c r="F119" s="74"/>
      <c r="G119" s="74"/>
      <c r="H119" s="74"/>
      <c r="K119" s="74"/>
      <c r="L119" s="74"/>
      <c r="M119" s="74"/>
      <c r="N119" s="74"/>
    </row>
    <row r="120" spans="1:19" ht="83.25" customHeight="1" thickBot="1" x14ac:dyDescent="0.25">
      <c r="A120" s="854" t="s">
        <v>10987</v>
      </c>
      <c r="B120" s="855"/>
      <c r="C120" s="855"/>
      <c r="D120" s="855"/>
      <c r="E120" s="855"/>
      <c r="F120" s="855"/>
      <c r="G120" s="855"/>
      <c r="H120" s="855"/>
      <c r="I120" s="855"/>
      <c r="J120" s="855"/>
      <c r="K120" s="855"/>
      <c r="L120" s="855"/>
      <c r="M120" s="855"/>
      <c r="N120" s="855"/>
      <c r="O120" s="855"/>
    </row>
    <row r="121" spans="1:19" x14ac:dyDescent="0.2">
      <c r="A121" s="718"/>
      <c r="B121" s="718"/>
      <c r="C121" s="718"/>
      <c r="D121" s="74"/>
      <c r="E121" s="74"/>
      <c r="F121" s="74"/>
      <c r="G121" s="74"/>
      <c r="H121" s="74"/>
      <c r="K121" s="74"/>
      <c r="L121" s="74"/>
      <c r="M121" s="74"/>
      <c r="N121" s="74"/>
    </row>
    <row r="122" spans="1:19" ht="30" x14ac:dyDescent="0.2">
      <c r="A122" s="763" t="s">
        <v>7422</v>
      </c>
      <c r="B122" s="764" t="s">
        <v>11007</v>
      </c>
      <c r="C122" s="715"/>
      <c r="D122" s="74"/>
      <c r="E122" s="74"/>
      <c r="F122" s="74"/>
      <c r="G122" s="74"/>
      <c r="H122" s="74"/>
      <c r="K122" s="74"/>
      <c r="L122" s="74"/>
      <c r="M122" s="74"/>
      <c r="N122" s="74"/>
    </row>
    <row r="123" spans="1:19" ht="75" x14ac:dyDescent="0.2">
      <c r="A123" s="763" t="s">
        <v>10990</v>
      </c>
      <c r="B123" s="764" t="s">
        <v>11008</v>
      </c>
      <c r="C123" s="715"/>
      <c r="D123" s="74"/>
      <c r="E123" s="74"/>
      <c r="F123" s="74"/>
      <c r="G123" s="74"/>
      <c r="H123" s="74"/>
      <c r="K123" s="74"/>
      <c r="L123" s="74"/>
      <c r="M123" s="74"/>
      <c r="N123" s="74"/>
    </row>
    <row r="124" spans="1:19" ht="60" x14ac:dyDescent="0.2">
      <c r="A124" s="763" t="s">
        <v>10991</v>
      </c>
      <c r="B124" s="764" t="s">
        <v>11009</v>
      </c>
      <c r="C124" s="715"/>
      <c r="D124" s="74"/>
      <c r="E124" s="74"/>
      <c r="F124" s="74"/>
      <c r="G124" s="74"/>
      <c r="H124" s="74"/>
      <c r="K124" s="74"/>
      <c r="L124" s="74"/>
      <c r="M124" s="74"/>
      <c r="N124" s="74"/>
    </row>
    <row r="125" spans="1:19" x14ac:dyDescent="0.2">
      <c r="O125" s="85"/>
      <c r="P125" s="85"/>
      <c r="Q125" s="85"/>
    </row>
    <row r="126" spans="1:19" x14ac:dyDescent="0.2">
      <c r="O126" s="85"/>
      <c r="P126" s="85"/>
      <c r="Q126" s="85"/>
    </row>
    <row r="127" spans="1:19" x14ac:dyDescent="0.2">
      <c r="O127" s="85"/>
      <c r="P127" s="85"/>
      <c r="Q127" s="85"/>
    </row>
    <row r="128" spans="1:19" x14ac:dyDescent="0.2">
      <c r="O128" s="85"/>
      <c r="P128" s="85"/>
      <c r="Q128" s="85"/>
    </row>
    <row r="129" spans="15:17" x14ac:dyDescent="0.2">
      <c r="O129" s="85"/>
      <c r="P129" s="85"/>
      <c r="Q129" s="85"/>
    </row>
    <row r="130" spans="15:17" x14ac:dyDescent="0.2">
      <c r="O130" s="85"/>
      <c r="P130" s="85"/>
      <c r="Q130" s="85"/>
    </row>
    <row r="131" spans="15:17" x14ac:dyDescent="0.2">
      <c r="O131" s="85"/>
      <c r="P131" s="85"/>
      <c r="Q131" s="85"/>
    </row>
    <row r="132" spans="15:17" x14ac:dyDescent="0.2">
      <c r="O132" s="85"/>
      <c r="P132" s="85"/>
      <c r="Q132" s="85"/>
    </row>
    <row r="133" spans="15:17" x14ac:dyDescent="0.2">
      <c r="O133" s="85"/>
      <c r="P133" s="85"/>
      <c r="Q133" s="85"/>
    </row>
    <row r="134" spans="15:17" x14ac:dyDescent="0.2">
      <c r="O134" s="85"/>
      <c r="P134" s="85"/>
      <c r="Q134" s="85"/>
    </row>
    <row r="135" spans="15:17" x14ac:dyDescent="0.2">
      <c r="O135" s="85"/>
      <c r="P135" s="85"/>
      <c r="Q135" s="85"/>
    </row>
    <row r="136" spans="15:17" x14ac:dyDescent="0.2">
      <c r="O136" s="85"/>
      <c r="P136" s="85"/>
      <c r="Q136" s="85"/>
    </row>
    <row r="137" spans="15:17" x14ac:dyDescent="0.2">
      <c r="O137" s="85"/>
      <c r="P137" s="85"/>
      <c r="Q137" s="85"/>
    </row>
    <row r="138" spans="15:17" x14ac:dyDescent="0.2">
      <c r="O138" s="85"/>
      <c r="P138" s="85"/>
      <c r="Q138" s="85"/>
    </row>
    <row r="139" spans="15:17" x14ac:dyDescent="0.2">
      <c r="O139" s="85"/>
      <c r="P139" s="85"/>
      <c r="Q139" s="85"/>
    </row>
    <row r="140" spans="15:17" x14ac:dyDescent="0.2">
      <c r="O140" s="85"/>
      <c r="P140" s="85"/>
      <c r="Q140" s="85"/>
    </row>
    <row r="141" spans="15:17" x14ac:dyDescent="0.2">
      <c r="O141" s="85"/>
      <c r="P141" s="85"/>
      <c r="Q141" s="85"/>
    </row>
    <row r="142" spans="15:17" x14ac:dyDescent="0.2">
      <c r="O142" s="85"/>
      <c r="P142" s="85"/>
      <c r="Q142" s="85"/>
    </row>
    <row r="143" spans="15:17" x14ac:dyDescent="0.2">
      <c r="O143" s="85"/>
      <c r="P143" s="85"/>
      <c r="Q143" s="85"/>
    </row>
    <row r="144" spans="15:17" x14ac:dyDescent="0.2">
      <c r="O144" s="85"/>
      <c r="P144" s="85"/>
      <c r="Q144" s="85"/>
    </row>
    <row r="145" spans="15:17" x14ac:dyDescent="0.2">
      <c r="O145" s="85"/>
      <c r="P145" s="85"/>
      <c r="Q145" s="85"/>
    </row>
    <row r="146" spans="15:17" x14ac:dyDescent="0.2">
      <c r="O146" s="85"/>
      <c r="P146" s="85"/>
      <c r="Q146" s="85"/>
    </row>
  </sheetData>
  <mergeCells count="11">
    <mergeCell ref="A120:O120"/>
    <mergeCell ref="N77:N78"/>
    <mergeCell ref="Q111:Q116"/>
    <mergeCell ref="B55:B56"/>
    <mergeCell ref="B77:B78"/>
    <mergeCell ref="P55:P56"/>
    <mergeCell ref="Q55:Q56"/>
    <mergeCell ref="Q77:Q78"/>
    <mergeCell ref="P77:P78"/>
    <mergeCell ref="N55:N56"/>
    <mergeCell ref="N111:N116"/>
  </mergeCells>
  <conditionalFormatting sqref="A117 A79:A83 A57:A68 A3:A17 A19:A35 A38:A49 A51:A55 A70:A77 A85:A97 A99:A111">
    <cfRule type="duplicateValues" dxfId="79" priority="15" stopIfTrue="1"/>
  </conditionalFormatting>
  <conditionalFormatting sqref="A56">
    <cfRule type="duplicateValues" dxfId="78" priority="14" stopIfTrue="1"/>
  </conditionalFormatting>
  <conditionalFormatting sqref="A78">
    <cfRule type="duplicateValues" dxfId="77" priority="13" stopIfTrue="1"/>
  </conditionalFormatting>
  <conditionalFormatting sqref="A116">
    <cfRule type="duplicateValues" dxfId="76" priority="12" stopIfTrue="1"/>
  </conditionalFormatting>
  <conditionalFormatting sqref="A115">
    <cfRule type="duplicateValues" dxfId="75" priority="10" stopIfTrue="1"/>
  </conditionalFormatting>
  <conditionalFormatting sqref="A114">
    <cfRule type="duplicateValues" dxfId="74" priority="9" stopIfTrue="1"/>
  </conditionalFormatting>
  <conditionalFormatting sqref="A113">
    <cfRule type="duplicateValues" dxfId="73" priority="8" stopIfTrue="1"/>
  </conditionalFormatting>
  <conditionalFormatting sqref="A112">
    <cfRule type="duplicateValues" dxfId="72" priority="7" stopIfTrue="1"/>
  </conditionalFormatting>
  <conditionalFormatting sqref="A18:D18">
    <cfRule type="duplicateValues" dxfId="71" priority="5" stopIfTrue="1"/>
  </conditionalFormatting>
  <conditionalFormatting sqref="A36:C37">
    <cfRule type="duplicateValues" dxfId="70" priority="4" stopIfTrue="1"/>
  </conditionalFormatting>
  <conditionalFormatting sqref="A69:E69">
    <cfRule type="duplicateValues" dxfId="69" priority="3" stopIfTrue="1"/>
  </conditionalFormatting>
  <conditionalFormatting sqref="A84:E84">
    <cfRule type="duplicateValues" dxfId="68" priority="2" stopIfTrue="1"/>
  </conditionalFormatting>
  <conditionalFormatting sqref="A98:E98">
    <cfRule type="duplicateValues" dxfId="67" priority="1" stopIfTrue="1"/>
  </conditionalFormatting>
  <pageMargins left="0.23622047244094491" right="0.23622047244094491" top="0.39370078740157483" bottom="0.39370078740157483" header="0.31496062992125984" footer="0.31496062992125984"/>
  <pageSetup paperSize="9" scale="64" fitToHeight="0" orientation="portrait" r:id="rId1"/>
  <headerFooter>
    <oddFooter>&amp;RPage &amp;P / &amp;N</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249977111117893"/>
    <pageSetUpPr fitToPage="1"/>
  </sheetPr>
  <dimension ref="A1:R73"/>
  <sheetViews>
    <sheetView zoomScaleNormal="100" workbookViewId="0">
      <pane xSplit="2" ySplit="2" topLeftCell="C3" activePane="bottomRight" state="frozen"/>
      <selection pane="topRight" activeCell="C1" sqref="C1"/>
      <selection pane="bottomLeft" activeCell="A3" sqref="A3"/>
      <selection pane="bottomRight" activeCell="B2" sqref="B2"/>
    </sheetView>
  </sheetViews>
  <sheetFormatPr defaultRowHeight="12.75" outlineLevelCol="1" x14ac:dyDescent="0.2"/>
  <cols>
    <col min="1" max="1" width="18.7109375" style="86" customWidth="1"/>
    <col min="2" max="2" width="39.85546875" style="86" customWidth="1"/>
    <col min="3" max="3" width="64.85546875" style="86" bestFit="1" customWidth="1"/>
    <col min="4" max="4" width="19.140625" style="430" hidden="1" customWidth="1" outlineLevel="1"/>
    <col min="5" max="5" width="22.140625" style="354" hidden="1" customWidth="1" outlineLevel="1"/>
    <col min="6" max="6" width="14.5703125" style="98" hidden="1" customWidth="1" outlineLevel="1"/>
    <col min="7" max="7" width="14.5703125" style="98" hidden="1" customWidth="1" collapsed="1"/>
    <col min="8" max="8" width="14.5703125" style="477" hidden="1" customWidth="1"/>
    <col min="9" max="10" width="14.5703125" style="86" bestFit="1" customWidth="1"/>
    <col min="11" max="11" width="19.7109375" style="86" bestFit="1" customWidth="1"/>
    <col min="12" max="12" width="12.85546875" style="86" bestFit="1" customWidth="1"/>
    <col min="13" max="13" width="12.85546875" style="86" hidden="1" customWidth="1"/>
    <col min="14" max="17" width="12.85546875" style="86" bestFit="1" customWidth="1"/>
    <col min="18" max="257" width="9.140625" style="86"/>
    <col min="258" max="258" width="18.7109375" style="86" customWidth="1"/>
    <col min="259" max="259" width="39.85546875" style="86" customWidth="1"/>
    <col min="260" max="260" width="64.85546875" style="86" bestFit="1" customWidth="1"/>
    <col min="261" max="261" width="19.140625" style="86" bestFit="1" customWidth="1"/>
    <col min="262" max="262" width="22.140625" style="86" bestFit="1" customWidth="1"/>
    <col min="263" max="264" width="14.5703125" style="86" bestFit="1" customWidth="1"/>
    <col min="265" max="265" width="12.28515625" style="86" bestFit="1" customWidth="1"/>
    <col min="266" max="513" width="9.140625" style="86"/>
    <col min="514" max="514" width="18.7109375" style="86" customWidth="1"/>
    <col min="515" max="515" width="39.85546875" style="86" customWidth="1"/>
    <col min="516" max="516" width="64.85546875" style="86" bestFit="1" customWidth="1"/>
    <col min="517" max="517" width="19.140625" style="86" bestFit="1" customWidth="1"/>
    <col min="518" max="518" width="22.140625" style="86" bestFit="1" customWidth="1"/>
    <col min="519" max="520" width="14.5703125" style="86" bestFit="1" customWidth="1"/>
    <col min="521" max="521" width="12.28515625" style="86" bestFit="1" customWidth="1"/>
    <col min="522" max="769" width="9.140625" style="86"/>
    <col min="770" max="770" width="18.7109375" style="86" customWidth="1"/>
    <col min="771" max="771" width="39.85546875" style="86" customWidth="1"/>
    <col min="772" max="772" width="64.85546875" style="86" bestFit="1" customWidth="1"/>
    <col min="773" max="773" width="19.140625" style="86" bestFit="1" customWidth="1"/>
    <col min="774" max="774" width="22.140625" style="86" bestFit="1" customWidth="1"/>
    <col min="775" max="776" width="14.5703125" style="86" bestFit="1" customWidth="1"/>
    <col min="777" max="777" width="12.28515625" style="86" bestFit="1" customWidth="1"/>
    <col min="778" max="1025" width="9.140625" style="86"/>
    <col min="1026" max="1026" width="18.7109375" style="86" customWidth="1"/>
    <col min="1027" max="1027" width="39.85546875" style="86" customWidth="1"/>
    <col min="1028" max="1028" width="64.85546875" style="86" bestFit="1" customWidth="1"/>
    <col min="1029" max="1029" width="19.140625" style="86" bestFit="1" customWidth="1"/>
    <col min="1030" max="1030" width="22.140625" style="86" bestFit="1" customWidth="1"/>
    <col min="1031" max="1032" width="14.5703125" style="86" bestFit="1" customWidth="1"/>
    <col min="1033" max="1033" width="12.28515625" style="86" bestFit="1" customWidth="1"/>
    <col min="1034" max="1281" width="9.140625" style="86"/>
    <col min="1282" max="1282" width="18.7109375" style="86" customWidth="1"/>
    <col min="1283" max="1283" width="39.85546875" style="86" customWidth="1"/>
    <col min="1284" max="1284" width="64.85546875" style="86" bestFit="1" customWidth="1"/>
    <col min="1285" max="1285" width="19.140625" style="86" bestFit="1" customWidth="1"/>
    <col min="1286" max="1286" width="22.140625" style="86" bestFit="1" customWidth="1"/>
    <col min="1287" max="1288" width="14.5703125" style="86" bestFit="1" customWidth="1"/>
    <col min="1289" max="1289" width="12.28515625" style="86" bestFit="1" customWidth="1"/>
    <col min="1290" max="1537" width="9.140625" style="86"/>
    <col min="1538" max="1538" width="18.7109375" style="86" customWidth="1"/>
    <col min="1539" max="1539" width="39.85546875" style="86" customWidth="1"/>
    <col min="1540" max="1540" width="64.85546875" style="86" bestFit="1" customWidth="1"/>
    <col min="1541" max="1541" width="19.140625" style="86" bestFit="1" customWidth="1"/>
    <col min="1542" max="1542" width="22.140625" style="86" bestFit="1" customWidth="1"/>
    <col min="1543" max="1544" width="14.5703125" style="86" bestFit="1" customWidth="1"/>
    <col min="1545" max="1545" width="12.28515625" style="86" bestFit="1" customWidth="1"/>
    <col min="1546" max="1793" width="9.140625" style="86"/>
    <col min="1794" max="1794" width="18.7109375" style="86" customWidth="1"/>
    <col min="1795" max="1795" width="39.85546875" style="86" customWidth="1"/>
    <col min="1796" max="1796" width="64.85546875" style="86" bestFit="1" customWidth="1"/>
    <col min="1797" max="1797" width="19.140625" style="86" bestFit="1" customWidth="1"/>
    <col min="1798" max="1798" width="22.140625" style="86" bestFit="1" customWidth="1"/>
    <col min="1799" max="1800" width="14.5703125" style="86" bestFit="1" customWidth="1"/>
    <col min="1801" max="1801" width="12.28515625" style="86" bestFit="1" customWidth="1"/>
    <col min="1802" max="2049" width="9.140625" style="86"/>
    <col min="2050" max="2050" width="18.7109375" style="86" customWidth="1"/>
    <col min="2051" max="2051" width="39.85546875" style="86" customWidth="1"/>
    <col min="2052" max="2052" width="64.85546875" style="86" bestFit="1" customWidth="1"/>
    <col min="2053" max="2053" width="19.140625" style="86" bestFit="1" customWidth="1"/>
    <col min="2054" max="2054" width="22.140625" style="86" bestFit="1" customWidth="1"/>
    <col min="2055" max="2056" width="14.5703125" style="86" bestFit="1" customWidth="1"/>
    <col min="2057" max="2057" width="12.28515625" style="86" bestFit="1" customWidth="1"/>
    <col min="2058" max="2305" width="9.140625" style="86"/>
    <col min="2306" max="2306" width="18.7109375" style="86" customWidth="1"/>
    <col min="2307" max="2307" width="39.85546875" style="86" customWidth="1"/>
    <col min="2308" max="2308" width="64.85546875" style="86" bestFit="1" customWidth="1"/>
    <col min="2309" max="2309" width="19.140625" style="86" bestFit="1" customWidth="1"/>
    <col min="2310" max="2310" width="22.140625" style="86" bestFit="1" customWidth="1"/>
    <col min="2311" max="2312" width="14.5703125" style="86" bestFit="1" customWidth="1"/>
    <col min="2313" max="2313" width="12.28515625" style="86" bestFit="1" customWidth="1"/>
    <col min="2314" max="2561" width="9.140625" style="86"/>
    <col min="2562" max="2562" width="18.7109375" style="86" customWidth="1"/>
    <col min="2563" max="2563" width="39.85546875" style="86" customWidth="1"/>
    <col min="2564" max="2564" width="64.85546875" style="86" bestFit="1" customWidth="1"/>
    <col min="2565" max="2565" width="19.140625" style="86" bestFit="1" customWidth="1"/>
    <col min="2566" max="2566" width="22.140625" style="86" bestFit="1" customWidth="1"/>
    <col min="2567" max="2568" width="14.5703125" style="86" bestFit="1" customWidth="1"/>
    <col min="2569" max="2569" width="12.28515625" style="86" bestFit="1" customWidth="1"/>
    <col min="2570" max="2817" width="9.140625" style="86"/>
    <col min="2818" max="2818" width="18.7109375" style="86" customWidth="1"/>
    <col min="2819" max="2819" width="39.85546875" style="86" customWidth="1"/>
    <col min="2820" max="2820" width="64.85546875" style="86" bestFit="1" customWidth="1"/>
    <col min="2821" max="2821" width="19.140625" style="86" bestFit="1" customWidth="1"/>
    <col min="2822" max="2822" width="22.140625" style="86" bestFit="1" customWidth="1"/>
    <col min="2823" max="2824" width="14.5703125" style="86" bestFit="1" customWidth="1"/>
    <col min="2825" max="2825" width="12.28515625" style="86" bestFit="1" customWidth="1"/>
    <col min="2826" max="3073" width="9.140625" style="86"/>
    <col min="3074" max="3074" width="18.7109375" style="86" customWidth="1"/>
    <col min="3075" max="3075" width="39.85546875" style="86" customWidth="1"/>
    <col min="3076" max="3076" width="64.85546875" style="86" bestFit="1" customWidth="1"/>
    <col min="3077" max="3077" width="19.140625" style="86" bestFit="1" customWidth="1"/>
    <col min="3078" max="3078" width="22.140625" style="86" bestFit="1" customWidth="1"/>
    <col min="3079" max="3080" width="14.5703125" style="86" bestFit="1" customWidth="1"/>
    <col min="3081" max="3081" width="12.28515625" style="86" bestFit="1" customWidth="1"/>
    <col min="3082" max="3329" width="9.140625" style="86"/>
    <col min="3330" max="3330" width="18.7109375" style="86" customWidth="1"/>
    <col min="3331" max="3331" width="39.85546875" style="86" customWidth="1"/>
    <col min="3332" max="3332" width="64.85546875" style="86" bestFit="1" customWidth="1"/>
    <col min="3333" max="3333" width="19.140625" style="86" bestFit="1" customWidth="1"/>
    <col min="3334" max="3334" width="22.140625" style="86" bestFit="1" customWidth="1"/>
    <col min="3335" max="3336" width="14.5703125" style="86" bestFit="1" customWidth="1"/>
    <col min="3337" max="3337" width="12.28515625" style="86" bestFit="1" customWidth="1"/>
    <col min="3338" max="3585" width="9.140625" style="86"/>
    <col min="3586" max="3586" width="18.7109375" style="86" customWidth="1"/>
    <col min="3587" max="3587" width="39.85546875" style="86" customWidth="1"/>
    <col min="3588" max="3588" width="64.85546875" style="86" bestFit="1" customWidth="1"/>
    <col min="3589" max="3589" width="19.140625" style="86" bestFit="1" customWidth="1"/>
    <col min="3590" max="3590" width="22.140625" style="86" bestFit="1" customWidth="1"/>
    <col min="3591" max="3592" width="14.5703125" style="86" bestFit="1" customWidth="1"/>
    <col min="3593" max="3593" width="12.28515625" style="86" bestFit="1" customWidth="1"/>
    <col min="3594" max="3841" width="9.140625" style="86"/>
    <col min="3842" max="3842" width="18.7109375" style="86" customWidth="1"/>
    <col min="3843" max="3843" width="39.85546875" style="86" customWidth="1"/>
    <col min="3844" max="3844" width="64.85546875" style="86" bestFit="1" customWidth="1"/>
    <col min="3845" max="3845" width="19.140625" style="86" bestFit="1" customWidth="1"/>
    <col min="3846" max="3846" width="22.140625" style="86" bestFit="1" customWidth="1"/>
    <col min="3847" max="3848" width="14.5703125" style="86" bestFit="1" customWidth="1"/>
    <col min="3849" max="3849" width="12.28515625" style="86" bestFit="1" customWidth="1"/>
    <col min="3850" max="4097" width="9.140625" style="86"/>
    <col min="4098" max="4098" width="18.7109375" style="86" customWidth="1"/>
    <col min="4099" max="4099" width="39.85546875" style="86" customWidth="1"/>
    <col min="4100" max="4100" width="64.85546875" style="86" bestFit="1" customWidth="1"/>
    <col min="4101" max="4101" width="19.140625" style="86" bestFit="1" customWidth="1"/>
    <col min="4102" max="4102" width="22.140625" style="86" bestFit="1" customWidth="1"/>
    <col min="4103" max="4104" width="14.5703125" style="86" bestFit="1" customWidth="1"/>
    <col min="4105" max="4105" width="12.28515625" style="86" bestFit="1" customWidth="1"/>
    <col min="4106" max="4353" width="9.140625" style="86"/>
    <col min="4354" max="4354" width="18.7109375" style="86" customWidth="1"/>
    <col min="4355" max="4355" width="39.85546875" style="86" customWidth="1"/>
    <col min="4356" max="4356" width="64.85546875" style="86" bestFit="1" customWidth="1"/>
    <col min="4357" max="4357" width="19.140625" style="86" bestFit="1" customWidth="1"/>
    <col min="4358" max="4358" width="22.140625" style="86" bestFit="1" customWidth="1"/>
    <col min="4359" max="4360" width="14.5703125" style="86" bestFit="1" customWidth="1"/>
    <col min="4361" max="4361" width="12.28515625" style="86" bestFit="1" customWidth="1"/>
    <col min="4362" max="4609" width="9.140625" style="86"/>
    <col min="4610" max="4610" width="18.7109375" style="86" customWidth="1"/>
    <col min="4611" max="4611" width="39.85546875" style="86" customWidth="1"/>
    <col min="4612" max="4612" width="64.85546875" style="86" bestFit="1" customWidth="1"/>
    <col min="4613" max="4613" width="19.140625" style="86" bestFit="1" customWidth="1"/>
    <col min="4614" max="4614" width="22.140625" style="86" bestFit="1" customWidth="1"/>
    <col min="4615" max="4616" width="14.5703125" style="86" bestFit="1" customWidth="1"/>
    <col min="4617" max="4617" width="12.28515625" style="86" bestFit="1" customWidth="1"/>
    <col min="4618" max="4865" width="9.140625" style="86"/>
    <col min="4866" max="4866" width="18.7109375" style="86" customWidth="1"/>
    <col min="4867" max="4867" width="39.85546875" style="86" customWidth="1"/>
    <col min="4868" max="4868" width="64.85546875" style="86" bestFit="1" customWidth="1"/>
    <col min="4869" max="4869" width="19.140625" style="86" bestFit="1" customWidth="1"/>
    <col min="4870" max="4870" width="22.140625" style="86" bestFit="1" customWidth="1"/>
    <col min="4871" max="4872" width="14.5703125" style="86" bestFit="1" customWidth="1"/>
    <col min="4873" max="4873" width="12.28515625" style="86" bestFit="1" customWidth="1"/>
    <col min="4874" max="5121" width="9.140625" style="86"/>
    <col min="5122" max="5122" width="18.7109375" style="86" customWidth="1"/>
    <col min="5123" max="5123" width="39.85546875" style="86" customWidth="1"/>
    <col min="5124" max="5124" width="64.85546875" style="86" bestFit="1" customWidth="1"/>
    <col min="5125" max="5125" width="19.140625" style="86" bestFit="1" customWidth="1"/>
    <col min="5126" max="5126" width="22.140625" style="86" bestFit="1" customWidth="1"/>
    <col min="5127" max="5128" width="14.5703125" style="86" bestFit="1" customWidth="1"/>
    <col min="5129" max="5129" width="12.28515625" style="86" bestFit="1" customWidth="1"/>
    <col min="5130" max="5377" width="9.140625" style="86"/>
    <col min="5378" max="5378" width="18.7109375" style="86" customWidth="1"/>
    <col min="5379" max="5379" width="39.85546875" style="86" customWidth="1"/>
    <col min="5380" max="5380" width="64.85546875" style="86" bestFit="1" customWidth="1"/>
    <col min="5381" max="5381" width="19.140625" style="86" bestFit="1" customWidth="1"/>
    <col min="5382" max="5382" width="22.140625" style="86" bestFit="1" customWidth="1"/>
    <col min="5383" max="5384" width="14.5703125" style="86" bestFit="1" customWidth="1"/>
    <col min="5385" max="5385" width="12.28515625" style="86" bestFit="1" customWidth="1"/>
    <col min="5386" max="5633" width="9.140625" style="86"/>
    <col min="5634" max="5634" width="18.7109375" style="86" customWidth="1"/>
    <col min="5635" max="5635" width="39.85546875" style="86" customWidth="1"/>
    <col min="5636" max="5636" width="64.85546875" style="86" bestFit="1" customWidth="1"/>
    <col min="5637" max="5637" width="19.140625" style="86" bestFit="1" customWidth="1"/>
    <col min="5638" max="5638" width="22.140625" style="86" bestFit="1" customWidth="1"/>
    <col min="5639" max="5640" width="14.5703125" style="86" bestFit="1" customWidth="1"/>
    <col min="5641" max="5641" width="12.28515625" style="86" bestFit="1" customWidth="1"/>
    <col min="5642" max="5889" width="9.140625" style="86"/>
    <col min="5890" max="5890" width="18.7109375" style="86" customWidth="1"/>
    <col min="5891" max="5891" width="39.85546875" style="86" customWidth="1"/>
    <col min="5892" max="5892" width="64.85546875" style="86" bestFit="1" customWidth="1"/>
    <col min="5893" max="5893" width="19.140625" style="86" bestFit="1" customWidth="1"/>
    <col min="5894" max="5894" width="22.140625" style="86" bestFit="1" customWidth="1"/>
    <col min="5895" max="5896" width="14.5703125" style="86" bestFit="1" customWidth="1"/>
    <col min="5897" max="5897" width="12.28515625" style="86" bestFit="1" customWidth="1"/>
    <col min="5898" max="6145" width="9.140625" style="86"/>
    <col min="6146" max="6146" width="18.7109375" style="86" customWidth="1"/>
    <col min="6147" max="6147" width="39.85546875" style="86" customWidth="1"/>
    <col min="6148" max="6148" width="64.85546875" style="86" bestFit="1" customWidth="1"/>
    <col min="6149" max="6149" width="19.140625" style="86" bestFit="1" customWidth="1"/>
    <col min="6150" max="6150" width="22.140625" style="86" bestFit="1" customWidth="1"/>
    <col min="6151" max="6152" width="14.5703125" style="86" bestFit="1" customWidth="1"/>
    <col min="6153" max="6153" width="12.28515625" style="86" bestFit="1" customWidth="1"/>
    <col min="6154" max="6401" width="9.140625" style="86"/>
    <col min="6402" max="6402" width="18.7109375" style="86" customWidth="1"/>
    <col min="6403" max="6403" width="39.85546875" style="86" customWidth="1"/>
    <col min="6404" max="6404" width="64.85546875" style="86" bestFit="1" customWidth="1"/>
    <col min="6405" max="6405" width="19.140625" style="86" bestFit="1" customWidth="1"/>
    <col min="6406" max="6406" width="22.140625" style="86" bestFit="1" customWidth="1"/>
    <col min="6407" max="6408" width="14.5703125" style="86" bestFit="1" customWidth="1"/>
    <col min="6409" max="6409" width="12.28515625" style="86" bestFit="1" customWidth="1"/>
    <col min="6410" max="6657" width="9.140625" style="86"/>
    <col min="6658" max="6658" width="18.7109375" style="86" customWidth="1"/>
    <col min="6659" max="6659" width="39.85546875" style="86" customWidth="1"/>
    <col min="6660" max="6660" width="64.85546875" style="86" bestFit="1" customWidth="1"/>
    <col min="6661" max="6661" width="19.140625" style="86" bestFit="1" customWidth="1"/>
    <col min="6662" max="6662" width="22.140625" style="86" bestFit="1" customWidth="1"/>
    <col min="6663" max="6664" width="14.5703125" style="86" bestFit="1" customWidth="1"/>
    <col min="6665" max="6665" width="12.28515625" style="86" bestFit="1" customWidth="1"/>
    <col min="6666" max="6913" width="9.140625" style="86"/>
    <col min="6914" max="6914" width="18.7109375" style="86" customWidth="1"/>
    <col min="6915" max="6915" width="39.85546875" style="86" customWidth="1"/>
    <col min="6916" max="6916" width="64.85546875" style="86" bestFit="1" customWidth="1"/>
    <col min="6917" max="6917" width="19.140625" style="86" bestFit="1" customWidth="1"/>
    <col min="6918" max="6918" width="22.140625" style="86" bestFit="1" customWidth="1"/>
    <col min="6919" max="6920" width="14.5703125" style="86" bestFit="1" customWidth="1"/>
    <col min="6921" max="6921" width="12.28515625" style="86" bestFit="1" customWidth="1"/>
    <col min="6922" max="7169" width="9.140625" style="86"/>
    <col min="7170" max="7170" width="18.7109375" style="86" customWidth="1"/>
    <col min="7171" max="7171" width="39.85546875" style="86" customWidth="1"/>
    <col min="7172" max="7172" width="64.85546875" style="86" bestFit="1" customWidth="1"/>
    <col min="7173" max="7173" width="19.140625" style="86" bestFit="1" customWidth="1"/>
    <col min="7174" max="7174" width="22.140625" style="86" bestFit="1" customWidth="1"/>
    <col min="7175" max="7176" width="14.5703125" style="86" bestFit="1" customWidth="1"/>
    <col min="7177" max="7177" width="12.28515625" style="86" bestFit="1" customWidth="1"/>
    <col min="7178" max="7425" width="9.140625" style="86"/>
    <col min="7426" max="7426" width="18.7109375" style="86" customWidth="1"/>
    <col min="7427" max="7427" width="39.85546875" style="86" customWidth="1"/>
    <col min="7428" max="7428" width="64.85546875" style="86" bestFit="1" customWidth="1"/>
    <col min="7429" max="7429" width="19.140625" style="86" bestFit="1" customWidth="1"/>
    <col min="7430" max="7430" width="22.140625" style="86" bestFit="1" customWidth="1"/>
    <col min="7431" max="7432" width="14.5703125" style="86" bestFit="1" customWidth="1"/>
    <col min="7433" max="7433" width="12.28515625" style="86" bestFit="1" customWidth="1"/>
    <col min="7434" max="7681" width="9.140625" style="86"/>
    <col min="7682" max="7682" width="18.7109375" style="86" customWidth="1"/>
    <col min="7683" max="7683" width="39.85546875" style="86" customWidth="1"/>
    <col min="7684" max="7684" width="64.85546875" style="86" bestFit="1" customWidth="1"/>
    <col min="7685" max="7685" width="19.140625" style="86" bestFit="1" customWidth="1"/>
    <col min="7686" max="7686" width="22.140625" style="86" bestFit="1" customWidth="1"/>
    <col min="7687" max="7688" width="14.5703125" style="86" bestFit="1" customWidth="1"/>
    <col min="7689" max="7689" width="12.28515625" style="86" bestFit="1" customWidth="1"/>
    <col min="7690" max="7937" width="9.140625" style="86"/>
    <col min="7938" max="7938" width="18.7109375" style="86" customWidth="1"/>
    <col min="7939" max="7939" width="39.85546875" style="86" customWidth="1"/>
    <col min="7940" max="7940" width="64.85546875" style="86" bestFit="1" customWidth="1"/>
    <col min="7941" max="7941" width="19.140625" style="86" bestFit="1" customWidth="1"/>
    <col min="7942" max="7942" width="22.140625" style="86" bestFit="1" customWidth="1"/>
    <col min="7943" max="7944" width="14.5703125" style="86" bestFit="1" customWidth="1"/>
    <col min="7945" max="7945" width="12.28515625" style="86" bestFit="1" customWidth="1"/>
    <col min="7946" max="8193" width="9.140625" style="86"/>
    <col min="8194" max="8194" width="18.7109375" style="86" customWidth="1"/>
    <col min="8195" max="8195" width="39.85546875" style="86" customWidth="1"/>
    <col min="8196" max="8196" width="64.85546875" style="86" bestFit="1" customWidth="1"/>
    <col min="8197" max="8197" width="19.140625" style="86" bestFit="1" customWidth="1"/>
    <col min="8198" max="8198" width="22.140625" style="86" bestFit="1" customWidth="1"/>
    <col min="8199" max="8200" width="14.5703125" style="86" bestFit="1" customWidth="1"/>
    <col min="8201" max="8201" width="12.28515625" style="86" bestFit="1" customWidth="1"/>
    <col min="8202" max="8449" width="9.140625" style="86"/>
    <col min="8450" max="8450" width="18.7109375" style="86" customWidth="1"/>
    <col min="8451" max="8451" width="39.85546875" style="86" customWidth="1"/>
    <col min="8452" max="8452" width="64.85546875" style="86" bestFit="1" customWidth="1"/>
    <col min="8453" max="8453" width="19.140625" style="86" bestFit="1" customWidth="1"/>
    <col min="8454" max="8454" width="22.140625" style="86" bestFit="1" customWidth="1"/>
    <col min="8455" max="8456" width="14.5703125" style="86" bestFit="1" customWidth="1"/>
    <col min="8457" max="8457" width="12.28515625" style="86" bestFit="1" customWidth="1"/>
    <col min="8458" max="8705" width="9.140625" style="86"/>
    <col min="8706" max="8706" width="18.7109375" style="86" customWidth="1"/>
    <col min="8707" max="8707" width="39.85546875" style="86" customWidth="1"/>
    <col min="8708" max="8708" width="64.85546875" style="86" bestFit="1" customWidth="1"/>
    <col min="8709" max="8709" width="19.140625" style="86" bestFit="1" customWidth="1"/>
    <col min="8710" max="8710" width="22.140625" style="86" bestFit="1" customWidth="1"/>
    <col min="8711" max="8712" width="14.5703125" style="86" bestFit="1" customWidth="1"/>
    <col min="8713" max="8713" width="12.28515625" style="86" bestFit="1" customWidth="1"/>
    <col min="8714" max="8961" width="9.140625" style="86"/>
    <col min="8962" max="8962" width="18.7109375" style="86" customWidth="1"/>
    <col min="8963" max="8963" width="39.85546875" style="86" customWidth="1"/>
    <col min="8964" max="8964" width="64.85546875" style="86" bestFit="1" customWidth="1"/>
    <col min="8965" max="8965" width="19.140625" style="86" bestFit="1" customWidth="1"/>
    <col min="8966" max="8966" width="22.140625" style="86" bestFit="1" customWidth="1"/>
    <col min="8967" max="8968" width="14.5703125" style="86" bestFit="1" customWidth="1"/>
    <col min="8969" max="8969" width="12.28515625" style="86" bestFit="1" customWidth="1"/>
    <col min="8970" max="9217" width="9.140625" style="86"/>
    <col min="9218" max="9218" width="18.7109375" style="86" customWidth="1"/>
    <col min="9219" max="9219" width="39.85546875" style="86" customWidth="1"/>
    <col min="9220" max="9220" width="64.85546875" style="86" bestFit="1" customWidth="1"/>
    <col min="9221" max="9221" width="19.140625" style="86" bestFit="1" customWidth="1"/>
    <col min="9222" max="9222" width="22.140625" style="86" bestFit="1" customWidth="1"/>
    <col min="9223" max="9224" width="14.5703125" style="86" bestFit="1" customWidth="1"/>
    <col min="9225" max="9225" width="12.28515625" style="86" bestFit="1" customWidth="1"/>
    <col min="9226" max="9473" width="9.140625" style="86"/>
    <col min="9474" max="9474" width="18.7109375" style="86" customWidth="1"/>
    <col min="9475" max="9475" width="39.85546875" style="86" customWidth="1"/>
    <col min="9476" max="9476" width="64.85546875" style="86" bestFit="1" customWidth="1"/>
    <col min="9477" max="9477" width="19.140625" style="86" bestFit="1" customWidth="1"/>
    <col min="9478" max="9478" width="22.140625" style="86" bestFit="1" customWidth="1"/>
    <col min="9479" max="9480" width="14.5703125" style="86" bestFit="1" customWidth="1"/>
    <col min="9481" max="9481" width="12.28515625" style="86" bestFit="1" customWidth="1"/>
    <col min="9482" max="9729" width="9.140625" style="86"/>
    <col min="9730" max="9730" width="18.7109375" style="86" customWidth="1"/>
    <col min="9731" max="9731" width="39.85546875" style="86" customWidth="1"/>
    <col min="9732" max="9732" width="64.85546875" style="86" bestFit="1" customWidth="1"/>
    <col min="9733" max="9733" width="19.140625" style="86" bestFit="1" customWidth="1"/>
    <col min="9734" max="9734" width="22.140625" style="86" bestFit="1" customWidth="1"/>
    <col min="9735" max="9736" width="14.5703125" style="86" bestFit="1" customWidth="1"/>
    <col min="9737" max="9737" width="12.28515625" style="86" bestFit="1" customWidth="1"/>
    <col min="9738" max="9985" width="9.140625" style="86"/>
    <col min="9986" max="9986" width="18.7109375" style="86" customWidth="1"/>
    <col min="9987" max="9987" width="39.85546875" style="86" customWidth="1"/>
    <col min="9988" max="9988" width="64.85546875" style="86" bestFit="1" customWidth="1"/>
    <col min="9989" max="9989" width="19.140625" style="86" bestFit="1" customWidth="1"/>
    <col min="9990" max="9990" width="22.140625" style="86" bestFit="1" customWidth="1"/>
    <col min="9991" max="9992" width="14.5703125" style="86" bestFit="1" customWidth="1"/>
    <col min="9993" max="9993" width="12.28515625" style="86" bestFit="1" customWidth="1"/>
    <col min="9994" max="10241" width="9.140625" style="86"/>
    <col min="10242" max="10242" width="18.7109375" style="86" customWidth="1"/>
    <col min="10243" max="10243" width="39.85546875" style="86" customWidth="1"/>
    <col min="10244" max="10244" width="64.85546875" style="86" bestFit="1" customWidth="1"/>
    <col min="10245" max="10245" width="19.140625" style="86" bestFit="1" customWidth="1"/>
    <col min="10246" max="10246" width="22.140625" style="86" bestFit="1" customWidth="1"/>
    <col min="10247" max="10248" width="14.5703125" style="86" bestFit="1" customWidth="1"/>
    <col min="10249" max="10249" width="12.28515625" style="86" bestFit="1" customWidth="1"/>
    <col min="10250" max="10497" width="9.140625" style="86"/>
    <col min="10498" max="10498" width="18.7109375" style="86" customWidth="1"/>
    <col min="10499" max="10499" width="39.85546875" style="86" customWidth="1"/>
    <col min="10500" max="10500" width="64.85546875" style="86" bestFit="1" customWidth="1"/>
    <col min="10501" max="10501" width="19.140625" style="86" bestFit="1" customWidth="1"/>
    <col min="10502" max="10502" width="22.140625" style="86" bestFit="1" customWidth="1"/>
    <col min="10503" max="10504" width="14.5703125" style="86" bestFit="1" customWidth="1"/>
    <col min="10505" max="10505" width="12.28515625" style="86" bestFit="1" customWidth="1"/>
    <col min="10506" max="10753" width="9.140625" style="86"/>
    <col min="10754" max="10754" width="18.7109375" style="86" customWidth="1"/>
    <col min="10755" max="10755" width="39.85546875" style="86" customWidth="1"/>
    <col min="10756" max="10756" width="64.85546875" style="86" bestFit="1" customWidth="1"/>
    <col min="10757" max="10757" width="19.140625" style="86" bestFit="1" customWidth="1"/>
    <col min="10758" max="10758" width="22.140625" style="86" bestFit="1" customWidth="1"/>
    <col min="10759" max="10760" width="14.5703125" style="86" bestFit="1" customWidth="1"/>
    <col min="10761" max="10761" width="12.28515625" style="86" bestFit="1" customWidth="1"/>
    <col min="10762" max="11009" width="9.140625" style="86"/>
    <col min="11010" max="11010" width="18.7109375" style="86" customWidth="1"/>
    <col min="11011" max="11011" width="39.85546875" style="86" customWidth="1"/>
    <col min="11012" max="11012" width="64.85546875" style="86" bestFit="1" customWidth="1"/>
    <col min="11013" max="11013" width="19.140625" style="86" bestFit="1" customWidth="1"/>
    <col min="11014" max="11014" width="22.140625" style="86" bestFit="1" customWidth="1"/>
    <col min="11015" max="11016" width="14.5703125" style="86" bestFit="1" customWidth="1"/>
    <col min="11017" max="11017" width="12.28515625" style="86" bestFit="1" customWidth="1"/>
    <col min="11018" max="11265" width="9.140625" style="86"/>
    <col min="11266" max="11266" width="18.7109375" style="86" customWidth="1"/>
    <col min="11267" max="11267" width="39.85546875" style="86" customWidth="1"/>
    <col min="11268" max="11268" width="64.85546875" style="86" bestFit="1" customWidth="1"/>
    <col min="11269" max="11269" width="19.140625" style="86" bestFit="1" customWidth="1"/>
    <col min="11270" max="11270" width="22.140625" style="86" bestFit="1" customWidth="1"/>
    <col min="11271" max="11272" width="14.5703125" style="86" bestFit="1" customWidth="1"/>
    <col min="11273" max="11273" width="12.28515625" style="86" bestFit="1" customWidth="1"/>
    <col min="11274" max="11521" width="9.140625" style="86"/>
    <col min="11522" max="11522" width="18.7109375" style="86" customWidth="1"/>
    <col min="11523" max="11523" width="39.85546875" style="86" customWidth="1"/>
    <col min="11524" max="11524" width="64.85546875" style="86" bestFit="1" customWidth="1"/>
    <col min="11525" max="11525" width="19.140625" style="86" bestFit="1" customWidth="1"/>
    <col min="11526" max="11526" width="22.140625" style="86" bestFit="1" customWidth="1"/>
    <col min="11527" max="11528" width="14.5703125" style="86" bestFit="1" customWidth="1"/>
    <col min="11529" max="11529" width="12.28515625" style="86" bestFit="1" customWidth="1"/>
    <col min="11530" max="11777" width="9.140625" style="86"/>
    <col min="11778" max="11778" width="18.7109375" style="86" customWidth="1"/>
    <col min="11779" max="11779" width="39.85546875" style="86" customWidth="1"/>
    <col min="11780" max="11780" width="64.85546875" style="86" bestFit="1" customWidth="1"/>
    <col min="11781" max="11781" width="19.140625" style="86" bestFit="1" customWidth="1"/>
    <col min="11782" max="11782" width="22.140625" style="86" bestFit="1" customWidth="1"/>
    <col min="11783" max="11784" width="14.5703125" style="86" bestFit="1" customWidth="1"/>
    <col min="11785" max="11785" width="12.28515625" style="86" bestFit="1" customWidth="1"/>
    <col min="11786" max="12033" width="9.140625" style="86"/>
    <col min="12034" max="12034" width="18.7109375" style="86" customWidth="1"/>
    <col min="12035" max="12035" width="39.85546875" style="86" customWidth="1"/>
    <col min="12036" max="12036" width="64.85546875" style="86" bestFit="1" customWidth="1"/>
    <col min="12037" max="12037" width="19.140625" style="86" bestFit="1" customWidth="1"/>
    <col min="12038" max="12038" width="22.140625" style="86" bestFit="1" customWidth="1"/>
    <col min="12039" max="12040" width="14.5703125" style="86" bestFit="1" customWidth="1"/>
    <col min="12041" max="12041" width="12.28515625" style="86" bestFit="1" customWidth="1"/>
    <col min="12042" max="12289" width="9.140625" style="86"/>
    <col min="12290" max="12290" width="18.7109375" style="86" customWidth="1"/>
    <col min="12291" max="12291" width="39.85546875" style="86" customWidth="1"/>
    <col min="12292" max="12292" width="64.85546875" style="86" bestFit="1" customWidth="1"/>
    <col min="12293" max="12293" width="19.140625" style="86" bestFit="1" customWidth="1"/>
    <col min="12294" max="12294" width="22.140625" style="86" bestFit="1" customWidth="1"/>
    <col min="12295" max="12296" width="14.5703125" style="86" bestFit="1" customWidth="1"/>
    <col min="12297" max="12297" width="12.28515625" style="86" bestFit="1" customWidth="1"/>
    <col min="12298" max="12545" width="9.140625" style="86"/>
    <col min="12546" max="12546" width="18.7109375" style="86" customWidth="1"/>
    <col min="12547" max="12547" width="39.85546875" style="86" customWidth="1"/>
    <col min="12548" max="12548" width="64.85546875" style="86" bestFit="1" customWidth="1"/>
    <col min="12549" max="12549" width="19.140625" style="86" bestFit="1" customWidth="1"/>
    <col min="12550" max="12550" width="22.140625" style="86" bestFit="1" customWidth="1"/>
    <col min="12551" max="12552" width="14.5703125" style="86" bestFit="1" customWidth="1"/>
    <col min="12553" max="12553" width="12.28515625" style="86" bestFit="1" customWidth="1"/>
    <col min="12554" max="12801" width="9.140625" style="86"/>
    <col min="12802" max="12802" width="18.7109375" style="86" customWidth="1"/>
    <col min="12803" max="12803" width="39.85546875" style="86" customWidth="1"/>
    <col min="12804" max="12804" width="64.85546875" style="86" bestFit="1" customWidth="1"/>
    <col min="12805" max="12805" width="19.140625" style="86" bestFit="1" customWidth="1"/>
    <col min="12806" max="12806" width="22.140625" style="86" bestFit="1" customWidth="1"/>
    <col min="12807" max="12808" width="14.5703125" style="86" bestFit="1" customWidth="1"/>
    <col min="12809" max="12809" width="12.28515625" style="86" bestFit="1" customWidth="1"/>
    <col min="12810" max="13057" width="9.140625" style="86"/>
    <col min="13058" max="13058" width="18.7109375" style="86" customWidth="1"/>
    <col min="13059" max="13059" width="39.85546875" style="86" customWidth="1"/>
    <col min="13060" max="13060" width="64.85546875" style="86" bestFit="1" customWidth="1"/>
    <col min="13061" max="13061" width="19.140625" style="86" bestFit="1" customWidth="1"/>
    <col min="13062" max="13062" width="22.140625" style="86" bestFit="1" customWidth="1"/>
    <col min="13063" max="13064" width="14.5703125" style="86" bestFit="1" customWidth="1"/>
    <col min="13065" max="13065" width="12.28515625" style="86" bestFit="1" customWidth="1"/>
    <col min="13066" max="13313" width="9.140625" style="86"/>
    <col min="13314" max="13314" width="18.7109375" style="86" customWidth="1"/>
    <col min="13315" max="13315" width="39.85546875" style="86" customWidth="1"/>
    <col min="13316" max="13316" width="64.85546875" style="86" bestFit="1" customWidth="1"/>
    <col min="13317" max="13317" width="19.140625" style="86" bestFit="1" customWidth="1"/>
    <col min="13318" max="13318" width="22.140625" style="86" bestFit="1" customWidth="1"/>
    <col min="13319" max="13320" width="14.5703125" style="86" bestFit="1" customWidth="1"/>
    <col min="13321" max="13321" width="12.28515625" style="86" bestFit="1" customWidth="1"/>
    <col min="13322" max="13569" width="9.140625" style="86"/>
    <col min="13570" max="13570" width="18.7109375" style="86" customWidth="1"/>
    <col min="13571" max="13571" width="39.85546875" style="86" customWidth="1"/>
    <col min="13572" max="13572" width="64.85546875" style="86" bestFit="1" customWidth="1"/>
    <col min="13573" max="13573" width="19.140625" style="86" bestFit="1" customWidth="1"/>
    <col min="13574" max="13574" width="22.140625" style="86" bestFit="1" customWidth="1"/>
    <col min="13575" max="13576" width="14.5703125" style="86" bestFit="1" customWidth="1"/>
    <col min="13577" max="13577" width="12.28515625" style="86" bestFit="1" customWidth="1"/>
    <col min="13578" max="13825" width="9.140625" style="86"/>
    <col min="13826" max="13826" width="18.7109375" style="86" customWidth="1"/>
    <col min="13827" max="13827" width="39.85546875" style="86" customWidth="1"/>
    <col min="13828" max="13828" width="64.85546875" style="86" bestFit="1" customWidth="1"/>
    <col min="13829" max="13829" width="19.140625" style="86" bestFit="1" customWidth="1"/>
    <col min="13830" max="13830" width="22.140625" style="86" bestFit="1" customWidth="1"/>
    <col min="13831" max="13832" width="14.5703125" style="86" bestFit="1" customWidth="1"/>
    <col min="13833" max="13833" width="12.28515625" style="86" bestFit="1" customWidth="1"/>
    <col min="13834" max="14081" width="9.140625" style="86"/>
    <col min="14082" max="14082" width="18.7109375" style="86" customWidth="1"/>
    <col min="14083" max="14083" width="39.85546875" style="86" customWidth="1"/>
    <col min="14084" max="14084" width="64.85546875" style="86" bestFit="1" customWidth="1"/>
    <col min="14085" max="14085" width="19.140625" style="86" bestFit="1" customWidth="1"/>
    <col min="14086" max="14086" width="22.140625" style="86" bestFit="1" customWidth="1"/>
    <col min="14087" max="14088" width="14.5703125" style="86" bestFit="1" customWidth="1"/>
    <col min="14089" max="14089" width="12.28515625" style="86" bestFit="1" customWidth="1"/>
    <col min="14090" max="14337" width="9.140625" style="86"/>
    <col min="14338" max="14338" width="18.7109375" style="86" customWidth="1"/>
    <col min="14339" max="14339" width="39.85546875" style="86" customWidth="1"/>
    <col min="14340" max="14340" width="64.85546875" style="86" bestFit="1" customWidth="1"/>
    <col min="14341" max="14341" width="19.140625" style="86" bestFit="1" customWidth="1"/>
    <col min="14342" max="14342" width="22.140625" style="86" bestFit="1" customWidth="1"/>
    <col min="14343" max="14344" width="14.5703125" style="86" bestFit="1" customWidth="1"/>
    <col min="14345" max="14345" width="12.28515625" style="86" bestFit="1" customWidth="1"/>
    <col min="14346" max="14593" width="9.140625" style="86"/>
    <col min="14594" max="14594" width="18.7109375" style="86" customWidth="1"/>
    <col min="14595" max="14595" width="39.85546875" style="86" customWidth="1"/>
    <col min="14596" max="14596" width="64.85546875" style="86" bestFit="1" customWidth="1"/>
    <col min="14597" max="14597" width="19.140625" style="86" bestFit="1" customWidth="1"/>
    <col min="14598" max="14598" width="22.140625" style="86" bestFit="1" customWidth="1"/>
    <col min="14599" max="14600" width="14.5703125" style="86" bestFit="1" customWidth="1"/>
    <col min="14601" max="14601" width="12.28515625" style="86" bestFit="1" customWidth="1"/>
    <col min="14602" max="14849" width="9.140625" style="86"/>
    <col min="14850" max="14850" width="18.7109375" style="86" customWidth="1"/>
    <col min="14851" max="14851" width="39.85546875" style="86" customWidth="1"/>
    <col min="14852" max="14852" width="64.85546875" style="86" bestFit="1" customWidth="1"/>
    <col min="14853" max="14853" width="19.140625" style="86" bestFit="1" customWidth="1"/>
    <col min="14854" max="14854" width="22.140625" style="86" bestFit="1" customWidth="1"/>
    <col min="14855" max="14856" width="14.5703125" style="86" bestFit="1" customWidth="1"/>
    <col min="14857" max="14857" width="12.28515625" style="86" bestFit="1" customWidth="1"/>
    <col min="14858" max="15105" width="9.140625" style="86"/>
    <col min="15106" max="15106" width="18.7109375" style="86" customWidth="1"/>
    <col min="15107" max="15107" width="39.85546875" style="86" customWidth="1"/>
    <col min="15108" max="15108" width="64.85546875" style="86" bestFit="1" customWidth="1"/>
    <col min="15109" max="15109" width="19.140625" style="86" bestFit="1" customWidth="1"/>
    <col min="15110" max="15110" width="22.140625" style="86" bestFit="1" customWidth="1"/>
    <col min="15111" max="15112" width="14.5703125" style="86" bestFit="1" customWidth="1"/>
    <col min="15113" max="15113" width="12.28515625" style="86" bestFit="1" customWidth="1"/>
    <col min="15114" max="15361" width="9.140625" style="86"/>
    <col min="15362" max="15362" width="18.7109375" style="86" customWidth="1"/>
    <col min="15363" max="15363" width="39.85546875" style="86" customWidth="1"/>
    <col min="15364" max="15364" width="64.85546875" style="86" bestFit="1" customWidth="1"/>
    <col min="15365" max="15365" width="19.140625" style="86" bestFit="1" customWidth="1"/>
    <col min="15366" max="15366" width="22.140625" style="86" bestFit="1" customWidth="1"/>
    <col min="15367" max="15368" width="14.5703125" style="86" bestFit="1" customWidth="1"/>
    <col min="15369" max="15369" width="12.28515625" style="86" bestFit="1" customWidth="1"/>
    <col min="15370" max="15617" width="9.140625" style="86"/>
    <col min="15618" max="15618" width="18.7109375" style="86" customWidth="1"/>
    <col min="15619" max="15619" width="39.85546875" style="86" customWidth="1"/>
    <col min="15620" max="15620" width="64.85546875" style="86" bestFit="1" customWidth="1"/>
    <col min="15621" max="15621" width="19.140625" style="86" bestFit="1" customWidth="1"/>
    <col min="15622" max="15622" width="22.140625" style="86" bestFit="1" customWidth="1"/>
    <col min="15623" max="15624" width="14.5703125" style="86" bestFit="1" customWidth="1"/>
    <col min="15625" max="15625" width="12.28515625" style="86" bestFit="1" customWidth="1"/>
    <col min="15626" max="15873" width="9.140625" style="86"/>
    <col min="15874" max="15874" width="18.7109375" style="86" customWidth="1"/>
    <col min="15875" max="15875" width="39.85546875" style="86" customWidth="1"/>
    <col min="15876" max="15876" width="64.85546875" style="86" bestFit="1" customWidth="1"/>
    <col min="15877" max="15877" width="19.140625" style="86" bestFit="1" customWidth="1"/>
    <col min="15878" max="15878" width="22.140625" style="86" bestFit="1" customWidth="1"/>
    <col min="15879" max="15880" width="14.5703125" style="86" bestFit="1" customWidth="1"/>
    <col min="15881" max="15881" width="12.28515625" style="86" bestFit="1" customWidth="1"/>
    <col min="15882" max="16129" width="9.140625" style="86"/>
    <col min="16130" max="16130" width="18.7109375" style="86" customWidth="1"/>
    <col min="16131" max="16131" width="39.85546875" style="86" customWidth="1"/>
    <col min="16132" max="16132" width="64.85546875" style="86" bestFit="1" customWidth="1"/>
    <col min="16133" max="16133" width="19.140625" style="86" bestFit="1" customWidth="1"/>
    <col min="16134" max="16134" width="22.140625" style="86" bestFit="1" customWidth="1"/>
    <col min="16135" max="16136" width="14.5703125" style="86" bestFit="1" customWidth="1"/>
    <col min="16137" max="16137" width="12.28515625" style="86" bestFit="1" customWidth="1"/>
    <col min="16138" max="16384" width="9.140625" style="86"/>
  </cols>
  <sheetData>
    <row r="1" spans="1:17" ht="39" customHeight="1" x14ac:dyDescent="0.25">
      <c r="A1" s="248" t="str">
        <f>"Missio and Mill Hill Red Box Parish Results 2020 - Diocese of East Anglia"</f>
        <v>Missio and Mill Hill Red Box Parish Results 2020 - Diocese of East Anglia</v>
      </c>
      <c r="B1" s="248"/>
      <c r="C1" s="248"/>
      <c r="D1" s="167"/>
      <c r="E1" s="248"/>
      <c r="I1" s="757">
        <v>2020</v>
      </c>
      <c r="J1" s="757">
        <v>2020</v>
      </c>
      <c r="K1" s="757">
        <v>2020</v>
      </c>
      <c r="M1" s="248"/>
      <c r="N1" s="248"/>
      <c r="O1" s="483"/>
      <c r="P1" s="567"/>
      <c r="Q1" s="168"/>
    </row>
    <row r="2" spans="1:17" s="608" customFormat="1" ht="30" customHeight="1" x14ac:dyDescent="0.3">
      <c r="A2" s="622" t="s">
        <v>1</v>
      </c>
      <c r="B2" s="622" t="s">
        <v>2</v>
      </c>
      <c r="C2" s="622" t="s">
        <v>3</v>
      </c>
      <c r="D2" s="622" t="s">
        <v>8214</v>
      </c>
      <c r="E2" s="622" t="s">
        <v>8165</v>
      </c>
      <c r="F2" s="622" t="s">
        <v>1</v>
      </c>
      <c r="G2" s="622" t="s">
        <v>3</v>
      </c>
      <c r="H2" s="622" t="s">
        <v>2</v>
      </c>
      <c r="I2" s="622" t="s">
        <v>308</v>
      </c>
      <c r="J2" s="622" t="s">
        <v>11022</v>
      </c>
      <c r="K2" s="622" t="s">
        <v>11034</v>
      </c>
      <c r="L2" s="622">
        <v>2020</v>
      </c>
      <c r="M2" s="608">
        <f>ARU!P2</f>
        <v>2019</v>
      </c>
      <c r="N2" s="622">
        <v>2019</v>
      </c>
      <c r="O2" s="622">
        <v>2018</v>
      </c>
      <c r="P2" s="622">
        <v>2017</v>
      </c>
      <c r="Q2" s="622">
        <v>2016</v>
      </c>
    </row>
    <row r="3" spans="1:17" ht="30" customHeight="1" x14ac:dyDescent="0.2">
      <c r="A3" s="68" t="str">
        <f>D3&amp;" / "&amp;E3</f>
        <v>EAS001 / 2377</v>
      </c>
      <c r="B3" s="89" t="s">
        <v>7563</v>
      </c>
      <c r="C3" s="89" t="s">
        <v>1008</v>
      </c>
      <c r="D3" s="429" t="s">
        <v>2966</v>
      </c>
      <c r="E3" s="369" t="str">
        <f>VLOOKUP(D:D,'Master Table'!C:D,2,FALSE)</f>
        <v>2377</v>
      </c>
      <c r="F3" s="776" t="s">
        <v>2966</v>
      </c>
      <c r="G3" s="777" t="s">
        <v>1008</v>
      </c>
      <c r="H3" s="777" t="s">
        <v>7563</v>
      </c>
      <c r="I3" s="758">
        <v>0</v>
      </c>
      <c r="J3" s="758">
        <v>1015</v>
      </c>
      <c r="K3" s="758"/>
      <c r="L3" s="836">
        <v>1015</v>
      </c>
      <c r="M3" s="69">
        <f>VLOOKUP(D:D,'Master Table'!C:O,13,FALSE)</f>
        <v>1496.13</v>
      </c>
      <c r="N3" s="620">
        <v>1496.13</v>
      </c>
      <c r="O3" s="620">
        <v>1498.4</v>
      </c>
      <c r="P3" s="621">
        <v>582.74</v>
      </c>
      <c r="Q3" s="621">
        <v>1053.8600000000001</v>
      </c>
    </row>
    <row r="4" spans="1:17" ht="30" customHeight="1" x14ac:dyDescent="0.2">
      <c r="A4" s="68" t="str">
        <f t="shared" ref="A4:A63" si="0">D4&amp;" / "&amp;E4</f>
        <v>EAS002 / 2378</v>
      </c>
      <c r="B4" s="89" t="s">
        <v>7564</v>
      </c>
      <c r="C4" s="89" t="s">
        <v>7565</v>
      </c>
      <c r="D4" s="429" t="s">
        <v>2973</v>
      </c>
      <c r="E4" s="369" t="str">
        <f>VLOOKUP(D:D,'Master Table'!C:D,2,FALSE)</f>
        <v>2378</v>
      </c>
      <c r="F4" s="776" t="s">
        <v>2973</v>
      </c>
      <c r="G4" s="777" t="s">
        <v>7565</v>
      </c>
      <c r="H4" s="777" t="s">
        <v>7564</v>
      </c>
      <c r="I4" s="758">
        <v>234.49</v>
      </c>
      <c r="J4" s="758">
        <v>150</v>
      </c>
      <c r="K4" s="758"/>
      <c r="L4" s="836">
        <v>384.49</v>
      </c>
      <c r="M4" s="69">
        <f>VLOOKUP(D:D,'Master Table'!C:O,13,FALSE)</f>
        <v>351.09000000000003</v>
      </c>
      <c r="N4" s="620">
        <v>351.09000000000003</v>
      </c>
      <c r="O4" s="620">
        <v>333.36</v>
      </c>
      <c r="P4" s="621">
        <v>273.93</v>
      </c>
      <c r="Q4" s="621">
        <v>263.60000000000002</v>
      </c>
    </row>
    <row r="5" spans="1:17" ht="30" customHeight="1" x14ac:dyDescent="0.2">
      <c r="A5" s="68" t="str">
        <f t="shared" si="0"/>
        <v>EAS003 / 2380</v>
      </c>
      <c r="B5" s="89" t="s">
        <v>2968</v>
      </c>
      <c r="C5" s="89" t="s">
        <v>2900</v>
      </c>
      <c r="D5" s="429" t="s">
        <v>2976</v>
      </c>
      <c r="E5" s="369" t="str">
        <f>VLOOKUP(D:D,'Master Table'!C:D,2,FALSE)</f>
        <v>2380</v>
      </c>
      <c r="F5" s="776" t="s">
        <v>2976</v>
      </c>
      <c r="G5" s="777" t="s">
        <v>2900</v>
      </c>
      <c r="H5" s="777" t="s">
        <v>2968</v>
      </c>
      <c r="I5" s="758">
        <v>0</v>
      </c>
      <c r="J5" s="758">
        <v>166</v>
      </c>
      <c r="K5" s="758"/>
      <c r="L5" s="836">
        <v>166</v>
      </c>
      <c r="M5" s="69">
        <f>VLOOKUP(D:D,'Master Table'!C:O,13,FALSE)</f>
        <v>1132.6100000000001</v>
      </c>
      <c r="N5" s="620">
        <v>1132.6100000000001</v>
      </c>
      <c r="O5" s="620">
        <v>1201.72</v>
      </c>
      <c r="P5" s="621">
        <v>1963.15</v>
      </c>
      <c r="Q5" s="621">
        <v>814.02</v>
      </c>
    </row>
    <row r="6" spans="1:17" ht="30" customHeight="1" x14ac:dyDescent="0.2">
      <c r="A6" s="68" t="str">
        <f t="shared" si="0"/>
        <v>EAS004 / 2382</v>
      </c>
      <c r="B6" s="89" t="s">
        <v>7566</v>
      </c>
      <c r="C6" s="89" t="s">
        <v>7567</v>
      </c>
      <c r="D6" s="429" t="s">
        <v>2987</v>
      </c>
      <c r="E6" s="369" t="str">
        <f>VLOOKUP(D:D,'Master Table'!C:D,2,FALSE)</f>
        <v>2382</v>
      </c>
      <c r="F6" s="776" t="s">
        <v>2987</v>
      </c>
      <c r="G6" s="777" t="s">
        <v>7567</v>
      </c>
      <c r="H6" s="777" t="s">
        <v>7566</v>
      </c>
      <c r="I6" s="758">
        <v>25.89</v>
      </c>
      <c r="J6" s="758">
        <v>298</v>
      </c>
      <c r="K6" s="758"/>
      <c r="L6" s="836">
        <v>323.89</v>
      </c>
      <c r="M6" s="69">
        <f>VLOOKUP(D:D,'Master Table'!C:O,13,FALSE)</f>
        <v>629.22</v>
      </c>
      <c r="N6" s="620">
        <v>629.22</v>
      </c>
      <c r="O6" s="620">
        <v>442.06</v>
      </c>
      <c r="P6" s="621">
        <v>590.41</v>
      </c>
      <c r="Q6" s="621">
        <v>204.21</v>
      </c>
    </row>
    <row r="7" spans="1:17" ht="30" customHeight="1" x14ac:dyDescent="0.2">
      <c r="A7" s="68" t="str">
        <f t="shared" si="0"/>
        <v>EAS005 / 2383</v>
      </c>
      <c r="B7" s="89" t="s">
        <v>2997</v>
      </c>
      <c r="C7" s="89" t="s">
        <v>2996</v>
      </c>
      <c r="D7" s="429" t="s">
        <v>2994</v>
      </c>
      <c r="E7" s="369" t="str">
        <f>VLOOKUP(D:D,'Master Table'!C:D,2,FALSE)</f>
        <v>2383</v>
      </c>
      <c r="F7" s="776" t="s">
        <v>2994</v>
      </c>
      <c r="G7" s="777" t="s">
        <v>2996</v>
      </c>
      <c r="H7" s="777" t="s">
        <v>2997</v>
      </c>
      <c r="I7" s="758">
        <v>210.76</v>
      </c>
      <c r="J7" s="758">
        <v>85</v>
      </c>
      <c r="K7" s="758"/>
      <c r="L7" s="836">
        <v>295.76</v>
      </c>
      <c r="M7" s="69">
        <f>VLOOKUP(D:D,'Master Table'!C:O,13,FALSE)</f>
        <v>657.07</v>
      </c>
      <c r="N7" s="620">
        <v>657.07</v>
      </c>
      <c r="O7" s="620">
        <v>848</v>
      </c>
      <c r="P7" s="621">
        <v>928.98</v>
      </c>
      <c r="Q7" s="621">
        <v>561.97</v>
      </c>
    </row>
    <row r="8" spans="1:17" ht="30" customHeight="1" x14ac:dyDescent="0.2">
      <c r="A8" s="68" t="str">
        <f t="shared" si="0"/>
        <v>EAS006X / 2385</v>
      </c>
      <c r="B8" s="89" t="s">
        <v>7568</v>
      </c>
      <c r="C8" s="89" t="s">
        <v>3007</v>
      </c>
      <c r="D8" s="429" t="s">
        <v>3005</v>
      </c>
      <c r="E8" s="369" t="str">
        <f>VLOOKUP(D:D,'Master Table'!C:D,2,FALSE)</f>
        <v>2385</v>
      </c>
      <c r="F8" s="776" t="s">
        <v>3005</v>
      </c>
      <c r="G8" s="777" t="s">
        <v>3007</v>
      </c>
      <c r="H8" s="777" t="s">
        <v>7568</v>
      </c>
      <c r="I8" s="758">
        <v>226</v>
      </c>
      <c r="J8" s="758">
        <v>50</v>
      </c>
      <c r="K8" s="758"/>
      <c r="L8" s="836">
        <v>276</v>
      </c>
      <c r="M8" s="69">
        <f>VLOOKUP(D:D,'Master Table'!C:O,13,FALSE)</f>
        <v>1318.56</v>
      </c>
      <c r="N8" s="620">
        <v>1318.56</v>
      </c>
      <c r="O8" s="620">
        <v>875.67</v>
      </c>
      <c r="P8" s="621">
        <v>1047.47</v>
      </c>
      <c r="Q8" s="621">
        <v>733.03</v>
      </c>
    </row>
    <row r="9" spans="1:17" ht="30" customHeight="1" x14ac:dyDescent="0.2">
      <c r="A9" s="68" t="str">
        <f t="shared" si="0"/>
        <v>EAS007 / 2386</v>
      </c>
      <c r="B9" s="89" t="s">
        <v>7569</v>
      </c>
      <c r="C9" s="89" t="s">
        <v>3880</v>
      </c>
      <c r="D9" s="429" t="s">
        <v>3013</v>
      </c>
      <c r="E9" s="369" t="str">
        <f>VLOOKUP(D:D,'Master Table'!C:D,2,FALSE)</f>
        <v>2386</v>
      </c>
      <c r="F9" s="776" t="s">
        <v>3013</v>
      </c>
      <c r="G9" s="777" t="s">
        <v>3880</v>
      </c>
      <c r="H9" s="777" t="s">
        <v>7569</v>
      </c>
      <c r="I9" s="758">
        <v>0</v>
      </c>
      <c r="J9" s="758">
        <v>170</v>
      </c>
      <c r="K9" s="758"/>
      <c r="L9" s="836">
        <v>170</v>
      </c>
      <c r="M9" s="69">
        <f>VLOOKUP(D:D,'Master Table'!C:O,13,FALSE)</f>
        <v>65</v>
      </c>
      <c r="N9" s="620">
        <v>65</v>
      </c>
      <c r="O9" s="620">
        <v>75</v>
      </c>
      <c r="P9" s="621">
        <v>45</v>
      </c>
      <c r="Q9" s="621">
        <v>145</v>
      </c>
    </row>
    <row r="10" spans="1:17" ht="30" customHeight="1" x14ac:dyDescent="0.2">
      <c r="A10" s="68" t="str">
        <f t="shared" si="0"/>
        <v>EAS008 / 2387</v>
      </c>
      <c r="B10" s="89" t="s">
        <v>3020</v>
      </c>
      <c r="C10" s="89" t="s">
        <v>7570</v>
      </c>
      <c r="D10" s="429" t="s">
        <v>3017</v>
      </c>
      <c r="E10" s="369" t="str">
        <f>VLOOKUP(D:D,'Master Table'!C:D,2,FALSE)</f>
        <v>2387</v>
      </c>
      <c r="F10" s="776" t="s">
        <v>3017</v>
      </c>
      <c r="G10" s="777" t="s">
        <v>7570</v>
      </c>
      <c r="H10" s="777" t="s">
        <v>3020</v>
      </c>
      <c r="I10" s="758">
        <v>16.440000000000001</v>
      </c>
      <c r="J10" s="758">
        <v>230</v>
      </c>
      <c r="K10" s="758">
        <v>15.61</v>
      </c>
      <c r="L10" s="836">
        <v>262.05</v>
      </c>
      <c r="M10" s="69">
        <f>VLOOKUP(D:D,'Master Table'!C:O,13,FALSE)</f>
        <v>886.44</v>
      </c>
      <c r="N10" s="620">
        <v>886.44</v>
      </c>
      <c r="O10" s="620">
        <v>824.22</v>
      </c>
      <c r="P10" s="621">
        <v>762.23</v>
      </c>
      <c r="Q10" s="621">
        <v>358.19</v>
      </c>
    </row>
    <row r="11" spans="1:17" ht="30" customHeight="1" x14ac:dyDescent="0.2">
      <c r="A11" s="68" t="str">
        <f t="shared" si="0"/>
        <v>EAS010 / 2389</v>
      </c>
      <c r="B11" s="89" t="s">
        <v>3030</v>
      </c>
      <c r="C11" s="89" t="s">
        <v>3029</v>
      </c>
      <c r="D11" s="429" t="s">
        <v>3027</v>
      </c>
      <c r="E11" s="369" t="str">
        <f>VLOOKUP(D:D,'Master Table'!C:D,2,FALSE)</f>
        <v>2389</v>
      </c>
      <c r="F11" s="776" t="s">
        <v>3027</v>
      </c>
      <c r="G11" s="777" t="s">
        <v>3029</v>
      </c>
      <c r="H11" s="777" t="s">
        <v>3030</v>
      </c>
      <c r="I11" s="758">
        <v>0</v>
      </c>
      <c r="J11" s="758">
        <v>1304</v>
      </c>
      <c r="K11" s="758">
        <v>369.05</v>
      </c>
      <c r="L11" s="836">
        <v>1673.05</v>
      </c>
      <c r="M11" s="69">
        <f>VLOOKUP(D:D,'Master Table'!C:O,13,FALSE)</f>
        <v>704</v>
      </c>
      <c r="N11" s="620">
        <v>704</v>
      </c>
      <c r="O11" s="620">
        <v>1341.19</v>
      </c>
      <c r="P11" s="621">
        <v>1515</v>
      </c>
      <c r="Q11" s="621">
        <v>1988.23</v>
      </c>
    </row>
    <row r="12" spans="1:17" ht="30" customHeight="1" x14ac:dyDescent="0.2">
      <c r="A12" s="68" t="str">
        <f t="shared" si="0"/>
        <v>EAS011 / 2390</v>
      </c>
      <c r="B12" s="89" t="s">
        <v>3041</v>
      </c>
      <c r="C12" s="89" t="s">
        <v>2615</v>
      </c>
      <c r="D12" s="429" t="s">
        <v>3039</v>
      </c>
      <c r="E12" s="369" t="str">
        <f>VLOOKUP(D:D,'Master Table'!C:D,2,FALSE)</f>
        <v>2390</v>
      </c>
      <c r="F12" s="776" t="s">
        <v>3039</v>
      </c>
      <c r="G12" s="777" t="s">
        <v>2615</v>
      </c>
      <c r="H12" s="777" t="s">
        <v>3041</v>
      </c>
      <c r="I12" s="758">
        <v>0</v>
      </c>
      <c r="J12" s="758">
        <v>434</v>
      </c>
      <c r="K12" s="758">
        <v>471.6</v>
      </c>
      <c r="L12" s="836">
        <v>905.6</v>
      </c>
      <c r="M12" s="69">
        <f>VLOOKUP(D:D,'Master Table'!C:O,13,FALSE)</f>
        <v>692.07</v>
      </c>
      <c r="N12" s="620">
        <v>692.07</v>
      </c>
      <c r="O12" s="620">
        <v>543</v>
      </c>
      <c r="P12" s="621">
        <v>577.16</v>
      </c>
      <c r="Q12" s="621">
        <v>1021.16</v>
      </c>
    </row>
    <row r="13" spans="1:17" ht="30" customHeight="1" x14ac:dyDescent="0.2">
      <c r="A13" s="68" t="str">
        <f t="shared" si="0"/>
        <v>EAS012 / 2393</v>
      </c>
      <c r="B13" s="89" t="s">
        <v>3041</v>
      </c>
      <c r="C13" s="89" t="s">
        <v>7571</v>
      </c>
      <c r="D13" s="429" t="s">
        <v>3050</v>
      </c>
      <c r="E13" s="369" t="str">
        <f>VLOOKUP(D:D,'Master Table'!C:D,2,FALSE)</f>
        <v>2393</v>
      </c>
      <c r="F13" s="776" t="s">
        <v>3050</v>
      </c>
      <c r="G13" s="777" t="s">
        <v>7571</v>
      </c>
      <c r="H13" s="777" t="s">
        <v>3041</v>
      </c>
      <c r="I13" s="758">
        <v>1542.25</v>
      </c>
      <c r="J13" s="758">
        <v>394.77</v>
      </c>
      <c r="K13" s="758"/>
      <c r="L13" s="836">
        <v>1937.02</v>
      </c>
      <c r="M13" s="69">
        <f>VLOOKUP(D:D,'Master Table'!C:O,13,FALSE)</f>
        <v>2439.0100000000002</v>
      </c>
      <c r="N13" s="620">
        <v>2439.0100000000002</v>
      </c>
      <c r="O13" s="620">
        <v>2839.67</v>
      </c>
      <c r="P13" s="621">
        <v>3219.6</v>
      </c>
      <c r="Q13" s="621">
        <v>2847.28</v>
      </c>
    </row>
    <row r="14" spans="1:17" ht="30" customHeight="1" x14ac:dyDescent="0.2">
      <c r="A14" s="68" t="str">
        <f t="shared" si="0"/>
        <v>EAS013 / 2394</v>
      </c>
      <c r="B14" s="89" t="s">
        <v>3041</v>
      </c>
      <c r="C14" s="89" t="s">
        <v>7572</v>
      </c>
      <c r="D14" s="429" t="s">
        <v>3056</v>
      </c>
      <c r="E14" s="369" t="str">
        <f>VLOOKUP(D:D,'Master Table'!C:D,2,FALSE)</f>
        <v>2394</v>
      </c>
      <c r="F14" s="776" t="s">
        <v>3056</v>
      </c>
      <c r="G14" s="777" t="s">
        <v>7572</v>
      </c>
      <c r="H14" s="777" t="s">
        <v>3041</v>
      </c>
      <c r="I14" s="758">
        <v>0</v>
      </c>
      <c r="J14" s="758">
        <v>876</v>
      </c>
      <c r="K14" s="758"/>
      <c r="L14" s="836">
        <v>876</v>
      </c>
      <c r="M14" s="69">
        <f>VLOOKUP(D:D,'Master Table'!C:O,13,FALSE)</f>
        <v>2158.5500000000002</v>
      </c>
      <c r="N14" s="620">
        <v>2158.5500000000002</v>
      </c>
      <c r="O14" s="620">
        <v>2416.27</v>
      </c>
      <c r="P14" s="621">
        <v>728.87</v>
      </c>
      <c r="Q14" s="621">
        <v>929.62</v>
      </c>
    </row>
    <row r="15" spans="1:17" ht="30" customHeight="1" x14ac:dyDescent="0.2">
      <c r="A15" s="68" t="str">
        <f t="shared" si="0"/>
        <v>EAS015 / 2396</v>
      </c>
      <c r="B15" s="89" t="s">
        <v>3062</v>
      </c>
      <c r="C15" s="89" t="s">
        <v>3061</v>
      </c>
      <c r="D15" s="429" t="s">
        <v>3059</v>
      </c>
      <c r="E15" s="369" t="str">
        <f>VLOOKUP(D:D,'Master Table'!C:D,2,FALSE)</f>
        <v>2396</v>
      </c>
      <c r="F15" s="776" t="s">
        <v>3059</v>
      </c>
      <c r="G15" s="777" t="s">
        <v>3061</v>
      </c>
      <c r="H15" s="777" t="s">
        <v>3062</v>
      </c>
      <c r="I15" s="758">
        <v>0</v>
      </c>
      <c r="J15" s="758">
        <v>112</v>
      </c>
      <c r="K15" s="758"/>
      <c r="L15" s="836">
        <v>112</v>
      </c>
      <c r="M15" s="69">
        <f>VLOOKUP(D:D,'Master Table'!C:O,13,FALSE)</f>
        <v>589.16</v>
      </c>
      <c r="N15" s="620">
        <v>589.16</v>
      </c>
      <c r="O15" s="620">
        <v>578.41000000000008</v>
      </c>
      <c r="P15" s="621"/>
      <c r="Q15" s="621"/>
    </row>
    <row r="16" spans="1:17" ht="30" customHeight="1" x14ac:dyDescent="0.2">
      <c r="A16" s="68" t="str">
        <f t="shared" si="0"/>
        <v>EAS016 / 2397</v>
      </c>
      <c r="B16" s="89" t="s">
        <v>7573</v>
      </c>
      <c r="C16" s="89" t="s">
        <v>7574</v>
      </c>
      <c r="D16" s="429" t="s">
        <v>3067</v>
      </c>
      <c r="E16" s="369" t="str">
        <f>VLOOKUP(D:D,'Master Table'!C:D,2,FALSE)</f>
        <v>2397</v>
      </c>
      <c r="F16" s="776" t="s">
        <v>3067</v>
      </c>
      <c r="G16" s="777" t="s">
        <v>7574</v>
      </c>
      <c r="H16" s="777" t="s">
        <v>7573</v>
      </c>
      <c r="I16" s="758">
        <v>978</v>
      </c>
      <c r="J16" s="758">
        <v>105</v>
      </c>
      <c r="K16" s="758"/>
      <c r="L16" s="836">
        <v>1083</v>
      </c>
      <c r="M16" s="69">
        <f>VLOOKUP(D:D,'Master Table'!C:O,13,FALSE)</f>
        <v>2328</v>
      </c>
      <c r="N16" s="620">
        <v>2328</v>
      </c>
      <c r="O16" s="620">
        <v>2197.09</v>
      </c>
      <c r="P16" s="621">
        <v>1826.88</v>
      </c>
      <c r="Q16" s="621">
        <v>1470.01</v>
      </c>
    </row>
    <row r="17" spans="1:17" ht="30" customHeight="1" x14ac:dyDescent="0.2">
      <c r="A17" s="68" t="str">
        <f t="shared" si="0"/>
        <v>EAS018 / 2399</v>
      </c>
      <c r="B17" s="89" t="s">
        <v>7575</v>
      </c>
      <c r="C17" s="89" t="s">
        <v>7570</v>
      </c>
      <c r="D17" s="429" t="s">
        <v>3074</v>
      </c>
      <c r="E17" s="369" t="str">
        <f>VLOOKUP(D:D,'Master Table'!C:D,2,FALSE)</f>
        <v>2399</v>
      </c>
      <c r="F17" s="776" t="s">
        <v>3074</v>
      </c>
      <c r="G17" s="777" t="s">
        <v>7570</v>
      </c>
      <c r="H17" s="777" t="s">
        <v>7575</v>
      </c>
      <c r="I17" s="758">
        <v>0</v>
      </c>
      <c r="J17" s="758"/>
      <c r="K17" s="758">
        <v>588.89</v>
      </c>
      <c r="L17" s="836">
        <v>588.89</v>
      </c>
      <c r="M17" s="69">
        <f>VLOOKUP(D:D,'Master Table'!C:O,13,FALSE)</f>
        <v>797.65</v>
      </c>
      <c r="N17" s="620">
        <v>797.65</v>
      </c>
      <c r="O17" s="620">
        <v>288</v>
      </c>
      <c r="P17" s="621">
        <v>1021.24</v>
      </c>
      <c r="Q17" s="621">
        <v>1214.6600000000001</v>
      </c>
    </row>
    <row r="18" spans="1:17" ht="30" customHeight="1" x14ac:dyDescent="0.2">
      <c r="A18" s="68" t="str">
        <f t="shared" si="0"/>
        <v>EAS019 / 2400</v>
      </c>
      <c r="B18" s="89" t="s">
        <v>3081</v>
      </c>
      <c r="C18" s="89" t="s">
        <v>7445</v>
      </c>
      <c r="D18" s="429" t="s">
        <v>3078</v>
      </c>
      <c r="E18" s="369" t="str">
        <f>VLOOKUP(D:D,'Master Table'!C:D,2,FALSE)</f>
        <v>2400</v>
      </c>
      <c r="F18" s="776" t="s">
        <v>3078</v>
      </c>
      <c r="G18" s="777" t="s">
        <v>7445</v>
      </c>
      <c r="H18" s="777" t="s">
        <v>3081</v>
      </c>
      <c r="I18" s="758">
        <v>125.92</v>
      </c>
      <c r="J18" s="758">
        <v>75</v>
      </c>
      <c r="K18" s="758"/>
      <c r="L18" s="836">
        <v>200.92000000000002</v>
      </c>
      <c r="M18" s="69">
        <f>VLOOKUP(D:D,'Master Table'!C:O,13,FALSE)</f>
        <v>275.98</v>
      </c>
      <c r="N18" s="620">
        <v>275.98</v>
      </c>
      <c r="O18" s="620">
        <v>207.32</v>
      </c>
      <c r="P18" s="621">
        <v>254</v>
      </c>
      <c r="Q18" s="621">
        <v>248.8</v>
      </c>
    </row>
    <row r="19" spans="1:17" ht="30" customHeight="1" x14ac:dyDescent="0.2">
      <c r="A19" s="68" t="str">
        <f t="shared" si="0"/>
        <v>EAS020 / 2401</v>
      </c>
      <c r="B19" s="89" t="s">
        <v>3085</v>
      </c>
      <c r="C19" s="89" t="s">
        <v>846</v>
      </c>
      <c r="D19" s="429" t="s">
        <v>3082</v>
      </c>
      <c r="E19" s="369" t="str">
        <f>VLOOKUP(D:D,'Master Table'!C:D,2,FALSE)</f>
        <v>2401</v>
      </c>
      <c r="F19" s="776" t="s">
        <v>3082</v>
      </c>
      <c r="G19" s="777" t="s">
        <v>846</v>
      </c>
      <c r="H19" s="777" t="s">
        <v>3085</v>
      </c>
      <c r="I19" s="758">
        <v>0</v>
      </c>
      <c r="J19" s="758">
        <v>85</v>
      </c>
      <c r="K19" s="758"/>
      <c r="L19" s="836">
        <v>85</v>
      </c>
      <c r="M19" s="69">
        <f>VLOOKUP(D:D,'Master Table'!C:O,13,FALSE)</f>
        <v>516</v>
      </c>
      <c r="N19" s="620">
        <v>516</v>
      </c>
      <c r="O19" s="620">
        <v>818</v>
      </c>
      <c r="P19" s="621">
        <v>992</v>
      </c>
      <c r="Q19" s="621">
        <v>1172</v>
      </c>
    </row>
    <row r="20" spans="1:17" ht="30" customHeight="1" x14ac:dyDescent="0.2">
      <c r="A20" s="68" t="str">
        <f t="shared" si="0"/>
        <v>EAS021 / 2403</v>
      </c>
      <c r="B20" s="89" t="s">
        <v>3093</v>
      </c>
      <c r="C20" s="89" t="s">
        <v>7576</v>
      </c>
      <c r="D20" s="429" t="s">
        <v>3090</v>
      </c>
      <c r="E20" s="369" t="str">
        <f>VLOOKUP(D:D,'Master Table'!C:D,2,FALSE)</f>
        <v>2403</v>
      </c>
      <c r="F20" s="776" t="s">
        <v>3090</v>
      </c>
      <c r="G20" s="777" t="s">
        <v>7576</v>
      </c>
      <c r="H20" s="777" t="s">
        <v>3093</v>
      </c>
      <c r="I20" s="758">
        <v>490.87</v>
      </c>
      <c r="J20" s="758">
        <v>325</v>
      </c>
      <c r="K20" s="758"/>
      <c r="L20" s="836">
        <v>815.87</v>
      </c>
      <c r="M20" s="69">
        <f>VLOOKUP(D:D,'Master Table'!C:O,13,FALSE)</f>
        <v>1475.04</v>
      </c>
      <c r="N20" s="620">
        <v>1475.04</v>
      </c>
      <c r="O20" s="620">
        <v>1636.83</v>
      </c>
      <c r="P20" s="621">
        <v>1194.7</v>
      </c>
      <c r="Q20" s="621">
        <v>1219.5</v>
      </c>
    </row>
    <row r="21" spans="1:17" ht="30" customHeight="1" x14ac:dyDescent="0.2">
      <c r="A21" s="68" t="str">
        <f t="shared" si="0"/>
        <v>EAS022 / 2404</v>
      </c>
      <c r="B21" s="89" t="s">
        <v>3097</v>
      </c>
      <c r="C21" s="89" t="s">
        <v>7450</v>
      </c>
      <c r="D21" s="429" t="s">
        <v>3094</v>
      </c>
      <c r="E21" s="369" t="str">
        <f>VLOOKUP(D:D,'Master Table'!C:D,2,FALSE)</f>
        <v>2404</v>
      </c>
      <c r="F21" s="776" t="s">
        <v>3094</v>
      </c>
      <c r="G21" s="777" t="s">
        <v>7450</v>
      </c>
      <c r="H21" s="777" t="s">
        <v>3097</v>
      </c>
      <c r="I21" s="758">
        <v>1288.6400000000001</v>
      </c>
      <c r="J21" s="758">
        <v>120</v>
      </c>
      <c r="K21" s="758">
        <v>20</v>
      </c>
      <c r="L21" s="836">
        <v>1428.64</v>
      </c>
      <c r="M21" s="69">
        <f>VLOOKUP(D:D,'Master Table'!C:O,13,FALSE)</f>
        <v>2353.5</v>
      </c>
      <c r="N21" s="620">
        <v>2353.5</v>
      </c>
      <c r="O21" s="620">
        <v>2705.77</v>
      </c>
      <c r="P21" s="621">
        <v>2652.83</v>
      </c>
      <c r="Q21" s="621">
        <v>2625.9</v>
      </c>
    </row>
    <row r="22" spans="1:17" ht="30" customHeight="1" x14ac:dyDescent="0.2">
      <c r="A22" s="68" t="str">
        <f t="shared" si="0"/>
        <v>EAS023 / 2405</v>
      </c>
      <c r="B22" s="89" t="s">
        <v>3101</v>
      </c>
      <c r="C22" s="89" t="s">
        <v>7577</v>
      </c>
      <c r="D22" s="429" t="s">
        <v>3098</v>
      </c>
      <c r="E22" s="369" t="str">
        <f>VLOOKUP(D:D,'Master Table'!C:D,2,FALSE)</f>
        <v>2405</v>
      </c>
      <c r="F22" s="776" t="s">
        <v>3098</v>
      </c>
      <c r="G22" s="777" t="s">
        <v>7577</v>
      </c>
      <c r="H22" s="777" t="s">
        <v>3101</v>
      </c>
      <c r="I22" s="758">
        <v>1183</v>
      </c>
      <c r="J22" s="758">
        <v>30</v>
      </c>
      <c r="K22" s="758"/>
      <c r="L22" s="836">
        <v>1213</v>
      </c>
      <c r="M22" s="69">
        <f>VLOOKUP(D:D,'Master Table'!C:O,13,FALSE)</f>
        <v>1220</v>
      </c>
      <c r="N22" s="620">
        <v>1220</v>
      </c>
      <c r="O22" s="620">
        <v>691</v>
      </c>
      <c r="P22" s="621">
        <v>671.32</v>
      </c>
      <c r="Q22" s="621">
        <v>559.99</v>
      </c>
    </row>
    <row r="23" spans="1:17" ht="30" customHeight="1" x14ac:dyDescent="0.2">
      <c r="A23" s="68"/>
      <c r="B23" s="89"/>
      <c r="C23" s="89"/>
      <c r="D23" s="429"/>
      <c r="E23" s="369"/>
      <c r="F23" s="86"/>
      <c r="G23" s="86"/>
      <c r="H23" s="86"/>
      <c r="I23" s="758"/>
      <c r="J23" s="758"/>
      <c r="K23" s="758"/>
      <c r="L23" s="836"/>
      <c r="M23" s="69"/>
      <c r="N23" s="620"/>
      <c r="O23" s="620"/>
      <c r="P23" s="621"/>
      <c r="Q23" s="621"/>
    </row>
    <row r="24" spans="1:17" ht="30" customHeight="1" x14ac:dyDescent="0.2">
      <c r="A24" s="68" t="str">
        <f t="shared" si="0"/>
        <v>EAS024 / 2407</v>
      </c>
      <c r="B24" s="89" t="s">
        <v>7578</v>
      </c>
      <c r="C24" s="89" t="s">
        <v>1065</v>
      </c>
      <c r="D24" s="429" t="s">
        <v>3108</v>
      </c>
      <c r="E24" s="369" t="str">
        <f>VLOOKUP(D:D,'Master Table'!C:D,2,FALSE)</f>
        <v>2407</v>
      </c>
      <c r="F24" s="776" t="s">
        <v>3108</v>
      </c>
      <c r="G24" s="777" t="s">
        <v>1065</v>
      </c>
      <c r="H24" s="777" t="s">
        <v>7578</v>
      </c>
      <c r="I24" s="758">
        <v>208.95</v>
      </c>
      <c r="J24" s="758">
        <v>75</v>
      </c>
      <c r="K24" s="758"/>
      <c r="L24" s="836">
        <v>283.95</v>
      </c>
      <c r="M24" s="69">
        <f>VLOOKUP(D:D,'Master Table'!C:O,13,FALSE)</f>
        <v>866.06</v>
      </c>
      <c r="N24" s="620">
        <v>866.06</v>
      </c>
      <c r="O24" s="620">
        <v>741.09</v>
      </c>
      <c r="P24" s="621">
        <v>1163.5</v>
      </c>
      <c r="Q24" s="621">
        <v>1038.32</v>
      </c>
    </row>
    <row r="25" spans="1:17" ht="30" customHeight="1" x14ac:dyDescent="0.2">
      <c r="A25" s="68" t="str">
        <f t="shared" si="0"/>
        <v>EAS026 / 2409</v>
      </c>
      <c r="B25" s="131" t="s">
        <v>3117</v>
      </c>
      <c r="C25" s="131" t="s">
        <v>7577</v>
      </c>
      <c r="D25" s="429" t="s">
        <v>3114</v>
      </c>
      <c r="E25" s="369" t="str">
        <f>VLOOKUP(D:D,'Master Table'!C:D,2,FALSE)</f>
        <v>2409</v>
      </c>
      <c r="F25" s="782" t="s">
        <v>3114</v>
      </c>
      <c r="G25" s="783" t="s">
        <v>7577</v>
      </c>
      <c r="H25" s="783" t="s">
        <v>3117</v>
      </c>
      <c r="I25" s="758">
        <v>217.48</v>
      </c>
      <c r="J25" s="758">
        <v>245</v>
      </c>
      <c r="K25" s="758"/>
      <c r="L25" s="836">
        <v>462.48</v>
      </c>
      <c r="M25" s="69">
        <f>VLOOKUP(D:D,'Master Table'!C:O,13,FALSE)</f>
        <v>844.55</v>
      </c>
      <c r="N25" s="620">
        <v>844.55</v>
      </c>
      <c r="O25" s="620">
        <v>594</v>
      </c>
      <c r="P25" s="621">
        <v>420.59000000000003</v>
      </c>
      <c r="Q25" s="621">
        <v>415.01</v>
      </c>
    </row>
    <row r="26" spans="1:17" ht="30" customHeight="1" x14ac:dyDescent="0.2">
      <c r="A26" s="68" t="str">
        <f t="shared" si="0"/>
        <v>EAS028 / 2411</v>
      </c>
      <c r="B26" s="131" t="s">
        <v>7579</v>
      </c>
      <c r="C26" s="131" t="s">
        <v>7580</v>
      </c>
      <c r="D26" s="429" t="s">
        <v>3118</v>
      </c>
      <c r="E26" s="369" t="str">
        <f>VLOOKUP(D:D,'Master Table'!C:D,2,FALSE)</f>
        <v>2411</v>
      </c>
      <c r="F26" s="782" t="s">
        <v>3118</v>
      </c>
      <c r="G26" s="783" t="s">
        <v>11020</v>
      </c>
      <c r="H26" s="783" t="s">
        <v>3121</v>
      </c>
      <c r="I26" s="758">
        <v>0</v>
      </c>
      <c r="J26" s="758">
        <v>165</v>
      </c>
      <c r="K26" s="758"/>
      <c r="L26" s="836">
        <v>165</v>
      </c>
      <c r="M26" s="69">
        <f>VLOOKUP(D:D,'Master Table'!C:O,13,FALSE)</f>
        <v>1188.54</v>
      </c>
      <c r="N26" s="620">
        <v>1188.54</v>
      </c>
      <c r="O26" s="620">
        <v>1010.81</v>
      </c>
      <c r="P26" s="621">
        <v>1008.08</v>
      </c>
      <c r="Q26" s="621">
        <v>855.87</v>
      </c>
    </row>
    <row r="27" spans="1:17" ht="30" customHeight="1" x14ac:dyDescent="0.2">
      <c r="A27" s="68" t="str">
        <f t="shared" si="0"/>
        <v>EAS029 / 2412</v>
      </c>
      <c r="B27" s="131" t="s">
        <v>3125</v>
      </c>
      <c r="C27" s="131" t="s">
        <v>3124</v>
      </c>
      <c r="D27" s="429" t="s">
        <v>3122</v>
      </c>
      <c r="E27" s="369" t="str">
        <f>VLOOKUP(D:D,'Master Table'!C:D,2,FALSE)</f>
        <v>2412</v>
      </c>
      <c r="F27" s="782" t="s">
        <v>3122</v>
      </c>
      <c r="G27" s="783" t="s">
        <v>3124</v>
      </c>
      <c r="H27" s="783" t="s">
        <v>3125</v>
      </c>
      <c r="I27" s="758">
        <v>0</v>
      </c>
      <c r="J27" s="758">
        <v>531</v>
      </c>
      <c r="K27" s="758">
        <v>298.79000000000002</v>
      </c>
      <c r="L27" s="836">
        <v>829.79</v>
      </c>
      <c r="M27" s="69">
        <f>VLOOKUP(D:D,'Master Table'!C:O,13,FALSE)</f>
        <v>768.44999999999993</v>
      </c>
      <c r="N27" s="620">
        <v>768.44999999999993</v>
      </c>
      <c r="O27" s="620">
        <v>745.52</v>
      </c>
      <c r="P27" s="621">
        <v>609</v>
      </c>
      <c r="Q27" s="621">
        <v>410</v>
      </c>
    </row>
    <row r="28" spans="1:17" ht="30" customHeight="1" x14ac:dyDescent="0.2">
      <c r="A28" s="68"/>
      <c r="B28" s="131"/>
      <c r="C28" s="131"/>
      <c r="D28" s="429"/>
      <c r="E28" s="369"/>
      <c r="F28" s="781" t="s">
        <v>3126</v>
      </c>
      <c r="G28" s="783"/>
      <c r="H28" s="783"/>
      <c r="I28" s="758"/>
      <c r="J28" s="758">
        <v>25</v>
      </c>
      <c r="K28" s="758"/>
      <c r="L28" s="836">
        <v>25</v>
      </c>
      <c r="M28" s="69"/>
      <c r="N28" s="620"/>
      <c r="O28" s="620"/>
      <c r="P28" s="621"/>
      <c r="Q28" s="621"/>
    </row>
    <row r="29" spans="1:17" ht="30" customHeight="1" x14ac:dyDescent="0.2">
      <c r="A29" s="68" t="str">
        <f t="shared" si="0"/>
        <v>EAS030 / 2413</v>
      </c>
      <c r="B29" s="131" t="s">
        <v>3113</v>
      </c>
      <c r="C29" s="131" t="s">
        <v>7581</v>
      </c>
      <c r="D29" s="429" t="s">
        <v>3130</v>
      </c>
      <c r="E29" s="369" t="str">
        <f>VLOOKUP(D:D,'Master Table'!C:D,2,FALSE)</f>
        <v>2413</v>
      </c>
      <c r="F29" s="782" t="s">
        <v>3130</v>
      </c>
      <c r="G29" s="783" t="s">
        <v>7581</v>
      </c>
      <c r="H29" s="783" t="s">
        <v>3113</v>
      </c>
      <c r="I29" s="758">
        <v>400</v>
      </c>
      <c r="J29" s="758">
        <v>301</v>
      </c>
      <c r="K29" s="758"/>
      <c r="L29" s="836">
        <v>701</v>
      </c>
      <c r="M29" s="69">
        <f>VLOOKUP(D:D,'Master Table'!C:O,13,FALSE)</f>
        <v>800.15</v>
      </c>
      <c r="N29" s="620">
        <v>800.15</v>
      </c>
      <c r="O29" s="620">
        <v>895</v>
      </c>
      <c r="P29" s="621">
        <v>1261.6500000000001</v>
      </c>
      <c r="Q29" s="621">
        <v>999.94</v>
      </c>
    </row>
    <row r="30" spans="1:17" ht="30" customHeight="1" x14ac:dyDescent="0.2">
      <c r="A30" s="68" t="str">
        <f t="shared" si="0"/>
        <v>EAS031 / 2414</v>
      </c>
      <c r="B30" s="131" t="s">
        <v>3113</v>
      </c>
      <c r="C30" s="131" t="s">
        <v>226</v>
      </c>
      <c r="D30" s="429" t="s">
        <v>3133</v>
      </c>
      <c r="E30" s="369" t="str">
        <f>VLOOKUP(D:D,'Master Table'!C:D,2,FALSE)</f>
        <v>2414</v>
      </c>
      <c r="F30" s="782" t="s">
        <v>3133</v>
      </c>
      <c r="G30" s="783" t="s">
        <v>226</v>
      </c>
      <c r="H30" s="783" t="s">
        <v>3113</v>
      </c>
      <c r="I30" s="758">
        <v>487.82</v>
      </c>
      <c r="J30" s="758">
        <v>1215</v>
      </c>
      <c r="K30" s="758"/>
      <c r="L30" s="836">
        <v>1702.82</v>
      </c>
      <c r="M30" s="69">
        <f>VLOOKUP(D:D,'Master Table'!C:O,13,FALSE)</f>
        <v>3376.16</v>
      </c>
      <c r="N30" s="620">
        <v>3376.16</v>
      </c>
      <c r="O30" s="620">
        <v>2980.8</v>
      </c>
      <c r="P30" s="621">
        <v>3108.0299999999997</v>
      </c>
      <c r="Q30" s="621">
        <v>2414.42</v>
      </c>
    </row>
    <row r="31" spans="1:17" ht="30" customHeight="1" x14ac:dyDescent="0.2">
      <c r="A31" s="68" t="str">
        <f t="shared" si="0"/>
        <v>EAS032 / 2416</v>
      </c>
      <c r="B31" s="131" t="s">
        <v>3113</v>
      </c>
      <c r="C31" s="131" t="s">
        <v>7582</v>
      </c>
      <c r="D31" s="429" t="s">
        <v>3140</v>
      </c>
      <c r="E31" s="369" t="str">
        <f>VLOOKUP(D:D,'Master Table'!C:D,2,FALSE)</f>
        <v>2416</v>
      </c>
      <c r="F31" s="782" t="s">
        <v>3140</v>
      </c>
      <c r="G31" s="783" t="s">
        <v>7582</v>
      </c>
      <c r="H31" s="783" t="s">
        <v>3113</v>
      </c>
      <c r="I31" s="758">
        <v>15.04</v>
      </c>
      <c r="J31" s="758">
        <v>105</v>
      </c>
      <c r="K31" s="758"/>
      <c r="L31" s="836">
        <v>120.03999999999999</v>
      </c>
      <c r="M31" s="69">
        <f>VLOOKUP(D:D,'Master Table'!C:O,13,FALSE)</f>
        <v>367.9</v>
      </c>
      <c r="N31" s="620">
        <v>367.9</v>
      </c>
      <c r="O31" s="620">
        <v>444.03</v>
      </c>
      <c r="P31" s="621">
        <v>662.9</v>
      </c>
      <c r="Q31" s="621">
        <v>900.7</v>
      </c>
    </row>
    <row r="32" spans="1:17" ht="30" customHeight="1" x14ac:dyDescent="0.2">
      <c r="A32" s="68" t="str">
        <f t="shared" si="0"/>
        <v>EAS033 / 2417</v>
      </c>
      <c r="B32" s="131" t="s">
        <v>3113</v>
      </c>
      <c r="C32" s="131" t="s">
        <v>7583</v>
      </c>
      <c r="D32" s="429" t="s">
        <v>3143</v>
      </c>
      <c r="E32" s="369" t="str">
        <f>VLOOKUP(D:D,'Master Table'!C:D,2,FALSE)</f>
        <v>2417</v>
      </c>
      <c r="F32" s="782" t="s">
        <v>3143</v>
      </c>
      <c r="G32" s="783" t="s">
        <v>7583</v>
      </c>
      <c r="H32" s="783" t="s">
        <v>3113</v>
      </c>
      <c r="I32" s="758">
        <v>514.20000000000005</v>
      </c>
      <c r="J32" s="758">
        <v>265</v>
      </c>
      <c r="K32" s="758"/>
      <c r="L32" s="836">
        <v>779.2</v>
      </c>
      <c r="M32" s="69">
        <f>VLOOKUP(D:D,'Master Table'!C:O,13,FALSE)</f>
        <v>210</v>
      </c>
      <c r="N32" s="620">
        <v>210</v>
      </c>
      <c r="O32" s="620">
        <v>1142.44</v>
      </c>
      <c r="P32" s="621">
        <v>1286.53</v>
      </c>
      <c r="Q32" s="621">
        <v>1197.53</v>
      </c>
    </row>
    <row r="33" spans="1:18" ht="30" customHeight="1" x14ac:dyDescent="0.2">
      <c r="A33" s="68" t="str">
        <f t="shared" si="0"/>
        <v>EAS034 / 2418</v>
      </c>
      <c r="B33" s="131" t="s">
        <v>3113</v>
      </c>
      <c r="C33" s="131" t="s">
        <v>7584</v>
      </c>
      <c r="D33" s="429" t="s">
        <v>3146</v>
      </c>
      <c r="E33" s="369" t="str">
        <f>VLOOKUP(D:D,'Master Table'!C:D,2,FALSE)</f>
        <v>2418</v>
      </c>
      <c r="F33" s="782" t="s">
        <v>3146</v>
      </c>
      <c r="G33" s="783" t="s">
        <v>7584</v>
      </c>
      <c r="H33" s="783" t="s">
        <v>3113</v>
      </c>
      <c r="I33" s="758">
        <v>514</v>
      </c>
      <c r="J33" s="758">
        <v>420</v>
      </c>
      <c r="K33" s="758"/>
      <c r="L33" s="836">
        <v>934</v>
      </c>
      <c r="M33" s="69">
        <f>VLOOKUP(D:D,'Master Table'!C:O,13,FALSE)</f>
        <v>1170.97</v>
      </c>
      <c r="N33" s="620">
        <v>1170.97</v>
      </c>
      <c r="O33" s="620">
        <v>1248.1500000000001</v>
      </c>
      <c r="P33" s="621">
        <v>1381.5</v>
      </c>
      <c r="Q33" s="621">
        <v>1073</v>
      </c>
    </row>
    <row r="34" spans="1:18" ht="30" customHeight="1" x14ac:dyDescent="0.2">
      <c r="A34" s="68" t="str">
        <f t="shared" si="0"/>
        <v>EAS035 / 2419</v>
      </c>
      <c r="B34" s="131" t="s">
        <v>7585</v>
      </c>
      <c r="C34" s="131" t="s">
        <v>7586</v>
      </c>
      <c r="D34" s="429" t="s">
        <v>3151</v>
      </c>
      <c r="E34" s="369" t="str">
        <f>VLOOKUP(D:D,'Master Table'!C:D,2,FALSE)</f>
        <v>2419</v>
      </c>
      <c r="F34" s="782" t="s">
        <v>3151</v>
      </c>
      <c r="G34" s="783" t="s">
        <v>7586</v>
      </c>
      <c r="H34" s="783" t="s">
        <v>7585</v>
      </c>
      <c r="I34" s="758">
        <v>284.70999999999998</v>
      </c>
      <c r="J34" s="758">
        <v>505</v>
      </c>
      <c r="K34" s="758"/>
      <c r="L34" s="836">
        <v>789.71</v>
      </c>
      <c r="M34" s="69">
        <f>VLOOKUP(D:D,'Master Table'!C:O,13,FALSE)</f>
        <v>3239.58</v>
      </c>
      <c r="N34" s="620">
        <v>3239.58</v>
      </c>
      <c r="O34" s="620">
        <v>3300.65</v>
      </c>
      <c r="P34" s="621">
        <v>1595.84</v>
      </c>
      <c r="Q34" s="621">
        <v>1540.29</v>
      </c>
    </row>
    <row r="35" spans="1:18" ht="30" customHeight="1" x14ac:dyDescent="0.2">
      <c r="A35" s="68" t="str">
        <f t="shared" si="0"/>
        <v>EAS036 / 2420</v>
      </c>
      <c r="B35" s="131" t="s">
        <v>7587</v>
      </c>
      <c r="C35" s="131" t="s">
        <v>7588</v>
      </c>
      <c r="D35" s="429" t="s">
        <v>3159</v>
      </c>
      <c r="E35" s="369" t="str">
        <f>VLOOKUP(D:D,'Master Table'!C:D,2,FALSE)</f>
        <v>2420</v>
      </c>
      <c r="F35" s="782"/>
      <c r="G35" s="783"/>
      <c r="H35" s="783"/>
      <c r="I35" s="758"/>
      <c r="J35" s="758"/>
      <c r="K35" s="758"/>
      <c r="L35" s="836"/>
      <c r="M35" s="69">
        <f>VLOOKUP(D:D,'Master Table'!C:O,13,FALSE)</f>
        <v>2000</v>
      </c>
      <c r="N35" s="620">
        <v>2000</v>
      </c>
      <c r="O35" s="620">
        <v>2000</v>
      </c>
      <c r="P35" s="621">
        <v>2499</v>
      </c>
      <c r="Q35" s="621"/>
    </row>
    <row r="36" spans="1:18" ht="30" customHeight="1" x14ac:dyDescent="0.2">
      <c r="A36" s="68" t="str">
        <f t="shared" si="0"/>
        <v>EAS037 / 2421</v>
      </c>
      <c r="B36" s="89" t="s">
        <v>3165</v>
      </c>
      <c r="C36" s="89" t="s">
        <v>119</v>
      </c>
      <c r="D36" s="429" t="s">
        <v>3163</v>
      </c>
      <c r="E36" s="369" t="str">
        <f>VLOOKUP(D:D,'Master Table'!C:D,2,FALSE)</f>
        <v>2421</v>
      </c>
      <c r="F36" s="776" t="s">
        <v>3163</v>
      </c>
      <c r="G36" s="777" t="s">
        <v>119</v>
      </c>
      <c r="H36" s="777" t="s">
        <v>3165</v>
      </c>
      <c r="I36" s="758">
        <v>0</v>
      </c>
      <c r="J36" s="758">
        <v>207</v>
      </c>
      <c r="K36" s="758"/>
      <c r="L36" s="836">
        <v>207</v>
      </c>
      <c r="M36" s="69">
        <f>VLOOKUP(D:D,'Master Table'!C:O,13,FALSE)</f>
        <v>577.79999999999995</v>
      </c>
      <c r="N36" s="620">
        <v>577.79999999999995</v>
      </c>
      <c r="O36" s="620">
        <v>930.4</v>
      </c>
      <c r="P36" s="621">
        <v>633.04999999999995</v>
      </c>
      <c r="Q36" s="621">
        <v>664.82</v>
      </c>
    </row>
    <row r="37" spans="1:18" ht="30" customHeight="1" x14ac:dyDescent="0.2">
      <c r="A37" s="68" t="str">
        <f t="shared" si="0"/>
        <v>EAS039 / 2422</v>
      </c>
      <c r="B37" s="89" t="s">
        <v>3173</v>
      </c>
      <c r="C37" s="89" t="s">
        <v>2816</v>
      </c>
      <c r="D37" s="429" t="s">
        <v>3171</v>
      </c>
      <c r="E37" s="369" t="str">
        <f>VLOOKUP(D:D,'Master Table'!C:D,2,FALSE)</f>
        <v>2422</v>
      </c>
      <c r="F37" s="776" t="s">
        <v>3171</v>
      </c>
      <c r="G37" s="777" t="s">
        <v>2816</v>
      </c>
      <c r="H37" s="777" t="s">
        <v>3173</v>
      </c>
      <c r="I37" s="758">
        <v>0</v>
      </c>
      <c r="J37" s="758">
        <v>265</v>
      </c>
      <c r="K37" s="758"/>
      <c r="L37" s="836">
        <v>265</v>
      </c>
      <c r="M37" s="69">
        <f>VLOOKUP(D:D,'Master Table'!C:O,13,FALSE)</f>
        <v>2580</v>
      </c>
      <c r="N37" s="620">
        <v>2580</v>
      </c>
      <c r="O37" s="620">
        <v>1742</v>
      </c>
      <c r="P37" s="621">
        <v>1640</v>
      </c>
      <c r="Q37" s="621">
        <v>1550</v>
      </c>
    </row>
    <row r="38" spans="1:18" ht="30" customHeight="1" x14ac:dyDescent="0.2">
      <c r="A38" s="68" t="str">
        <f t="shared" si="0"/>
        <v>EAS041 / 2424</v>
      </c>
      <c r="B38" s="89" t="s">
        <v>3162</v>
      </c>
      <c r="C38" s="89" t="s">
        <v>3180</v>
      </c>
      <c r="D38" s="429" t="s">
        <v>3178</v>
      </c>
      <c r="E38" s="369" t="str">
        <f>VLOOKUP(D:D,'Master Table'!C:D,2,FALSE)</f>
        <v>2424</v>
      </c>
      <c r="F38" s="776" t="s">
        <v>3178</v>
      </c>
      <c r="G38" s="777" t="s">
        <v>3180</v>
      </c>
      <c r="H38" s="777" t="s">
        <v>3162</v>
      </c>
      <c r="I38" s="758">
        <v>0</v>
      </c>
      <c r="J38" s="758">
        <v>260</v>
      </c>
      <c r="K38" s="758"/>
      <c r="L38" s="836">
        <v>260</v>
      </c>
      <c r="M38" s="69">
        <f>VLOOKUP(D:D,'Master Table'!C:O,13,FALSE)</f>
        <v>1575.06</v>
      </c>
      <c r="N38" s="620">
        <v>1575.06</v>
      </c>
      <c r="O38" s="620">
        <v>1319</v>
      </c>
      <c r="P38" s="621">
        <v>1345.6</v>
      </c>
      <c r="Q38" s="621">
        <v>622.4</v>
      </c>
    </row>
    <row r="39" spans="1:18" ht="30" customHeight="1" x14ac:dyDescent="0.2">
      <c r="A39" s="68" t="str">
        <f t="shared" si="0"/>
        <v>EAS042 / 2425</v>
      </c>
      <c r="B39" s="89" t="s">
        <v>3184</v>
      </c>
      <c r="C39" s="89" t="s">
        <v>1284</v>
      </c>
      <c r="D39" s="429" t="s">
        <v>3182</v>
      </c>
      <c r="E39" s="369" t="str">
        <f>VLOOKUP(D:D,'Master Table'!C:D,2,FALSE)</f>
        <v>2425</v>
      </c>
      <c r="F39" s="776" t="s">
        <v>3182</v>
      </c>
      <c r="G39" s="777" t="s">
        <v>1284</v>
      </c>
      <c r="H39" s="777" t="s">
        <v>3184</v>
      </c>
      <c r="I39" s="758">
        <v>208.74</v>
      </c>
      <c r="J39" s="758">
        <v>125</v>
      </c>
      <c r="K39" s="758"/>
      <c r="L39" s="836">
        <v>333.74</v>
      </c>
      <c r="M39" s="69">
        <f>VLOOKUP(D:D,'Master Table'!C:O,13,FALSE)</f>
        <v>832.7</v>
      </c>
      <c r="N39" s="620">
        <v>832.7</v>
      </c>
      <c r="O39" s="620">
        <v>945.02</v>
      </c>
      <c r="P39" s="621">
        <v>1076.28</v>
      </c>
      <c r="Q39" s="621">
        <v>1279.3</v>
      </c>
    </row>
    <row r="40" spans="1:18" ht="30" customHeight="1" x14ac:dyDescent="0.2">
      <c r="A40" s="68" t="str">
        <f t="shared" si="0"/>
        <v>EAS043 / 2426</v>
      </c>
      <c r="B40" s="89" t="s">
        <v>7589</v>
      </c>
      <c r="C40" s="89" t="s">
        <v>3194</v>
      </c>
      <c r="D40" s="429" t="s">
        <v>3192</v>
      </c>
      <c r="E40" s="369" t="str">
        <f>VLOOKUP(D:D,'Master Table'!C:D,2,FALSE)</f>
        <v>2426</v>
      </c>
      <c r="F40" s="776" t="s">
        <v>3192</v>
      </c>
      <c r="G40" s="777" t="s">
        <v>3194</v>
      </c>
      <c r="H40" s="777" t="s">
        <v>7589</v>
      </c>
      <c r="I40" s="758">
        <v>0</v>
      </c>
      <c r="J40" s="758">
        <v>515</v>
      </c>
      <c r="K40" s="758"/>
      <c r="L40" s="836">
        <v>515</v>
      </c>
      <c r="M40" s="69">
        <f>VLOOKUP(D:D,'Master Table'!C:O,13,FALSE)</f>
        <v>1696.48</v>
      </c>
      <c r="N40" s="620">
        <v>1696.48</v>
      </c>
      <c r="O40" s="620">
        <v>1774.98</v>
      </c>
      <c r="P40" s="621">
        <v>1999</v>
      </c>
      <c r="Q40" s="621">
        <v>1494.59</v>
      </c>
    </row>
    <row r="41" spans="1:18" ht="30" customHeight="1" x14ac:dyDescent="0.2">
      <c r="A41" s="68" t="str">
        <f t="shared" si="0"/>
        <v>EAS044 / 2427</v>
      </c>
      <c r="B41" s="89" t="s">
        <v>3195</v>
      </c>
      <c r="C41" s="89" t="s">
        <v>7590</v>
      </c>
      <c r="D41" s="429" t="s">
        <v>3197</v>
      </c>
      <c r="E41" s="369" t="str">
        <f>VLOOKUP(D:D,'Master Table'!C:D,2,FALSE)</f>
        <v>2427</v>
      </c>
      <c r="F41" s="776" t="s">
        <v>3197</v>
      </c>
      <c r="G41" s="777" t="s">
        <v>7590</v>
      </c>
      <c r="H41" s="777" t="s">
        <v>3195</v>
      </c>
      <c r="I41" s="758">
        <v>170</v>
      </c>
      <c r="J41" s="758">
        <v>130</v>
      </c>
      <c r="K41" s="758"/>
      <c r="L41" s="836">
        <v>300</v>
      </c>
      <c r="M41" s="69">
        <f>VLOOKUP(D:D,'Master Table'!C:O,13,FALSE)</f>
        <v>566.38</v>
      </c>
      <c r="N41" s="620">
        <v>566.38</v>
      </c>
      <c r="O41" s="620">
        <v>380</v>
      </c>
      <c r="P41" s="621">
        <v>839.62</v>
      </c>
      <c r="Q41" s="621">
        <v>798.68000000000006</v>
      </c>
    </row>
    <row r="42" spans="1:18" ht="30" customHeight="1" x14ac:dyDescent="0.2">
      <c r="A42" s="68" t="str">
        <f t="shared" si="0"/>
        <v>EAS048 / 2431</v>
      </c>
      <c r="B42" s="89" t="s">
        <v>3195</v>
      </c>
      <c r="C42" s="89" t="s">
        <v>299</v>
      </c>
      <c r="D42" s="429" t="s">
        <v>3206</v>
      </c>
      <c r="E42" s="369" t="str">
        <f>VLOOKUP(D:D,'Master Table'!C:D,2,FALSE)</f>
        <v>2431</v>
      </c>
      <c r="F42" s="776" t="s">
        <v>3206</v>
      </c>
      <c r="G42" s="777" t="s">
        <v>299</v>
      </c>
      <c r="H42" s="777" t="s">
        <v>3195</v>
      </c>
      <c r="I42" s="758">
        <v>0</v>
      </c>
      <c r="J42" s="758">
        <v>305</v>
      </c>
      <c r="K42" s="758">
        <v>41.35</v>
      </c>
      <c r="L42" s="836">
        <v>346.35</v>
      </c>
      <c r="M42" s="69">
        <f>VLOOKUP(D:D,'Master Table'!C:O,13,FALSE)</f>
        <v>1109.5200000000002</v>
      </c>
      <c r="N42" s="620">
        <v>1109.5200000000002</v>
      </c>
      <c r="O42" s="620">
        <v>1244.01</v>
      </c>
      <c r="P42" s="621">
        <v>1596</v>
      </c>
      <c r="Q42" s="621">
        <v>769.94</v>
      </c>
    </row>
    <row r="43" spans="1:18" ht="30" customHeight="1" x14ac:dyDescent="0.2">
      <c r="A43" s="68" t="str">
        <f t="shared" si="0"/>
        <v>EAS049 / 2432</v>
      </c>
      <c r="B43" s="89" t="s">
        <v>7591</v>
      </c>
      <c r="C43" s="89" t="s">
        <v>3215</v>
      </c>
      <c r="D43" s="429" t="s">
        <v>3213</v>
      </c>
      <c r="E43" s="369" t="str">
        <f>VLOOKUP(D:D,'Master Table'!C:D,2,FALSE)</f>
        <v>2432</v>
      </c>
      <c r="F43" s="776" t="s">
        <v>3213</v>
      </c>
      <c r="G43" s="777" t="s">
        <v>3215</v>
      </c>
      <c r="H43" s="777" t="s">
        <v>7591</v>
      </c>
      <c r="I43" s="758">
        <v>0</v>
      </c>
      <c r="J43" s="758">
        <v>225</v>
      </c>
      <c r="K43" s="758">
        <v>293.56</v>
      </c>
      <c r="L43" s="836">
        <v>518.55999999999995</v>
      </c>
      <c r="M43" s="69">
        <f>VLOOKUP(D:D,'Master Table'!C:O,13,FALSE)</f>
        <v>847.2</v>
      </c>
      <c r="N43" s="620">
        <v>847.2</v>
      </c>
      <c r="O43" s="620">
        <v>25</v>
      </c>
      <c r="P43" s="621">
        <v>25</v>
      </c>
      <c r="Q43" s="621">
        <v>57.89</v>
      </c>
    </row>
    <row r="44" spans="1:18" ht="30" customHeight="1" x14ac:dyDescent="0.2">
      <c r="A44" s="68" t="str">
        <f t="shared" si="0"/>
        <v>EAS050 / 2433</v>
      </c>
      <c r="B44" s="89" t="s">
        <v>7592</v>
      </c>
      <c r="C44" s="89" t="s">
        <v>3222</v>
      </c>
      <c r="D44" s="429" t="s">
        <v>3220</v>
      </c>
      <c r="E44" s="369" t="str">
        <f>VLOOKUP(D:D,'Master Table'!C:D,2,FALSE)</f>
        <v>2433</v>
      </c>
      <c r="F44" s="776" t="s">
        <v>3220</v>
      </c>
      <c r="G44" s="777" t="s">
        <v>3222</v>
      </c>
      <c r="H44" s="777" t="s">
        <v>7592</v>
      </c>
      <c r="I44" s="758">
        <v>0</v>
      </c>
      <c r="J44" s="758"/>
      <c r="K44" s="758"/>
      <c r="L44" s="836">
        <v>0</v>
      </c>
      <c r="M44" s="69">
        <f>VLOOKUP(D:D,'Master Table'!C:O,13,FALSE)</f>
        <v>0</v>
      </c>
      <c r="N44" s="620">
        <v>0</v>
      </c>
      <c r="O44" s="620">
        <v>0</v>
      </c>
      <c r="P44" s="621">
        <v>30</v>
      </c>
      <c r="Q44" s="621">
        <v>30</v>
      </c>
    </row>
    <row r="45" spans="1:18" ht="30" customHeight="1" x14ac:dyDescent="0.2">
      <c r="A45" s="68" t="str">
        <f t="shared" si="0"/>
        <v>EAS050X / 2434</v>
      </c>
      <c r="B45" s="89" t="s">
        <v>7593</v>
      </c>
      <c r="C45" s="89" t="s">
        <v>6593</v>
      </c>
      <c r="D45" s="429" t="s">
        <v>3223</v>
      </c>
      <c r="E45" s="369" t="str">
        <f>VLOOKUP(D:D,'Master Table'!C:D,2,FALSE)</f>
        <v>2434</v>
      </c>
      <c r="F45" s="776" t="s">
        <v>3223</v>
      </c>
      <c r="G45" s="777" t="s">
        <v>6593</v>
      </c>
      <c r="H45" s="777" t="s">
        <v>7593</v>
      </c>
      <c r="I45" s="758">
        <v>0</v>
      </c>
      <c r="J45" s="758">
        <v>500</v>
      </c>
      <c r="K45" s="758"/>
      <c r="L45" s="836">
        <v>500</v>
      </c>
      <c r="M45" s="69">
        <f>VLOOKUP(D:D,'Master Table'!C:O,13,FALSE)</f>
        <v>581.34</v>
      </c>
      <c r="N45" s="620">
        <v>581.34</v>
      </c>
      <c r="O45" s="620">
        <v>86.5</v>
      </c>
      <c r="P45" s="621">
        <v>79.38</v>
      </c>
      <c r="Q45" s="621">
        <v>198.42000000000002</v>
      </c>
    </row>
    <row r="46" spans="1:18" ht="30" customHeight="1" x14ac:dyDescent="0.2">
      <c r="A46" s="68" t="str">
        <f t="shared" si="0"/>
        <v>EAS051 / 2435</v>
      </c>
      <c r="B46" s="89" t="s">
        <v>3228</v>
      </c>
      <c r="C46" s="89" t="s">
        <v>1284</v>
      </c>
      <c r="D46" s="429" t="s">
        <v>3226</v>
      </c>
      <c r="E46" s="369" t="str">
        <f>VLOOKUP(D:D,'Master Table'!C:D,2,FALSE)</f>
        <v>2435</v>
      </c>
      <c r="F46" s="776" t="s">
        <v>3226</v>
      </c>
      <c r="G46" s="777" t="s">
        <v>1284</v>
      </c>
      <c r="H46" s="777" t="s">
        <v>3228</v>
      </c>
      <c r="I46" s="758">
        <v>267.66000000000003</v>
      </c>
      <c r="J46" s="758">
        <v>1141</v>
      </c>
      <c r="K46" s="758"/>
      <c r="L46" s="836">
        <v>1408.66</v>
      </c>
      <c r="M46" s="69">
        <f>VLOOKUP(D:D,'Master Table'!C:O,13,FALSE)</f>
        <v>1588.1</v>
      </c>
      <c r="N46" s="620">
        <v>1588.1</v>
      </c>
      <c r="O46" s="620">
        <v>1180.98</v>
      </c>
      <c r="P46" s="621">
        <v>1893.3200000000002</v>
      </c>
      <c r="Q46" s="621">
        <v>1156.32</v>
      </c>
      <c r="R46" s="86" t="s">
        <v>7262</v>
      </c>
    </row>
    <row r="47" spans="1:18" ht="30" customHeight="1" x14ac:dyDescent="0.2">
      <c r="A47" s="68" t="str">
        <f t="shared" si="0"/>
        <v>EAS052 / 2436</v>
      </c>
      <c r="B47" s="89" t="s">
        <v>7594</v>
      </c>
      <c r="C47" s="89" t="s">
        <v>532</v>
      </c>
      <c r="D47" s="429" t="s">
        <v>3231</v>
      </c>
      <c r="E47" s="369" t="str">
        <f>VLOOKUP(D:D,'Master Table'!C:D,2,FALSE)</f>
        <v>2436</v>
      </c>
      <c r="F47" s="776" t="s">
        <v>3231</v>
      </c>
      <c r="G47" s="777" t="s">
        <v>532</v>
      </c>
      <c r="H47" s="777" t="s">
        <v>7594</v>
      </c>
      <c r="I47" s="758">
        <v>0</v>
      </c>
      <c r="J47" s="758">
        <v>1655</v>
      </c>
      <c r="K47" s="758"/>
      <c r="L47" s="836">
        <v>1655</v>
      </c>
      <c r="M47" s="69">
        <f>VLOOKUP(D:D,'Master Table'!C:O,13,FALSE)</f>
        <v>658.1</v>
      </c>
      <c r="N47" s="620">
        <v>658.1</v>
      </c>
      <c r="O47" s="620">
        <v>1087.67</v>
      </c>
      <c r="P47" s="621">
        <v>930.12</v>
      </c>
      <c r="Q47" s="621">
        <v>826.78</v>
      </c>
    </row>
    <row r="48" spans="1:18" ht="30" customHeight="1" x14ac:dyDescent="0.2">
      <c r="A48" s="68" t="str">
        <f t="shared" si="0"/>
        <v>EAS053 / 2437</v>
      </c>
      <c r="B48" s="89" t="s">
        <v>7595</v>
      </c>
      <c r="C48" s="89" t="s">
        <v>1203</v>
      </c>
      <c r="D48" s="429" t="s">
        <v>3233</v>
      </c>
      <c r="E48" s="369" t="str">
        <f>VLOOKUP(D:D,'Master Table'!C:D,2,FALSE)</f>
        <v>2437</v>
      </c>
      <c r="F48" s="776" t="s">
        <v>3233</v>
      </c>
      <c r="G48" s="777" t="s">
        <v>1203</v>
      </c>
      <c r="H48" s="777" t="s">
        <v>7595</v>
      </c>
      <c r="I48" s="758">
        <v>91</v>
      </c>
      <c r="J48" s="758">
        <v>165</v>
      </c>
      <c r="K48" s="758"/>
      <c r="L48" s="836">
        <v>256</v>
      </c>
      <c r="M48" s="446">
        <f>VLOOKUP(D:D,'Master Table'!C:O,13,FALSE)</f>
        <v>1383.5</v>
      </c>
      <c r="N48" s="620">
        <v>1383.5</v>
      </c>
      <c r="O48" s="620">
        <v>887.13</v>
      </c>
      <c r="P48" s="621">
        <v>1496.5</v>
      </c>
      <c r="Q48" s="621">
        <v>937.5</v>
      </c>
    </row>
    <row r="49" spans="1:18" ht="30" customHeight="1" x14ac:dyDescent="0.2">
      <c r="A49" s="68" t="str">
        <f t="shared" si="0"/>
        <v>EAS017 / 2398</v>
      </c>
      <c r="B49" s="877" t="s">
        <v>7597</v>
      </c>
      <c r="C49" s="468" t="s">
        <v>8393</v>
      </c>
      <c r="D49" s="429" t="s">
        <v>3070</v>
      </c>
      <c r="E49" s="369" t="str">
        <f>VLOOKUP(D:D,'Master Table'!C:D,2,FALSE)</f>
        <v>2398</v>
      </c>
      <c r="F49" s="781" t="s">
        <v>3070</v>
      </c>
      <c r="G49" s="777" t="s">
        <v>7598</v>
      </c>
      <c r="H49" s="777" t="s">
        <v>7597</v>
      </c>
      <c r="I49" s="758"/>
      <c r="J49" s="758">
        <v>214</v>
      </c>
      <c r="K49" s="758"/>
      <c r="L49" s="895">
        <v>1432</v>
      </c>
      <c r="M49" s="446">
        <f>VLOOKUP(D:D,'Master Table'!C:O,13,FALSE)</f>
        <v>80</v>
      </c>
      <c r="N49" s="620">
        <f>M49+M50</f>
        <v>2241.42</v>
      </c>
      <c r="O49" s="893">
        <v>1960.94</v>
      </c>
      <c r="P49" s="621">
        <v>1467.87</v>
      </c>
      <c r="Q49" s="621">
        <v>1397.06</v>
      </c>
    </row>
    <row r="50" spans="1:18" ht="30" customHeight="1" x14ac:dyDescent="0.2">
      <c r="A50" s="68" t="str">
        <f t="shared" ref="A50" si="1">D50&amp;" / "&amp;E50</f>
        <v>EAS054 / 2438</v>
      </c>
      <c r="B50" s="878"/>
      <c r="C50" s="529" t="s">
        <v>8278</v>
      </c>
      <c r="D50" s="429" t="s">
        <v>3236</v>
      </c>
      <c r="E50" s="369" t="str">
        <f>VLOOKUP(D:D,'Master Table'!C:D,2,FALSE)</f>
        <v>2438</v>
      </c>
      <c r="F50" s="776" t="s">
        <v>3236</v>
      </c>
      <c r="I50" s="758">
        <v>0</v>
      </c>
      <c r="J50" s="758">
        <v>1218</v>
      </c>
      <c r="K50" s="758"/>
      <c r="L50" s="896"/>
      <c r="M50" s="446">
        <f>VLOOKUP(D:D,'Master Table'!C:O,13,FALSE)</f>
        <v>2161.42</v>
      </c>
      <c r="N50" s="620"/>
      <c r="O50" s="894"/>
      <c r="P50" s="621"/>
      <c r="Q50" s="621"/>
    </row>
    <row r="51" spans="1:18" ht="30" customHeight="1" x14ac:dyDescent="0.2">
      <c r="A51" s="68" t="str">
        <f t="shared" si="0"/>
        <v>EAS055 / 2439</v>
      </c>
      <c r="B51" s="89" t="s">
        <v>3243</v>
      </c>
      <c r="C51" s="89" t="s">
        <v>1284</v>
      </c>
      <c r="D51" s="429" t="s">
        <v>3241</v>
      </c>
      <c r="E51" s="369" t="str">
        <f>VLOOKUP(D:D,'Master Table'!C:D,2,FALSE)</f>
        <v>2439</v>
      </c>
      <c r="F51" s="776" t="s">
        <v>3241</v>
      </c>
      <c r="G51" s="777" t="s">
        <v>1284</v>
      </c>
      <c r="H51" s="777" t="s">
        <v>3243</v>
      </c>
      <c r="I51" s="758">
        <v>324.18</v>
      </c>
      <c r="J51" s="758">
        <v>80</v>
      </c>
      <c r="K51" s="758"/>
      <c r="L51" s="836">
        <v>404.18</v>
      </c>
      <c r="M51" s="446">
        <f>VLOOKUP(D:D,'Master Table'!C:O,13,FALSE)</f>
        <v>130</v>
      </c>
      <c r="N51" s="620">
        <v>130</v>
      </c>
      <c r="O51" s="620">
        <v>180</v>
      </c>
      <c r="P51" s="621">
        <v>352.36</v>
      </c>
      <c r="Q51" s="621">
        <v>115</v>
      </c>
    </row>
    <row r="52" spans="1:18" ht="30" customHeight="1" x14ac:dyDescent="0.2">
      <c r="A52" s="68" t="str">
        <f t="shared" si="0"/>
        <v>EAS056 / 2440</v>
      </c>
      <c r="B52" s="89" t="s">
        <v>3251</v>
      </c>
      <c r="C52" s="89" t="s">
        <v>1355</v>
      </c>
      <c r="D52" s="429" t="s">
        <v>3248</v>
      </c>
      <c r="E52" s="369" t="str">
        <f>VLOOKUP(D:D,'Master Table'!C:D,2,FALSE)</f>
        <v>2440</v>
      </c>
      <c r="F52" s="776" t="s">
        <v>3248</v>
      </c>
      <c r="G52" s="777" t="s">
        <v>1355</v>
      </c>
      <c r="H52" s="777" t="s">
        <v>3251</v>
      </c>
      <c r="I52" s="758">
        <v>0</v>
      </c>
      <c r="J52" s="758">
        <v>221.55</v>
      </c>
      <c r="K52" s="758"/>
      <c r="L52" s="836">
        <v>221.55</v>
      </c>
      <c r="M52" s="446">
        <f>VLOOKUP(D:D,'Master Table'!C:O,13,FALSE)</f>
        <v>814.47</v>
      </c>
      <c r="N52" s="620">
        <v>814.47</v>
      </c>
      <c r="O52" s="620">
        <v>1115.49</v>
      </c>
      <c r="P52" s="621">
        <v>1120.17</v>
      </c>
      <c r="Q52" s="621">
        <v>749.29</v>
      </c>
    </row>
    <row r="53" spans="1:18" ht="30" customHeight="1" x14ac:dyDescent="0.2">
      <c r="A53" s="68" t="str">
        <f t="shared" si="0"/>
        <v>EAS057 / 2441</v>
      </c>
      <c r="B53" s="877" t="s">
        <v>3259</v>
      </c>
      <c r="C53" s="468" t="s">
        <v>8394</v>
      </c>
      <c r="D53" s="429" t="s">
        <v>3256</v>
      </c>
      <c r="E53" s="369" t="str">
        <f>VLOOKUP(D:D,'Master Table'!C:D,2,FALSE)</f>
        <v>2441</v>
      </c>
      <c r="F53" s="776" t="s">
        <v>3256</v>
      </c>
      <c r="G53" s="777" t="s">
        <v>7600</v>
      </c>
      <c r="H53" s="777" t="s">
        <v>3259</v>
      </c>
      <c r="I53" s="758">
        <v>0</v>
      </c>
      <c r="J53" s="758">
        <v>420</v>
      </c>
      <c r="K53" s="758"/>
      <c r="L53" s="895">
        <v>490</v>
      </c>
      <c r="M53" s="446">
        <f>VLOOKUP(D:D,'Master Table'!C:O,13,FALSE)</f>
        <v>340</v>
      </c>
      <c r="N53" s="620">
        <v>340</v>
      </c>
      <c r="O53" s="893">
        <v>1556.44</v>
      </c>
      <c r="P53" s="621">
        <v>1852.68</v>
      </c>
      <c r="Q53" s="621">
        <v>1978.01</v>
      </c>
    </row>
    <row r="54" spans="1:18" ht="30" customHeight="1" x14ac:dyDescent="0.2">
      <c r="A54" s="68" t="str">
        <f t="shared" ref="A54" si="2">D54&amp;" / "&amp;E54</f>
        <v>EAS025 / 2408</v>
      </c>
      <c r="B54" s="878"/>
      <c r="C54" s="529" t="s">
        <v>8278</v>
      </c>
      <c r="D54" s="429" t="s">
        <v>3111</v>
      </c>
      <c r="E54" s="369" t="str">
        <f>VLOOKUP(D:D,'Master Table'!C:D,2,FALSE)</f>
        <v>2408</v>
      </c>
      <c r="F54" s="781" t="s">
        <v>3111</v>
      </c>
      <c r="G54" s="777"/>
      <c r="H54" s="777"/>
      <c r="I54" s="758"/>
      <c r="J54" s="758">
        <v>70</v>
      </c>
      <c r="K54" s="758"/>
      <c r="L54" s="896"/>
      <c r="M54" s="446">
        <f>VLOOKUP(D:D,'Master Table'!C:O,13,FALSE)</f>
        <v>0</v>
      </c>
      <c r="N54" s="620"/>
      <c r="O54" s="894"/>
      <c r="P54" s="621"/>
      <c r="Q54" s="621"/>
    </row>
    <row r="55" spans="1:18" ht="30" customHeight="1" x14ac:dyDescent="0.2">
      <c r="A55" s="68" t="str">
        <f t="shared" si="0"/>
        <v>EAS058 / 2442</v>
      </c>
      <c r="B55" s="89" t="s">
        <v>3263</v>
      </c>
      <c r="C55" s="89" t="s">
        <v>5063</v>
      </c>
      <c r="D55" s="429" t="s">
        <v>3260</v>
      </c>
      <c r="E55" s="369" t="str">
        <f>VLOOKUP(D:D,'Master Table'!C:D,2,FALSE)</f>
        <v>2442</v>
      </c>
      <c r="F55" s="776" t="s">
        <v>3260</v>
      </c>
      <c r="G55" s="784" t="s">
        <v>5063</v>
      </c>
      <c r="H55" s="777" t="s">
        <v>3263</v>
      </c>
      <c r="I55" s="758">
        <v>58</v>
      </c>
      <c r="J55" s="758">
        <v>165</v>
      </c>
      <c r="K55" s="758"/>
      <c r="L55" s="836">
        <v>223</v>
      </c>
      <c r="M55" s="446">
        <f>VLOOKUP(D:D,'Master Table'!C:O,13,FALSE)</f>
        <v>1142.25</v>
      </c>
      <c r="N55" s="620">
        <v>1142.25</v>
      </c>
      <c r="O55" s="620">
        <v>706.24</v>
      </c>
      <c r="P55" s="621">
        <v>913.38</v>
      </c>
      <c r="Q55" s="621">
        <v>778.18000000000006</v>
      </c>
      <c r="R55" s="86" t="s">
        <v>7262</v>
      </c>
    </row>
    <row r="56" spans="1:18" ht="30" customHeight="1" x14ac:dyDescent="0.2">
      <c r="A56" s="68" t="str">
        <f t="shared" si="0"/>
        <v>EAS059 / 2443</v>
      </c>
      <c r="B56" s="89" t="s">
        <v>3274</v>
      </c>
      <c r="C56" s="89" t="s">
        <v>7318</v>
      </c>
      <c r="D56" s="429" t="s">
        <v>3272</v>
      </c>
      <c r="E56" s="369" t="str">
        <f>VLOOKUP(D:D,'Master Table'!C:D,2,FALSE)</f>
        <v>2443</v>
      </c>
      <c r="F56" s="776" t="s">
        <v>3272</v>
      </c>
      <c r="G56" s="777" t="s">
        <v>7318</v>
      </c>
      <c r="H56" s="777" t="s">
        <v>3274</v>
      </c>
      <c r="I56" s="758">
        <v>0</v>
      </c>
      <c r="J56" s="758">
        <v>205</v>
      </c>
      <c r="K56" s="758"/>
      <c r="L56" s="836">
        <v>205</v>
      </c>
      <c r="M56" s="446">
        <f>VLOOKUP(D:D,'Master Table'!C:O,13,FALSE)</f>
        <v>489.15</v>
      </c>
      <c r="N56" s="620">
        <v>489.15</v>
      </c>
      <c r="O56" s="620">
        <v>486.8</v>
      </c>
      <c r="P56" s="621">
        <v>991.72</v>
      </c>
      <c r="Q56" s="621">
        <v>754.92</v>
      </c>
    </row>
    <row r="57" spans="1:18" ht="30" customHeight="1" x14ac:dyDescent="0.2">
      <c r="A57" s="68" t="str">
        <f t="shared" si="0"/>
        <v>EAS063 / 2448</v>
      </c>
      <c r="B57" s="89" t="s">
        <v>3292</v>
      </c>
      <c r="C57" s="89" t="s">
        <v>7601</v>
      </c>
      <c r="D57" s="429" t="s">
        <v>3289</v>
      </c>
      <c r="E57" s="369" t="str">
        <f>VLOOKUP(D:D,'Master Table'!C:D,2,FALSE)</f>
        <v>2448</v>
      </c>
      <c r="F57" s="776" t="s">
        <v>3289</v>
      </c>
      <c r="G57" s="777" t="s">
        <v>7601</v>
      </c>
      <c r="H57" s="777" t="s">
        <v>3292</v>
      </c>
      <c r="I57" s="758">
        <v>0</v>
      </c>
      <c r="J57" s="758">
        <v>95</v>
      </c>
      <c r="K57" s="758"/>
      <c r="L57" s="836">
        <v>95</v>
      </c>
      <c r="M57" s="446">
        <f>VLOOKUP(D:D,'Master Table'!C:O,13,FALSE)</f>
        <v>570.89</v>
      </c>
      <c r="N57" s="620">
        <v>570.89</v>
      </c>
      <c r="O57" s="620">
        <v>1102.1299999999999</v>
      </c>
      <c r="P57" s="621">
        <v>673</v>
      </c>
      <c r="Q57" s="621">
        <v>840.04</v>
      </c>
    </row>
    <row r="58" spans="1:18" ht="30" customHeight="1" x14ac:dyDescent="0.2">
      <c r="A58" s="68" t="str">
        <f t="shared" si="0"/>
        <v>EAS064 / 2449</v>
      </c>
      <c r="B58" s="877" t="s">
        <v>7603</v>
      </c>
      <c r="C58" s="468" t="s">
        <v>8395</v>
      </c>
      <c r="D58" s="429" t="s">
        <v>3293</v>
      </c>
      <c r="E58" s="369" t="str">
        <f>VLOOKUP(D:D,'Master Table'!C:D,2,FALSE)</f>
        <v>2449</v>
      </c>
      <c r="F58" s="776" t="s">
        <v>3293</v>
      </c>
      <c r="G58" s="777" t="s">
        <v>78</v>
      </c>
      <c r="H58" s="777" t="s">
        <v>3104</v>
      </c>
      <c r="I58" s="758">
        <v>103.12</v>
      </c>
      <c r="J58" s="758">
        <v>305</v>
      </c>
      <c r="K58" s="758"/>
      <c r="L58" s="895">
        <v>433.12</v>
      </c>
      <c r="M58" s="446">
        <f>VLOOKUP(D:D,'Master Table'!C:O,13,FALSE)</f>
        <v>628.66</v>
      </c>
      <c r="N58" s="620">
        <f>M58+M59</f>
        <v>668.66</v>
      </c>
      <c r="O58" s="893">
        <v>817.26</v>
      </c>
      <c r="P58" s="621">
        <v>544.87</v>
      </c>
      <c r="Q58" s="621">
        <v>588.9</v>
      </c>
    </row>
    <row r="59" spans="1:18" ht="30" customHeight="1" x14ac:dyDescent="0.2">
      <c r="A59" s="68" t="str">
        <f t="shared" ref="A59" si="3">D59&amp;" / "&amp;E59</f>
        <v>EAS023A / 2406</v>
      </c>
      <c r="B59" s="878"/>
      <c r="C59" s="469" t="s">
        <v>8396</v>
      </c>
      <c r="D59" s="429" t="s">
        <v>3102</v>
      </c>
      <c r="E59" s="369" t="str">
        <f>VLOOKUP(D:D,'Master Table'!C:D,2,FALSE)</f>
        <v>2406</v>
      </c>
      <c r="F59" s="781" t="s">
        <v>3102</v>
      </c>
      <c r="G59" s="777"/>
      <c r="H59" s="777"/>
      <c r="I59" s="758"/>
      <c r="J59" s="758">
        <v>25</v>
      </c>
      <c r="K59" s="758"/>
      <c r="L59" s="896"/>
      <c r="M59" s="446">
        <f>VLOOKUP(D:D,'Master Table'!C:O,13,FALSE)</f>
        <v>40</v>
      </c>
      <c r="N59" s="620"/>
      <c r="O59" s="894"/>
      <c r="P59" s="621"/>
      <c r="Q59" s="621"/>
    </row>
    <row r="60" spans="1:18" ht="15" x14ac:dyDescent="0.2">
      <c r="A60" s="68" t="str">
        <f t="shared" si="0"/>
        <v>EAS065 / 2450</v>
      </c>
      <c r="B60" s="89" t="s">
        <v>3299</v>
      </c>
      <c r="C60" s="89" t="s">
        <v>7604</v>
      </c>
      <c r="D60" s="429" t="s">
        <v>3296</v>
      </c>
      <c r="E60" s="369" t="str">
        <f>VLOOKUP(D:D,'Master Table'!C:D,2,FALSE)</f>
        <v>2450</v>
      </c>
      <c r="F60" s="776" t="s">
        <v>3296</v>
      </c>
      <c r="G60" s="777" t="s">
        <v>7604</v>
      </c>
      <c r="H60" s="777" t="s">
        <v>3299</v>
      </c>
      <c r="I60" s="758">
        <v>238.15</v>
      </c>
      <c r="J60" s="758">
        <v>510</v>
      </c>
      <c r="K60" s="758">
        <v>30</v>
      </c>
      <c r="L60" s="836">
        <v>778.15</v>
      </c>
      <c r="M60" s="446">
        <f>VLOOKUP(D:D,'Master Table'!C:O,13,FALSE)</f>
        <v>1712.42</v>
      </c>
      <c r="N60" s="620">
        <v>1712.42</v>
      </c>
      <c r="O60" s="620">
        <v>1800.58</v>
      </c>
      <c r="P60" s="621">
        <v>1280.29</v>
      </c>
      <c r="Q60" s="621">
        <v>928.80000000000007</v>
      </c>
    </row>
    <row r="61" spans="1:18" ht="15" x14ac:dyDescent="0.2">
      <c r="A61" s="68" t="str">
        <f t="shared" si="0"/>
        <v>EAS066 / 2451</v>
      </c>
      <c r="B61" s="89" t="s">
        <v>3110</v>
      </c>
      <c r="C61" s="89" t="s">
        <v>226</v>
      </c>
      <c r="D61" s="429" t="s">
        <v>3304</v>
      </c>
      <c r="E61" s="369" t="str">
        <f>VLOOKUP(D:D,'Master Table'!C:D,2,FALSE)</f>
        <v>2451</v>
      </c>
      <c r="F61" s="776" t="s">
        <v>3304</v>
      </c>
      <c r="G61" s="777" t="s">
        <v>226</v>
      </c>
      <c r="H61" s="777" t="s">
        <v>3110</v>
      </c>
      <c r="I61" s="758">
        <v>0</v>
      </c>
      <c r="J61" s="758"/>
      <c r="K61" s="758"/>
      <c r="L61" s="836">
        <v>0</v>
      </c>
      <c r="M61" s="446">
        <f>VLOOKUP(D:D,'Master Table'!C:O,13,FALSE)</f>
        <v>316.77999999999997</v>
      </c>
      <c r="N61" s="620">
        <v>316.77999999999997</v>
      </c>
      <c r="O61" s="620">
        <v>421.3</v>
      </c>
      <c r="P61" s="621">
        <v>443.68</v>
      </c>
      <c r="Q61" s="621">
        <v>200</v>
      </c>
    </row>
    <row r="62" spans="1:18" ht="15" x14ac:dyDescent="0.2">
      <c r="A62" s="68" t="str">
        <f t="shared" si="0"/>
        <v>EAS067 / 225969</v>
      </c>
      <c r="B62" s="89" t="s">
        <v>7605</v>
      </c>
      <c r="C62" s="89" t="s">
        <v>3047</v>
      </c>
      <c r="D62" s="429" t="s">
        <v>3315</v>
      </c>
      <c r="E62" s="369" t="str">
        <f>VLOOKUP(D:D,'Master Table'!C:D,2,FALSE)</f>
        <v>225969</v>
      </c>
      <c r="F62" s="776" t="s">
        <v>3315</v>
      </c>
      <c r="G62" s="777" t="s">
        <v>3047</v>
      </c>
      <c r="H62" s="777" t="s">
        <v>7605</v>
      </c>
      <c r="I62" s="758">
        <v>0</v>
      </c>
      <c r="J62" s="758"/>
      <c r="K62" s="758"/>
      <c r="L62" s="836">
        <v>0</v>
      </c>
      <c r="M62" s="446">
        <f>VLOOKUP(D:D,'Master Table'!C:O,13,FALSE)</f>
        <v>506.5</v>
      </c>
      <c r="N62" s="620">
        <v>506.5</v>
      </c>
      <c r="O62" s="620">
        <v>10</v>
      </c>
      <c r="P62" s="621">
        <v>0</v>
      </c>
      <c r="Q62" s="621">
        <v>138.35</v>
      </c>
    </row>
    <row r="63" spans="1:18" ht="15" x14ac:dyDescent="0.2">
      <c r="A63" s="68" t="str">
        <f t="shared" si="0"/>
        <v>EAS999 / 2455</v>
      </c>
      <c r="B63" s="89" t="s">
        <v>7607</v>
      </c>
      <c r="C63" s="89" t="s">
        <v>7261</v>
      </c>
      <c r="D63" s="429" t="s">
        <v>3319</v>
      </c>
      <c r="E63" s="369" t="str">
        <f>VLOOKUP(D:D,'Master Table'!C:D,2,FALSE)</f>
        <v>2455</v>
      </c>
      <c r="F63" s="774" t="s">
        <v>7606</v>
      </c>
      <c r="G63" s="775" t="s">
        <v>7261</v>
      </c>
      <c r="H63" s="775" t="s">
        <v>7607</v>
      </c>
      <c r="I63" s="758">
        <v>0</v>
      </c>
      <c r="J63" s="758">
        <v>3630</v>
      </c>
      <c r="K63" s="758">
        <v>10</v>
      </c>
      <c r="L63" s="836">
        <v>3640</v>
      </c>
      <c r="M63" s="446">
        <f>VLOOKUP(D:D,'Master Table'!C:O,13,FALSE)</f>
        <v>63</v>
      </c>
      <c r="N63" s="620">
        <v>63</v>
      </c>
      <c r="O63" s="620">
        <v>355.95</v>
      </c>
      <c r="P63" s="621">
        <v>270</v>
      </c>
      <c r="Q63" s="621">
        <v>203</v>
      </c>
    </row>
    <row r="64" spans="1:18" ht="24" hidden="1" customHeight="1" x14ac:dyDescent="0.2">
      <c r="M64" s="98"/>
      <c r="N64" s="98"/>
      <c r="O64" s="477"/>
    </row>
    <row r="65" spans="1:15" ht="24" hidden="1" customHeight="1" x14ac:dyDescent="0.2">
      <c r="F65" s="781" t="s">
        <v>3001</v>
      </c>
      <c r="G65" s="777"/>
      <c r="H65" s="777"/>
      <c r="I65" s="778"/>
      <c r="J65" s="779">
        <v>10</v>
      </c>
      <c r="K65" s="779"/>
      <c r="L65" s="780">
        <v>10</v>
      </c>
    </row>
    <row r="66" spans="1:15" ht="14.25" hidden="1" x14ac:dyDescent="0.2">
      <c r="F66" s="781" t="s">
        <v>3021</v>
      </c>
      <c r="G66" s="777"/>
      <c r="H66" s="777"/>
      <c r="I66" s="778"/>
      <c r="J66" s="779">
        <v>20</v>
      </c>
      <c r="K66" s="779"/>
      <c r="L66" s="780">
        <v>20</v>
      </c>
    </row>
    <row r="68" spans="1:15" ht="13.5" thickBot="1" x14ac:dyDescent="0.25">
      <c r="D68" s="86"/>
      <c r="E68" s="86"/>
      <c r="F68" s="86"/>
      <c r="G68" s="86"/>
      <c r="H68" s="86"/>
    </row>
    <row r="69" spans="1:15" s="74" customFormat="1" ht="83.25" customHeight="1" thickBot="1" x14ac:dyDescent="0.25">
      <c r="A69" s="854" t="s">
        <v>10987</v>
      </c>
      <c r="B69" s="855"/>
      <c r="C69" s="855"/>
      <c r="D69" s="855"/>
      <c r="E69" s="855"/>
      <c r="F69" s="855"/>
      <c r="G69" s="855"/>
      <c r="H69" s="855"/>
      <c r="I69" s="855"/>
      <c r="J69" s="855"/>
      <c r="K69" s="855"/>
      <c r="L69" s="855"/>
      <c r="M69" s="855"/>
      <c r="N69" s="855"/>
      <c r="O69" s="855"/>
    </row>
    <row r="70" spans="1:15" s="74" customFormat="1" ht="15" x14ac:dyDescent="0.2">
      <c r="A70" s="718"/>
      <c r="B70" s="718"/>
      <c r="C70" s="718"/>
    </row>
    <row r="71" spans="1:15" s="74" customFormat="1" ht="30" x14ac:dyDescent="0.2">
      <c r="A71" s="763" t="s">
        <v>7422</v>
      </c>
      <c r="B71" s="764" t="s">
        <v>11007</v>
      </c>
      <c r="C71" s="715"/>
    </row>
    <row r="72" spans="1:15" s="74" customFormat="1" ht="60" x14ac:dyDescent="0.2">
      <c r="A72" s="763" t="s">
        <v>10990</v>
      </c>
      <c r="B72" s="764" t="s">
        <v>11008</v>
      </c>
      <c r="C72" s="715"/>
    </row>
    <row r="73" spans="1:15" s="74" customFormat="1" ht="60" x14ac:dyDescent="0.2">
      <c r="A73" s="763" t="s">
        <v>10991</v>
      </c>
      <c r="B73" s="764" t="s">
        <v>11009</v>
      </c>
      <c r="C73" s="715"/>
    </row>
  </sheetData>
  <mergeCells count="10">
    <mergeCell ref="A69:O69"/>
    <mergeCell ref="B49:B50"/>
    <mergeCell ref="B53:B54"/>
    <mergeCell ref="B58:B59"/>
    <mergeCell ref="O58:O59"/>
    <mergeCell ref="O53:O54"/>
    <mergeCell ref="O49:O50"/>
    <mergeCell ref="L49:L50"/>
    <mergeCell ref="L53:L54"/>
    <mergeCell ref="L58:L59"/>
  </mergeCells>
  <conditionalFormatting sqref="A51:A53 A3:A49 A55:A58 A60:A63">
    <cfRule type="duplicateValues" dxfId="66" priority="4" stopIfTrue="1"/>
  </conditionalFormatting>
  <conditionalFormatting sqref="A50">
    <cfRule type="duplicateValues" dxfId="65" priority="3" stopIfTrue="1"/>
  </conditionalFormatting>
  <conditionalFormatting sqref="A54">
    <cfRule type="duplicateValues" dxfId="64" priority="2" stopIfTrue="1"/>
  </conditionalFormatting>
  <conditionalFormatting sqref="A59">
    <cfRule type="duplicateValues" dxfId="63" priority="1" stopIfTrue="1"/>
  </conditionalFormatting>
  <pageMargins left="0.23622047244094491" right="0.23622047244094491" top="0.39370078740157483" bottom="0.39370078740157483" header="0.31496062992125984" footer="0.31496062992125984"/>
  <pageSetup paperSize="9" scale="66" fitToHeight="0" orientation="portrait" r:id="rId1"/>
  <headerFooter>
    <oddFooter>&amp;RPage &amp;P / &amp;N</oddFooter>
  </headerFooter>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C00000"/>
  </sheetPr>
  <dimension ref="A1:O99"/>
  <sheetViews>
    <sheetView workbookViewId="0">
      <pane xSplit="2" ySplit="3" topLeftCell="C59" activePane="bottomRight" state="frozen"/>
      <selection pane="topRight" activeCell="C1" sqref="C1"/>
      <selection pane="bottomLeft" activeCell="A4" sqref="A4"/>
      <selection pane="bottomRight" activeCell="A3" sqref="A3:XFD3"/>
    </sheetView>
  </sheetViews>
  <sheetFormatPr defaultColWidth="9.140625" defaultRowHeight="15" x14ac:dyDescent="0.25"/>
  <cols>
    <col min="1" max="1" width="9.28515625" style="608" customWidth="1"/>
    <col min="2" max="2" width="11.140625" style="608" bestFit="1" customWidth="1"/>
    <col min="3" max="3" width="49.28515625" style="608" customWidth="1"/>
    <col min="4" max="4" width="20.5703125" style="608" bestFit="1" customWidth="1"/>
    <col min="5" max="5" width="16" style="611" bestFit="1" customWidth="1"/>
    <col min="6" max="6" width="14.28515625" style="611" bestFit="1" customWidth="1"/>
    <col min="7" max="7" width="14.28515625" style="806" bestFit="1" customWidth="1"/>
    <col min="8" max="8" width="14.28515625" style="809" hidden="1" customWidth="1"/>
    <col min="9" max="9" width="9.140625" style="608" hidden="1" customWidth="1"/>
    <col min="10" max="10" width="13" style="608" bestFit="1" customWidth="1"/>
    <col min="11" max="12" width="12.85546875" style="608" bestFit="1" customWidth="1"/>
    <col min="13" max="16384" width="9.140625" style="608"/>
  </cols>
  <sheetData>
    <row r="1" spans="1:12" s="609" customFormat="1" ht="26.25" x14ac:dyDescent="0.4">
      <c r="A1" s="609" t="s">
        <v>11342</v>
      </c>
    </row>
    <row r="2" spans="1:12" ht="9" customHeight="1" x14ac:dyDescent="0.4">
      <c r="A2" s="609"/>
      <c r="H2" s="808"/>
      <c r="K2" s="624"/>
      <c r="L2" s="624"/>
    </row>
    <row r="3" spans="1:12" ht="30" customHeight="1" x14ac:dyDescent="0.3">
      <c r="A3" s="622" t="s">
        <v>1</v>
      </c>
      <c r="B3" s="623" t="s">
        <v>8627</v>
      </c>
      <c r="C3" s="622" t="s">
        <v>7809</v>
      </c>
      <c r="D3" s="622" t="s">
        <v>2</v>
      </c>
      <c r="E3" s="622" t="s">
        <v>11319</v>
      </c>
      <c r="F3" s="622" t="s">
        <v>7809</v>
      </c>
      <c r="G3" s="622">
        <v>2020</v>
      </c>
      <c r="H3" s="622" t="s">
        <v>8626</v>
      </c>
      <c r="I3" s="622" t="s">
        <v>8625</v>
      </c>
      <c r="J3" s="622">
        <v>2019</v>
      </c>
      <c r="K3" s="622">
        <v>2018</v>
      </c>
      <c r="L3" s="622">
        <v>2017</v>
      </c>
    </row>
    <row r="4" spans="1:12" ht="30" customHeight="1" x14ac:dyDescent="0.25">
      <c r="A4" s="68" t="s">
        <v>8624</v>
      </c>
      <c r="B4" s="68" t="s">
        <v>8623</v>
      </c>
      <c r="C4" s="68" t="s">
        <v>78</v>
      </c>
      <c r="D4" s="68" t="s">
        <v>8622</v>
      </c>
      <c r="E4" s="758"/>
      <c r="F4" s="758">
        <v>475</v>
      </c>
      <c r="G4" s="758">
        <v>475</v>
      </c>
      <c r="H4" s="362">
        <v>0</v>
      </c>
      <c r="I4" s="68">
        <v>550</v>
      </c>
      <c r="J4" s="625">
        <f t="shared" ref="J4:J25" si="0">SUM(H4:I4)</f>
        <v>550</v>
      </c>
      <c r="K4" s="625">
        <v>655</v>
      </c>
      <c r="L4" s="625">
        <v>785</v>
      </c>
    </row>
    <row r="5" spans="1:12" ht="30" customHeight="1" x14ac:dyDescent="0.25">
      <c r="A5" s="68" t="s">
        <v>8621</v>
      </c>
      <c r="B5" s="68" t="s">
        <v>8620</v>
      </c>
      <c r="C5" s="68" t="s">
        <v>1047</v>
      </c>
      <c r="D5" s="68" t="s">
        <v>8619</v>
      </c>
      <c r="E5" s="758"/>
      <c r="F5" s="758">
        <v>50</v>
      </c>
      <c r="G5" s="758">
        <v>50</v>
      </c>
      <c r="H5" s="362">
        <v>0</v>
      </c>
      <c r="I5" s="68">
        <v>146</v>
      </c>
      <c r="J5" s="625">
        <f t="shared" si="0"/>
        <v>146</v>
      </c>
      <c r="K5" s="625">
        <v>113</v>
      </c>
      <c r="L5" s="625">
        <v>112</v>
      </c>
    </row>
    <row r="6" spans="1:12" ht="30" customHeight="1" x14ac:dyDescent="0.25">
      <c r="A6" s="68" t="s">
        <v>8618</v>
      </c>
      <c r="B6" s="68" t="s">
        <v>8617</v>
      </c>
      <c r="C6" s="68" t="s">
        <v>8616</v>
      </c>
      <c r="D6" s="68" t="s">
        <v>8615</v>
      </c>
      <c r="E6" s="758">
        <v>300</v>
      </c>
      <c r="F6" s="758"/>
      <c r="G6" s="758">
        <v>300</v>
      </c>
      <c r="H6" s="362">
        <v>25</v>
      </c>
      <c r="I6" s="68">
        <v>418.11</v>
      </c>
      <c r="J6" s="625">
        <f t="shared" si="0"/>
        <v>443.11</v>
      </c>
      <c r="K6" s="625">
        <v>561.69000000000005</v>
      </c>
      <c r="L6" s="625">
        <v>533.47</v>
      </c>
    </row>
    <row r="7" spans="1:12" ht="30" customHeight="1" x14ac:dyDescent="0.25">
      <c r="A7" s="68" t="s">
        <v>8614</v>
      </c>
      <c r="B7" s="68" t="s">
        <v>8613</v>
      </c>
      <c r="C7" s="68" t="s">
        <v>7454</v>
      </c>
      <c r="D7" s="68" t="s">
        <v>8608</v>
      </c>
      <c r="E7" s="758">
        <v>250</v>
      </c>
      <c r="F7" s="758"/>
      <c r="G7" s="758">
        <v>250</v>
      </c>
      <c r="H7" s="362">
        <v>0</v>
      </c>
      <c r="I7" s="68">
        <v>1025.28</v>
      </c>
      <c r="J7" s="625">
        <f t="shared" si="0"/>
        <v>1025.28</v>
      </c>
      <c r="K7" s="625">
        <v>896.71</v>
      </c>
      <c r="L7" s="625">
        <v>1026.54</v>
      </c>
    </row>
    <row r="8" spans="1:12" ht="30" customHeight="1" x14ac:dyDescent="0.25">
      <c r="A8" s="68" t="s">
        <v>8612</v>
      </c>
      <c r="B8" s="68" t="s">
        <v>8611</v>
      </c>
      <c r="C8" s="68" t="s">
        <v>7366</v>
      </c>
      <c r="D8" s="68" t="s">
        <v>8608</v>
      </c>
      <c r="E8" s="758"/>
      <c r="F8" s="758">
        <v>170</v>
      </c>
      <c r="G8" s="758">
        <v>170</v>
      </c>
      <c r="H8" s="362">
        <v>0</v>
      </c>
      <c r="I8" s="68">
        <v>419.84</v>
      </c>
      <c r="J8" s="625">
        <f t="shared" si="0"/>
        <v>419.84</v>
      </c>
      <c r="K8" s="625">
        <v>291.64999999999998</v>
      </c>
      <c r="L8" s="625">
        <v>220.8</v>
      </c>
    </row>
    <row r="9" spans="1:12" ht="30" customHeight="1" x14ac:dyDescent="0.25">
      <c r="A9" s="68" t="s">
        <v>8610</v>
      </c>
      <c r="B9" s="68" t="s">
        <v>8609</v>
      </c>
      <c r="C9" s="68" t="s">
        <v>8108</v>
      </c>
      <c r="D9" s="68" t="s">
        <v>8608</v>
      </c>
      <c r="E9" s="758">
        <v>55</v>
      </c>
      <c r="F9" s="758"/>
      <c r="G9" s="758">
        <v>55</v>
      </c>
      <c r="H9" s="362">
        <v>25</v>
      </c>
      <c r="I9" s="68">
        <v>705.5100000000001</v>
      </c>
      <c r="J9" s="625">
        <f t="shared" si="0"/>
        <v>730.5100000000001</v>
      </c>
      <c r="K9" s="625">
        <v>633.12</v>
      </c>
      <c r="L9" s="625">
        <v>853.21</v>
      </c>
    </row>
    <row r="10" spans="1:12" ht="30" customHeight="1" x14ac:dyDescent="0.25">
      <c r="A10" s="68" t="s">
        <v>8607</v>
      </c>
      <c r="B10" s="68" t="s">
        <v>8606</v>
      </c>
      <c r="C10" s="68" t="s">
        <v>8605</v>
      </c>
      <c r="D10" s="68" t="s">
        <v>8598</v>
      </c>
      <c r="E10" s="758">
        <v>230</v>
      </c>
      <c r="F10" s="758"/>
      <c r="G10" s="758">
        <v>230</v>
      </c>
      <c r="H10" s="362">
        <v>189</v>
      </c>
      <c r="I10" s="68">
        <v>50</v>
      </c>
      <c r="J10" s="625">
        <f t="shared" si="0"/>
        <v>239</v>
      </c>
      <c r="K10" s="625">
        <v>551</v>
      </c>
      <c r="L10" s="625">
        <v>632</v>
      </c>
    </row>
    <row r="11" spans="1:12" ht="30" customHeight="1" x14ac:dyDescent="0.25">
      <c r="A11" s="68" t="s">
        <v>8604</v>
      </c>
      <c r="B11" s="68" t="s">
        <v>8603</v>
      </c>
      <c r="C11" s="68" t="s">
        <v>8602</v>
      </c>
      <c r="D11" s="68" t="s">
        <v>8598</v>
      </c>
      <c r="E11" s="758">
        <v>220</v>
      </c>
      <c r="F11" s="758">
        <v>57.75</v>
      </c>
      <c r="G11" s="758">
        <v>277.75</v>
      </c>
      <c r="H11" s="362">
        <v>70</v>
      </c>
      <c r="I11" s="68">
        <v>859.37</v>
      </c>
      <c r="J11" s="625">
        <f t="shared" si="0"/>
        <v>929.37</v>
      </c>
      <c r="K11" s="625">
        <v>638.74</v>
      </c>
      <c r="L11" s="625">
        <v>846.48</v>
      </c>
    </row>
    <row r="12" spans="1:12" ht="30" customHeight="1" x14ac:dyDescent="0.25">
      <c r="A12" s="68" t="s">
        <v>8601</v>
      </c>
      <c r="B12" s="68" t="s">
        <v>8600</v>
      </c>
      <c r="C12" s="68" t="s">
        <v>8599</v>
      </c>
      <c r="D12" s="68" t="s">
        <v>8598</v>
      </c>
      <c r="E12" s="758">
        <v>25</v>
      </c>
      <c r="F12" s="758"/>
      <c r="G12" s="758">
        <v>25</v>
      </c>
      <c r="H12" s="362">
        <v>25</v>
      </c>
      <c r="I12" s="68">
        <v>20</v>
      </c>
      <c r="J12" s="625">
        <f t="shared" si="0"/>
        <v>45</v>
      </c>
      <c r="K12" s="625">
        <v>25</v>
      </c>
      <c r="L12" s="625">
        <v>324.95</v>
      </c>
    </row>
    <row r="13" spans="1:12" ht="30" customHeight="1" x14ac:dyDescent="0.25">
      <c r="A13" s="68" t="s">
        <v>8597</v>
      </c>
      <c r="B13" s="68" t="s">
        <v>8596</v>
      </c>
      <c r="C13" s="68" t="s">
        <v>7188</v>
      </c>
      <c r="D13" s="68" t="s">
        <v>8595</v>
      </c>
      <c r="E13" s="758"/>
      <c r="F13" s="758"/>
      <c r="G13" s="758"/>
      <c r="H13" s="362">
        <v>0</v>
      </c>
      <c r="I13" s="68">
        <v>100</v>
      </c>
      <c r="J13" s="625">
        <f t="shared" si="0"/>
        <v>100</v>
      </c>
      <c r="K13" s="625"/>
      <c r="L13" s="625">
        <v>69.33</v>
      </c>
    </row>
    <row r="14" spans="1:12" ht="30" customHeight="1" x14ac:dyDescent="0.25">
      <c r="A14" s="68" t="s">
        <v>8594</v>
      </c>
      <c r="B14" s="68" t="s">
        <v>8593</v>
      </c>
      <c r="C14" s="68" t="s">
        <v>7280</v>
      </c>
      <c r="D14" s="68" t="s">
        <v>8592</v>
      </c>
      <c r="E14" s="758">
        <v>347.2</v>
      </c>
      <c r="F14" s="758"/>
      <c r="G14" s="758">
        <v>347.2</v>
      </c>
      <c r="H14" s="362">
        <v>60</v>
      </c>
      <c r="I14" s="68">
        <v>1118.8</v>
      </c>
      <c r="J14" s="625">
        <f t="shared" si="0"/>
        <v>1178.8</v>
      </c>
      <c r="K14" s="625">
        <v>1219.7</v>
      </c>
      <c r="L14" s="625">
        <v>1315.34</v>
      </c>
    </row>
    <row r="15" spans="1:12" ht="30" customHeight="1" x14ac:dyDescent="0.25">
      <c r="A15" s="68" t="s">
        <v>8591</v>
      </c>
      <c r="B15" s="68" t="s">
        <v>8590</v>
      </c>
      <c r="C15" s="68" t="s">
        <v>5138</v>
      </c>
      <c r="D15" s="68" t="s">
        <v>8589</v>
      </c>
      <c r="E15" s="758">
        <v>241.87</v>
      </c>
      <c r="F15" s="758"/>
      <c r="G15" s="758">
        <v>241.87</v>
      </c>
      <c r="H15" s="362">
        <v>386.27</v>
      </c>
      <c r="I15" s="68">
        <v>94</v>
      </c>
      <c r="J15" s="625">
        <f t="shared" si="0"/>
        <v>480.27</v>
      </c>
      <c r="K15" s="625">
        <v>329</v>
      </c>
      <c r="L15" s="625">
        <v>131</v>
      </c>
    </row>
    <row r="16" spans="1:12" ht="30" customHeight="1" x14ac:dyDescent="0.25">
      <c r="A16" s="68" t="s">
        <v>8588</v>
      </c>
      <c r="B16" s="68" t="s">
        <v>8587</v>
      </c>
      <c r="C16" s="68" t="s">
        <v>5256</v>
      </c>
      <c r="D16" s="68" t="s">
        <v>8563</v>
      </c>
      <c r="E16" s="758"/>
      <c r="F16" s="758"/>
      <c r="G16" s="758"/>
      <c r="H16" s="362">
        <v>0</v>
      </c>
      <c r="I16" s="68">
        <v>241.32</v>
      </c>
      <c r="J16" s="625">
        <f t="shared" si="0"/>
        <v>241.32</v>
      </c>
      <c r="K16" s="625">
        <v>326.58999999999997</v>
      </c>
      <c r="L16" s="625">
        <v>482.71</v>
      </c>
    </row>
    <row r="17" spans="1:12" ht="30" customHeight="1" x14ac:dyDescent="0.25">
      <c r="A17" s="68" t="s">
        <v>8586</v>
      </c>
      <c r="B17" s="68" t="s">
        <v>8585</v>
      </c>
      <c r="C17" s="68" t="s">
        <v>532</v>
      </c>
      <c r="D17" s="68" t="s">
        <v>8584</v>
      </c>
      <c r="E17" s="758">
        <v>202</v>
      </c>
      <c r="F17" s="758"/>
      <c r="G17" s="758">
        <v>202</v>
      </c>
      <c r="H17" s="362">
        <v>0</v>
      </c>
      <c r="I17" s="68">
        <v>689.06</v>
      </c>
      <c r="J17" s="625">
        <f t="shared" si="0"/>
        <v>689.06</v>
      </c>
      <c r="K17" s="625">
        <v>375.83</v>
      </c>
      <c r="L17" s="625">
        <v>425.24</v>
      </c>
    </row>
    <row r="18" spans="1:12" ht="30" customHeight="1" x14ac:dyDescent="0.25">
      <c r="A18" s="68" t="s">
        <v>8583</v>
      </c>
      <c r="B18" s="68" t="s">
        <v>8582</v>
      </c>
      <c r="C18" s="68" t="s">
        <v>8581</v>
      </c>
      <c r="D18" s="68" t="s">
        <v>8563</v>
      </c>
      <c r="E18" s="758"/>
      <c r="F18" s="758"/>
      <c r="G18" s="758"/>
      <c r="H18" s="362">
        <v>0</v>
      </c>
      <c r="I18" s="68">
        <v>558.80999999999995</v>
      </c>
      <c r="J18" s="625">
        <f t="shared" si="0"/>
        <v>558.80999999999995</v>
      </c>
      <c r="K18" s="625">
        <v>1072.0999999999999</v>
      </c>
      <c r="L18" s="625"/>
    </row>
    <row r="19" spans="1:12" ht="30" customHeight="1" x14ac:dyDescent="0.25">
      <c r="A19" s="68" t="s">
        <v>8580</v>
      </c>
      <c r="B19" s="68" t="s">
        <v>8579</v>
      </c>
      <c r="C19" s="68" t="s">
        <v>8578</v>
      </c>
      <c r="D19" s="68" t="s">
        <v>8563</v>
      </c>
      <c r="E19" s="758">
        <v>199.89</v>
      </c>
      <c r="F19" s="758"/>
      <c r="G19" s="758">
        <v>199.89</v>
      </c>
      <c r="H19" s="362">
        <v>0</v>
      </c>
      <c r="I19" s="68">
        <v>643.36</v>
      </c>
      <c r="J19" s="625">
        <f t="shared" si="0"/>
        <v>643.36</v>
      </c>
      <c r="K19" s="625">
        <v>824.33</v>
      </c>
      <c r="L19" s="625">
        <v>941.15</v>
      </c>
    </row>
    <row r="20" spans="1:12" ht="30" customHeight="1" x14ac:dyDescent="0.25">
      <c r="A20" s="68" t="s">
        <v>8577</v>
      </c>
      <c r="B20" s="68" t="s">
        <v>8576</v>
      </c>
      <c r="C20" s="68" t="s">
        <v>6794</v>
      </c>
      <c r="D20" s="68" t="s">
        <v>8563</v>
      </c>
      <c r="E20" s="758"/>
      <c r="F20" s="758"/>
      <c r="G20" s="758"/>
      <c r="H20" s="362">
        <v>0</v>
      </c>
      <c r="I20" s="68">
        <v>1091.3699999999999</v>
      </c>
      <c r="J20" s="625">
        <f t="shared" si="0"/>
        <v>1091.3699999999999</v>
      </c>
      <c r="K20" s="625">
        <v>1045.04</v>
      </c>
      <c r="L20" s="625">
        <v>1331.83</v>
      </c>
    </row>
    <row r="21" spans="1:12" ht="30" customHeight="1" x14ac:dyDescent="0.25">
      <c r="A21" s="68" t="s">
        <v>8575</v>
      </c>
      <c r="B21" s="68" t="s">
        <v>8574</v>
      </c>
      <c r="C21" s="68" t="s">
        <v>231</v>
      </c>
      <c r="D21" s="68" t="s">
        <v>8563</v>
      </c>
      <c r="E21" s="758"/>
      <c r="F21" s="758">
        <v>555.04999999999995</v>
      </c>
      <c r="G21" s="758">
        <v>555.04999999999995</v>
      </c>
      <c r="H21" s="362">
        <v>0</v>
      </c>
      <c r="I21" s="68">
        <v>804</v>
      </c>
      <c r="J21" s="625">
        <f t="shared" si="0"/>
        <v>804</v>
      </c>
      <c r="K21" s="625">
        <v>441.54</v>
      </c>
      <c r="L21" s="625">
        <v>844.7</v>
      </c>
    </row>
    <row r="22" spans="1:12" ht="30" customHeight="1" x14ac:dyDescent="0.25">
      <c r="A22" s="68" t="s">
        <v>8573</v>
      </c>
      <c r="B22" s="68" t="s">
        <v>8572</v>
      </c>
      <c r="C22" s="68" t="s">
        <v>2667</v>
      </c>
      <c r="D22" s="68" t="s">
        <v>8563</v>
      </c>
      <c r="E22" s="758">
        <v>249</v>
      </c>
      <c r="F22" s="758"/>
      <c r="G22" s="758">
        <v>249</v>
      </c>
      <c r="H22" s="362">
        <v>72</v>
      </c>
      <c r="I22" s="68">
        <v>2481.19</v>
      </c>
      <c r="J22" s="625">
        <f t="shared" si="0"/>
        <v>2553.19</v>
      </c>
      <c r="K22" s="625">
        <v>2183.65</v>
      </c>
      <c r="L22" s="625">
        <v>2495.5300000000002</v>
      </c>
    </row>
    <row r="23" spans="1:12" ht="30" customHeight="1" x14ac:dyDescent="0.25">
      <c r="A23" s="68" t="s">
        <v>8571</v>
      </c>
      <c r="B23" s="68" t="s">
        <v>8570</v>
      </c>
      <c r="C23" s="68" t="s">
        <v>3992</v>
      </c>
      <c r="D23" s="68" t="s">
        <v>8569</v>
      </c>
      <c r="E23" s="758">
        <v>240</v>
      </c>
      <c r="F23" s="758"/>
      <c r="G23" s="758">
        <v>240</v>
      </c>
      <c r="H23" s="362">
        <v>120</v>
      </c>
      <c r="I23" s="68">
        <v>370.69</v>
      </c>
      <c r="J23" s="625">
        <f t="shared" si="0"/>
        <v>490.69</v>
      </c>
      <c r="K23" s="625">
        <v>518.29999999999995</v>
      </c>
      <c r="L23" s="625">
        <v>585.76</v>
      </c>
    </row>
    <row r="24" spans="1:12" ht="30" customHeight="1" x14ac:dyDescent="0.25">
      <c r="A24" s="68" t="s">
        <v>8568</v>
      </c>
      <c r="B24" s="68" t="s">
        <v>8567</v>
      </c>
      <c r="C24" s="68" t="s">
        <v>4227</v>
      </c>
      <c r="D24" s="68" t="s">
        <v>8566</v>
      </c>
      <c r="E24" s="758">
        <v>50</v>
      </c>
      <c r="F24" s="758">
        <v>258.07</v>
      </c>
      <c r="G24" s="758">
        <v>308.07</v>
      </c>
      <c r="H24" s="362">
        <v>0</v>
      </c>
      <c r="I24" s="68">
        <v>47</v>
      </c>
      <c r="J24" s="625">
        <f t="shared" si="0"/>
        <v>47</v>
      </c>
      <c r="K24" s="625">
        <v>302.44</v>
      </c>
      <c r="L24" s="625">
        <v>246.52</v>
      </c>
    </row>
    <row r="25" spans="1:12" ht="30" customHeight="1" x14ac:dyDescent="0.25">
      <c r="A25" s="68" t="s">
        <v>8565</v>
      </c>
      <c r="B25" s="68" t="s">
        <v>8564</v>
      </c>
      <c r="C25" s="68" t="s">
        <v>226</v>
      </c>
      <c r="D25" s="68" t="s">
        <v>8563</v>
      </c>
      <c r="E25" s="758">
        <v>30</v>
      </c>
      <c r="F25" s="758">
        <v>506.76</v>
      </c>
      <c r="G25" s="758">
        <v>536.76</v>
      </c>
      <c r="H25" s="362">
        <v>0</v>
      </c>
      <c r="I25" s="68">
        <v>1242.78</v>
      </c>
      <c r="J25" s="625">
        <f t="shared" si="0"/>
        <v>1242.78</v>
      </c>
      <c r="K25" s="625">
        <v>1302.01</v>
      </c>
      <c r="L25" s="625">
        <v>1377.67</v>
      </c>
    </row>
    <row r="26" spans="1:12" ht="30" customHeight="1" x14ac:dyDescent="0.25">
      <c r="A26" s="68" t="s">
        <v>10906</v>
      </c>
      <c r="B26" s="68"/>
      <c r="C26" s="68" t="s">
        <v>2667</v>
      </c>
      <c r="D26" s="68" t="s">
        <v>10905</v>
      </c>
      <c r="E26" s="758"/>
      <c r="F26" s="758"/>
      <c r="G26" s="758"/>
      <c r="H26" s="362"/>
      <c r="I26" s="68"/>
      <c r="J26" s="625"/>
      <c r="K26" s="625"/>
      <c r="L26" s="625">
        <v>247</v>
      </c>
    </row>
    <row r="27" spans="1:12" ht="30" customHeight="1" x14ac:dyDescent="0.25">
      <c r="A27" s="68" t="s">
        <v>10904</v>
      </c>
      <c r="B27" s="68"/>
      <c r="C27" s="68" t="s">
        <v>158</v>
      </c>
      <c r="D27" s="68" t="s">
        <v>10903</v>
      </c>
      <c r="E27" s="758"/>
      <c r="F27" s="758"/>
      <c r="G27" s="758"/>
      <c r="H27" s="362"/>
      <c r="I27" s="68"/>
      <c r="J27" s="625"/>
      <c r="K27" s="625">
        <v>105.6</v>
      </c>
      <c r="L27" s="625">
        <v>297.94</v>
      </c>
    </row>
    <row r="28" spans="1:12" ht="30" customHeight="1" x14ac:dyDescent="0.25">
      <c r="A28" s="68" t="s">
        <v>8562</v>
      </c>
      <c r="B28" s="68" t="s">
        <v>8561</v>
      </c>
      <c r="C28" s="68" t="s">
        <v>226</v>
      </c>
      <c r="D28" s="68" t="s">
        <v>8560</v>
      </c>
      <c r="E28" s="758">
        <v>22.96</v>
      </c>
      <c r="F28" s="758"/>
      <c r="G28" s="758">
        <v>22.96</v>
      </c>
      <c r="H28" s="362">
        <v>0</v>
      </c>
      <c r="I28" s="68">
        <v>904</v>
      </c>
      <c r="J28" s="625">
        <f t="shared" ref="J28:J52" si="1">SUM(H28:I28)</f>
        <v>904</v>
      </c>
      <c r="K28" s="625">
        <v>1178.1600000000001</v>
      </c>
      <c r="L28" s="625">
        <v>960.18</v>
      </c>
    </row>
    <row r="29" spans="1:12" ht="30" customHeight="1" x14ac:dyDescent="0.25">
      <c r="A29" s="68" t="s">
        <v>8559</v>
      </c>
      <c r="B29" s="68" t="s">
        <v>8558</v>
      </c>
      <c r="C29" s="68" t="s">
        <v>8557</v>
      </c>
      <c r="D29" s="68" t="s">
        <v>8556</v>
      </c>
      <c r="E29" s="758"/>
      <c r="F29" s="758">
        <v>295.70999999999998</v>
      </c>
      <c r="G29" s="758">
        <v>295.70999999999998</v>
      </c>
      <c r="H29" s="362">
        <v>0</v>
      </c>
      <c r="I29" s="68">
        <v>751.42000000000007</v>
      </c>
      <c r="J29" s="625">
        <f t="shared" si="1"/>
        <v>751.42000000000007</v>
      </c>
      <c r="K29" s="625">
        <v>1008.9</v>
      </c>
      <c r="L29" s="625">
        <v>357.33</v>
      </c>
    </row>
    <row r="30" spans="1:12" ht="30" customHeight="1" x14ac:dyDescent="0.25">
      <c r="A30" s="68" t="s">
        <v>8555</v>
      </c>
      <c r="B30" s="68" t="s">
        <v>8554</v>
      </c>
      <c r="C30" s="68" t="s">
        <v>7188</v>
      </c>
      <c r="D30" s="68" t="s">
        <v>8553</v>
      </c>
      <c r="E30" s="758">
        <v>50</v>
      </c>
      <c r="F30" s="758"/>
      <c r="G30" s="758">
        <v>50</v>
      </c>
      <c r="H30" s="362">
        <v>0</v>
      </c>
      <c r="I30" s="68">
        <v>2333</v>
      </c>
      <c r="J30" s="625">
        <f t="shared" si="1"/>
        <v>2333</v>
      </c>
      <c r="K30" s="625">
        <v>1899</v>
      </c>
      <c r="L30" s="625">
        <v>2194.48</v>
      </c>
    </row>
    <row r="31" spans="1:12" ht="30" customHeight="1" x14ac:dyDescent="0.25">
      <c r="A31" s="68" t="s">
        <v>8552</v>
      </c>
      <c r="B31" s="68" t="s">
        <v>8551</v>
      </c>
      <c r="C31" s="68" t="s">
        <v>1047</v>
      </c>
      <c r="D31" s="68" t="s">
        <v>8550</v>
      </c>
      <c r="E31" s="758"/>
      <c r="F31" s="758"/>
      <c r="G31" s="758"/>
      <c r="H31" s="362">
        <v>0</v>
      </c>
      <c r="I31" s="68">
        <v>655</v>
      </c>
      <c r="J31" s="625">
        <f t="shared" si="1"/>
        <v>655</v>
      </c>
      <c r="K31" s="625">
        <v>629</v>
      </c>
      <c r="L31" s="625">
        <v>815</v>
      </c>
    </row>
    <row r="32" spans="1:12" ht="30" customHeight="1" x14ac:dyDescent="0.25">
      <c r="A32" s="68" t="s">
        <v>8549</v>
      </c>
      <c r="B32" s="68" t="s">
        <v>8548</v>
      </c>
      <c r="C32" s="68" t="s">
        <v>8547</v>
      </c>
      <c r="D32" s="68" t="s">
        <v>8546</v>
      </c>
      <c r="E32" s="758">
        <v>10</v>
      </c>
      <c r="F32" s="758">
        <v>243</v>
      </c>
      <c r="G32" s="758">
        <v>253</v>
      </c>
      <c r="H32" s="362">
        <v>0</v>
      </c>
      <c r="I32" s="68">
        <v>478.88</v>
      </c>
      <c r="J32" s="625">
        <f t="shared" si="1"/>
        <v>478.88</v>
      </c>
      <c r="K32" s="625">
        <v>672.06</v>
      </c>
      <c r="L32" s="625">
        <v>765.43</v>
      </c>
    </row>
    <row r="33" spans="1:12" ht="30" customHeight="1" x14ac:dyDescent="0.25">
      <c r="A33" s="68" t="s">
        <v>8545</v>
      </c>
      <c r="B33" s="68" t="s">
        <v>8544</v>
      </c>
      <c r="C33" s="68" t="s">
        <v>3187</v>
      </c>
      <c r="D33" s="68" t="s">
        <v>8543</v>
      </c>
      <c r="E33" s="758">
        <v>140</v>
      </c>
      <c r="F33" s="758"/>
      <c r="G33" s="758">
        <v>140</v>
      </c>
      <c r="H33" s="362">
        <v>70</v>
      </c>
      <c r="I33" s="68">
        <v>471.95000000000005</v>
      </c>
      <c r="J33" s="625">
        <f t="shared" si="1"/>
        <v>541.95000000000005</v>
      </c>
      <c r="K33" s="625">
        <v>515</v>
      </c>
      <c r="L33" s="625">
        <v>545.37</v>
      </c>
    </row>
    <row r="34" spans="1:12" ht="30" customHeight="1" x14ac:dyDescent="0.25">
      <c r="A34" s="68" t="s">
        <v>8542</v>
      </c>
      <c r="B34" s="68" t="s">
        <v>8541</v>
      </c>
      <c r="C34" s="68" t="s">
        <v>532</v>
      </c>
      <c r="D34" s="68" t="s">
        <v>8540</v>
      </c>
      <c r="E34" s="758">
        <v>135</v>
      </c>
      <c r="F34" s="758">
        <v>609.79999999999995</v>
      </c>
      <c r="G34" s="758">
        <v>744.8</v>
      </c>
      <c r="H34" s="362">
        <v>0</v>
      </c>
      <c r="I34" s="68">
        <v>310.27</v>
      </c>
      <c r="J34" s="625">
        <f t="shared" si="1"/>
        <v>310.27</v>
      </c>
      <c r="K34" s="625">
        <v>297.95999999999998</v>
      </c>
      <c r="L34" s="625">
        <v>758.25</v>
      </c>
    </row>
    <row r="35" spans="1:12" ht="30" customHeight="1" x14ac:dyDescent="0.25">
      <c r="A35" s="68" t="s">
        <v>8539</v>
      </c>
      <c r="B35" s="68" t="s">
        <v>8538</v>
      </c>
      <c r="C35" s="68" t="s">
        <v>916</v>
      </c>
      <c r="D35" s="68" t="s">
        <v>8537</v>
      </c>
      <c r="E35" s="758">
        <v>274</v>
      </c>
      <c r="F35" s="758">
        <v>551.86</v>
      </c>
      <c r="G35" s="758">
        <v>825.86</v>
      </c>
      <c r="H35" s="362">
        <v>12</v>
      </c>
      <c r="I35" s="68">
        <v>944.66</v>
      </c>
      <c r="J35" s="625">
        <f t="shared" si="1"/>
        <v>956.66</v>
      </c>
      <c r="K35" s="625">
        <v>979.7</v>
      </c>
      <c r="L35" s="625">
        <v>604.73</v>
      </c>
    </row>
    <row r="36" spans="1:12" ht="30" customHeight="1" x14ac:dyDescent="0.25">
      <c r="A36" s="68" t="s">
        <v>8536</v>
      </c>
      <c r="B36" s="68" t="s">
        <v>8535</v>
      </c>
      <c r="C36" s="68" t="s">
        <v>3774</v>
      </c>
      <c r="D36" s="68" t="s">
        <v>8531</v>
      </c>
      <c r="E36" s="758">
        <v>400</v>
      </c>
      <c r="F36" s="758">
        <v>1181.5</v>
      </c>
      <c r="G36" s="758">
        <v>1581.5</v>
      </c>
      <c r="H36" s="362">
        <v>0</v>
      </c>
      <c r="I36" s="68">
        <v>2943.61</v>
      </c>
      <c r="J36" s="625">
        <f t="shared" si="1"/>
        <v>2943.61</v>
      </c>
      <c r="K36" s="625">
        <v>3165.61</v>
      </c>
      <c r="L36" s="625">
        <v>2257.56</v>
      </c>
    </row>
    <row r="37" spans="1:12" ht="30" customHeight="1" x14ac:dyDescent="0.25">
      <c r="A37" s="68" t="s">
        <v>8534</v>
      </c>
      <c r="B37" s="68" t="s">
        <v>8533</v>
      </c>
      <c r="C37" s="68" t="s">
        <v>8532</v>
      </c>
      <c r="D37" s="68" t="s">
        <v>8531</v>
      </c>
      <c r="E37" s="758">
        <v>422.07</v>
      </c>
      <c r="F37" s="758">
        <v>608.41000000000008</v>
      </c>
      <c r="G37" s="758">
        <v>1030.48</v>
      </c>
      <c r="H37" s="362">
        <v>105</v>
      </c>
      <c r="I37" s="68">
        <v>370</v>
      </c>
      <c r="J37" s="625">
        <f t="shared" si="1"/>
        <v>475</v>
      </c>
      <c r="K37" s="625">
        <v>887</v>
      </c>
      <c r="L37" s="625">
        <v>562.44000000000005</v>
      </c>
    </row>
    <row r="38" spans="1:12" ht="30" customHeight="1" x14ac:dyDescent="0.25">
      <c r="A38" s="68" t="s">
        <v>8530</v>
      </c>
      <c r="B38" s="68" t="s">
        <v>8529</v>
      </c>
      <c r="C38" s="68" t="s">
        <v>8528</v>
      </c>
      <c r="D38" s="68" t="s">
        <v>8475</v>
      </c>
      <c r="E38" s="758">
        <v>35</v>
      </c>
      <c r="F38" s="758">
        <v>175.57999999999998</v>
      </c>
      <c r="G38" s="758">
        <v>210.57999999999998</v>
      </c>
      <c r="H38" s="362">
        <v>30</v>
      </c>
      <c r="I38" s="68">
        <v>933.65</v>
      </c>
      <c r="J38" s="625">
        <f t="shared" si="1"/>
        <v>963.65</v>
      </c>
      <c r="K38" s="625">
        <v>262.68</v>
      </c>
      <c r="L38" s="625">
        <v>1235.77</v>
      </c>
    </row>
    <row r="39" spans="1:12" ht="30" customHeight="1" x14ac:dyDescent="0.25">
      <c r="A39" s="68" t="s">
        <v>8527</v>
      </c>
      <c r="B39" s="68" t="s">
        <v>8526</v>
      </c>
      <c r="C39" s="68" t="s">
        <v>8525</v>
      </c>
      <c r="D39" s="68" t="s">
        <v>8475</v>
      </c>
      <c r="E39" s="758"/>
      <c r="F39" s="758">
        <v>402.94</v>
      </c>
      <c r="G39" s="758">
        <v>402.94</v>
      </c>
      <c r="H39" s="362">
        <v>0</v>
      </c>
      <c r="I39" s="68">
        <v>590.70000000000005</v>
      </c>
      <c r="J39" s="625">
        <f t="shared" si="1"/>
        <v>590.70000000000005</v>
      </c>
      <c r="K39" s="625">
        <v>792.13</v>
      </c>
      <c r="L39" s="625">
        <v>926.21</v>
      </c>
    </row>
    <row r="40" spans="1:12" ht="30" customHeight="1" x14ac:dyDescent="0.25">
      <c r="A40" s="68" t="s">
        <v>8524</v>
      </c>
      <c r="B40" s="68" t="s">
        <v>8523</v>
      </c>
      <c r="C40" s="68" t="s">
        <v>896</v>
      </c>
      <c r="D40" s="68" t="s">
        <v>8475</v>
      </c>
      <c r="E40" s="758">
        <v>40</v>
      </c>
      <c r="F40" s="758">
        <v>127</v>
      </c>
      <c r="G40" s="758">
        <v>167</v>
      </c>
      <c r="H40" s="362">
        <v>0</v>
      </c>
      <c r="I40" s="68">
        <v>531.5</v>
      </c>
      <c r="J40" s="625">
        <f t="shared" si="1"/>
        <v>531.5</v>
      </c>
      <c r="K40" s="625">
        <v>338.05</v>
      </c>
      <c r="L40" s="625">
        <v>395</v>
      </c>
    </row>
    <row r="41" spans="1:12" ht="30" customHeight="1" x14ac:dyDescent="0.25">
      <c r="A41" s="68" t="s">
        <v>8522</v>
      </c>
      <c r="B41" s="68" t="s">
        <v>8521</v>
      </c>
      <c r="C41" s="68" t="s">
        <v>1165</v>
      </c>
      <c r="D41" s="68" t="s">
        <v>8475</v>
      </c>
      <c r="E41" s="758"/>
      <c r="F41" s="758"/>
      <c r="G41" s="758"/>
      <c r="H41" s="362">
        <v>0</v>
      </c>
      <c r="I41" s="68">
        <v>56</v>
      </c>
      <c r="J41" s="625">
        <f t="shared" si="1"/>
        <v>56</v>
      </c>
      <c r="K41" s="625">
        <v>120</v>
      </c>
      <c r="L41" s="625">
        <v>244</v>
      </c>
    </row>
    <row r="42" spans="1:12" ht="30" customHeight="1" x14ac:dyDescent="0.25">
      <c r="A42" s="68" t="s">
        <v>8520</v>
      </c>
      <c r="B42" s="68" t="s">
        <v>8519</v>
      </c>
      <c r="C42" s="68" t="s">
        <v>532</v>
      </c>
      <c r="D42" s="68" t="s">
        <v>8475</v>
      </c>
      <c r="E42" s="758">
        <v>90</v>
      </c>
      <c r="F42" s="758">
        <v>398.6</v>
      </c>
      <c r="G42" s="758">
        <v>488.6</v>
      </c>
      <c r="H42" s="362">
        <v>50</v>
      </c>
      <c r="I42" s="68">
        <v>688.93000000000006</v>
      </c>
      <c r="J42" s="625">
        <f t="shared" si="1"/>
        <v>738.93000000000006</v>
      </c>
      <c r="K42" s="625">
        <v>492.5</v>
      </c>
      <c r="L42" s="625">
        <v>879.74</v>
      </c>
    </row>
    <row r="43" spans="1:12" ht="30" customHeight="1" x14ac:dyDescent="0.25">
      <c r="A43" s="68" t="s">
        <v>8518</v>
      </c>
      <c r="B43" s="68" t="s">
        <v>8517</v>
      </c>
      <c r="C43" s="68" t="s">
        <v>8516</v>
      </c>
      <c r="D43" s="68" t="s">
        <v>8475</v>
      </c>
      <c r="E43" s="758">
        <v>205</v>
      </c>
      <c r="F43" s="758">
        <v>834.95</v>
      </c>
      <c r="G43" s="758">
        <v>1039.95</v>
      </c>
      <c r="H43" s="362">
        <v>30</v>
      </c>
      <c r="I43" s="68">
        <v>1336.9199999999998</v>
      </c>
      <c r="J43" s="625">
        <f t="shared" si="1"/>
        <v>1366.9199999999998</v>
      </c>
      <c r="K43" s="625">
        <v>2391.89</v>
      </c>
      <c r="L43" s="625">
        <v>753.14</v>
      </c>
    </row>
    <row r="44" spans="1:12" ht="30" customHeight="1" x14ac:dyDescent="0.25">
      <c r="A44" s="68" t="s">
        <v>8515</v>
      </c>
      <c r="B44" s="68" t="s">
        <v>8514</v>
      </c>
      <c r="C44" s="68" t="s">
        <v>8513</v>
      </c>
      <c r="D44" s="68" t="s">
        <v>8475</v>
      </c>
      <c r="E44" s="758"/>
      <c r="F44" s="758">
        <v>124</v>
      </c>
      <c r="G44" s="758">
        <v>124</v>
      </c>
      <c r="H44" s="362">
        <v>0</v>
      </c>
      <c r="I44" s="68">
        <v>466.36</v>
      </c>
      <c r="J44" s="625">
        <f t="shared" si="1"/>
        <v>466.36</v>
      </c>
      <c r="K44" s="625">
        <v>408.06</v>
      </c>
      <c r="L44" s="625">
        <v>576.52</v>
      </c>
    </row>
    <row r="45" spans="1:12" ht="30" customHeight="1" x14ac:dyDescent="0.25">
      <c r="A45" s="68" t="s">
        <v>8512</v>
      </c>
      <c r="B45" s="68" t="s">
        <v>8511</v>
      </c>
      <c r="C45" s="68" t="s">
        <v>158</v>
      </c>
      <c r="D45" s="68" t="s">
        <v>8475</v>
      </c>
      <c r="E45" s="758"/>
      <c r="F45" s="758">
        <v>297</v>
      </c>
      <c r="G45" s="758">
        <v>297</v>
      </c>
      <c r="H45" s="362">
        <v>0</v>
      </c>
      <c r="I45" s="68">
        <v>534</v>
      </c>
      <c r="J45" s="625">
        <f t="shared" si="1"/>
        <v>534</v>
      </c>
      <c r="K45" s="625">
        <v>680</v>
      </c>
      <c r="L45" s="625">
        <v>764</v>
      </c>
    </row>
    <row r="46" spans="1:12" ht="30" customHeight="1" x14ac:dyDescent="0.25">
      <c r="A46" s="68" t="s">
        <v>8510</v>
      </c>
      <c r="B46" s="68" t="s">
        <v>8509</v>
      </c>
      <c r="C46" s="68" t="s">
        <v>231</v>
      </c>
      <c r="D46" s="68" t="s">
        <v>8475</v>
      </c>
      <c r="E46" s="758"/>
      <c r="F46" s="758">
        <v>209.03</v>
      </c>
      <c r="G46" s="758">
        <v>209.03</v>
      </c>
      <c r="H46" s="362">
        <v>0</v>
      </c>
      <c r="I46" s="68">
        <v>829.29000000000008</v>
      </c>
      <c r="J46" s="625">
        <f t="shared" si="1"/>
        <v>829.29000000000008</v>
      </c>
      <c r="K46" s="625">
        <v>732.04</v>
      </c>
      <c r="L46" s="625">
        <v>798.03</v>
      </c>
    </row>
    <row r="47" spans="1:12" ht="30" customHeight="1" x14ac:dyDescent="0.25">
      <c r="A47" s="68" t="s">
        <v>8508</v>
      </c>
      <c r="B47" s="68" t="s">
        <v>8507</v>
      </c>
      <c r="C47" s="68" t="s">
        <v>8506</v>
      </c>
      <c r="D47" s="68" t="s">
        <v>8475</v>
      </c>
      <c r="E47" s="758">
        <v>600</v>
      </c>
      <c r="F47" s="758"/>
      <c r="G47" s="758">
        <v>600</v>
      </c>
      <c r="H47" s="362">
        <v>600</v>
      </c>
      <c r="I47" s="68">
        <v>700</v>
      </c>
      <c r="J47" s="625">
        <f t="shared" si="1"/>
        <v>1300</v>
      </c>
      <c r="K47" s="625">
        <v>1320</v>
      </c>
      <c r="L47" s="625">
        <v>1225</v>
      </c>
    </row>
    <row r="48" spans="1:12" ht="30" customHeight="1" x14ac:dyDescent="0.25">
      <c r="A48" s="68" t="s">
        <v>8505</v>
      </c>
      <c r="B48" s="68" t="s">
        <v>8504</v>
      </c>
      <c r="C48" s="68" t="s">
        <v>453</v>
      </c>
      <c r="D48" s="68" t="s">
        <v>8475</v>
      </c>
      <c r="E48" s="758">
        <v>100</v>
      </c>
      <c r="F48" s="758">
        <v>577</v>
      </c>
      <c r="G48" s="758">
        <v>677</v>
      </c>
      <c r="H48" s="362">
        <v>60</v>
      </c>
      <c r="I48" s="68">
        <v>774</v>
      </c>
      <c r="J48" s="625">
        <f t="shared" si="1"/>
        <v>834</v>
      </c>
      <c r="K48" s="625">
        <v>1199</v>
      </c>
      <c r="L48" s="625">
        <v>660.5</v>
      </c>
    </row>
    <row r="49" spans="1:15" ht="30" customHeight="1" x14ac:dyDescent="0.25">
      <c r="A49" s="68" t="s">
        <v>11316</v>
      </c>
      <c r="B49" s="68">
        <v>2519</v>
      </c>
      <c r="C49" s="68" t="s">
        <v>246</v>
      </c>
      <c r="D49" s="68" t="s">
        <v>8475</v>
      </c>
      <c r="E49" s="758">
        <v>50</v>
      </c>
      <c r="F49" s="758"/>
      <c r="G49" s="758">
        <v>50</v>
      </c>
      <c r="H49" s="362"/>
      <c r="I49" s="68"/>
      <c r="J49" s="625"/>
      <c r="K49" s="625"/>
      <c r="L49" s="625"/>
    </row>
    <row r="50" spans="1:15" ht="30" customHeight="1" x14ac:dyDescent="0.25">
      <c r="A50" s="68" t="s">
        <v>8503</v>
      </c>
      <c r="B50" s="68" t="s">
        <v>8502</v>
      </c>
      <c r="C50" s="68" t="s">
        <v>5796</v>
      </c>
      <c r="D50" s="68" t="s">
        <v>8475</v>
      </c>
      <c r="E50" s="758">
        <v>1185</v>
      </c>
      <c r="F50" s="758">
        <v>200</v>
      </c>
      <c r="G50" s="758">
        <v>1385</v>
      </c>
      <c r="H50" s="362">
        <v>485</v>
      </c>
      <c r="I50" s="68">
        <v>1111</v>
      </c>
      <c r="J50" s="625">
        <f t="shared" si="1"/>
        <v>1596</v>
      </c>
      <c r="K50" s="625">
        <v>1248</v>
      </c>
      <c r="L50" s="625">
        <v>1513</v>
      </c>
    </row>
    <row r="51" spans="1:15" ht="30" customHeight="1" x14ac:dyDescent="0.25">
      <c r="A51" s="68" t="s">
        <v>8501</v>
      </c>
      <c r="B51" s="68" t="s">
        <v>8500</v>
      </c>
      <c r="C51" s="68" t="s">
        <v>8499</v>
      </c>
      <c r="D51" s="68" t="s">
        <v>8475</v>
      </c>
      <c r="E51" s="758">
        <v>36</v>
      </c>
      <c r="F51" s="758">
        <v>65</v>
      </c>
      <c r="G51" s="758">
        <v>101</v>
      </c>
      <c r="H51" s="362">
        <v>28</v>
      </c>
      <c r="I51" s="68">
        <v>689.88</v>
      </c>
      <c r="J51" s="625">
        <f t="shared" si="1"/>
        <v>717.88</v>
      </c>
      <c r="K51" s="625">
        <v>683.85</v>
      </c>
      <c r="L51" s="625">
        <v>819.75</v>
      </c>
    </row>
    <row r="52" spans="1:15" ht="30" customHeight="1" x14ac:dyDescent="0.25">
      <c r="A52" s="68" t="s">
        <v>8498</v>
      </c>
      <c r="B52" s="68" t="s">
        <v>8497</v>
      </c>
      <c r="C52" s="68" t="s">
        <v>6166</v>
      </c>
      <c r="D52" s="68" t="s">
        <v>8496</v>
      </c>
      <c r="E52" s="758"/>
      <c r="F52" s="758"/>
      <c r="G52" s="758"/>
      <c r="H52" s="362">
        <v>0</v>
      </c>
      <c r="I52" s="68">
        <v>164.1</v>
      </c>
      <c r="J52" s="625">
        <f t="shared" si="1"/>
        <v>164.1</v>
      </c>
      <c r="K52" s="625">
        <v>263.89</v>
      </c>
      <c r="L52" s="625">
        <v>354.6</v>
      </c>
    </row>
    <row r="53" spans="1:15" ht="30" customHeight="1" x14ac:dyDescent="0.25">
      <c r="A53" s="68" t="s">
        <v>8495</v>
      </c>
      <c r="B53" s="68" t="s">
        <v>8494</v>
      </c>
      <c r="C53" s="68" t="s">
        <v>7432</v>
      </c>
      <c r="D53" s="68" t="s">
        <v>8493</v>
      </c>
      <c r="E53" s="758">
        <v>290</v>
      </c>
      <c r="F53" s="758">
        <v>292.27</v>
      </c>
      <c r="G53" s="758">
        <v>582.27</v>
      </c>
      <c r="H53" s="616">
        <v>854.73</v>
      </c>
      <c r="I53" s="68">
        <v>120</v>
      </c>
      <c r="J53" s="446">
        <v>809.5</v>
      </c>
      <c r="K53" s="807">
        <f>SUM(I53:J53)</f>
        <v>929.5</v>
      </c>
      <c r="L53" s="807">
        <v>664.53</v>
      </c>
    </row>
    <row r="54" spans="1:15" ht="30" customHeight="1" x14ac:dyDescent="0.25">
      <c r="A54" s="68" t="s">
        <v>8492</v>
      </c>
      <c r="B54" s="68" t="s">
        <v>8491</v>
      </c>
      <c r="C54" s="68" t="s">
        <v>532</v>
      </c>
      <c r="D54" s="68" t="s">
        <v>8490</v>
      </c>
      <c r="E54" s="758">
        <v>45</v>
      </c>
      <c r="F54" s="758">
        <v>715</v>
      </c>
      <c r="G54" s="758">
        <v>760</v>
      </c>
      <c r="H54" s="616">
        <v>1050</v>
      </c>
      <c r="I54" s="68">
        <v>0</v>
      </c>
      <c r="J54" s="446">
        <v>993</v>
      </c>
      <c r="K54" s="807">
        <f>SUM(I54:J54)</f>
        <v>993</v>
      </c>
      <c r="L54" s="807">
        <v>857</v>
      </c>
    </row>
    <row r="55" spans="1:15" ht="30" customHeight="1" x14ac:dyDescent="0.25">
      <c r="A55" s="68" t="s">
        <v>8489</v>
      </c>
      <c r="B55" s="68" t="s">
        <v>8488</v>
      </c>
      <c r="C55" s="68" t="s">
        <v>8487</v>
      </c>
      <c r="D55" s="68" t="s">
        <v>8486</v>
      </c>
      <c r="E55" s="758">
        <v>50</v>
      </c>
      <c r="F55" s="758">
        <v>23.9</v>
      </c>
      <c r="G55" s="758">
        <v>73.900000000000006</v>
      </c>
      <c r="H55" s="616">
        <v>522</v>
      </c>
      <c r="I55" s="68">
        <v>0</v>
      </c>
      <c r="J55" s="446">
        <v>600</v>
      </c>
      <c r="K55" s="807">
        <f>SUM(I55:J55)</f>
        <v>600</v>
      </c>
      <c r="L55" s="807">
        <v>639</v>
      </c>
    </row>
    <row r="56" spans="1:15" ht="30" customHeight="1" x14ac:dyDescent="0.25">
      <c r="A56" s="68" t="s">
        <v>8485</v>
      </c>
      <c r="B56" s="68" t="s">
        <v>8484</v>
      </c>
      <c r="C56" s="68" t="s">
        <v>8483</v>
      </c>
      <c r="D56" s="68" t="s">
        <v>8482</v>
      </c>
      <c r="E56" s="758"/>
      <c r="F56" s="758">
        <v>261</v>
      </c>
      <c r="G56" s="758">
        <v>261</v>
      </c>
      <c r="H56" s="616">
        <v>373.33</v>
      </c>
      <c r="I56" s="68">
        <v>0</v>
      </c>
      <c r="J56" s="446">
        <v>308.92</v>
      </c>
      <c r="K56" s="807">
        <f>SUM(I56:J56)</f>
        <v>308.92</v>
      </c>
      <c r="L56" s="807">
        <v>275</v>
      </c>
    </row>
    <row r="57" spans="1:15" ht="30" customHeight="1" x14ac:dyDescent="0.25">
      <c r="A57" s="68" t="s">
        <v>8481</v>
      </c>
      <c r="B57" s="68" t="s">
        <v>8480</v>
      </c>
      <c r="C57" s="68" t="s">
        <v>8479</v>
      </c>
      <c r="D57" s="68" t="s">
        <v>8478</v>
      </c>
      <c r="E57" s="758">
        <v>530</v>
      </c>
      <c r="F57" s="758">
        <v>410</v>
      </c>
      <c r="G57" s="758">
        <v>940</v>
      </c>
      <c r="H57" s="616">
        <v>856.17</v>
      </c>
      <c r="I57" s="68">
        <v>80</v>
      </c>
      <c r="J57" s="446">
        <v>729</v>
      </c>
      <c r="K57" s="807">
        <f>SUM(I57:J57)</f>
        <v>809</v>
      </c>
      <c r="L57" s="807">
        <v>647.71</v>
      </c>
    </row>
    <row r="58" spans="1:15" ht="30" customHeight="1" x14ac:dyDescent="0.25">
      <c r="A58" s="68" t="s">
        <v>11317</v>
      </c>
      <c r="B58" s="68">
        <v>2530</v>
      </c>
      <c r="C58" s="68" t="s">
        <v>11318</v>
      </c>
      <c r="D58" s="68" t="s">
        <v>8478</v>
      </c>
      <c r="E58" s="758">
        <v>160</v>
      </c>
      <c r="F58" s="758"/>
      <c r="G58" s="758">
        <v>160</v>
      </c>
      <c r="H58" s="616"/>
      <c r="I58" s="68"/>
      <c r="J58" s="446"/>
      <c r="K58" s="807"/>
      <c r="L58" s="807"/>
    </row>
    <row r="59" spans="1:15" ht="30" customHeight="1" x14ac:dyDescent="0.25">
      <c r="A59" s="68" t="s">
        <v>8477</v>
      </c>
      <c r="B59" s="68" t="s">
        <v>8476</v>
      </c>
      <c r="C59" s="68" t="s">
        <v>1203</v>
      </c>
      <c r="D59" s="68" t="s">
        <v>8475</v>
      </c>
      <c r="E59" s="758">
        <v>185</v>
      </c>
      <c r="F59" s="758">
        <v>108.49</v>
      </c>
      <c r="G59" s="758">
        <v>293.49</v>
      </c>
      <c r="H59" s="616">
        <v>953.41</v>
      </c>
      <c r="I59" s="68">
        <v>0</v>
      </c>
      <c r="J59" s="446">
        <v>645.6400000000001</v>
      </c>
      <c r="K59" s="807">
        <f>SUM(I59:J59)</f>
        <v>645.6400000000001</v>
      </c>
      <c r="L59" s="807">
        <v>723.78</v>
      </c>
    </row>
    <row r="60" spans="1:15" ht="30" customHeight="1" x14ac:dyDescent="0.25">
      <c r="A60" s="68" t="s">
        <v>8474</v>
      </c>
      <c r="B60" s="68" t="s">
        <v>8473</v>
      </c>
      <c r="C60" s="68" t="s">
        <v>8472</v>
      </c>
      <c r="D60" s="68" t="s">
        <v>8471</v>
      </c>
      <c r="E60" s="758">
        <v>50</v>
      </c>
      <c r="F60" s="758"/>
      <c r="G60" s="758">
        <v>50</v>
      </c>
      <c r="H60" s="616">
        <v>167.7</v>
      </c>
      <c r="I60" s="68">
        <v>20</v>
      </c>
      <c r="J60" s="446">
        <v>303.49</v>
      </c>
      <c r="K60" s="807">
        <f>SUM(I60:J60)</f>
        <v>323.49</v>
      </c>
      <c r="L60" s="807">
        <v>418.74</v>
      </c>
    </row>
    <row r="61" spans="1:15" ht="30" customHeight="1" x14ac:dyDescent="0.25">
      <c r="A61" s="68" t="s">
        <v>8470</v>
      </c>
      <c r="B61" s="68" t="s">
        <v>8469</v>
      </c>
      <c r="C61" s="68" t="s">
        <v>226</v>
      </c>
      <c r="D61" s="68" t="s">
        <v>8468</v>
      </c>
      <c r="E61" s="758">
        <v>165</v>
      </c>
      <c r="F61" s="758">
        <v>12</v>
      </c>
      <c r="G61" s="758">
        <v>177</v>
      </c>
      <c r="H61" s="616">
        <v>591.16</v>
      </c>
      <c r="I61" s="68">
        <v>0</v>
      </c>
      <c r="J61" s="446">
        <v>734.57999999999993</v>
      </c>
      <c r="K61" s="807">
        <f>SUM(I61:J61)</f>
        <v>734.57999999999993</v>
      </c>
      <c r="L61" s="807">
        <v>649.70000000000005</v>
      </c>
    </row>
    <row r="62" spans="1:15" ht="30" customHeight="1" x14ac:dyDescent="0.25">
      <c r="A62" s="68" t="s">
        <v>8467</v>
      </c>
      <c r="B62" s="68" t="s">
        <v>8466</v>
      </c>
      <c r="C62" s="68" t="s">
        <v>8465</v>
      </c>
      <c r="D62" s="68" t="s">
        <v>8464</v>
      </c>
      <c r="E62" s="758">
        <v>534.16999999999996</v>
      </c>
      <c r="F62" s="758">
        <v>100.5</v>
      </c>
      <c r="G62" s="758">
        <v>634.66999999999996</v>
      </c>
      <c r="H62" s="616">
        <v>391.43</v>
      </c>
      <c r="I62" s="68">
        <v>1050</v>
      </c>
      <c r="J62" s="446">
        <v>539.35</v>
      </c>
      <c r="K62" s="807">
        <f>SUM(I62:J62)</f>
        <v>1589.35</v>
      </c>
      <c r="L62" s="807">
        <v>437</v>
      </c>
    </row>
    <row r="63" spans="1:15" ht="15.75" thickBot="1" x14ac:dyDescent="0.3">
      <c r="A63" s="613"/>
      <c r="B63" s="613"/>
      <c r="C63" s="613"/>
      <c r="D63" s="613"/>
      <c r="E63" s="608"/>
      <c r="F63" s="608"/>
      <c r="G63" s="608"/>
      <c r="H63" s="608"/>
    </row>
    <row r="64" spans="1:15" s="74" customFormat="1" ht="83.25" customHeight="1" thickBot="1" x14ac:dyDescent="0.25">
      <c r="A64" s="854" t="s">
        <v>10987</v>
      </c>
      <c r="B64" s="855"/>
      <c r="C64" s="855"/>
      <c r="D64" s="855"/>
      <c r="E64" s="855"/>
      <c r="F64" s="855"/>
      <c r="G64" s="855"/>
      <c r="H64" s="855"/>
      <c r="I64" s="855"/>
      <c r="J64" s="855"/>
      <c r="K64" s="855"/>
      <c r="L64" s="855"/>
      <c r="M64" s="855"/>
      <c r="N64" s="855"/>
      <c r="O64" s="855"/>
    </row>
    <row r="65" spans="1:8" s="74" customFormat="1" x14ac:dyDescent="0.2">
      <c r="A65" s="718"/>
      <c r="B65" s="718"/>
      <c r="C65" s="718"/>
    </row>
    <row r="66" spans="1:8" s="74" customFormat="1" ht="45" x14ac:dyDescent="0.2">
      <c r="A66" s="897" t="s">
        <v>10990</v>
      </c>
      <c r="B66" s="897"/>
      <c r="C66" s="764" t="s">
        <v>11008</v>
      </c>
    </row>
    <row r="67" spans="1:8" s="74" customFormat="1" ht="45" x14ac:dyDescent="0.2">
      <c r="A67" s="897" t="s">
        <v>7809</v>
      </c>
      <c r="B67" s="897"/>
      <c r="C67" s="764" t="s">
        <v>11320</v>
      </c>
    </row>
    <row r="68" spans="1:8" x14ac:dyDescent="0.25">
      <c r="A68" s="613"/>
      <c r="B68" s="613"/>
      <c r="C68" s="613"/>
      <c r="D68" s="613"/>
      <c r="E68" s="608"/>
      <c r="F68" s="608"/>
      <c r="G68" s="608"/>
      <c r="H68" s="808"/>
    </row>
    <row r="69" spans="1:8" x14ac:dyDescent="0.25">
      <c r="A69" s="613"/>
      <c r="B69" s="613"/>
      <c r="C69" s="613"/>
      <c r="D69" s="613"/>
      <c r="E69" s="608"/>
      <c r="F69" s="608"/>
      <c r="G69" s="608"/>
      <c r="H69" s="808"/>
    </row>
    <row r="70" spans="1:8" x14ac:dyDescent="0.25">
      <c r="A70" s="613"/>
      <c r="B70" s="613"/>
      <c r="C70" s="613"/>
      <c r="D70" s="613"/>
      <c r="E70" s="608"/>
      <c r="F70" s="608"/>
      <c r="G70" s="608"/>
      <c r="H70" s="808"/>
    </row>
    <row r="71" spans="1:8" x14ac:dyDescent="0.25">
      <c r="A71" s="613"/>
      <c r="B71" s="613"/>
      <c r="C71" s="613"/>
      <c r="D71" s="613"/>
      <c r="E71" s="608"/>
      <c r="F71" s="608"/>
      <c r="G71" s="608"/>
      <c r="H71" s="808"/>
    </row>
    <row r="72" spans="1:8" x14ac:dyDescent="0.25">
      <c r="A72" s="613"/>
      <c r="B72" s="613"/>
      <c r="C72" s="613"/>
      <c r="D72" s="613"/>
      <c r="E72" s="608"/>
      <c r="F72" s="608"/>
      <c r="G72" s="608"/>
      <c r="H72" s="808"/>
    </row>
    <row r="73" spans="1:8" x14ac:dyDescent="0.25">
      <c r="A73" s="613"/>
      <c r="B73" s="613"/>
      <c r="C73" s="613"/>
      <c r="D73" s="613"/>
      <c r="E73" s="608"/>
      <c r="F73" s="608"/>
      <c r="G73" s="608"/>
      <c r="H73" s="808"/>
    </row>
    <row r="74" spans="1:8" x14ac:dyDescent="0.25">
      <c r="A74" s="613"/>
      <c r="B74" s="613"/>
      <c r="C74" s="613"/>
      <c r="D74" s="613"/>
      <c r="E74" s="608"/>
      <c r="F74" s="608"/>
      <c r="G74" s="608"/>
      <c r="H74" s="808"/>
    </row>
    <row r="75" spans="1:8" x14ac:dyDescent="0.25">
      <c r="A75" s="613"/>
      <c r="B75" s="613"/>
      <c r="C75" s="613"/>
      <c r="D75" s="613"/>
      <c r="E75" s="608"/>
      <c r="F75" s="608"/>
      <c r="G75" s="608"/>
      <c r="H75" s="808"/>
    </row>
    <row r="76" spans="1:8" x14ac:dyDescent="0.25">
      <c r="A76" s="613"/>
      <c r="B76" s="613"/>
      <c r="C76" s="613"/>
      <c r="D76" s="613"/>
      <c r="E76" s="608"/>
      <c r="F76" s="608"/>
      <c r="G76" s="608"/>
      <c r="H76" s="808"/>
    </row>
    <row r="77" spans="1:8" x14ac:dyDescent="0.25">
      <c r="A77" s="613"/>
      <c r="B77" s="613"/>
      <c r="C77" s="613"/>
      <c r="D77" s="613"/>
      <c r="E77" s="608"/>
      <c r="F77" s="608"/>
      <c r="G77" s="608"/>
      <c r="H77" s="808"/>
    </row>
    <row r="78" spans="1:8" x14ac:dyDescent="0.25">
      <c r="E78" s="608"/>
      <c r="F78" s="608"/>
      <c r="G78" s="608"/>
      <c r="H78" s="808"/>
    </row>
    <row r="79" spans="1:8" x14ac:dyDescent="0.25">
      <c r="E79" s="608"/>
      <c r="F79" s="608"/>
      <c r="G79" s="608"/>
      <c r="H79" s="808"/>
    </row>
    <row r="80" spans="1:8" x14ac:dyDescent="0.25">
      <c r="E80" s="608"/>
      <c r="F80" s="608"/>
      <c r="G80" s="608"/>
      <c r="H80" s="808"/>
    </row>
    <row r="81" spans="5:8" x14ac:dyDescent="0.25">
      <c r="E81" s="608"/>
      <c r="F81" s="608"/>
      <c r="G81" s="608"/>
      <c r="H81" s="808"/>
    </row>
    <row r="82" spans="5:8" x14ac:dyDescent="0.25">
      <c r="E82" s="608"/>
      <c r="F82" s="608"/>
      <c r="G82" s="608"/>
      <c r="H82" s="808"/>
    </row>
    <row r="83" spans="5:8" x14ac:dyDescent="0.25">
      <c r="E83" s="608"/>
      <c r="F83" s="608"/>
      <c r="G83" s="608"/>
      <c r="H83" s="808"/>
    </row>
    <row r="84" spans="5:8" x14ac:dyDescent="0.25">
      <c r="E84" s="608"/>
      <c r="F84" s="608"/>
      <c r="G84" s="608"/>
      <c r="H84" s="808"/>
    </row>
    <row r="85" spans="5:8" x14ac:dyDescent="0.25">
      <c r="E85" s="608"/>
      <c r="F85" s="608"/>
      <c r="G85" s="608"/>
      <c r="H85" s="808"/>
    </row>
    <row r="86" spans="5:8" x14ac:dyDescent="0.25">
      <c r="E86" s="608"/>
      <c r="F86" s="608"/>
      <c r="G86" s="608"/>
      <c r="H86" s="808"/>
    </row>
    <row r="87" spans="5:8" x14ac:dyDescent="0.25">
      <c r="E87" s="608"/>
      <c r="F87" s="608"/>
      <c r="G87" s="608"/>
      <c r="H87" s="808"/>
    </row>
    <row r="88" spans="5:8" x14ac:dyDescent="0.25">
      <c r="E88" s="608"/>
      <c r="F88" s="608"/>
      <c r="G88" s="608"/>
      <c r="H88" s="808"/>
    </row>
    <row r="89" spans="5:8" x14ac:dyDescent="0.25">
      <c r="E89" s="608"/>
      <c r="F89" s="608"/>
      <c r="G89" s="608"/>
      <c r="H89" s="808"/>
    </row>
    <row r="90" spans="5:8" x14ac:dyDescent="0.25">
      <c r="E90" s="608"/>
      <c r="F90" s="608"/>
      <c r="G90" s="608"/>
      <c r="H90" s="808"/>
    </row>
    <row r="91" spans="5:8" x14ac:dyDescent="0.25">
      <c r="E91" s="615"/>
      <c r="F91" s="615"/>
    </row>
    <row r="92" spans="5:8" x14ac:dyDescent="0.25">
      <c r="E92" s="615"/>
      <c r="F92" s="615"/>
    </row>
    <row r="93" spans="5:8" x14ac:dyDescent="0.25">
      <c r="E93" s="615"/>
      <c r="F93" s="615"/>
    </row>
    <row r="94" spans="5:8" x14ac:dyDescent="0.25">
      <c r="E94" s="615"/>
      <c r="F94" s="615"/>
    </row>
    <row r="95" spans="5:8" x14ac:dyDescent="0.25">
      <c r="E95" s="615"/>
      <c r="F95" s="615"/>
    </row>
    <row r="96" spans="5:8" x14ac:dyDescent="0.25">
      <c r="E96" s="615"/>
      <c r="F96" s="615"/>
    </row>
    <row r="97" spans="5:6" x14ac:dyDescent="0.25">
      <c r="E97" s="615"/>
      <c r="F97" s="615"/>
    </row>
    <row r="98" spans="5:6" x14ac:dyDescent="0.25">
      <c r="E98" s="615"/>
      <c r="F98" s="615"/>
    </row>
    <row r="99" spans="5:6" x14ac:dyDescent="0.25">
      <c r="E99" s="615"/>
      <c r="F99" s="615"/>
    </row>
  </sheetData>
  <mergeCells count="3">
    <mergeCell ref="A64:O64"/>
    <mergeCell ref="A66:B66"/>
    <mergeCell ref="A67:B67"/>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C00000"/>
  </sheetPr>
  <dimension ref="A1:O179"/>
  <sheetViews>
    <sheetView workbookViewId="0">
      <pane xSplit="2" ySplit="3" topLeftCell="C169" activePane="bottomRight" state="frozen"/>
      <selection pane="topRight" activeCell="C1" sqref="C1"/>
      <selection pane="bottomLeft" activeCell="A4" sqref="A4"/>
      <selection pane="bottomRight"/>
    </sheetView>
  </sheetViews>
  <sheetFormatPr defaultColWidth="9.140625" defaultRowHeight="15" x14ac:dyDescent="0.25"/>
  <cols>
    <col min="1" max="1" width="14" style="608" customWidth="1"/>
    <col min="2" max="2" width="9.140625" style="608"/>
    <col min="3" max="3" width="51.28515625" style="608" customWidth="1"/>
    <col min="4" max="4" width="29" style="608" customWidth="1"/>
    <col min="5" max="5" width="9" style="608" customWidth="1"/>
    <col min="6" max="6" width="16" style="608" bestFit="1" customWidth="1"/>
    <col min="7" max="7" width="15.5703125" style="608" bestFit="1" customWidth="1"/>
    <col min="8" max="8" width="15.5703125" style="611" bestFit="1" customWidth="1"/>
    <col min="9" max="9" width="15.5703125" style="611" hidden="1" customWidth="1"/>
    <col min="10" max="10" width="0" style="608" hidden="1" customWidth="1"/>
    <col min="11" max="13" width="12.85546875" style="608" bestFit="1" customWidth="1"/>
    <col min="14" max="16384" width="9.140625" style="608"/>
  </cols>
  <sheetData>
    <row r="1" spans="1:13" ht="26.25" x14ac:dyDescent="0.4">
      <c r="A1" s="609" t="s">
        <v>11341</v>
      </c>
      <c r="I1" s="608"/>
      <c r="L1" s="611"/>
      <c r="M1" s="611"/>
    </row>
    <row r="2" spans="1:13" ht="26.25" x14ac:dyDescent="0.4">
      <c r="A2" s="609"/>
      <c r="I2" s="608"/>
      <c r="L2" s="611"/>
      <c r="M2" s="611"/>
    </row>
    <row r="3" spans="1:13" s="630" customFormat="1" ht="30" customHeight="1" x14ac:dyDescent="0.35">
      <c r="A3" s="629" t="s">
        <v>1</v>
      </c>
      <c r="B3" s="632" t="s">
        <v>8627</v>
      </c>
      <c r="C3" s="629" t="s">
        <v>7809</v>
      </c>
      <c r="D3" s="629" t="s">
        <v>2</v>
      </c>
      <c r="E3" s="629"/>
      <c r="F3" s="629" t="s">
        <v>11319</v>
      </c>
      <c r="G3" s="629" t="s">
        <v>7809</v>
      </c>
      <c r="H3" s="629">
        <v>2020</v>
      </c>
      <c r="I3" s="629" t="s">
        <v>8626</v>
      </c>
      <c r="J3" s="629" t="s">
        <v>8625</v>
      </c>
      <c r="K3" s="629">
        <v>2019</v>
      </c>
      <c r="L3" s="633">
        <v>2018</v>
      </c>
      <c r="M3" s="633">
        <v>2017</v>
      </c>
    </row>
    <row r="4" spans="1:13" ht="30" customHeight="1" x14ac:dyDescent="0.25">
      <c r="A4" s="627" t="s">
        <v>9098</v>
      </c>
      <c r="B4" s="627" t="s">
        <v>9097</v>
      </c>
      <c r="C4" s="627" t="s">
        <v>2667</v>
      </c>
      <c r="D4" s="627" t="s">
        <v>9096</v>
      </c>
      <c r="E4" s="767" t="s">
        <v>9098</v>
      </c>
      <c r="F4" s="758">
        <v>125</v>
      </c>
      <c r="G4" s="758">
        <v>119.9</v>
      </c>
      <c r="H4" s="758">
        <v>244.9</v>
      </c>
      <c r="I4" s="628">
        <v>50</v>
      </c>
      <c r="J4" s="628">
        <v>520</v>
      </c>
      <c r="K4" s="811">
        <f t="shared" ref="K4:K43" si="0">SUM(I4:J4)</f>
        <v>570</v>
      </c>
      <c r="L4" s="634">
        <v>305</v>
      </c>
      <c r="M4" s="634">
        <v>584</v>
      </c>
    </row>
    <row r="5" spans="1:13" ht="30" customHeight="1" x14ac:dyDescent="0.25">
      <c r="A5" s="627" t="s">
        <v>9095</v>
      </c>
      <c r="B5" s="627" t="s">
        <v>9094</v>
      </c>
      <c r="C5" s="627" t="s">
        <v>9093</v>
      </c>
      <c r="D5" s="627" t="s">
        <v>9092</v>
      </c>
      <c r="E5" s="767" t="s">
        <v>9095</v>
      </c>
      <c r="F5" s="758">
        <v>180</v>
      </c>
      <c r="G5" s="758">
        <v>25.81</v>
      </c>
      <c r="H5" s="758">
        <v>205.81</v>
      </c>
      <c r="I5" s="628">
        <v>60</v>
      </c>
      <c r="J5" s="628">
        <v>368.78000000000003</v>
      </c>
      <c r="K5" s="811">
        <f t="shared" si="0"/>
        <v>428.78000000000003</v>
      </c>
      <c r="L5" s="634">
        <v>370.81</v>
      </c>
      <c r="M5" s="634">
        <v>510.43</v>
      </c>
    </row>
    <row r="6" spans="1:13" ht="30" customHeight="1" x14ac:dyDescent="0.25">
      <c r="A6" s="627" t="s">
        <v>9091</v>
      </c>
      <c r="B6" s="627" t="s">
        <v>9090</v>
      </c>
      <c r="C6" s="627" t="s">
        <v>7280</v>
      </c>
      <c r="D6" s="627" t="s">
        <v>9089</v>
      </c>
      <c r="E6" s="767" t="s">
        <v>9091</v>
      </c>
      <c r="F6" s="758">
        <v>80</v>
      </c>
      <c r="G6" s="758">
        <v>136.76</v>
      </c>
      <c r="H6" s="758">
        <v>216.76</v>
      </c>
      <c r="I6" s="628">
        <v>0</v>
      </c>
      <c r="J6" s="628">
        <v>397.61</v>
      </c>
      <c r="K6" s="811">
        <f t="shared" si="0"/>
        <v>397.61</v>
      </c>
      <c r="L6" s="634">
        <v>423.43</v>
      </c>
      <c r="M6" s="634">
        <v>336.84</v>
      </c>
    </row>
    <row r="7" spans="1:13" ht="30" customHeight="1" x14ac:dyDescent="0.25">
      <c r="A7" s="627" t="s">
        <v>9088</v>
      </c>
      <c r="B7" s="627" t="s">
        <v>9087</v>
      </c>
      <c r="C7" s="627" t="s">
        <v>1008</v>
      </c>
      <c r="D7" s="627" t="s">
        <v>9086</v>
      </c>
      <c r="E7" s="767" t="s">
        <v>9088</v>
      </c>
      <c r="F7" s="758">
        <v>55</v>
      </c>
      <c r="G7" s="758">
        <v>488.51</v>
      </c>
      <c r="H7" s="758">
        <v>543.51</v>
      </c>
      <c r="I7" s="628">
        <v>20</v>
      </c>
      <c r="J7" s="628">
        <v>1274.1199999999999</v>
      </c>
      <c r="K7" s="811">
        <f t="shared" si="0"/>
        <v>1294.1199999999999</v>
      </c>
      <c r="L7" s="634">
        <v>1349.63</v>
      </c>
      <c r="M7" s="634">
        <v>1220.6400000000001</v>
      </c>
    </row>
    <row r="8" spans="1:13" ht="30" customHeight="1" x14ac:dyDescent="0.25">
      <c r="A8" s="627" t="s">
        <v>9085</v>
      </c>
      <c r="B8" s="627" t="s">
        <v>9084</v>
      </c>
      <c r="C8" s="627" t="s">
        <v>3715</v>
      </c>
      <c r="D8" s="627" t="s">
        <v>9083</v>
      </c>
      <c r="E8" s="767" t="s">
        <v>9085</v>
      </c>
      <c r="F8" s="758">
        <v>240</v>
      </c>
      <c r="G8" s="758">
        <v>295</v>
      </c>
      <c r="H8" s="758">
        <v>535</v>
      </c>
      <c r="I8" s="628">
        <v>120</v>
      </c>
      <c r="J8" s="628">
        <v>2417.3200000000002</v>
      </c>
      <c r="K8" s="811">
        <f t="shared" si="0"/>
        <v>2537.3200000000002</v>
      </c>
      <c r="L8" s="634">
        <v>2778.13</v>
      </c>
      <c r="M8" s="634">
        <v>2649.32</v>
      </c>
    </row>
    <row r="9" spans="1:13" ht="30" customHeight="1" x14ac:dyDescent="0.25">
      <c r="A9" s="627" t="s">
        <v>9082</v>
      </c>
      <c r="B9" s="627" t="s">
        <v>9081</v>
      </c>
      <c r="C9" s="635" t="s">
        <v>9080</v>
      </c>
      <c r="D9" s="627" t="s">
        <v>9079</v>
      </c>
      <c r="E9" s="767" t="s">
        <v>9082</v>
      </c>
      <c r="F9" s="758">
        <v>387.18</v>
      </c>
      <c r="G9" s="758">
        <v>18.169999999999987</v>
      </c>
      <c r="H9" s="758">
        <v>405.35</v>
      </c>
      <c r="I9" s="628">
        <v>50</v>
      </c>
      <c r="J9" s="628">
        <v>1476.8899999999999</v>
      </c>
      <c r="K9" s="811">
        <f t="shared" si="0"/>
        <v>1526.8899999999999</v>
      </c>
      <c r="L9" s="634">
        <v>1746.09</v>
      </c>
      <c r="M9" s="634">
        <v>1877.29</v>
      </c>
    </row>
    <row r="10" spans="1:13" ht="30" customHeight="1" x14ac:dyDescent="0.25">
      <c r="A10" s="627" t="s">
        <v>9078</v>
      </c>
      <c r="B10" s="627" t="s">
        <v>9077</v>
      </c>
      <c r="C10" s="627" t="s">
        <v>226</v>
      </c>
      <c r="D10" s="627" t="s">
        <v>9076</v>
      </c>
      <c r="E10" s="767" t="s">
        <v>9078</v>
      </c>
      <c r="F10" s="758">
        <v>120</v>
      </c>
      <c r="G10" s="758"/>
      <c r="H10" s="758">
        <v>120</v>
      </c>
      <c r="I10" s="628">
        <v>60</v>
      </c>
      <c r="J10" s="628">
        <v>60</v>
      </c>
      <c r="K10" s="811">
        <f t="shared" si="0"/>
        <v>120</v>
      </c>
      <c r="L10" s="634">
        <v>120</v>
      </c>
      <c r="M10" s="634">
        <v>220</v>
      </c>
    </row>
    <row r="11" spans="1:13" ht="30" customHeight="1" x14ac:dyDescent="0.25">
      <c r="A11" s="627" t="s">
        <v>9075</v>
      </c>
      <c r="B11" s="627" t="s">
        <v>9074</v>
      </c>
      <c r="C11" s="627" t="s">
        <v>3774</v>
      </c>
      <c r="D11" s="627" t="s">
        <v>9073</v>
      </c>
      <c r="E11" s="767" t="s">
        <v>9075</v>
      </c>
      <c r="F11" s="758">
        <v>499</v>
      </c>
      <c r="G11" s="758">
        <v>315</v>
      </c>
      <c r="H11" s="758">
        <v>814</v>
      </c>
      <c r="I11" s="628">
        <v>0</v>
      </c>
      <c r="J11" s="628">
        <v>1731</v>
      </c>
      <c r="K11" s="811">
        <f t="shared" si="0"/>
        <v>1731</v>
      </c>
      <c r="L11" s="634">
        <v>1839</v>
      </c>
      <c r="M11" s="634">
        <v>1495</v>
      </c>
    </row>
    <row r="12" spans="1:13" ht="30" customHeight="1" x14ac:dyDescent="0.25">
      <c r="A12" s="627" t="s">
        <v>9072</v>
      </c>
      <c r="B12" s="627" t="s">
        <v>9071</v>
      </c>
      <c r="C12" s="627" t="s">
        <v>8513</v>
      </c>
      <c r="D12" s="627" t="s">
        <v>9070</v>
      </c>
      <c r="E12" s="767" t="s">
        <v>9072</v>
      </c>
      <c r="F12" s="758">
        <v>90.34</v>
      </c>
      <c r="G12" s="758">
        <v>189.92</v>
      </c>
      <c r="H12" s="758">
        <v>280.26</v>
      </c>
      <c r="I12" s="628">
        <v>0</v>
      </c>
      <c r="J12" s="628">
        <v>236.03</v>
      </c>
      <c r="K12" s="811">
        <f t="shared" si="0"/>
        <v>236.03</v>
      </c>
      <c r="L12" s="634">
        <v>361.91</v>
      </c>
      <c r="M12" s="634">
        <v>488.98</v>
      </c>
    </row>
    <row r="13" spans="1:13" ht="30" customHeight="1" x14ac:dyDescent="0.25">
      <c r="A13" s="627" t="s">
        <v>9069</v>
      </c>
      <c r="B13" s="627" t="s">
        <v>9068</v>
      </c>
      <c r="C13" s="627" t="s">
        <v>2900</v>
      </c>
      <c r="D13" s="627" t="s">
        <v>9067</v>
      </c>
      <c r="E13" s="767"/>
      <c r="F13" s="758"/>
      <c r="G13" s="758"/>
      <c r="H13" s="758"/>
      <c r="I13" s="628">
        <v>0</v>
      </c>
      <c r="J13" s="628">
        <v>326.5</v>
      </c>
      <c r="K13" s="811">
        <f t="shared" si="0"/>
        <v>326.5</v>
      </c>
      <c r="L13" s="634">
        <v>236.25</v>
      </c>
      <c r="M13" s="634">
        <v>228</v>
      </c>
    </row>
    <row r="14" spans="1:13" ht="30" customHeight="1" x14ac:dyDescent="0.25">
      <c r="A14" s="627" t="s">
        <v>9066</v>
      </c>
      <c r="B14" s="627" t="s">
        <v>9065</v>
      </c>
      <c r="C14" s="627" t="s">
        <v>3715</v>
      </c>
      <c r="D14" s="627" t="s">
        <v>9064</v>
      </c>
      <c r="E14" s="767" t="s">
        <v>9066</v>
      </c>
      <c r="F14" s="758">
        <v>115</v>
      </c>
      <c r="G14" s="758">
        <v>50</v>
      </c>
      <c r="H14" s="758">
        <v>165</v>
      </c>
      <c r="I14" s="628">
        <v>0</v>
      </c>
      <c r="J14" s="628">
        <v>185.75</v>
      </c>
      <c r="K14" s="811">
        <f t="shared" si="0"/>
        <v>185.75</v>
      </c>
      <c r="L14" s="634">
        <v>638.91000000000008</v>
      </c>
      <c r="M14" s="634">
        <v>720.7</v>
      </c>
    </row>
    <row r="15" spans="1:13" ht="30" customHeight="1" x14ac:dyDescent="0.25">
      <c r="A15" s="627" t="s">
        <v>9063</v>
      </c>
      <c r="B15" s="627" t="s">
        <v>9062</v>
      </c>
      <c r="C15" s="627" t="s">
        <v>8796</v>
      </c>
      <c r="D15" s="627" t="s">
        <v>9061</v>
      </c>
      <c r="E15" s="767" t="s">
        <v>9063</v>
      </c>
      <c r="F15" s="758">
        <v>257.60000000000002</v>
      </c>
      <c r="G15" s="758">
        <v>105.15</v>
      </c>
      <c r="H15" s="758">
        <v>362.75</v>
      </c>
      <c r="I15" s="628">
        <v>24</v>
      </c>
      <c r="J15" s="628">
        <v>563.30999999999995</v>
      </c>
      <c r="K15" s="811">
        <f t="shared" si="0"/>
        <v>587.30999999999995</v>
      </c>
      <c r="L15" s="634">
        <v>843.17</v>
      </c>
      <c r="M15" s="634">
        <v>1146.7</v>
      </c>
    </row>
    <row r="16" spans="1:13" ht="30" customHeight="1" x14ac:dyDescent="0.25">
      <c r="A16" s="627" t="s">
        <v>9060</v>
      </c>
      <c r="B16" s="627" t="s">
        <v>9059</v>
      </c>
      <c r="C16" s="627" t="s">
        <v>164</v>
      </c>
      <c r="D16" s="627" t="s">
        <v>9053</v>
      </c>
      <c r="E16" s="767" t="s">
        <v>9060</v>
      </c>
      <c r="F16" s="758">
        <v>50</v>
      </c>
      <c r="G16" s="758">
        <v>115.3</v>
      </c>
      <c r="H16" s="758">
        <v>165.3</v>
      </c>
      <c r="I16" s="628">
        <v>0</v>
      </c>
      <c r="J16" s="628">
        <v>359.35</v>
      </c>
      <c r="K16" s="811">
        <f t="shared" si="0"/>
        <v>359.35</v>
      </c>
      <c r="L16" s="634">
        <v>107.91</v>
      </c>
      <c r="M16" s="634">
        <v>293.64</v>
      </c>
    </row>
    <row r="17" spans="1:13" ht="30" customHeight="1" x14ac:dyDescent="0.25">
      <c r="A17" s="627" t="s">
        <v>9058</v>
      </c>
      <c r="B17" s="627" t="s">
        <v>9057</v>
      </c>
      <c r="C17" s="627" t="s">
        <v>9056</v>
      </c>
      <c r="D17" s="627" t="s">
        <v>9053</v>
      </c>
      <c r="E17" s="767" t="s">
        <v>9058</v>
      </c>
      <c r="F17" s="758">
        <v>639</v>
      </c>
      <c r="G17" s="758">
        <v>620.87</v>
      </c>
      <c r="H17" s="758">
        <v>1259.8699999999999</v>
      </c>
      <c r="I17" s="628">
        <v>172</v>
      </c>
      <c r="J17" s="628">
        <v>1239.2</v>
      </c>
      <c r="K17" s="811">
        <f t="shared" si="0"/>
        <v>1411.2</v>
      </c>
      <c r="L17" s="634">
        <v>1719.78</v>
      </c>
      <c r="M17" s="634">
        <v>3001.52</v>
      </c>
    </row>
    <row r="18" spans="1:13" ht="30" customHeight="1" x14ac:dyDescent="0.25">
      <c r="A18" s="627" t="s">
        <v>9055</v>
      </c>
      <c r="B18" s="627" t="s">
        <v>9054</v>
      </c>
      <c r="C18" s="627" t="s">
        <v>532</v>
      </c>
      <c r="D18" s="627" t="s">
        <v>9053</v>
      </c>
      <c r="E18" s="767" t="s">
        <v>9055</v>
      </c>
      <c r="F18" s="758">
        <v>20</v>
      </c>
      <c r="G18" s="758"/>
      <c r="H18" s="758">
        <v>20</v>
      </c>
      <c r="I18" s="628">
        <v>10</v>
      </c>
      <c r="J18" s="628">
        <v>317.59000000000003</v>
      </c>
      <c r="K18" s="811">
        <f t="shared" si="0"/>
        <v>327.59000000000003</v>
      </c>
      <c r="L18" s="634">
        <v>287</v>
      </c>
      <c r="M18" s="634">
        <v>620.98</v>
      </c>
    </row>
    <row r="19" spans="1:13" ht="30" customHeight="1" x14ac:dyDescent="0.25">
      <c r="A19" s="627" t="s">
        <v>9052</v>
      </c>
      <c r="B19" s="627" t="s">
        <v>9051</v>
      </c>
      <c r="C19" s="627" t="s">
        <v>532</v>
      </c>
      <c r="D19" s="627" t="s">
        <v>9050</v>
      </c>
      <c r="E19" s="767" t="s">
        <v>9052</v>
      </c>
      <c r="F19" s="758">
        <v>255</v>
      </c>
      <c r="G19" s="758">
        <v>553</v>
      </c>
      <c r="H19" s="758">
        <v>808</v>
      </c>
      <c r="I19" s="628">
        <v>190</v>
      </c>
      <c r="J19" s="628">
        <v>1486.04</v>
      </c>
      <c r="K19" s="811">
        <f t="shared" si="0"/>
        <v>1676.04</v>
      </c>
      <c r="L19" s="634">
        <v>2104.31</v>
      </c>
      <c r="M19" s="634">
        <v>1992.5</v>
      </c>
    </row>
    <row r="20" spans="1:13" ht="30" customHeight="1" x14ac:dyDescent="0.25">
      <c r="A20" s="627" t="s">
        <v>9049</v>
      </c>
      <c r="B20" s="627" t="s">
        <v>9048</v>
      </c>
      <c r="C20" s="627" t="s">
        <v>7193</v>
      </c>
      <c r="D20" s="627" t="s">
        <v>9045</v>
      </c>
      <c r="E20" s="767" t="s">
        <v>9049</v>
      </c>
      <c r="F20" s="758">
        <v>25</v>
      </c>
      <c r="G20" s="758">
        <v>1635.57</v>
      </c>
      <c r="H20" s="758">
        <v>1660.57</v>
      </c>
      <c r="I20" s="628">
        <v>0</v>
      </c>
      <c r="J20" s="628">
        <v>2081.5</v>
      </c>
      <c r="K20" s="811">
        <f t="shared" si="0"/>
        <v>2081.5</v>
      </c>
      <c r="L20" s="634">
        <v>1188.6099999999999</v>
      </c>
      <c r="M20" s="634">
        <v>1959.54</v>
      </c>
    </row>
    <row r="21" spans="1:13" ht="30" customHeight="1" x14ac:dyDescent="0.25">
      <c r="A21" s="627" t="s">
        <v>9047</v>
      </c>
      <c r="B21" s="627" t="s">
        <v>9046</v>
      </c>
      <c r="C21" s="627" t="s">
        <v>226</v>
      </c>
      <c r="D21" s="627" t="s">
        <v>9045</v>
      </c>
      <c r="E21" s="767" t="s">
        <v>9047</v>
      </c>
      <c r="F21" s="758">
        <v>155</v>
      </c>
      <c r="G21" s="758">
        <v>278.2</v>
      </c>
      <c r="H21" s="758">
        <v>433.2</v>
      </c>
      <c r="I21" s="628">
        <v>85</v>
      </c>
      <c r="J21" s="628">
        <v>743.61999999999989</v>
      </c>
      <c r="K21" s="811">
        <f t="shared" si="0"/>
        <v>828.61999999999989</v>
      </c>
      <c r="L21" s="634">
        <v>1057.8</v>
      </c>
      <c r="M21" s="634">
        <v>1257.3</v>
      </c>
    </row>
    <row r="22" spans="1:13" ht="30" customHeight="1" x14ac:dyDescent="0.25">
      <c r="A22" s="627" t="s">
        <v>9044</v>
      </c>
      <c r="B22" s="627" t="s">
        <v>9043</v>
      </c>
      <c r="C22" s="627" t="s">
        <v>532</v>
      </c>
      <c r="D22" s="627" t="s">
        <v>9042</v>
      </c>
      <c r="E22" s="767" t="s">
        <v>9044</v>
      </c>
      <c r="F22" s="758">
        <v>175</v>
      </c>
      <c r="G22" s="758">
        <v>1146.8</v>
      </c>
      <c r="H22" s="758">
        <v>1321.8</v>
      </c>
      <c r="I22" s="628">
        <v>301</v>
      </c>
      <c r="J22" s="628">
        <v>1620</v>
      </c>
      <c r="K22" s="811">
        <f t="shared" si="0"/>
        <v>1921</v>
      </c>
      <c r="L22" s="634">
        <v>2126</v>
      </c>
      <c r="M22" s="634">
        <v>1615</v>
      </c>
    </row>
    <row r="23" spans="1:13" ht="30" customHeight="1" x14ac:dyDescent="0.25">
      <c r="A23" s="627" t="s">
        <v>9041</v>
      </c>
      <c r="B23" s="627" t="s">
        <v>9040</v>
      </c>
      <c r="C23" s="627" t="s">
        <v>9039</v>
      </c>
      <c r="D23" s="627" t="s">
        <v>9038</v>
      </c>
      <c r="E23" s="767" t="s">
        <v>9041</v>
      </c>
      <c r="F23" s="758">
        <v>236</v>
      </c>
      <c r="G23" s="758">
        <v>1400.72</v>
      </c>
      <c r="H23" s="758">
        <v>1636.72</v>
      </c>
      <c r="I23" s="628">
        <v>0</v>
      </c>
      <c r="J23" s="628">
        <v>2688.8300000000004</v>
      </c>
      <c r="K23" s="811">
        <f t="shared" si="0"/>
        <v>2688.8300000000004</v>
      </c>
      <c r="L23" s="634">
        <v>3081.24</v>
      </c>
      <c r="M23" s="634">
        <v>3405.63</v>
      </c>
    </row>
    <row r="24" spans="1:13" ht="30" customHeight="1" x14ac:dyDescent="0.25">
      <c r="A24" s="627" t="s">
        <v>9037</v>
      </c>
      <c r="B24" s="627" t="s">
        <v>9036</v>
      </c>
      <c r="C24" s="627" t="s">
        <v>532</v>
      </c>
      <c r="D24" s="627" t="s">
        <v>9033</v>
      </c>
      <c r="E24" s="767" t="s">
        <v>9037</v>
      </c>
      <c r="F24" s="758">
        <v>280</v>
      </c>
      <c r="G24" s="758">
        <v>1494.72</v>
      </c>
      <c r="H24" s="758">
        <v>1774.72</v>
      </c>
      <c r="I24" s="628">
        <v>620</v>
      </c>
      <c r="J24" s="628">
        <v>1852</v>
      </c>
      <c r="K24" s="811">
        <f t="shared" si="0"/>
        <v>2472</v>
      </c>
      <c r="L24" s="634">
        <v>1829</v>
      </c>
      <c r="M24" s="634">
        <v>1828.96</v>
      </c>
    </row>
    <row r="25" spans="1:13" ht="30" customHeight="1" x14ac:dyDescent="0.25">
      <c r="A25" s="627" t="s">
        <v>9035</v>
      </c>
      <c r="B25" s="627" t="s">
        <v>9034</v>
      </c>
      <c r="C25" s="627" t="s">
        <v>839</v>
      </c>
      <c r="D25" s="627" t="s">
        <v>9033</v>
      </c>
      <c r="E25" s="767" t="s">
        <v>9035</v>
      </c>
      <c r="F25" s="758"/>
      <c r="G25" s="758">
        <v>785.75</v>
      </c>
      <c r="H25" s="758">
        <v>785.75</v>
      </c>
      <c r="I25" s="628">
        <v>0</v>
      </c>
      <c r="J25" s="628">
        <v>1111.4000000000001</v>
      </c>
      <c r="K25" s="811">
        <f t="shared" si="0"/>
        <v>1111.4000000000001</v>
      </c>
      <c r="L25" s="634"/>
      <c r="M25" s="634"/>
    </row>
    <row r="26" spans="1:13" ht="30" customHeight="1" x14ac:dyDescent="0.25">
      <c r="A26" s="627" t="s">
        <v>9032</v>
      </c>
      <c r="B26" s="627" t="s">
        <v>9031</v>
      </c>
      <c r="C26" s="627" t="s">
        <v>7193</v>
      </c>
      <c r="D26" s="627" t="s">
        <v>9030</v>
      </c>
      <c r="E26" s="767" t="s">
        <v>9032</v>
      </c>
      <c r="F26" s="758">
        <v>380</v>
      </c>
      <c r="G26" s="758">
        <v>781.3599999999999</v>
      </c>
      <c r="H26" s="758">
        <v>1161.3599999999999</v>
      </c>
      <c r="I26" s="628">
        <v>140</v>
      </c>
      <c r="J26" s="628">
        <v>1180.92</v>
      </c>
      <c r="K26" s="811">
        <f t="shared" si="0"/>
        <v>1320.92</v>
      </c>
      <c r="L26" s="634">
        <v>1064.78</v>
      </c>
      <c r="M26" s="634">
        <v>903.83</v>
      </c>
    </row>
    <row r="27" spans="1:13" ht="30" customHeight="1" x14ac:dyDescent="0.25">
      <c r="A27" s="627" t="s">
        <v>9029</v>
      </c>
      <c r="B27" s="627" t="s">
        <v>9028</v>
      </c>
      <c r="C27" s="627" t="s">
        <v>231</v>
      </c>
      <c r="D27" s="627" t="s">
        <v>9027</v>
      </c>
      <c r="E27" s="767" t="s">
        <v>9029</v>
      </c>
      <c r="F27" s="758">
        <v>300</v>
      </c>
      <c r="G27" s="758">
        <v>160.85</v>
      </c>
      <c r="H27" s="758">
        <v>460.85</v>
      </c>
      <c r="I27" s="628">
        <v>150</v>
      </c>
      <c r="J27" s="628">
        <v>668.89</v>
      </c>
      <c r="K27" s="811">
        <f t="shared" si="0"/>
        <v>818.89</v>
      </c>
      <c r="L27" s="634">
        <v>694.37</v>
      </c>
      <c r="M27" s="634">
        <v>999.91</v>
      </c>
    </row>
    <row r="28" spans="1:13" ht="30" customHeight="1" x14ac:dyDescent="0.25">
      <c r="A28" s="627" t="s">
        <v>9026</v>
      </c>
      <c r="B28" s="627" t="s">
        <v>9025</v>
      </c>
      <c r="C28" s="627" t="s">
        <v>3238</v>
      </c>
      <c r="D28" s="627" t="s">
        <v>9024</v>
      </c>
      <c r="E28" s="767" t="s">
        <v>9026</v>
      </c>
      <c r="F28" s="758">
        <v>240</v>
      </c>
      <c r="G28" s="758">
        <v>895</v>
      </c>
      <c r="H28" s="758">
        <v>1135</v>
      </c>
      <c r="I28" s="628">
        <v>0</v>
      </c>
      <c r="J28" s="628">
        <v>2011</v>
      </c>
      <c r="K28" s="811">
        <f t="shared" si="0"/>
        <v>2011</v>
      </c>
      <c r="L28" s="634">
        <v>1955</v>
      </c>
      <c r="M28" s="634">
        <v>1975</v>
      </c>
    </row>
    <row r="29" spans="1:13" ht="30" customHeight="1" x14ac:dyDescent="0.25">
      <c r="A29" s="627" t="s">
        <v>9023</v>
      </c>
      <c r="B29" s="627" t="s">
        <v>9022</v>
      </c>
      <c r="C29" s="627" t="s">
        <v>231</v>
      </c>
      <c r="D29" s="627" t="s">
        <v>9021</v>
      </c>
      <c r="E29" s="767" t="s">
        <v>9023</v>
      </c>
      <c r="F29" s="758">
        <v>145.94999999999999</v>
      </c>
      <c r="G29" s="758">
        <v>412.54</v>
      </c>
      <c r="H29" s="758">
        <v>558.49</v>
      </c>
      <c r="I29" s="628">
        <v>0</v>
      </c>
      <c r="J29" s="628">
        <v>764.58</v>
      </c>
      <c r="K29" s="811">
        <f t="shared" si="0"/>
        <v>764.58</v>
      </c>
      <c r="L29" s="634">
        <v>853.08</v>
      </c>
      <c r="M29" s="634">
        <v>676.28</v>
      </c>
    </row>
    <row r="30" spans="1:13" ht="30" customHeight="1" x14ac:dyDescent="0.25">
      <c r="A30" s="627" t="s">
        <v>9020</v>
      </c>
      <c r="B30" s="627" t="s">
        <v>9019</v>
      </c>
      <c r="C30" s="627" t="s">
        <v>5390</v>
      </c>
      <c r="D30" s="627" t="s">
        <v>9018</v>
      </c>
      <c r="E30" s="767" t="s">
        <v>9020</v>
      </c>
      <c r="F30" s="758">
        <v>905</v>
      </c>
      <c r="G30" s="758"/>
      <c r="H30" s="758">
        <v>905</v>
      </c>
      <c r="I30" s="628">
        <v>350</v>
      </c>
      <c r="J30" s="628">
        <v>2802.9999999999995</v>
      </c>
      <c r="K30" s="811">
        <f t="shared" si="0"/>
        <v>3152.9999999999995</v>
      </c>
      <c r="L30" s="634">
        <v>3119.5</v>
      </c>
      <c r="M30" s="634">
        <v>4865.93</v>
      </c>
    </row>
    <row r="31" spans="1:13" ht="30" customHeight="1" x14ac:dyDescent="0.25">
      <c r="A31" s="627" t="s">
        <v>11321</v>
      </c>
      <c r="B31" s="810">
        <v>2563</v>
      </c>
      <c r="C31" s="627" t="s">
        <v>1203</v>
      </c>
      <c r="D31" s="627" t="s">
        <v>11329</v>
      </c>
      <c r="E31" s="767" t="s">
        <v>11321</v>
      </c>
      <c r="F31" s="758">
        <v>30</v>
      </c>
      <c r="G31" s="758"/>
      <c r="H31" s="758">
        <v>30</v>
      </c>
      <c r="I31" s="628"/>
      <c r="J31" s="628"/>
      <c r="K31" s="811"/>
      <c r="L31" s="634"/>
      <c r="M31" s="634"/>
    </row>
    <row r="32" spans="1:13" ht="30" customHeight="1" x14ac:dyDescent="0.25">
      <c r="A32" s="627" t="s">
        <v>9017</v>
      </c>
      <c r="B32" s="627" t="s">
        <v>9016</v>
      </c>
      <c r="C32" s="627" t="s">
        <v>158</v>
      </c>
      <c r="D32" s="627" t="s">
        <v>9012</v>
      </c>
      <c r="E32" s="767" t="s">
        <v>9017</v>
      </c>
      <c r="F32" s="758">
        <v>100</v>
      </c>
      <c r="G32" s="758"/>
      <c r="H32" s="758">
        <v>100</v>
      </c>
      <c r="I32" s="628">
        <v>25</v>
      </c>
      <c r="J32" s="628">
        <v>3631.36</v>
      </c>
      <c r="K32" s="811">
        <f t="shared" si="0"/>
        <v>3656.36</v>
      </c>
      <c r="L32" s="634">
        <v>3285.97</v>
      </c>
      <c r="M32" s="634">
        <v>3430.57</v>
      </c>
    </row>
    <row r="33" spans="1:13" ht="30" customHeight="1" x14ac:dyDescent="0.25">
      <c r="A33" s="627" t="s">
        <v>9015</v>
      </c>
      <c r="B33" s="627" t="s">
        <v>9014</v>
      </c>
      <c r="C33" s="627" t="s">
        <v>9013</v>
      </c>
      <c r="D33" s="627" t="s">
        <v>9012</v>
      </c>
      <c r="E33" s="767" t="s">
        <v>9015</v>
      </c>
      <c r="F33" s="758">
        <v>95</v>
      </c>
      <c r="G33" s="758"/>
      <c r="H33" s="758">
        <v>95</v>
      </c>
      <c r="I33" s="628">
        <v>45</v>
      </c>
      <c r="J33" s="628">
        <v>877</v>
      </c>
      <c r="K33" s="811">
        <f t="shared" si="0"/>
        <v>922</v>
      </c>
      <c r="L33" s="634">
        <v>737.88</v>
      </c>
      <c r="M33" s="634">
        <v>932.2</v>
      </c>
    </row>
    <row r="34" spans="1:13" ht="30" customHeight="1" x14ac:dyDescent="0.25">
      <c r="A34" s="627" t="s">
        <v>9011</v>
      </c>
      <c r="B34" s="627" t="s">
        <v>9010</v>
      </c>
      <c r="C34" s="627" t="s">
        <v>532</v>
      </c>
      <c r="D34" s="627" t="s">
        <v>9009</v>
      </c>
      <c r="E34" s="767" t="s">
        <v>9011</v>
      </c>
      <c r="F34" s="758"/>
      <c r="G34" s="758">
        <v>1016.8599999999999</v>
      </c>
      <c r="H34" s="758">
        <v>1016.8599999999999</v>
      </c>
      <c r="I34" s="628">
        <v>0</v>
      </c>
      <c r="J34" s="628">
        <v>1434.8999999999999</v>
      </c>
      <c r="K34" s="811">
        <f t="shared" si="0"/>
        <v>1434.8999999999999</v>
      </c>
      <c r="L34" s="634">
        <v>1497.11</v>
      </c>
      <c r="M34" s="634">
        <v>1767.62</v>
      </c>
    </row>
    <row r="35" spans="1:13" ht="30" customHeight="1" x14ac:dyDescent="0.25">
      <c r="A35" s="627" t="s">
        <v>9008</v>
      </c>
      <c r="B35" s="627" t="s">
        <v>9007</v>
      </c>
      <c r="C35" s="627" t="s">
        <v>5390</v>
      </c>
      <c r="D35" s="627" t="s">
        <v>9006</v>
      </c>
      <c r="E35" s="767"/>
      <c r="F35" s="758"/>
      <c r="G35" s="758"/>
      <c r="H35" s="758"/>
      <c r="I35" s="628">
        <v>0</v>
      </c>
      <c r="J35" s="628">
        <v>400</v>
      </c>
      <c r="K35" s="811">
        <f t="shared" si="0"/>
        <v>400</v>
      </c>
      <c r="L35" s="634"/>
      <c r="M35" s="634">
        <v>255.23</v>
      </c>
    </row>
    <row r="36" spans="1:13" ht="30" customHeight="1" x14ac:dyDescent="0.25">
      <c r="A36" s="627" t="s">
        <v>9005</v>
      </c>
      <c r="B36" s="627" t="s">
        <v>9004</v>
      </c>
      <c r="C36" s="627" t="s">
        <v>9003</v>
      </c>
      <c r="D36" s="627" t="s">
        <v>9002</v>
      </c>
      <c r="E36" s="767" t="s">
        <v>9005</v>
      </c>
      <c r="F36" s="758"/>
      <c r="G36" s="758">
        <v>432.03000000000003</v>
      </c>
      <c r="H36" s="758">
        <v>432.03000000000003</v>
      </c>
      <c r="I36" s="628">
        <v>0</v>
      </c>
      <c r="J36" s="628">
        <v>647.41999999999996</v>
      </c>
      <c r="K36" s="811">
        <f t="shared" si="0"/>
        <v>647.41999999999996</v>
      </c>
      <c r="L36" s="634">
        <v>429.14</v>
      </c>
      <c r="M36" s="634">
        <v>569.17999999999995</v>
      </c>
    </row>
    <row r="37" spans="1:13" ht="30" customHeight="1" x14ac:dyDescent="0.25">
      <c r="A37" s="627" t="s">
        <v>9001</v>
      </c>
      <c r="B37" s="627" t="s">
        <v>9000</v>
      </c>
      <c r="C37" s="627" t="s">
        <v>2667</v>
      </c>
      <c r="D37" s="627" t="s">
        <v>8999</v>
      </c>
      <c r="E37" s="767" t="s">
        <v>9001</v>
      </c>
      <c r="F37" s="758">
        <v>175</v>
      </c>
      <c r="G37" s="758">
        <v>35</v>
      </c>
      <c r="H37" s="758">
        <v>210</v>
      </c>
      <c r="I37" s="628">
        <v>120</v>
      </c>
      <c r="J37" s="628">
        <v>185</v>
      </c>
      <c r="K37" s="811">
        <f t="shared" si="0"/>
        <v>305</v>
      </c>
      <c r="L37" s="634">
        <v>250</v>
      </c>
      <c r="M37" s="634">
        <v>215</v>
      </c>
    </row>
    <row r="38" spans="1:13" ht="30" customHeight="1" x14ac:dyDescent="0.25">
      <c r="A38" s="627" t="s">
        <v>8998</v>
      </c>
      <c r="B38" s="627" t="s">
        <v>8997</v>
      </c>
      <c r="C38" s="627" t="s">
        <v>5436</v>
      </c>
      <c r="D38" s="627" t="s">
        <v>8996</v>
      </c>
      <c r="E38" s="767" t="s">
        <v>8998</v>
      </c>
      <c r="F38" s="758">
        <v>100</v>
      </c>
      <c r="G38" s="758">
        <v>80.639999999999986</v>
      </c>
      <c r="H38" s="758">
        <v>180.64</v>
      </c>
      <c r="I38" s="628">
        <v>140</v>
      </c>
      <c r="J38" s="628">
        <v>901.84999999999991</v>
      </c>
      <c r="K38" s="811">
        <f t="shared" si="0"/>
        <v>1041.8499999999999</v>
      </c>
      <c r="L38" s="634">
        <v>1296</v>
      </c>
      <c r="M38" s="634">
        <v>1094.08</v>
      </c>
    </row>
    <row r="39" spans="1:13" ht="30" customHeight="1" x14ac:dyDescent="0.25">
      <c r="A39" s="627" t="s">
        <v>8995</v>
      </c>
      <c r="B39" s="627" t="s">
        <v>8994</v>
      </c>
      <c r="C39" s="627" t="s">
        <v>8796</v>
      </c>
      <c r="D39" s="627" t="s">
        <v>8993</v>
      </c>
      <c r="E39" s="767" t="s">
        <v>8995</v>
      </c>
      <c r="F39" s="758">
        <v>198.4</v>
      </c>
      <c r="G39" s="758">
        <v>544.81000000000006</v>
      </c>
      <c r="H39" s="758">
        <v>743.21</v>
      </c>
      <c r="I39" s="628">
        <v>67</v>
      </c>
      <c r="J39" s="628">
        <v>1471.8899999999999</v>
      </c>
      <c r="K39" s="811">
        <f t="shared" si="0"/>
        <v>1538.8899999999999</v>
      </c>
      <c r="L39" s="634">
        <v>1248.1300000000001</v>
      </c>
      <c r="M39" s="634">
        <v>1121.52</v>
      </c>
    </row>
    <row r="40" spans="1:13" ht="30" customHeight="1" x14ac:dyDescent="0.25">
      <c r="A40" s="627" t="s">
        <v>8992</v>
      </c>
      <c r="B40" s="627" t="s">
        <v>8991</v>
      </c>
      <c r="C40" s="627" t="s">
        <v>1160</v>
      </c>
      <c r="D40" s="627" t="s">
        <v>8982</v>
      </c>
      <c r="E40" s="767" t="s">
        <v>8992</v>
      </c>
      <c r="F40" s="758">
        <v>2340</v>
      </c>
      <c r="G40" s="758"/>
      <c r="H40" s="758">
        <v>2340</v>
      </c>
      <c r="I40" s="628">
        <v>140</v>
      </c>
      <c r="J40" s="628">
        <v>393.64</v>
      </c>
      <c r="K40" s="811">
        <f t="shared" si="0"/>
        <v>533.64</v>
      </c>
      <c r="L40" s="634">
        <v>1037.3200000000002</v>
      </c>
      <c r="M40" s="634">
        <v>767.81999999999994</v>
      </c>
    </row>
    <row r="41" spans="1:13" ht="30" customHeight="1" x14ac:dyDescent="0.25">
      <c r="A41" s="627" t="s">
        <v>8990</v>
      </c>
      <c r="B41" s="627" t="s">
        <v>8989</v>
      </c>
      <c r="C41" s="627" t="s">
        <v>1165</v>
      </c>
      <c r="D41" s="627" t="s">
        <v>8982</v>
      </c>
      <c r="E41" s="767" t="s">
        <v>8990</v>
      </c>
      <c r="F41" s="758">
        <v>160</v>
      </c>
      <c r="G41" s="758">
        <v>1302.47</v>
      </c>
      <c r="H41" s="758">
        <v>1462.47</v>
      </c>
      <c r="I41" s="628">
        <v>30</v>
      </c>
      <c r="J41" s="628">
        <v>1737.42</v>
      </c>
      <c r="K41" s="811">
        <f t="shared" si="0"/>
        <v>1767.42</v>
      </c>
      <c r="L41" s="634">
        <v>2106.3599999999997</v>
      </c>
      <c r="M41" s="634">
        <v>2158.4699999999998</v>
      </c>
    </row>
    <row r="42" spans="1:13" ht="30" customHeight="1" x14ac:dyDescent="0.25">
      <c r="A42" s="627" t="s">
        <v>8988</v>
      </c>
      <c r="B42" s="627" t="s">
        <v>8987</v>
      </c>
      <c r="C42" s="627" t="s">
        <v>7280</v>
      </c>
      <c r="D42" s="627" t="s">
        <v>8982</v>
      </c>
      <c r="E42" s="767" t="s">
        <v>8988</v>
      </c>
      <c r="F42" s="758">
        <v>400</v>
      </c>
      <c r="G42" s="758">
        <v>179.64</v>
      </c>
      <c r="H42" s="758">
        <v>579.64</v>
      </c>
      <c r="I42" s="628">
        <v>30</v>
      </c>
      <c r="J42" s="628">
        <v>504.66999999999996</v>
      </c>
      <c r="K42" s="811">
        <f t="shared" si="0"/>
        <v>534.66999999999996</v>
      </c>
      <c r="L42" s="634">
        <v>354.84000000000003</v>
      </c>
      <c r="M42" s="634">
        <v>353.36</v>
      </c>
    </row>
    <row r="43" spans="1:13" ht="30" customHeight="1" x14ac:dyDescent="0.25">
      <c r="A43" s="627" t="s">
        <v>8986</v>
      </c>
      <c r="B43" s="627" t="s">
        <v>8985</v>
      </c>
      <c r="C43" s="627" t="s">
        <v>6036</v>
      </c>
      <c r="D43" s="627" t="s">
        <v>8982</v>
      </c>
      <c r="E43" s="767" t="s">
        <v>8986</v>
      </c>
      <c r="F43" s="758">
        <v>35</v>
      </c>
      <c r="G43" s="758">
        <v>130.84</v>
      </c>
      <c r="H43" s="758">
        <v>165.84</v>
      </c>
      <c r="I43" s="628">
        <v>0</v>
      </c>
      <c r="J43" s="628">
        <v>647.21</v>
      </c>
      <c r="K43" s="811">
        <f t="shared" si="0"/>
        <v>647.21</v>
      </c>
      <c r="L43" s="634">
        <v>458.07</v>
      </c>
      <c r="M43" s="634">
        <v>320.18</v>
      </c>
    </row>
    <row r="44" spans="1:13" ht="30" customHeight="1" x14ac:dyDescent="0.25">
      <c r="A44" s="627" t="s">
        <v>10896</v>
      </c>
      <c r="B44" s="627"/>
      <c r="C44" s="627" t="s">
        <v>10895</v>
      </c>
      <c r="D44" s="627" t="s">
        <v>8982</v>
      </c>
      <c r="E44" s="767" t="s">
        <v>10896</v>
      </c>
      <c r="F44" s="758">
        <v>153.68</v>
      </c>
      <c r="G44" s="758">
        <v>284.5</v>
      </c>
      <c r="H44" s="758">
        <v>438.18</v>
      </c>
      <c r="I44" s="628"/>
      <c r="J44" s="628"/>
      <c r="K44" s="811"/>
      <c r="L44" s="634">
        <v>836.82</v>
      </c>
      <c r="M44" s="634">
        <v>497.41</v>
      </c>
    </row>
    <row r="45" spans="1:13" ht="30" customHeight="1" x14ac:dyDescent="0.25">
      <c r="A45" s="627" t="s">
        <v>8984</v>
      </c>
      <c r="B45" s="627" t="s">
        <v>8983</v>
      </c>
      <c r="C45" s="627" t="s">
        <v>839</v>
      </c>
      <c r="D45" s="627" t="s">
        <v>8982</v>
      </c>
      <c r="E45" s="767" t="s">
        <v>8984</v>
      </c>
      <c r="F45" s="758"/>
      <c r="G45" s="758">
        <v>155</v>
      </c>
      <c r="H45" s="758">
        <v>155</v>
      </c>
      <c r="I45" s="628">
        <v>0</v>
      </c>
      <c r="J45" s="628">
        <v>205</v>
      </c>
      <c r="K45" s="811">
        <f>SUM(I45:J45)</f>
        <v>205</v>
      </c>
      <c r="L45" s="634">
        <v>273.5</v>
      </c>
      <c r="M45" s="634">
        <v>335</v>
      </c>
    </row>
    <row r="46" spans="1:13" ht="30" customHeight="1" x14ac:dyDescent="0.25">
      <c r="A46" s="627" t="s">
        <v>8981</v>
      </c>
      <c r="B46" s="627" t="s">
        <v>8980</v>
      </c>
      <c r="C46" s="627" t="s">
        <v>158</v>
      </c>
      <c r="D46" s="627" t="s">
        <v>8979</v>
      </c>
      <c r="E46" s="767" t="s">
        <v>8981</v>
      </c>
      <c r="F46" s="758">
        <v>50</v>
      </c>
      <c r="G46" s="758"/>
      <c r="H46" s="758">
        <v>50</v>
      </c>
      <c r="I46" s="628">
        <v>0</v>
      </c>
      <c r="J46" s="628">
        <v>259.40000000000003</v>
      </c>
      <c r="K46" s="811">
        <f>SUM(I46:J46)</f>
        <v>259.40000000000003</v>
      </c>
      <c r="L46" s="634">
        <v>223.84</v>
      </c>
      <c r="M46" s="634">
        <v>241.23</v>
      </c>
    </row>
    <row r="47" spans="1:13" ht="30" customHeight="1" x14ac:dyDescent="0.25">
      <c r="A47" s="627" t="s">
        <v>10897</v>
      </c>
      <c r="B47" s="627"/>
      <c r="C47" s="627" t="s">
        <v>4149</v>
      </c>
      <c r="D47" s="627" t="s">
        <v>10907</v>
      </c>
      <c r="E47" s="767" t="s">
        <v>10897</v>
      </c>
      <c r="F47" s="758">
        <v>125</v>
      </c>
      <c r="G47" s="758"/>
      <c r="H47" s="758">
        <v>125</v>
      </c>
      <c r="I47" s="628"/>
      <c r="J47" s="628"/>
      <c r="K47" s="811"/>
      <c r="L47" s="634">
        <v>413.78</v>
      </c>
      <c r="M47" s="634">
        <v>642.09</v>
      </c>
    </row>
    <row r="48" spans="1:13" ht="30" customHeight="1" x14ac:dyDescent="0.25">
      <c r="A48" s="627" t="s">
        <v>8978</v>
      </c>
      <c r="B48" s="627" t="s">
        <v>8977</v>
      </c>
      <c r="C48" s="627" t="s">
        <v>5390</v>
      </c>
      <c r="D48" s="627" t="s">
        <v>8874</v>
      </c>
      <c r="E48" s="767" t="s">
        <v>8978</v>
      </c>
      <c r="F48" s="758">
        <v>10</v>
      </c>
      <c r="G48" s="758"/>
      <c r="H48" s="758">
        <v>10</v>
      </c>
      <c r="I48" s="628">
        <v>5</v>
      </c>
      <c r="J48" s="628">
        <v>567.33000000000004</v>
      </c>
      <c r="K48" s="811">
        <f>SUM(I48:J48)</f>
        <v>572.33000000000004</v>
      </c>
      <c r="L48" s="634">
        <v>5</v>
      </c>
      <c r="M48" s="634">
        <v>5</v>
      </c>
    </row>
    <row r="49" spans="1:13" ht="30" customHeight="1" x14ac:dyDescent="0.25">
      <c r="A49" s="627" t="s">
        <v>8976</v>
      </c>
      <c r="B49" s="627" t="s">
        <v>8975</v>
      </c>
      <c r="C49" s="627" t="s">
        <v>8974</v>
      </c>
      <c r="D49" s="627" t="s">
        <v>8874</v>
      </c>
      <c r="E49" s="767" t="s">
        <v>8976</v>
      </c>
      <c r="F49" s="758">
        <v>1081.8899999999999</v>
      </c>
      <c r="G49" s="758">
        <v>1982.1100000000001</v>
      </c>
      <c r="H49" s="758">
        <v>3064</v>
      </c>
      <c r="I49" s="628">
        <v>167</v>
      </c>
      <c r="J49" s="628">
        <v>4672</v>
      </c>
      <c r="K49" s="811">
        <f>SUM(I49:J49)</f>
        <v>4839</v>
      </c>
      <c r="L49" s="634">
        <v>4776</v>
      </c>
      <c r="M49" s="634">
        <v>4960</v>
      </c>
    </row>
    <row r="50" spans="1:13" ht="30" customHeight="1" x14ac:dyDescent="0.25">
      <c r="A50" s="627" t="s">
        <v>8973</v>
      </c>
      <c r="B50" s="627" t="s">
        <v>8972</v>
      </c>
      <c r="C50" s="627" t="s">
        <v>8971</v>
      </c>
      <c r="D50" s="627" t="s">
        <v>8874</v>
      </c>
      <c r="E50" s="767" t="s">
        <v>8973</v>
      </c>
      <c r="F50" s="758">
        <v>386</v>
      </c>
      <c r="G50" s="758">
        <v>148.5</v>
      </c>
      <c r="H50" s="758">
        <v>534.5</v>
      </c>
      <c r="I50" s="628">
        <v>120</v>
      </c>
      <c r="J50" s="628">
        <v>1753.4199999999998</v>
      </c>
      <c r="K50" s="811">
        <f>SUM(I50:J50)</f>
        <v>1873.4199999999998</v>
      </c>
      <c r="L50" s="634">
        <v>1081.3499999999999</v>
      </c>
      <c r="M50" s="634">
        <v>1434.85</v>
      </c>
    </row>
    <row r="51" spans="1:13" ht="30" customHeight="1" x14ac:dyDescent="0.25">
      <c r="A51" s="627" t="s">
        <v>10898</v>
      </c>
      <c r="B51" s="627"/>
      <c r="C51" s="627" t="s">
        <v>10559</v>
      </c>
      <c r="D51" s="627" t="s">
        <v>10899</v>
      </c>
      <c r="E51" s="767"/>
      <c r="F51" s="758"/>
      <c r="G51" s="758"/>
      <c r="H51" s="758"/>
      <c r="I51" s="628"/>
      <c r="J51" s="628"/>
      <c r="K51" s="811"/>
      <c r="L51" s="634">
        <v>295.02999999999997</v>
      </c>
      <c r="M51" s="634">
        <v>309.98</v>
      </c>
    </row>
    <row r="52" spans="1:13" ht="30" customHeight="1" x14ac:dyDescent="0.25">
      <c r="A52" s="627" t="s">
        <v>8970</v>
      </c>
      <c r="B52" s="627" t="s">
        <v>8969</v>
      </c>
      <c r="C52" s="627" t="s">
        <v>1489</v>
      </c>
      <c r="D52" s="627" t="s">
        <v>8968</v>
      </c>
      <c r="E52" s="767" t="s">
        <v>8970</v>
      </c>
      <c r="F52" s="758"/>
      <c r="G52" s="758">
        <v>282.7</v>
      </c>
      <c r="H52" s="758">
        <v>282.7</v>
      </c>
      <c r="I52" s="628">
        <v>0</v>
      </c>
      <c r="J52" s="628">
        <v>434.16</v>
      </c>
      <c r="K52" s="811">
        <f t="shared" ref="K52:K83" si="1">SUM(I52:J52)</f>
        <v>434.16</v>
      </c>
      <c r="L52" s="634">
        <v>680.75</v>
      </c>
      <c r="M52" s="634">
        <v>809.74</v>
      </c>
    </row>
    <row r="53" spans="1:13" ht="30" customHeight="1" x14ac:dyDescent="0.25">
      <c r="A53" s="627" t="s">
        <v>8967</v>
      </c>
      <c r="B53" s="627" t="s">
        <v>8966</v>
      </c>
      <c r="C53" s="627" t="s">
        <v>158</v>
      </c>
      <c r="D53" s="627" t="s">
        <v>8963</v>
      </c>
      <c r="E53" s="767" t="s">
        <v>8967</v>
      </c>
      <c r="F53" s="758">
        <v>541.86</v>
      </c>
      <c r="G53" s="758">
        <v>1027.1300000000001</v>
      </c>
      <c r="H53" s="758">
        <v>1568.9900000000002</v>
      </c>
      <c r="I53" s="628">
        <v>0</v>
      </c>
      <c r="J53" s="628">
        <v>2021.62</v>
      </c>
      <c r="K53" s="811">
        <f t="shared" si="1"/>
        <v>2021.62</v>
      </c>
      <c r="L53" s="634">
        <v>2298.48</v>
      </c>
      <c r="M53" s="634">
        <v>2444.9</v>
      </c>
    </row>
    <row r="54" spans="1:13" ht="30" customHeight="1" x14ac:dyDescent="0.25">
      <c r="A54" s="627" t="s">
        <v>8965</v>
      </c>
      <c r="B54" s="627" t="s">
        <v>8964</v>
      </c>
      <c r="C54" s="627" t="s">
        <v>1160</v>
      </c>
      <c r="D54" s="627" t="s">
        <v>8963</v>
      </c>
      <c r="E54" s="767" t="s">
        <v>8965</v>
      </c>
      <c r="F54" s="758">
        <v>395</v>
      </c>
      <c r="G54" s="758">
        <v>1514.1</v>
      </c>
      <c r="H54" s="758">
        <v>1909.1</v>
      </c>
      <c r="I54" s="628">
        <v>40</v>
      </c>
      <c r="J54" s="628">
        <v>2829</v>
      </c>
      <c r="K54" s="811">
        <f t="shared" si="1"/>
        <v>2869</v>
      </c>
      <c r="L54" s="634">
        <v>2938.6</v>
      </c>
      <c r="M54" s="634">
        <v>3033</v>
      </c>
    </row>
    <row r="55" spans="1:13" ht="30" customHeight="1" x14ac:dyDescent="0.25">
      <c r="A55" s="627" t="s">
        <v>8962</v>
      </c>
      <c r="B55" s="627" t="s">
        <v>8961</v>
      </c>
      <c r="C55" s="627" t="s">
        <v>1871</v>
      </c>
      <c r="D55" s="627" t="s">
        <v>8960</v>
      </c>
      <c r="E55" s="767" t="s">
        <v>8962</v>
      </c>
      <c r="F55" s="758">
        <v>116.5</v>
      </c>
      <c r="G55" s="758">
        <v>377.5</v>
      </c>
      <c r="H55" s="758">
        <v>494</v>
      </c>
      <c r="I55" s="628">
        <v>63</v>
      </c>
      <c r="J55" s="628">
        <v>1005.6500000000001</v>
      </c>
      <c r="K55" s="811">
        <f t="shared" si="1"/>
        <v>1068.6500000000001</v>
      </c>
      <c r="L55" s="634">
        <v>975.85</v>
      </c>
      <c r="M55" s="634">
        <v>687</v>
      </c>
    </row>
    <row r="56" spans="1:13" ht="30" customHeight="1" x14ac:dyDescent="0.25">
      <c r="A56" s="627" t="s">
        <v>8959</v>
      </c>
      <c r="B56" s="627" t="s">
        <v>8958</v>
      </c>
      <c r="C56" s="627" t="s">
        <v>226</v>
      </c>
      <c r="D56" s="627" t="s">
        <v>8957</v>
      </c>
      <c r="E56" s="767" t="s">
        <v>8959</v>
      </c>
      <c r="F56" s="758">
        <v>209</v>
      </c>
      <c r="G56" s="758"/>
      <c r="H56" s="758">
        <v>209</v>
      </c>
      <c r="I56" s="628">
        <v>40</v>
      </c>
      <c r="J56" s="628">
        <v>1962.06</v>
      </c>
      <c r="K56" s="811">
        <f t="shared" si="1"/>
        <v>2002.06</v>
      </c>
      <c r="L56" s="634">
        <v>1692.07</v>
      </c>
      <c r="M56" s="634">
        <v>1650.26</v>
      </c>
    </row>
    <row r="57" spans="1:13" ht="30" customHeight="1" x14ac:dyDescent="0.25">
      <c r="A57" s="627" t="s">
        <v>8956</v>
      </c>
      <c r="B57" s="627" t="s">
        <v>8955</v>
      </c>
      <c r="C57" s="627" t="s">
        <v>2824</v>
      </c>
      <c r="D57" s="627" t="s">
        <v>8954</v>
      </c>
      <c r="E57" s="767"/>
      <c r="F57" s="758"/>
      <c r="G57" s="758"/>
      <c r="H57" s="758"/>
      <c r="I57" s="628">
        <v>35</v>
      </c>
      <c r="J57" s="628">
        <v>924.45999999999992</v>
      </c>
      <c r="K57" s="811">
        <f t="shared" si="1"/>
        <v>959.45999999999992</v>
      </c>
      <c r="L57" s="634">
        <v>615.01</v>
      </c>
      <c r="M57" s="634">
        <v>185.79</v>
      </c>
    </row>
    <row r="58" spans="1:13" ht="30" customHeight="1" x14ac:dyDescent="0.25">
      <c r="A58" s="627" t="s">
        <v>8953</v>
      </c>
      <c r="B58" s="627" t="s">
        <v>8952</v>
      </c>
      <c r="C58" s="627" t="s">
        <v>532</v>
      </c>
      <c r="D58" s="627" t="s">
        <v>8937</v>
      </c>
      <c r="E58" s="767" t="s">
        <v>8953</v>
      </c>
      <c r="F58" s="758">
        <v>145</v>
      </c>
      <c r="G58" s="758">
        <v>28</v>
      </c>
      <c r="H58" s="758">
        <v>173</v>
      </c>
      <c r="I58" s="628">
        <v>60</v>
      </c>
      <c r="J58" s="628">
        <v>379.19</v>
      </c>
      <c r="K58" s="811">
        <f t="shared" si="1"/>
        <v>439.19</v>
      </c>
      <c r="L58" s="634">
        <v>176.31</v>
      </c>
      <c r="M58" s="634">
        <v>150.34</v>
      </c>
    </row>
    <row r="59" spans="1:13" ht="30" customHeight="1" x14ac:dyDescent="0.25">
      <c r="A59" s="627" t="s">
        <v>8951</v>
      </c>
      <c r="B59" s="627" t="s">
        <v>8950</v>
      </c>
      <c r="C59" s="627" t="s">
        <v>839</v>
      </c>
      <c r="D59" s="627" t="s">
        <v>8937</v>
      </c>
      <c r="E59" s="767" t="s">
        <v>8951</v>
      </c>
      <c r="F59" s="758">
        <v>160.81</v>
      </c>
      <c r="G59" s="758">
        <v>538.53000000000009</v>
      </c>
      <c r="H59" s="758">
        <v>699.34000000000015</v>
      </c>
      <c r="I59" s="628">
        <v>73</v>
      </c>
      <c r="J59" s="628">
        <v>1013.73</v>
      </c>
      <c r="K59" s="811">
        <f t="shared" si="1"/>
        <v>1086.73</v>
      </c>
      <c r="L59" s="634">
        <v>1334.17</v>
      </c>
      <c r="M59" s="634">
        <v>1275.6199999999999</v>
      </c>
    </row>
    <row r="60" spans="1:13" ht="30" customHeight="1" x14ac:dyDescent="0.25">
      <c r="A60" s="627" t="s">
        <v>8949</v>
      </c>
      <c r="B60" s="627" t="s">
        <v>8948</v>
      </c>
      <c r="C60" s="627" t="s">
        <v>7216</v>
      </c>
      <c r="D60" s="627" t="s">
        <v>8937</v>
      </c>
      <c r="E60" s="767" t="s">
        <v>8949</v>
      </c>
      <c r="F60" s="758">
        <v>145</v>
      </c>
      <c r="G60" s="758">
        <v>60.35</v>
      </c>
      <c r="H60" s="758">
        <v>205.35</v>
      </c>
      <c r="I60" s="628">
        <v>85</v>
      </c>
      <c r="J60" s="628">
        <v>173.53999999999996</v>
      </c>
      <c r="K60" s="811">
        <f t="shared" si="1"/>
        <v>258.53999999999996</v>
      </c>
      <c r="L60" s="634">
        <v>229.07</v>
      </c>
      <c r="M60" s="634">
        <v>560.75</v>
      </c>
    </row>
    <row r="61" spans="1:13" ht="30" customHeight="1" x14ac:dyDescent="0.25">
      <c r="A61" s="627" t="s">
        <v>8947</v>
      </c>
      <c r="B61" s="627" t="s">
        <v>8946</v>
      </c>
      <c r="C61" s="627" t="s">
        <v>8945</v>
      </c>
      <c r="D61" s="627" t="s">
        <v>8937</v>
      </c>
      <c r="E61" s="767"/>
      <c r="F61" s="758"/>
      <c r="G61" s="758"/>
      <c r="H61" s="758"/>
      <c r="I61" s="628">
        <v>0</v>
      </c>
      <c r="J61" s="628">
        <v>356.24</v>
      </c>
      <c r="K61" s="811">
        <f t="shared" si="1"/>
        <v>356.24</v>
      </c>
      <c r="L61" s="634">
        <v>224.31</v>
      </c>
      <c r="M61" s="634">
        <v>619.47</v>
      </c>
    </row>
    <row r="62" spans="1:13" ht="30" customHeight="1" x14ac:dyDescent="0.25">
      <c r="A62" s="627" t="s">
        <v>8944</v>
      </c>
      <c r="B62" s="627" t="s">
        <v>8943</v>
      </c>
      <c r="C62" s="635" t="s">
        <v>8942</v>
      </c>
      <c r="D62" s="627" t="s">
        <v>8937</v>
      </c>
      <c r="E62" s="767" t="s">
        <v>8944</v>
      </c>
      <c r="F62" s="758">
        <v>385.03000000000003</v>
      </c>
      <c r="G62" s="758">
        <v>2980.8799999999997</v>
      </c>
      <c r="H62" s="758">
        <v>3365.91</v>
      </c>
      <c r="I62" s="628">
        <v>160</v>
      </c>
      <c r="J62" s="628">
        <v>4880.7299999999996</v>
      </c>
      <c r="K62" s="811">
        <f t="shared" si="1"/>
        <v>5040.7299999999996</v>
      </c>
      <c r="L62" s="634">
        <v>1426.36</v>
      </c>
      <c r="M62" s="634">
        <v>1651.92</v>
      </c>
    </row>
    <row r="63" spans="1:13" ht="30" customHeight="1" x14ac:dyDescent="0.25">
      <c r="A63" s="627" t="s">
        <v>8941</v>
      </c>
      <c r="B63" s="627" t="s">
        <v>8940</v>
      </c>
      <c r="C63" s="627" t="s">
        <v>1065</v>
      </c>
      <c r="D63" s="627" t="s">
        <v>8937</v>
      </c>
      <c r="E63" s="767" t="s">
        <v>8941</v>
      </c>
      <c r="F63" s="758">
        <v>869.32999999999981</v>
      </c>
      <c r="G63" s="758">
        <v>657.34000000000015</v>
      </c>
      <c r="H63" s="758">
        <v>1526.67</v>
      </c>
      <c r="I63" s="628">
        <v>120</v>
      </c>
      <c r="J63" s="628">
        <v>1864.7099999999998</v>
      </c>
      <c r="K63" s="811">
        <f t="shared" si="1"/>
        <v>1984.7099999999998</v>
      </c>
      <c r="L63" s="634">
        <v>2117.21</v>
      </c>
      <c r="M63" s="634">
        <v>1905.13</v>
      </c>
    </row>
    <row r="64" spans="1:13" ht="30" customHeight="1" x14ac:dyDescent="0.25">
      <c r="A64" s="627" t="s">
        <v>8939</v>
      </c>
      <c r="B64" s="627" t="s">
        <v>8938</v>
      </c>
      <c r="C64" s="627" t="s">
        <v>7193</v>
      </c>
      <c r="D64" s="627" t="s">
        <v>8937</v>
      </c>
      <c r="E64" s="767" t="s">
        <v>8939</v>
      </c>
      <c r="F64" s="758">
        <v>60</v>
      </c>
      <c r="G64" s="758"/>
      <c r="H64" s="758">
        <v>60</v>
      </c>
      <c r="I64" s="628">
        <v>0</v>
      </c>
      <c r="J64" s="628">
        <v>96.990000000000009</v>
      </c>
      <c r="K64" s="811">
        <f t="shared" si="1"/>
        <v>96.990000000000009</v>
      </c>
      <c r="L64" s="634">
        <v>24.81</v>
      </c>
      <c r="M64" s="634">
        <v>77.540000000000006</v>
      </c>
    </row>
    <row r="65" spans="1:13" ht="30" customHeight="1" x14ac:dyDescent="0.25">
      <c r="A65" s="627" t="s">
        <v>8936</v>
      </c>
      <c r="B65" s="627" t="s">
        <v>8935</v>
      </c>
      <c r="C65" s="627" t="s">
        <v>8697</v>
      </c>
      <c r="D65" s="627" t="s">
        <v>8934</v>
      </c>
      <c r="E65" s="767" t="s">
        <v>8936</v>
      </c>
      <c r="F65" s="758">
        <v>530</v>
      </c>
      <c r="G65" s="758">
        <v>377.40999999999997</v>
      </c>
      <c r="H65" s="758">
        <v>907.41</v>
      </c>
      <c r="I65" s="628">
        <v>305</v>
      </c>
      <c r="J65" s="628">
        <v>753.06999999999994</v>
      </c>
      <c r="K65" s="811">
        <f t="shared" si="1"/>
        <v>1058.07</v>
      </c>
      <c r="L65" s="634">
        <v>766.16</v>
      </c>
      <c r="M65" s="634">
        <v>788.93000000000006</v>
      </c>
    </row>
    <row r="66" spans="1:13" ht="30" customHeight="1" x14ac:dyDescent="0.25">
      <c r="A66" s="627" t="s">
        <v>8933</v>
      </c>
      <c r="B66" s="627" t="s">
        <v>8932</v>
      </c>
      <c r="C66" s="627" t="s">
        <v>7193</v>
      </c>
      <c r="D66" s="627" t="s">
        <v>8931</v>
      </c>
      <c r="E66" s="767"/>
      <c r="F66" s="758"/>
      <c r="G66" s="758"/>
      <c r="H66" s="758"/>
      <c r="I66" s="628">
        <v>0</v>
      </c>
      <c r="J66" s="628">
        <v>445.55</v>
      </c>
      <c r="K66" s="811">
        <f t="shared" si="1"/>
        <v>445.55</v>
      </c>
      <c r="L66" s="634">
        <v>317.95999999999998</v>
      </c>
      <c r="M66" s="634">
        <v>386.86</v>
      </c>
    </row>
    <row r="67" spans="1:13" ht="30" customHeight="1" x14ac:dyDescent="0.25">
      <c r="A67" s="627" t="s">
        <v>8930</v>
      </c>
      <c r="B67" s="627" t="s">
        <v>8929</v>
      </c>
      <c r="C67" s="627" t="s">
        <v>8928</v>
      </c>
      <c r="D67" s="627" t="s">
        <v>8913</v>
      </c>
      <c r="E67" s="767" t="s">
        <v>8930</v>
      </c>
      <c r="F67" s="758">
        <v>75</v>
      </c>
      <c r="G67" s="758">
        <v>1880.4099999999999</v>
      </c>
      <c r="H67" s="758">
        <v>1955.4099999999999</v>
      </c>
      <c r="I67" s="628">
        <v>0</v>
      </c>
      <c r="J67" s="628">
        <v>699.17</v>
      </c>
      <c r="K67" s="811">
        <f t="shared" si="1"/>
        <v>699.17</v>
      </c>
      <c r="L67" s="634">
        <v>782.04</v>
      </c>
      <c r="M67" s="634">
        <v>1548.31</v>
      </c>
    </row>
    <row r="68" spans="1:13" ht="30" customHeight="1" x14ac:dyDescent="0.25">
      <c r="A68" s="627" t="s">
        <v>8927</v>
      </c>
      <c r="B68" s="627" t="s">
        <v>8926</v>
      </c>
      <c r="C68" s="627" t="s">
        <v>5390</v>
      </c>
      <c r="D68" s="627" t="s">
        <v>8913</v>
      </c>
      <c r="E68" s="767"/>
      <c r="F68" s="758"/>
      <c r="G68" s="758"/>
      <c r="H68" s="758"/>
      <c r="I68" s="628">
        <v>0</v>
      </c>
      <c r="J68" s="628">
        <v>787</v>
      </c>
      <c r="K68" s="811">
        <f t="shared" si="1"/>
        <v>787</v>
      </c>
      <c r="L68" s="634">
        <v>420</v>
      </c>
      <c r="M68" s="634">
        <v>460.27</v>
      </c>
    </row>
    <row r="69" spans="1:13" ht="30" customHeight="1" x14ac:dyDescent="0.25">
      <c r="A69" s="627" t="s">
        <v>8925</v>
      </c>
      <c r="B69" s="627" t="s">
        <v>8924</v>
      </c>
      <c r="C69" s="627" t="s">
        <v>8923</v>
      </c>
      <c r="D69" s="627" t="s">
        <v>8913</v>
      </c>
      <c r="E69" s="767" t="s">
        <v>8925</v>
      </c>
      <c r="F69" s="758">
        <v>35</v>
      </c>
      <c r="G69" s="758">
        <v>302</v>
      </c>
      <c r="H69" s="758">
        <v>337</v>
      </c>
      <c r="I69" s="628">
        <v>10</v>
      </c>
      <c r="J69" s="628">
        <v>801</v>
      </c>
      <c r="K69" s="811">
        <f t="shared" si="1"/>
        <v>811</v>
      </c>
      <c r="L69" s="634">
        <v>753</v>
      </c>
      <c r="M69" s="634">
        <v>740</v>
      </c>
    </row>
    <row r="70" spans="1:13" ht="30" customHeight="1" x14ac:dyDescent="0.25">
      <c r="A70" s="627" t="s">
        <v>8922</v>
      </c>
      <c r="B70" s="627" t="s">
        <v>8921</v>
      </c>
      <c r="C70" s="627" t="s">
        <v>8920</v>
      </c>
      <c r="D70" s="627" t="s">
        <v>8913</v>
      </c>
      <c r="E70" s="767" t="s">
        <v>8922</v>
      </c>
      <c r="F70" s="758">
        <v>30</v>
      </c>
      <c r="G70" s="758">
        <v>439.84</v>
      </c>
      <c r="H70" s="758">
        <v>469.84</v>
      </c>
      <c r="I70" s="628">
        <v>0</v>
      </c>
      <c r="J70" s="628">
        <v>655.92000000000007</v>
      </c>
      <c r="K70" s="811">
        <f t="shared" si="1"/>
        <v>655.92000000000007</v>
      </c>
      <c r="L70" s="634">
        <v>842.04</v>
      </c>
      <c r="M70" s="634">
        <v>1294.32</v>
      </c>
    </row>
    <row r="71" spans="1:13" ht="30" customHeight="1" x14ac:dyDescent="0.25">
      <c r="A71" s="627" t="s">
        <v>8919</v>
      </c>
      <c r="B71" s="627" t="s">
        <v>8918</v>
      </c>
      <c r="C71" s="627" t="s">
        <v>8917</v>
      </c>
      <c r="D71" s="627" t="s">
        <v>8913</v>
      </c>
      <c r="E71" s="767" t="s">
        <v>8919</v>
      </c>
      <c r="F71" s="758">
        <v>140</v>
      </c>
      <c r="G71" s="758"/>
      <c r="H71" s="758">
        <v>140</v>
      </c>
      <c r="I71" s="628">
        <v>0</v>
      </c>
      <c r="J71" s="628">
        <v>1055.1399999999999</v>
      </c>
      <c r="K71" s="811">
        <f t="shared" si="1"/>
        <v>1055.1399999999999</v>
      </c>
      <c r="L71" s="634">
        <v>1060</v>
      </c>
      <c r="M71" s="634">
        <v>982.67</v>
      </c>
    </row>
    <row r="72" spans="1:13" ht="30" customHeight="1" x14ac:dyDescent="0.25">
      <c r="A72" s="627" t="s">
        <v>8916</v>
      </c>
      <c r="B72" s="627" t="s">
        <v>8915</v>
      </c>
      <c r="C72" s="627" t="s">
        <v>8914</v>
      </c>
      <c r="D72" s="627" t="s">
        <v>8913</v>
      </c>
      <c r="E72" s="767" t="s">
        <v>8916</v>
      </c>
      <c r="F72" s="758">
        <v>140</v>
      </c>
      <c r="G72" s="758">
        <v>448.9</v>
      </c>
      <c r="H72" s="758">
        <v>588.9</v>
      </c>
      <c r="I72" s="628">
        <v>70</v>
      </c>
      <c r="J72" s="628">
        <v>839.68999999999994</v>
      </c>
      <c r="K72" s="811">
        <f t="shared" si="1"/>
        <v>909.68999999999994</v>
      </c>
      <c r="L72" s="634">
        <v>1339.4</v>
      </c>
      <c r="M72" s="634">
        <v>1107</v>
      </c>
    </row>
    <row r="73" spans="1:13" ht="30" customHeight="1" x14ac:dyDescent="0.25">
      <c r="A73" s="627" t="s">
        <v>8912</v>
      </c>
      <c r="B73" s="627" t="s">
        <v>8911</v>
      </c>
      <c r="C73" s="627" t="s">
        <v>8910</v>
      </c>
      <c r="D73" s="627" t="s">
        <v>8909</v>
      </c>
      <c r="E73" s="767" t="s">
        <v>8912</v>
      </c>
      <c r="F73" s="758">
        <v>105</v>
      </c>
      <c r="G73" s="758"/>
      <c r="H73" s="758">
        <v>105</v>
      </c>
      <c r="I73" s="628">
        <v>0</v>
      </c>
      <c r="J73" s="628">
        <v>88.419999999999987</v>
      </c>
      <c r="K73" s="811">
        <f t="shared" si="1"/>
        <v>88.419999999999987</v>
      </c>
      <c r="L73" s="634">
        <v>285.91000000000003</v>
      </c>
      <c r="M73" s="634">
        <v>161.80000000000001</v>
      </c>
    </row>
    <row r="74" spans="1:13" ht="30" customHeight="1" x14ac:dyDescent="0.25">
      <c r="A74" s="627" t="s">
        <v>8908</v>
      </c>
      <c r="B74" s="627" t="s">
        <v>8907</v>
      </c>
      <c r="C74" s="627" t="s">
        <v>7394</v>
      </c>
      <c r="D74" s="627" t="s">
        <v>8904</v>
      </c>
      <c r="E74" s="767" t="s">
        <v>8908</v>
      </c>
      <c r="F74" s="758">
        <v>224</v>
      </c>
      <c r="G74" s="758">
        <v>1378</v>
      </c>
      <c r="H74" s="758">
        <v>1602</v>
      </c>
      <c r="I74" s="628">
        <v>82</v>
      </c>
      <c r="J74" s="628">
        <v>2616</v>
      </c>
      <c r="K74" s="811">
        <f t="shared" si="1"/>
        <v>2698</v>
      </c>
      <c r="L74" s="634">
        <v>2497.21</v>
      </c>
      <c r="M74" s="634">
        <v>2433.5</v>
      </c>
    </row>
    <row r="75" spans="1:13" ht="30" customHeight="1" x14ac:dyDescent="0.25">
      <c r="A75" s="627" t="s">
        <v>8906</v>
      </c>
      <c r="B75" s="627" t="s">
        <v>8905</v>
      </c>
      <c r="C75" s="627" t="s">
        <v>8063</v>
      </c>
      <c r="D75" s="627" t="s">
        <v>8904</v>
      </c>
      <c r="E75" s="767" t="s">
        <v>8906</v>
      </c>
      <c r="F75" s="758">
        <v>45</v>
      </c>
      <c r="G75" s="758">
        <v>399.5</v>
      </c>
      <c r="H75" s="758">
        <v>444.5</v>
      </c>
      <c r="I75" s="628">
        <v>0</v>
      </c>
      <c r="J75" s="628">
        <v>1135</v>
      </c>
      <c r="K75" s="811">
        <f t="shared" si="1"/>
        <v>1135</v>
      </c>
      <c r="L75" s="634">
        <v>1374</v>
      </c>
      <c r="M75" s="634">
        <v>1380</v>
      </c>
    </row>
    <row r="76" spans="1:13" ht="30" customHeight="1" x14ac:dyDescent="0.25">
      <c r="A76" s="627" t="s">
        <v>8903</v>
      </c>
      <c r="B76" s="627" t="s">
        <v>8902</v>
      </c>
      <c r="C76" s="627" t="s">
        <v>226</v>
      </c>
      <c r="D76" s="627" t="s">
        <v>8901</v>
      </c>
      <c r="E76" s="767" t="s">
        <v>8903</v>
      </c>
      <c r="F76" s="758">
        <v>240</v>
      </c>
      <c r="G76" s="758">
        <v>40.159999999999997</v>
      </c>
      <c r="H76" s="758">
        <v>280.15999999999997</v>
      </c>
      <c r="I76" s="628">
        <v>85</v>
      </c>
      <c r="J76" s="628">
        <v>617.76</v>
      </c>
      <c r="K76" s="811">
        <f t="shared" si="1"/>
        <v>702.76</v>
      </c>
      <c r="L76" s="634">
        <v>512.65</v>
      </c>
      <c r="M76" s="634">
        <v>1057.06</v>
      </c>
    </row>
    <row r="77" spans="1:13" ht="30" customHeight="1" x14ac:dyDescent="0.25">
      <c r="A77" s="627" t="s">
        <v>8900</v>
      </c>
      <c r="B77" s="627" t="s">
        <v>8899</v>
      </c>
      <c r="C77" s="627" t="s">
        <v>532</v>
      </c>
      <c r="D77" s="627" t="s">
        <v>8898</v>
      </c>
      <c r="E77" s="767" t="s">
        <v>8900</v>
      </c>
      <c r="F77" s="758">
        <v>300</v>
      </c>
      <c r="G77" s="758">
        <v>355.48</v>
      </c>
      <c r="H77" s="758">
        <v>655.48</v>
      </c>
      <c r="I77" s="628">
        <v>25</v>
      </c>
      <c r="J77" s="628">
        <v>1221</v>
      </c>
      <c r="K77" s="811">
        <f t="shared" si="1"/>
        <v>1246</v>
      </c>
      <c r="L77" s="634">
        <v>1352</v>
      </c>
      <c r="M77" s="634">
        <v>1321.92</v>
      </c>
    </row>
    <row r="78" spans="1:13" ht="30" customHeight="1" x14ac:dyDescent="0.25">
      <c r="A78" s="627" t="s">
        <v>8897</v>
      </c>
      <c r="B78" s="627" t="s">
        <v>8896</v>
      </c>
      <c r="C78" s="627" t="s">
        <v>119</v>
      </c>
      <c r="D78" s="627" t="s">
        <v>8895</v>
      </c>
      <c r="E78" s="767"/>
      <c r="F78" s="758"/>
      <c r="G78" s="758"/>
      <c r="H78" s="758"/>
      <c r="I78" s="628">
        <v>100</v>
      </c>
      <c r="J78" s="628">
        <v>80.5</v>
      </c>
      <c r="K78" s="811">
        <f t="shared" si="1"/>
        <v>180.5</v>
      </c>
      <c r="L78" s="634">
        <v>187.94</v>
      </c>
      <c r="M78" s="634">
        <v>1810.68</v>
      </c>
    </row>
    <row r="79" spans="1:13" ht="30" customHeight="1" x14ac:dyDescent="0.25">
      <c r="A79" s="627" t="s">
        <v>8894</v>
      </c>
      <c r="B79" s="627" t="s">
        <v>8893</v>
      </c>
      <c r="C79" s="627" t="s">
        <v>1489</v>
      </c>
      <c r="D79" s="627" t="s">
        <v>8892</v>
      </c>
      <c r="E79" s="767" t="s">
        <v>8894</v>
      </c>
      <c r="F79" s="758">
        <v>2102</v>
      </c>
      <c r="G79" s="758">
        <v>1200</v>
      </c>
      <c r="H79" s="758">
        <v>3302</v>
      </c>
      <c r="I79" s="628">
        <v>212</v>
      </c>
      <c r="J79" s="628">
        <v>6012</v>
      </c>
      <c r="K79" s="811">
        <f t="shared" si="1"/>
        <v>6224</v>
      </c>
      <c r="L79" s="634">
        <v>6335</v>
      </c>
      <c r="M79" s="634">
        <v>6329.75</v>
      </c>
    </row>
    <row r="80" spans="1:13" ht="30" customHeight="1" x14ac:dyDescent="0.25">
      <c r="A80" s="627" t="s">
        <v>8891</v>
      </c>
      <c r="B80" s="627" t="s">
        <v>8890</v>
      </c>
      <c r="C80" s="627" t="s">
        <v>8759</v>
      </c>
      <c r="D80" s="627" t="s">
        <v>8889</v>
      </c>
      <c r="E80" s="767" t="s">
        <v>8891</v>
      </c>
      <c r="F80" s="758"/>
      <c r="G80" s="758">
        <v>285.23</v>
      </c>
      <c r="H80" s="758">
        <v>285.23</v>
      </c>
      <c r="I80" s="628">
        <v>0</v>
      </c>
      <c r="J80" s="628">
        <v>983.73</v>
      </c>
      <c r="K80" s="811">
        <f t="shared" si="1"/>
        <v>983.73</v>
      </c>
      <c r="L80" s="634">
        <v>1234.1600000000001</v>
      </c>
      <c r="M80" s="634">
        <v>1285.6500000000001</v>
      </c>
    </row>
    <row r="81" spans="1:13" ht="30" customHeight="1" x14ac:dyDescent="0.25">
      <c r="A81" s="627" t="s">
        <v>8888</v>
      </c>
      <c r="B81" s="627" t="s">
        <v>8887</v>
      </c>
      <c r="C81" s="627" t="s">
        <v>3774</v>
      </c>
      <c r="D81" s="627" t="s">
        <v>8880</v>
      </c>
      <c r="E81" s="767" t="s">
        <v>8888</v>
      </c>
      <c r="F81" s="758">
        <v>20</v>
      </c>
      <c r="G81" s="758">
        <v>1881.6200000000001</v>
      </c>
      <c r="H81" s="758">
        <v>1901.6200000000001</v>
      </c>
      <c r="I81" s="628">
        <v>0</v>
      </c>
      <c r="J81" s="628">
        <v>2472.62</v>
      </c>
      <c r="K81" s="811">
        <f t="shared" si="1"/>
        <v>2472.62</v>
      </c>
      <c r="L81" s="634">
        <v>2904.15</v>
      </c>
      <c r="M81" s="634">
        <v>3310.81</v>
      </c>
    </row>
    <row r="82" spans="1:13" ht="30" customHeight="1" x14ac:dyDescent="0.25">
      <c r="A82" s="627" t="s">
        <v>8886</v>
      </c>
      <c r="B82" s="627" t="s">
        <v>8885</v>
      </c>
      <c r="C82" s="627" t="s">
        <v>155</v>
      </c>
      <c r="D82" s="627" t="s">
        <v>8880</v>
      </c>
      <c r="E82" s="767" t="s">
        <v>8886</v>
      </c>
      <c r="F82" s="758">
        <v>548</v>
      </c>
      <c r="G82" s="758">
        <v>731.47</v>
      </c>
      <c r="H82" s="758">
        <v>1279.47</v>
      </c>
      <c r="I82" s="628">
        <v>180</v>
      </c>
      <c r="J82" s="628">
        <v>2400.5500000000002</v>
      </c>
      <c r="K82" s="811">
        <f t="shared" si="1"/>
        <v>2580.5500000000002</v>
      </c>
      <c r="L82" s="634">
        <v>3683.41</v>
      </c>
      <c r="M82" s="634">
        <v>2293.73</v>
      </c>
    </row>
    <row r="83" spans="1:13" ht="30" customHeight="1" x14ac:dyDescent="0.25">
      <c r="A83" s="627" t="s">
        <v>8884</v>
      </c>
      <c r="B83" s="627" t="s">
        <v>8883</v>
      </c>
      <c r="C83" s="627" t="s">
        <v>226</v>
      </c>
      <c r="D83" s="627" t="s">
        <v>8880</v>
      </c>
      <c r="E83" s="767" t="s">
        <v>8884</v>
      </c>
      <c r="F83" s="758">
        <v>795</v>
      </c>
      <c r="G83" s="758">
        <v>745</v>
      </c>
      <c r="H83" s="758">
        <v>1540</v>
      </c>
      <c r="I83" s="628">
        <v>70</v>
      </c>
      <c r="J83" s="628">
        <v>2104</v>
      </c>
      <c r="K83" s="811">
        <f t="shared" si="1"/>
        <v>2174</v>
      </c>
      <c r="L83" s="634">
        <v>1441.5</v>
      </c>
      <c r="M83" s="634">
        <v>1212.5</v>
      </c>
    </row>
    <row r="84" spans="1:13" ht="30" customHeight="1" x14ac:dyDescent="0.25">
      <c r="A84" s="627" t="s">
        <v>8882</v>
      </c>
      <c r="B84" s="627" t="s">
        <v>8881</v>
      </c>
      <c r="C84" s="627" t="s">
        <v>532</v>
      </c>
      <c r="D84" s="627" t="s">
        <v>8880</v>
      </c>
      <c r="E84" s="767" t="s">
        <v>8882</v>
      </c>
      <c r="F84" s="758">
        <v>30</v>
      </c>
      <c r="G84" s="758">
        <v>99.97</v>
      </c>
      <c r="H84" s="758">
        <v>129.97</v>
      </c>
      <c r="I84" s="628">
        <v>30</v>
      </c>
      <c r="J84" s="628">
        <v>838.49</v>
      </c>
      <c r="K84" s="811">
        <f t="shared" ref="K84:K116" si="2">SUM(I84:J84)</f>
        <v>868.49</v>
      </c>
      <c r="L84" s="634">
        <v>567.14</v>
      </c>
      <c r="M84" s="634">
        <v>765.35</v>
      </c>
    </row>
    <row r="85" spans="1:13" ht="30" customHeight="1" x14ac:dyDescent="0.25">
      <c r="A85" s="627" t="s">
        <v>8879</v>
      </c>
      <c r="B85" s="627" t="s">
        <v>8878</v>
      </c>
      <c r="C85" s="627" t="s">
        <v>1871</v>
      </c>
      <c r="D85" s="627" t="s">
        <v>8877</v>
      </c>
      <c r="E85" s="767" t="s">
        <v>8879</v>
      </c>
      <c r="F85" s="758">
        <v>50</v>
      </c>
      <c r="G85" s="758"/>
      <c r="H85" s="758">
        <v>50</v>
      </c>
      <c r="I85" s="628">
        <v>0</v>
      </c>
      <c r="J85" s="628">
        <v>50</v>
      </c>
      <c r="K85" s="811">
        <f t="shared" si="2"/>
        <v>50</v>
      </c>
      <c r="L85" s="634">
        <v>50</v>
      </c>
      <c r="M85" s="634">
        <v>275</v>
      </c>
    </row>
    <row r="86" spans="1:13" ht="30" customHeight="1" x14ac:dyDescent="0.25">
      <c r="A86" s="627" t="s">
        <v>8876</v>
      </c>
      <c r="B86" s="627" t="s">
        <v>8875</v>
      </c>
      <c r="C86" s="627" t="s">
        <v>158</v>
      </c>
      <c r="D86" s="627" t="s">
        <v>8874</v>
      </c>
      <c r="E86" s="767" t="s">
        <v>8876</v>
      </c>
      <c r="F86" s="758">
        <v>868.26999999999987</v>
      </c>
      <c r="G86" s="758">
        <v>1153.3699999999999</v>
      </c>
      <c r="H86" s="758">
        <v>2021.6399999999999</v>
      </c>
      <c r="I86" s="628">
        <v>30</v>
      </c>
      <c r="J86" s="628">
        <v>3423.66</v>
      </c>
      <c r="K86" s="811">
        <f t="shared" si="2"/>
        <v>3453.66</v>
      </c>
      <c r="L86" s="634">
        <v>2677.13</v>
      </c>
      <c r="M86" s="634">
        <v>3962.26</v>
      </c>
    </row>
    <row r="87" spans="1:13" ht="30" customHeight="1" x14ac:dyDescent="0.25">
      <c r="A87" s="627" t="s">
        <v>8873</v>
      </c>
      <c r="B87" s="627" t="s">
        <v>8872</v>
      </c>
      <c r="C87" s="627" t="s">
        <v>78</v>
      </c>
      <c r="D87" s="627" t="s">
        <v>8871</v>
      </c>
      <c r="E87" s="767" t="s">
        <v>8873</v>
      </c>
      <c r="F87" s="758">
        <v>55</v>
      </c>
      <c r="G87" s="758">
        <v>158.72</v>
      </c>
      <c r="H87" s="758">
        <v>213.72</v>
      </c>
      <c r="I87" s="628">
        <v>0</v>
      </c>
      <c r="J87" s="628">
        <v>304.35999999999996</v>
      </c>
      <c r="K87" s="811">
        <f t="shared" si="2"/>
        <v>304.35999999999996</v>
      </c>
      <c r="L87" s="634">
        <v>264.65999999999997</v>
      </c>
      <c r="M87" s="634">
        <v>238</v>
      </c>
    </row>
    <row r="88" spans="1:13" ht="30" customHeight="1" x14ac:dyDescent="0.25">
      <c r="A88" s="627" t="s">
        <v>11322</v>
      </c>
      <c r="B88" s="810">
        <v>2630</v>
      </c>
      <c r="C88" s="627" t="s">
        <v>5249</v>
      </c>
      <c r="D88" s="627" t="s">
        <v>9012</v>
      </c>
      <c r="E88" s="767" t="s">
        <v>11322</v>
      </c>
      <c r="F88" s="758">
        <v>10</v>
      </c>
      <c r="G88" s="758"/>
      <c r="H88" s="758">
        <v>10</v>
      </c>
      <c r="I88" s="628">
        <v>220</v>
      </c>
      <c r="J88" s="628">
        <v>2527.9499999999998</v>
      </c>
      <c r="K88" s="811">
        <f t="shared" si="2"/>
        <v>2747.95</v>
      </c>
      <c r="L88" s="634">
        <v>2938.6</v>
      </c>
      <c r="M88" s="634">
        <v>1720.3</v>
      </c>
    </row>
    <row r="89" spans="1:13" ht="30" customHeight="1" x14ac:dyDescent="0.25">
      <c r="A89" s="627" t="s">
        <v>8870</v>
      </c>
      <c r="B89" s="627" t="s">
        <v>8869</v>
      </c>
      <c r="C89" s="627" t="s">
        <v>7376</v>
      </c>
      <c r="D89" s="627" t="s">
        <v>8868</v>
      </c>
      <c r="E89" s="767" t="s">
        <v>8870</v>
      </c>
      <c r="F89" s="758">
        <v>564.41000000000008</v>
      </c>
      <c r="G89" s="758">
        <v>782.03</v>
      </c>
      <c r="H89" s="758">
        <v>1346.44</v>
      </c>
      <c r="I89" s="628"/>
      <c r="J89" s="628"/>
      <c r="K89" s="811"/>
      <c r="L89" s="634"/>
      <c r="M89" s="634"/>
    </row>
    <row r="90" spans="1:13" ht="30" customHeight="1" x14ac:dyDescent="0.25">
      <c r="A90" s="627" t="s">
        <v>8867</v>
      </c>
      <c r="B90" s="627" t="s">
        <v>8866</v>
      </c>
      <c r="C90" s="627" t="s">
        <v>532</v>
      </c>
      <c r="D90" s="627" t="s">
        <v>8865</v>
      </c>
      <c r="E90" s="767" t="s">
        <v>8867</v>
      </c>
      <c r="F90" s="758">
        <v>230</v>
      </c>
      <c r="G90" s="758">
        <v>1636.68</v>
      </c>
      <c r="H90" s="758">
        <v>1866.68</v>
      </c>
      <c r="I90" s="628">
        <v>60</v>
      </c>
      <c r="J90" s="628">
        <v>3035.4</v>
      </c>
      <c r="K90" s="811">
        <f t="shared" si="2"/>
        <v>3095.4</v>
      </c>
      <c r="L90" s="634">
        <v>2301.42</v>
      </c>
      <c r="M90" s="634">
        <v>1789.14</v>
      </c>
    </row>
    <row r="91" spans="1:13" ht="30" customHeight="1" x14ac:dyDescent="0.25">
      <c r="A91" s="627" t="s">
        <v>8864</v>
      </c>
      <c r="B91" s="627" t="s">
        <v>8863</v>
      </c>
      <c r="C91" s="627" t="s">
        <v>8862</v>
      </c>
      <c r="D91" s="627" t="s">
        <v>8832</v>
      </c>
      <c r="E91" s="767" t="s">
        <v>8864</v>
      </c>
      <c r="F91" s="758">
        <v>90</v>
      </c>
      <c r="G91" s="758">
        <v>450</v>
      </c>
      <c r="H91" s="758">
        <v>540</v>
      </c>
      <c r="I91" s="628">
        <v>0</v>
      </c>
      <c r="J91" s="628">
        <v>1639.8400000000001</v>
      </c>
      <c r="K91" s="811">
        <f t="shared" si="2"/>
        <v>1639.8400000000001</v>
      </c>
      <c r="L91" s="634">
        <v>1822.82</v>
      </c>
      <c r="M91" s="634">
        <v>1863</v>
      </c>
    </row>
    <row r="92" spans="1:13" ht="30" customHeight="1" x14ac:dyDescent="0.25">
      <c r="A92" s="627" t="s">
        <v>8861</v>
      </c>
      <c r="B92" s="627" t="s">
        <v>8860</v>
      </c>
      <c r="C92" s="627" t="s">
        <v>5904</v>
      </c>
      <c r="D92" s="627" t="s">
        <v>8832</v>
      </c>
      <c r="E92" s="767" t="s">
        <v>8861</v>
      </c>
      <c r="F92" s="758">
        <v>211.53</v>
      </c>
      <c r="G92" s="758"/>
      <c r="H92" s="758">
        <v>211.53</v>
      </c>
      <c r="I92" s="628">
        <v>100</v>
      </c>
      <c r="J92" s="628">
        <v>110.45</v>
      </c>
      <c r="K92" s="811">
        <f t="shared" si="2"/>
        <v>210.45</v>
      </c>
      <c r="L92" s="634">
        <v>279.7</v>
      </c>
      <c r="M92" s="634">
        <v>248</v>
      </c>
    </row>
    <row r="93" spans="1:13" ht="30" customHeight="1" x14ac:dyDescent="0.25">
      <c r="A93" s="627" t="s">
        <v>8859</v>
      </c>
      <c r="B93" s="627" t="s">
        <v>8858</v>
      </c>
      <c r="C93" s="627" t="s">
        <v>1409</v>
      </c>
      <c r="D93" s="627" t="s">
        <v>8832</v>
      </c>
      <c r="E93" s="767" t="s">
        <v>8859</v>
      </c>
      <c r="F93" s="758">
        <v>45</v>
      </c>
      <c r="G93" s="758">
        <v>494.58</v>
      </c>
      <c r="H93" s="758">
        <v>539.57999999999993</v>
      </c>
      <c r="I93" s="628">
        <v>0</v>
      </c>
      <c r="J93" s="628">
        <v>622.84999999999991</v>
      </c>
      <c r="K93" s="811">
        <f t="shared" si="2"/>
        <v>622.84999999999991</v>
      </c>
      <c r="L93" s="634">
        <v>732.89</v>
      </c>
      <c r="M93" s="634">
        <v>898.61</v>
      </c>
    </row>
    <row r="94" spans="1:13" ht="30" customHeight="1" x14ac:dyDescent="0.25">
      <c r="A94" s="627" t="s">
        <v>8857</v>
      </c>
      <c r="B94" s="627" t="s">
        <v>8856</v>
      </c>
      <c r="C94" s="627" t="s">
        <v>8855</v>
      </c>
      <c r="D94" s="627" t="s">
        <v>8832</v>
      </c>
      <c r="E94" s="767" t="s">
        <v>8857</v>
      </c>
      <c r="F94" s="758"/>
      <c r="G94" s="758">
        <v>233.57</v>
      </c>
      <c r="H94" s="758">
        <v>233.57</v>
      </c>
      <c r="I94" s="628">
        <v>0</v>
      </c>
      <c r="J94" s="628">
        <v>582.23</v>
      </c>
      <c r="K94" s="811">
        <f t="shared" si="2"/>
        <v>582.23</v>
      </c>
      <c r="L94" s="634">
        <v>675.17</v>
      </c>
      <c r="M94" s="634">
        <v>959.3</v>
      </c>
    </row>
    <row r="95" spans="1:13" ht="30" customHeight="1" x14ac:dyDescent="0.25">
      <c r="A95" s="627" t="s">
        <v>8854</v>
      </c>
      <c r="B95" s="627" t="s">
        <v>8853</v>
      </c>
      <c r="C95" s="627" t="s">
        <v>8852</v>
      </c>
      <c r="D95" s="627" t="s">
        <v>8832</v>
      </c>
      <c r="E95" s="767" t="s">
        <v>8854</v>
      </c>
      <c r="F95" s="758">
        <v>1269.08</v>
      </c>
      <c r="G95" s="758">
        <v>558.05000000000007</v>
      </c>
      <c r="H95" s="758">
        <v>1827.13</v>
      </c>
      <c r="I95" s="628">
        <v>380</v>
      </c>
      <c r="J95" s="628">
        <v>2644.18</v>
      </c>
      <c r="K95" s="811">
        <f t="shared" si="2"/>
        <v>3024.18</v>
      </c>
      <c r="L95" s="634">
        <v>3492.71</v>
      </c>
      <c r="M95" s="634">
        <v>3225.42</v>
      </c>
    </row>
    <row r="96" spans="1:13" ht="30" customHeight="1" x14ac:dyDescent="0.25">
      <c r="A96" s="627" t="s">
        <v>8851</v>
      </c>
      <c r="B96" s="627" t="s">
        <v>8850</v>
      </c>
      <c r="C96" s="627" t="s">
        <v>8849</v>
      </c>
      <c r="D96" s="627" t="s">
        <v>8832</v>
      </c>
      <c r="E96" s="767" t="s">
        <v>8851</v>
      </c>
      <c r="F96" s="758">
        <v>150</v>
      </c>
      <c r="G96" s="758"/>
      <c r="H96" s="758">
        <v>150</v>
      </c>
      <c r="I96" s="628">
        <v>70</v>
      </c>
      <c r="J96" s="628">
        <v>31</v>
      </c>
      <c r="K96" s="811">
        <f t="shared" si="2"/>
        <v>101</v>
      </c>
      <c r="L96" s="634">
        <v>559</v>
      </c>
      <c r="M96" s="634">
        <v>481</v>
      </c>
    </row>
    <row r="97" spans="1:13" ht="30" customHeight="1" x14ac:dyDescent="0.25">
      <c r="A97" s="627" t="s">
        <v>8848</v>
      </c>
      <c r="B97" s="627" t="s">
        <v>8847</v>
      </c>
      <c r="C97" s="627" t="s">
        <v>1047</v>
      </c>
      <c r="D97" s="627" t="s">
        <v>8832</v>
      </c>
      <c r="E97" s="767" t="s">
        <v>8848</v>
      </c>
      <c r="F97" s="758">
        <v>160</v>
      </c>
      <c r="G97" s="758">
        <v>196.35</v>
      </c>
      <c r="H97" s="758">
        <v>356.35</v>
      </c>
      <c r="I97" s="628">
        <v>30</v>
      </c>
      <c r="J97" s="628">
        <v>501.29</v>
      </c>
      <c r="K97" s="811">
        <f t="shared" si="2"/>
        <v>531.29</v>
      </c>
      <c r="L97" s="634">
        <v>1017.49</v>
      </c>
      <c r="M97" s="634">
        <v>932.39</v>
      </c>
    </row>
    <row r="98" spans="1:13" ht="30" customHeight="1" x14ac:dyDescent="0.25">
      <c r="A98" s="627" t="s">
        <v>8846</v>
      </c>
      <c r="B98" s="627" t="s">
        <v>8845</v>
      </c>
      <c r="C98" s="627" t="s">
        <v>7207</v>
      </c>
      <c r="D98" s="627" t="s">
        <v>8832</v>
      </c>
      <c r="E98" s="767" t="s">
        <v>8846</v>
      </c>
      <c r="F98" s="758">
        <v>1096</v>
      </c>
      <c r="G98" s="758"/>
      <c r="H98" s="758">
        <v>1096</v>
      </c>
      <c r="I98" s="628">
        <v>563</v>
      </c>
      <c r="J98" s="628">
        <v>482.99999999999994</v>
      </c>
      <c r="K98" s="811">
        <f t="shared" si="2"/>
        <v>1046</v>
      </c>
      <c r="L98" s="634">
        <v>1181</v>
      </c>
      <c r="M98" s="634">
        <v>1188.1300000000001</v>
      </c>
    </row>
    <row r="99" spans="1:13" ht="30" customHeight="1" x14ac:dyDescent="0.25">
      <c r="A99" s="627" t="s">
        <v>8844</v>
      </c>
      <c r="B99" s="627" t="s">
        <v>8843</v>
      </c>
      <c r="C99" s="627" t="s">
        <v>2663</v>
      </c>
      <c r="D99" s="627" t="s">
        <v>8832</v>
      </c>
      <c r="E99" s="767"/>
      <c r="F99" s="758"/>
      <c r="G99" s="758"/>
      <c r="H99" s="758"/>
      <c r="I99" s="628">
        <v>0</v>
      </c>
      <c r="J99" s="628">
        <v>225.46</v>
      </c>
      <c r="K99" s="811">
        <f t="shared" si="2"/>
        <v>225.46</v>
      </c>
      <c r="L99" s="634">
        <v>168.65</v>
      </c>
      <c r="M99" s="634">
        <v>354.23</v>
      </c>
    </row>
    <row r="100" spans="1:13" ht="30" customHeight="1" x14ac:dyDescent="0.25">
      <c r="A100" s="627" t="s">
        <v>8842</v>
      </c>
      <c r="B100" s="627" t="s">
        <v>8841</v>
      </c>
      <c r="C100" s="627" t="s">
        <v>8840</v>
      </c>
      <c r="D100" s="627" t="s">
        <v>8832</v>
      </c>
      <c r="E100" s="767" t="s">
        <v>8842</v>
      </c>
      <c r="F100" s="758"/>
      <c r="G100" s="758">
        <v>223.88</v>
      </c>
      <c r="H100" s="758">
        <v>223.88</v>
      </c>
      <c r="I100" s="628">
        <v>0</v>
      </c>
      <c r="J100" s="628">
        <v>356.54</v>
      </c>
      <c r="K100" s="811">
        <f t="shared" si="2"/>
        <v>356.54</v>
      </c>
      <c r="L100" s="634">
        <v>677.16</v>
      </c>
      <c r="M100" s="634">
        <v>847.43</v>
      </c>
    </row>
    <row r="101" spans="1:13" ht="30" customHeight="1" x14ac:dyDescent="0.25">
      <c r="A101" s="627" t="s">
        <v>8839</v>
      </c>
      <c r="B101" s="627" t="s">
        <v>8838</v>
      </c>
      <c r="C101" s="627" t="s">
        <v>8837</v>
      </c>
      <c r="D101" s="627" t="s">
        <v>8832</v>
      </c>
      <c r="E101" s="767" t="s">
        <v>8839</v>
      </c>
      <c r="F101" s="758">
        <v>1404.84</v>
      </c>
      <c r="G101" s="758">
        <v>518.35</v>
      </c>
      <c r="H101" s="758">
        <v>1923.19</v>
      </c>
      <c r="I101" s="628">
        <v>210</v>
      </c>
      <c r="J101" s="628">
        <v>2335.8699999999994</v>
      </c>
      <c r="K101" s="811">
        <f t="shared" si="2"/>
        <v>2545.8699999999994</v>
      </c>
      <c r="L101" s="634">
        <v>2690.81</v>
      </c>
      <c r="M101" s="634">
        <v>2327.5700000000002</v>
      </c>
    </row>
    <row r="102" spans="1:13" ht="30" customHeight="1" x14ac:dyDescent="0.25">
      <c r="A102" s="627" t="s">
        <v>8836</v>
      </c>
      <c r="B102" s="627" t="s">
        <v>8835</v>
      </c>
      <c r="C102" s="627" t="s">
        <v>7280</v>
      </c>
      <c r="D102" s="627" t="s">
        <v>8832</v>
      </c>
      <c r="E102" s="767" t="s">
        <v>8836</v>
      </c>
      <c r="F102" s="758">
        <v>100</v>
      </c>
      <c r="G102" s="758"/>
      <c r="H102" s="758">
        <v>100</v>
      </c>
      <c r="I102" s="628">
        <v>100</v>
      </c>
      <c r="J102" s="628">
        <v>1360.8600000000001</v>
      </c>
      <c r="K102" s="811">
        <f t="shared" si="2"/>
        <v>1460.8600000000001</v>
      </c>
      <c r="L102" s="634">
        <v>1273.46</v>
      </c>
      <c r="M102" s="634">
        <v>1472.02</v>
      </c>
    </row>
    <row r="103" spans="1:13" ht="30" customHeight="1" x14ac:dyDescent="0.25">
      <c r="A103" s="627" t="s">
        <v>8834</v>
      </c>
      <c r="B103" s="627" t="s">
        <v>8833</v>
      </c>
      <c r="C103" s="627" t="s">
        <v>6709</v>
      </c>
      <c r="D103" s="627" t="s">
        <v>8832</v>
      </c>
      <c r="E103" s="767" t="s">
        <v>8834</v>
      </c>
      <c r="F103" s="758">
        <v>70</v>
      </c>
      <c r="G103" s="758"/>
      <c r="H103" s="758">
        <v>70</v>
      </c>
      <c r="I103" s="628">
        <v>80</v>
      </c>
      <c r="J103" s="628">
        <v>352.52</v>
      </c>
      <c r="K103" s="811">
        <f t="shared" si="2"/>
        <v>432.52</v>
      </c>
      <c r="L103" s="634">
        <v>335.92</v>
      </c>
      <c r="M103" s="634">
        <v>649.16</v>
      </c>
    </row>
    <row r="104" spans="1:13" ht="30" customHeight="1" x14ac:dyDescent="0.25">
      <c r="A104" s="627" t="s">
        <v>8831</v>
      </c>
      <c r="B104" s="627" t="s">
        <v>8830</v>
      </c>
      <c r="C104" s="627" t="s">
        <v>3238</v>
      </c>
      <c r="D104" s="627" t="s">
        <v>8829</v>
      </c>
      <c r="E104" s="767"/>
      <c r="F104" s="758"/>
      <c r="G104" s="758"/>
      <c r="H104" s="758"/>
      <c r="I104" s="628">
        <v>0</v>
      </c>
      <c r="J104" s="628">
        <v>353.12</v>
      </c>
      <c r="K104" s="811">
        <f t="shared" si="2"/>
        <v>353.12</v>
      </c>
      <c r="L104" s="634">
        <v>478.72</v>
      </c>
      <c r="M104" s="634">
        <v>451.38</v>
      </c>
    </row>
    <row r="105" spans="1:13" ht="30" customHeight="1" x14ac:dyDescent="0.25">
      <c r="A105" s="627" t="s">
        <v>8828</v>
      </c>
      <c r="B105" s="627" t="s">
        <v>8827</v>
      </c>
      <c r="C105" s="627" t="s">
        <v>7388</v>
      </c>
      <c r="D105" s="627" t="s">
        <v>8826</v>
      </c>
      <c r="E105" s="767" t="s">
        <v>8828</v>
      </c>
      <c r="F105" s="758">
        <v>60</v>
      </c>
      <c r="G105" s="758"/>
      <c r="H105" s="758">
        <v>60</v>
      </c>
      <c r="I105" s="628">
        <v>30</v>
      </c>
      <c r="J105" s="628">
        <v>169</v>
      </c>
      <c r="K105" s="811">
        <f t="shared" si="2"/>
        <v>199</v>
      </c>
      <c r="L105" s="634">
        <v>355</v>
      </c>
      <c r="M105" s="634">
        <v>431</v>
      </c>
    </row>
    <row r="106" spans="1:13" ht="30" customHeight="1" x14ac:dyDescent="0.25">
      <c r="A106" s="627" t="s">
        <v>8825</v>
      </c>
      <c r="B106" s="627" t="s">
        <v>8824</v>
      </c>
      <c r="C106" s="627" t="s">
        <v>5390</v>
      </c>
      <c r="D106" s="627" t="s">
        <v>8823</v>
      </c>
      <c r="E106" s="767" t="s">
        <v>8825</v>
      </c>
      <c r="F106" s="758">
        <v>160</v>
      </c>
      <c r="G106" s="758"/>
      <c r="H106" s="758">
        <v>160</v>
      </c>
      <c r="I106" s="628">
        <v>60</v>
      </c>
      <c r="J106" s="628">
        <v>1000</v>
      </c>
      <c r="K106" s="811">
        <f t="shared" si="2"/>
        <v>1060</v>
      </c>
      <c r="L106" s="634">
        <v>1252</v>
      </c>
      <c r="M106" s="634">
        <v>1789</v>
      </c>
    </row>
    <row r="107" spans="1:13" ht="30" customHeight="1" x14ac:dyDescent="0.25">
      <c r="A107" s="627" t="s">
        <v>8822</v>
      </c>
      <c r="B107" s="627" t="s">
        <v>8821</v>
      </c>
      <c r="C107" s="627" t="s">
        <v>226</v>
      </c>
      <c r="D107" s="627" t="s">
        <v>8820</v>
      </c>
      <c r="E107" s="767" t="s">
        <v>8822</v>
      </c>
      <c r="F107" s="758">
        <v>476</v>
      </c>
      <c r="G107" s="758">
        <v>302.08</v>
      </c>
      <c r="H107" s="758">
        <v>778.07999999999993</v>
      </c>
      <c r="I107" s="628">
        <v>206</v>
      </c>
      <c r="J107" s="628">
        <v>627.38999999999987</v>
      </c>
      <c r="K107" s="811">
        <f t="shared" si="2"/>
        <v>833.38999999999987</v>
      </c>
      <c r="L107" s="634">
        <v>834.97</v>
      </c>
      <c r="M107" s="634">
        <v>1052.74</v>
      </c>
    </row>
    <row r="108" spans="1:13" ht="30" customHeight="1" x14ac:dyDescent="0.25">
      <c r="A108" s="627" t="s">
        <v>8819</v>
      </c>
      <c r="B108" s="627" t="s">
        <v>8818</v>
      </c>
      <c r="C108" s="627" t="s">
        <v>231</v>
      </c>
      <c r="D108" s="627" t="s">
        <v>8817</v>
      </c>
      <c r="E108" s="767" t="s">
        <v>8819</v>
      </c>
      <c r="F108" s="758">
        <v>470</v>
      </c>
      <c r="G108" s="758">
        <v>347.5</v>
      </c>
      <c r="H108" s="758">
        <v>817.5</v>
      </c>
      <c r="I108" s="628">
        <v>195</v>
      </c>
      <c r="J108" s="628">
        <v>406.3</v>
      </c>
      <c r="K108" s="811">
        <f t="shared" si="2"/>
        <v>601.29999999999995</v>
      </c>
      <c r="L108" s="634">
        <v>989.64</v>
      </c>
      <c r="M108" s="634">
        <v>1416.4299999999998</v>
      </c>
    </row>
    <row r="109" spans="1:13" ht="30" customHeight="1" x14ac:dyDescent="0.25">
      <c r="A109" s="627" t="s">
        <v>8816</v>
      </c>
      <c r="B109" s="627" t="s">
        <v>8815</v>
      </c>
      <c r="C109" s="627" t="s">
        <v>5390</v>
      </c>
      <c r="D109" s="627" t="s">
        <v>8812</v>
      </c>
      <c r="E109" s="767" t="s">
        <v>8816</v>
      </c>
      <c r="F109" s="758">
        <v>180</v>
      </c>
      <c r="G109" s="758">
        <v>319.86</v>
      </c>
      <c r="H109" s="758">
        <v>499.86</v>
      </c>
      <c r="I109" s="628">
        <v>30</v>
      </c>
      <c r="J109" s="628">
        <v>1076.98</v>
      </c>
      <c r="K109" s="811">
        <f t="shared" si="2"/>
        <v>1106.98</v>
      </c>
      <c r="L109" s="634">
        <v>960.62</v>
      </c>
      <c r="M109" s="634">
        <v>1191.79</v>
      </c>
    </row>
    <row r="110" spans="1:13" ht="30" customHeight="1" x14ac:dyDescent="0.25">
      <c r="A110" s="627" t="s">
        <v>8814</v>
      </c>
      <c r="B110" s="627" t="s">
        <v>8813</v>
      </c>
      <c r="C110" s="627" t="s">
        <v>532</v>
      </c>
      <c r="D110" s="627" t="s">
        <v>8812</v>
      </c>
      <c r="E110" s="767" t="s">
        <v>8814</v>
      </c>
      <c r="F110" s="758">
        <v>160</v>
      </c>
      <c r="G110" s="758">
        <v>104.75999999999999</v>
      </c>
      <c r="H110" s="758">
        <v>264.76</v>
      </c>
      <c r="I110" s="628">
        <v>70</v>
      </c>
      <c r="J110" s="628">
        <v>662.95000000000016</v>
      </c>
      <c r="K110" s="811">
        <f t="shared" si="2"/>
        <v>732.95000000000016</v>
      </c>
      <c r="L110" s="634">
        <v>855.06</v>
      </c>
      <c r="M110" s="634">
        <v>963.38</v>
      </c>
    </row>
    <row r="111" spans="1:13" ht="30" customHeight="1" x14ac:dyDescent="0.25">
      <c r="A111" s="627" t="s">
        <v>8811</v>
      </c>
      <c r="B111" s="627" t="s">
        <v>8810</v>
      </c>
      <c r="C111" s="627" t="s">
        <v>5256</v>
      </c>
      <c r="D111" s="627" t="s">
        <v>8809</v>
      </c>
      <c r="E111" s="767" t="s">
        <v>8811</v>
      </c>
      <c r="F111" s="758">
        <v>150</v>
      </c>
      <c r="G111" s="758">
        <v>498.2</v>
      </c>
      <c r="H111" s="758">
        <v>648.20000000000005</v>
      </c>
      <c r="I111" s="628">
        <v>50</v>
      </c>
      <c r="J111" s="628">
        <v>1721.18</v>
      </c>
      <c r="K111" s="811">
        <f t="shared" si="2"/>
        <v>1771.18</v>
      </c>
      <c r="L111" s="634">
        <v>2319.63</v>
      </c>
      <c r="M111" s="634">
        <v>2564.9899999999998</v>
      </c>
    </row>
    <row r="112" spans="1:13" ht="30" customHeight="1" x14ac:dyDescent="0.25">
      <c r="A112" s="627" t="s">
        <v>8808</v>
      </c>
      <c r="B112" s="627" t="s">
        <v>8807</v>
      </c>
      <c r="C112" s="627" t="s">
        <v>8806</v>
      </c>
      <c r="D112" s="627" t="s">
        <v>8805</v>
      </c>
      <c r="E112" s="767" t="s">
        <v>8808</v>
      </c>
      <c r="F112" s="758">
        <v>1098.25</v>
      </c>
      <c r="G112" s="758">
        <v>961.01</v>
      </c>
      <c r="H112" s="758">
        <v>2059.2600000000002</v>
      </c>
      <c r="I112" s="628">
        <v>245</v>
      </c>
      <c r="J112" s="628">
        <v>3460.6000000000004</v>
      </c>
      <c r="K112" s="811">
        <f t="shared" si="2"/>
        <v>3705.6000000000004</v>
      </c>
      <c r="L112" s="634">
        <v>2726.12</v>
      </c>
      <c r="M112" s="634">
        <v>3011.67</v>
      </c>
    </row>
    <row r="113" spans="1:13" ht="30" customHeight="1" x14ac:dyDescent="0.25">
      <c r="A113" s="627" t="s">
        <v>8804</v>
      </c>
      <c r="B113" s="627" t="s">
        <v>8803</v>
      </c>
      <c r="C113" s="627" t="s">
        <v>198</v>
      </c>
      <c r="D113" s="627" t="s">
        <v>8802</v>
      </c>
      <c r="E113" s="767" t="s">
        <v>8804</v>
      </c>
      <c r="F113" s="758">
        <v>416.5</v>
      </c>
      <c r="G113" s="758">
        <v>2751</v>
      </c>
      <c r="H113" s="758">
        <v>3167.5</v>
      </c>
      <c r="I113" s="628">
        <v>180</v>
      </c>
      <c r="J113" s="628">
        <v>3117.7799999999997</v>
      </c>
      <c r="K113" s="811">
        <f t="shared" si="2"/>
        <v>3297.7799999999997</v>
      </c>
      <c r="L113" s="634">
        <v>3352.31</v>
      </c>
      <c r="M113" s="634">
        <v>3330</v>
      </c>
    </row>
    <row r="114" spans="1:13" ht="30" customHeight="1" x14ac:dyDescent="0.25">
      <c r="A114" s="627" t="s">
        <v>8801</v>
      </c>
      <c r="B114" s="627" t="s">
        <v>8800</v>
      </c>
      <c r="C114" s="627" t="s">
        <v>155</v>
      </c>
      <c r="D114" s="627" t="s">
        <v>8799</v>
      </c>
      <c r="E114" s="767" t="s">
        <v>8801</v>
      </c>
      <c r="F114" s="758">
        <v>122</v>
      </c>
      <c r="G114" s="758">
        <v>382.65000000000003</v>
      </c>
      <c r="H114" s="758">
        <v>504.65000000000003</v>
      </c>
      <c r="I114" s="628">
        <v>70</v>
      </c>
      <c r="J114" s="628">
        <v>446</v>
      </c>
      <c r="K114" s="811">
        <f t="shared" si="2"/>
        <v>516</v>
      </c>
      <c r="L114" s="634">
        <v>675.5</v>
      </c>
      <c r="M114" s="634">
        <v>631</v>
      </c>
    </row>
    <row r="115" spans="1:13" ht="30" customHeight="1" x14ac:dyDescent="0.25">
      <c r="A115" s="627" t="s">
        <v>8798</v>
      </c>
      <c r="B115" s="627" t="s">
        <v>8797</v>
      </c>
      <c r="C115" s="627" t="s">
        <v>8796</v>
      </c>
      <c r="D115" s="627" t="s">
        <v>8795</v>
      </c>
      <c r="E115" s="767" t="s">
        <v>8798</v>
      </c>
      <c r="F115" s="758">
        <v>409.23</v>
      </c>
      <c r="G115" s="758">
        <v>308.75</v>
      </c>
      <c r="H115" s="758">
        <v>717.98</v>
      </c>
      <c r="I115" s="628">
        <v>80</v>
      </c>
      <c r="J115" s="628">
        <v>1483.85</v>
      </c>
      <c r="K115" s="811">
        <f t="shared" si="2"/>
        <v>1563.85</v>
      </c>
      <c r="L115" s="634">
        <v>1887.62</v>
      </c>
      <c r="M115" s="634">
        <v>1846.63</v>
      </c>
    </row>
    <row r="116" spans="1:13" ht="30" customHeight="1" x14ac:dyDescent="0.25">
      <c r="A116" s="627" t="s">
        <v>8794</v>
      </c>
      <c r="B116" s="627" t="s">
        <v>8793</v>
      </c>
      <c r="C116" s="627" t="s">
        <v>158</v>
      </c>
      <c r="D116" s="627" t="s">
        <v>8792</v>
      </c>
      <c r="E116" s="767" t="s">
        <v>8794</v>
      </c>
      <c r="F116" s="758">
        <v>242.36</v>
      </c>
      <c r="G116" s="758">
        <v>2032.16</v>
      </c>
      <c r="H116" s="758">
        <v>2274.52</v>
      </c>
      <c r="I116" s="628">
        <v>0</v>
      </c>
      <c r="J116" s="628">
        <v>2900.6799999999994</v>
      </c>
      <c r="K116" s="811">
        <f t="shared" si="2"/>
        <v>2900.6799999999994</v>
      </c>
      <c r="L116" s="634">
        <v>3048.14</v>
      </c>
      <c r="M116" s="634">
        <v>3091.62</v>
      </c>
    </row>
    <row r="117" spans="1:13" ht="30" customHeight="1" x14ac:dyDescent="0.25">
      <c r="A117" s="627" t="s">
        <v>8791</v>
      </c>
      <c r="B117" s="627" t="s">
        <v>8790</v>
      </c>
      <c r="C117" s="627" t="s">
        <v>3774</v>
      </c>
      <c r="D117" s="627" t="s">
        <v>8789</v>
      </c>
      <c r="E117" s="767" t="s">
        <v>8791</v>
      </c>
      <c r="F117" s="758">
        <v>415</v>
      </c>
      <c r="G117" s="758">
        <v>214.2</v>
      </c>
      <c r="H117" s="758">
        <v>629.20000000000005</v>
      </c>
      <c r="I117" s="628">
        <v>185</v>
      </c>
      <c r="J117" s="628">
        <v>1229.29</v>
      </c>
      <c r="K117" s="811">
        <f t="shared" ref="K117:K150" si="3">SUM(I117:J117)</f>
        <v>1414.29</v>
      </c>
      <c r="L117" s="634">
        <v>1509.82</v>
      </c>
      <c r="M117" s="634">
        <v>1711.5</v>
      </c>
    </row>
    <row r="118" spans="1:13" ht="30" customHeight="1" x14ac:dyDescent="0.25">
      <c r="A118" s="627" t="s">
        <v>8788</v>
      </c>
      <c r="B118" s="627" t="s">
        <v>8787</v>
      </c>
      <c r="C118" s="627" t="s">
        <v>7188</v>
      </c>
      <c r="D118" s="627" t="s">
        <v>8786</v>
      </c>
      <c r="E118" s="767" t="s">
        <v>8788</v>
      </c>
      <c r="F118" s="758">
        <v>175</v>
      </c>
      <c r="G118" s="758">
        <v>960</v>
      </c>
      <c r="H118" s="758">
        <v>1135</v>
      </c>
      <c r="I118" s="628">
        <v>60</v>
      </c>
      <c r="J118" s="628">
        <v>2300</v>
      </c>
      <c r="K118" s="811">
        <f t="shared" si="3"/>
        <v>2360</v>
      </c>
      <c r="L118" s="634">
        <v>2850</v>
      </c>
      <c r="M118" s="634">
        <v>2928.17</v>
      </c>
    </row>
    <row r="119" spans="1:13" ht="30" customHeight="1" x14ac:dyDescent="0.25">
      <c r="A119" s="627" t="s">
        <v>8785</v>
      </c>
      <c r="B119" s="627" t="s">
        <v>8784</v>
      </c>
      <c r="C119" s="627" t="s">
        <v>3715</v>
      </c>
      <c r="D119" s="627" t="s">
        <v>8783</v>
      </c>
      <c r="E119" s="767" t="s">
        <v>8785</v>
      </c>
      <c r="F119" s="758">
        <v>100</v>
      </c>
      <c r="G119" s="758">
        <v>486.09000000000003</v>
      </c>
      <c r="H119" s="758">
        <v>586.09</v>
      </c>
      <c r="I119" s="628">
        <v>0</v>
      </c>
      <c r="J119" s="628">
        <v>652.58999999999992</v>
      </c>
      <c r="K119" s="811">
        <f t="shared" si="3"/>
        <v>652.58999999999992</v>
      </c>
      <c r="L119" s="634">
        <v>766.02</v>
      </c>
      <c r="M119" s="634">
        <v>858.64</v>
      </c>
    </row>
    <row r="120" spans="1:13" ht="30" customHeight="1" x14ac:dyDescent="0.25">
      <c r="A120" s="627" t="s">
        <v>8782</v>
      </c>
      <c r="B120" s="627" t="s">
        <v>8781</v>
      </c>
      <c r="C120" s="627" t="s">
        <v>2578</v>
      </c>
      <c r="D120" s="627" t="s">
        <v>8780</v>
      </c>
      <c r="E120" s="767" t="s">
        <v>8782</v>
      </c>
      <c r="F120" s="758">
        <v>605.73</v>
      </c>
      <c r="G120" s="758">
        <v>519.79999999999995</v>
      </c>
      <c r="H120" s="758">
        <v>1125.53</v>
      </c>
      <c r="I120" s="628">
        <v>232</v>
      </c>
      <c r="J120" s="628">
        <v>1026.44</v>
      </c>
      <c r="K120" s="811">
        <f t="shared" si="3"/>
        <v>1258.44</v>
      </c>
      <c r="L120" s="634">
        <v>1250.76</v>
      </c>
      <c r="M120" s="634">
        <v>1467.69</v>
      </c>
    </row>
    <row r="121" spans="1:13" ht="30" customHeight="1" x14ac:dyDescent="0.25">
      <c r="A121" s="627" t="s">
        <v>8779</v>
      </c>
      <c r="B121" s="627" t="s">
        <v>8778</v>
      </c>
      <c r="C121" s="627" t="s">
        <v>8777</v>
      </c>
      <c r="D121" s="627" t="s">
        <v>8776</v>
      </c>
      <c r="E121" s="767" t="s">
        <v>8779</v>
      </c>
      <c r="F121" s="758"/>
      <c r="G121" s="758">
        <v>204.8</v>
      </c>
      <c r="H121" s="758">
        <v>204.8</v>
      </c>
      <c r="I121" s="628">
        <v>0</v>
      </c>
      <c r="J121" s="628">
        <v>181.21</v>
      </c>
      <c r="K121" s="811">
        <f t="shared" si="3"/>
        <v>181.21</v>
      </c>
      <c r="L121" s="634">
        <v>203.04</v>
      </c>
      <c r="M121" s="634">
        <v>338</v>
      </c>
    </row>
    <row r="122" spans="1:13" ht="30" customHeight="1" x14ac:dyDescent="0.25">
      <c r="A122" s="627" t="s">
        <v>8775</v>
      </c>
      <c r="B122" s="627" t="s">
        <v>8774</v>
      </c>
      <c r="C122" s="627" t="s">
        <v>198</v>
      </c>
      <c r="D122" s="627" t="s">
        <v>8773</v>
      </c>
      <c r="E122" s="767" t="s">
        <v>8775</v>
      </c>
      <c r="F122" s="758">
        <v>85</v>
      </c>
      <c r="G122" s="758">
        <v>200</v>
      </c>
      <c r="H122" s="758">
        <v>285</v>
      </c>
      <c r="I122" s="628">
        <v>0</v>
      </c>
      <c r="J122" s="628">
        <v>501</v>
      </c>
      <c r="K122" s="811">
        <f t="shared" si="3"/>
        <v>501</v>
      </c>
      <c r="L122" s="634">
        <v>782.09</v>
      </c>
      <c r="M122" s="634">
        <v>710.12</v>
      </c>
    </row>
    <row r="123" spans="1:13" ht="30" customHeight="1" x14ac:dyDescent="0.25">
      <c r="A123" s="627" t="s">
        <v>8772</v>
      </c>
      <c r="B123" s="627" t="s">
        <v>8771</v>
      </c>
      <c r="C123" s="627" t="s">
        <v>1203</v>
      </c>
      <c r="D123" s="627" t="s">
        <v>8770</v>
      </c>
      <c r="E123" s="767" t="s">
        <v>8772</v>
      </c>
      <c r="F123" s="758">
        <v>120</v>
      </c>
      <c r="G123" s="758">
        <v>1097.42</v>
      </c>
      <c r="H123" s="758">
        <v>1217.42</v>
      </c>
      <c r="I123" s="628">
        <v>60</v>
      </c>
      <c r="J123" s="628">
        <v>1693.7099999999998</v>
      </c>
      <c r="K123" s="811">
        <f t="shared" si="3"/>
        <v>1753.7099999999998</v>
      </c>
      <c r="L123" s="634">
        <v>1920.55</v>
      </c>
      <c r="M123" s="634">
        <v>2325.09</v>
      </c>
    </row>
    <row r="124" spans="1:13" ht="30" customHeight="1" x14ac:dyDescent="0.25">
      <c r="A124" s="627" t="s">
        <v>8769</v>
      </c>
      <c r="B124" s="627" t="s">
        <v>8768</v>
      </c>
      <c r="C124" s="627" t="s">
        <v>8767</v>
      </c>
      <c r="D124" s="627" t="s">
        <v>8766</v>
      </c>
      <c r="E124" s="767" t="s">
        <v>8769</v>
      </c>
      <c r="F124" s="758">
        <v>150</v>
      </c>
      <c r="G124" s="758"/>
      <c r="H124" s="758">
        <v>150</v>
      </c>
      <c r="I124" s="628">
        <v>30</v>
      </c>
      <c r="J124" s="628">
        <v>678.27</v>
      </c>
      <c r="K124" s="811">
        <f t="shared" si="3"/>
        <v>708.27</v>
      </c>
      <c r="L124" s="634">
        <v>459.34</v>
      </c>
      <c r="M124" s="634">
        <v>290.96000000000004</v>
      </c>
    </row>
    <row r="125" spans="1:13" ht="30" customHeight="1" x14ac:dyDescent="0.25">
      <c r="A125" s="627" t="s">
        <v>8765</v>
      </c>
      <c r="B125" s="627" t="s">
        <v>8764</v>
      </c>
      <c r="C125" s="627" t="s">
        <v>3774</v>
      </c>
      <c r="D125" s="627" t="s">
        <v>8756</v>
      </c>
      <c r="E125" s="767" t="s">
        <v>8765</v>
      </c>
      <c r="F125" s="758">
        <v>220</v>
      </c>
      <c r="G125" s="758">
        <v>1219.47</v>
      </c>
      <c r="H125" s="758">
        <v>1439.47</v>
      </c>
      <c r="I125" s="628">
        <v>0</v>
      </c>
      <c r="J125" s="628">
        <v>2687.2999999999997</v>
      </c>
      <c r="K125" s="811">
        <f t="shared" si="3"/>
        <v>2687.2999999999997</v>
      </c>
      <c r="L125" s="634">
        <v>3448.89</v>
      </c>
      <c r="M125" s="634">
        <v>1587.97</v>
      </c>
    </row>
    <row r="126" spans="1:13" ht="30" customHeight="1" x14ac:dyDescent="0.25">
      <c r="A126" s="627" t="s">
        <v>8763</v>
      </c>
      <c r="B126" s="627" t="s">
        <v>8762</v>
      </c>
      <c r="C126" s="627" t="s">
        <v>476</v>
      </c>
      <c r="D126" s="627" t="s">
        <v>8756</v>
      </c>
      <c r="E126" s="767" t="s">
        <v>8763</v>
      </c>
      <c r="F126" s="758">
        <v>120</v>
      </c>
      <c r="G126" s="758">
        <v>765</v>
      </c>
      <c r="H126" s="758">
        <v>885</v>
      </c>
      <c r="I126" s="628">
        <v>60</v>
      </c>
      <c r="J126" s="628">
        <v>1947.92</v>
      </c>
      <c r="K126" s="811">
        <f t="shared" si="3"/>
        <v>2007.92</v>
      </c>
      <c r="L126" s="634">
        <v>1411.88</v>
      </c>
      <c r="M126" s="634">
        <v>1759.55</v>
      </c>
    </row>
    <row r="127" spans="1:13" ht="30" customHeight="1" x14ac:dyDescent="0.25">
      <c r="A127" s="627" t="s">
        <v>8761</v>
      </c>
      <c r="B127" s="627" t="s">
        <v>8760</v>
      </c>
      <c r="C127" s="627" t="s">
        <v>8759</v>
      </c>
      <c r="D127" s="627" t="s">
        <v>8756</v>
      </c>
      <c r="E127" s="767" t="s">
        <v>8761</v>
      </c>
      <c r="F127" s="758"/>
      <c r="G127" s="758">
        <v>117.15</v>
      </c>
      <c r="H127" s="758">
        <v>117.15</v>
      </c>
      <c r="I127" s="628">
        <v>0</v>
      </c>
      <c r="J127" s="628">
        <v>262.34000000000003</v>
      </c>
      <c r="K127" s="811">
        <f t="shared" si="3"/>
        <v>262.34000000000003</v>
      </c>
      <c r="L127" s="634">
        <v>273.70999999999998</v>
      </c>
      <c r="M127" s="634">
        <v>162.09</v>
      </c>
    </row>
    <row r="128" spans="1:13" ht="30" customHeight="1" x14ac:dyDescent="0.25">
      <c r="A128" s="627" t="s">
        <v>8758</v>
      </c>
      <c r="B128" s="627" t="s">
        <v>8757</v>
      </c>
      <c r="C128" s="627" t="s">
        <v>8513</v>
      </c>
      <c r="D128" s="627" t="s">
        <v>8756</v>
      </c>
      <c r="E128" s="767" t="s">
        <v>8758</v>
      </c>
      <c r="F128" s="758">
        <v>100</v>
      </c>
      <c r="G128" s="758"/>
      <c r="H128" s="758">
        <v>100</v>
      </c>
      <c r="I128" s="628">
        <v>50</v>
      </c>
      <c r="J128" s="628">
        <v>666</v>
      </c>
      <c r="K128" s="811">
        <f t="shared" si="3"/>
        <v>716</v>
      </c>
      <c r="L128" s="634">
        <v>80</v>
      </c>
      <c r="M128" s="634">
        <v>673.46</v>
      </c>
    </row>
    <row r="129" spans="1:13" ht="30" customHeight="1" x14ac:dyDescent="0.25">
      <c r="A129" s="627" t="s">
        <v>8755</v>
      </c>
      <c r="B129" s="627" t="s">
        <v>8754</v>
      </c>
      <c r="C129" s="627" t="s">
        <v>532</v>
      </c>
      <c r="D129" s="627" t="s">
        <v>8753</v>
      </c>
      <c r="E129" s="767" t="s">
        <v>8755</v>
      </c>
      <c r="F129" s="758">
        <v>526.40000000000009</v>
      </c>
      <c r="G129" s="758">
        <v>1228.58</v>
      </c>
      <c r="H129" s="758">
        <v>1754.98</v>
      </c>
      <c r="I129" s="628">
        <v>60</v>
      </c>
      <c r="J129" s="628">
        <v>1871.2700000000002</v>
      </c>
      <c r="K129" s="811">
        <f t="shared" si="3"/>
        <v>1931.2700000000002</v>
      </c>
      <c r="L129" s="634">
        <v>2046.63</v>
      </c>
      <c r="M129" s="634">
        <v>2234.61</v>
      </c>
    </row>
    <row r="130" spans="1:13" ht="30" customHeight="1" x14ac:dyDescent="0.25">
      <c r="A130" s="627" t="s">
        <v>8752</v>
      </c>
      <c r="B130" s="627" t="s">
        <v>8751</v>
      </c>
      <c r="C130" s="627" t="s">
        <v>8750</v>
      </c>
      <c r="D130" s="627" t="s">
        <v>8749</v>
      </c>
      <c r="E130" s="767" t="s">
        <v>8752</v>
      </c>
      <c r="F130" s="758">
        <v>60</v>
      </c>
      <c r="G130" s="758">
        <v>433</v>
      </c>
      <c r="H130" s="758">
        <v>493</v>
      </c>
      <c r="I130" s="628">
        <v>30</v>
      </c>
      <c r="J130" s="628">
        <v>837</v>
      </c>
      <c r="K130" s="811">
        <f t="shared" si="3"/>
        <v>867</v>
      </c>
      <c r="L130" s="634">
        <v>718</v>
      </c>
      <c r="M130" s="634">
        <v>703</v>
      </c>
    </row>
    <row r="131" spans="1:13" ht="30" customHeight="1" x14ac:dyDescent="0.25">
      <c r="A131" s="627" t="s">
        <v>8748</v>
      </c>
      <c r="B131" s="627" t="s">
        <v>8747</v>
      </c>
      <c r="C131" s="627" t="s">
        <v>226</v>
      </c>
      <c r="D131" s="627" t="s">
        <v>8735</v>
      </c>
      <c r="E131" s="767" t="s">
        <v>8748</v>
      </c>
      <c r="F131" s="758">
        <v>142</v>
      </c>
      <c r="G131" s="758">
        <v>455</v>
      </c>
      <c r="H131" s="758">
        <v>597</v>
      </c>
      <c r="I131" s="628">
        <v>66</v>
      </c>
      <c r="J131" s="628">
        <v>950</v>
      </c>
      <c r="K131" s="811">
        <f t="shared" si="3"/>
        <v>1016</v>
      </c>
      <c r="L131" s="634">
        <v>591</v>
      </c>
      <c r="M131" s="634">
        <v>808</v>
      </c>
    </row>
    <row r="132" spans="1:13" ht="30" customHeight="1" x14ac:dyDescent="0.25">
      <c r="A132" s="627" t="s">
        <v>8746</v>
      </c>
      <c r="B132" s="627" t="s">
        <v>8745</v>
      </c>
      <c r="C132" s="627" t="s">
        <v>3774</v>
      </c>
      <c r="D132" s="627" t="s">
        <v>8735</v>
      </c>
      <c r="E132" s="767" t="s">
        <v>8746</v>
      </c>
      <c r="F132" s="758">
        <v>304</v>
      </c>
      <c r="G132" s="758">
        <v>963.25</v>
      </c>
      <c r="H132" s="758">
        <v>1267.25</v>
      </c>
      <c r="I132" s="628">
        <v>70</v>
      </c>
      <c r="J132" s="628">
        <v>1717.66</v>
      </c>
      <c r="K132" s="811">
        <f t="shared" si="3"/>
        <v>1787.66</v>
      </c>
      <c r="L132" s="634">
        <v>1777.5</v>
      </c>
      <c r="M132" s="634">
        <v>2017.53</v>
      </c>
    </row>
    <row r="133" spans="1:13" ht="30" customHeight="1" x14ac:dyDescent="0.25">
      <c r="A133" s="627" t="s">
        <v>8744</v>
      </c>
      <c r="B133" s="627" t="s">
        <v>8743</v>
      </c>
      <c r="C133" s="627" t="s">
        <v>5390</v>
      </c>
      <c r="D133" s="627" t="s">
        <v>8735</v>
      </c>
      <c r="E133" s="767" t="s">
        <v>8744</v>
      </c>
      <c r="F133" s="758">
        <v>493</v>
      </c>
      <c r="G133" s="758">
        <v>337.7</v>
      </c>
      <c r="H133" s="758">
        <v>830.7</v>
      </c>
      <c r="I133" s="628">
        <v>394</v>
      </c>
      <c r="J133" s="628">
        <v>958.12</v>
      </c>
      <c r="K133" s="811">
        <f t="shared" si="3"/>
        <v>1352.12</v>
      </c>
      <c r="L133" s="634">
        <v>1084.3499999999999</v>
      </c>
      <c r="M133" s="634">
        <v>1288.4299999999998</v>
      </c>
    </row>
    <row r="134" spans="1:13" ht="30" customHeight="1" x14ac:dyDescent="0.25">
      <c r="A134" s="627" t="s">
        <v>8742</v>
      </c>
      <c r="B134" s="627" t="s">
        <v>8741</v>
      </c>
      <c r="C134" s="627" t="s">
        <v>532</v>
      </c>
      <c r="D134" s="627" t="s">
        <v>8735</v>
      </c>
      <c r="E134" s="767" t="s">
        <v>8742</v>
      </c>
      <c r="F134" s="758">
        <v>140</v>
      </c>
      <c r="G134" s="758">
        <v>568.06999999999994</v>
      </c>
      <c r="H134" s="758">
        <v>708.06999999999994</v>
      </c>
      <c r="I134" s="628">
        <v>120</v>
      </c>
      <c r="J134" s="628">
        <v>3007.36</v>
      </c>
      <c r="K134" s="811">
        <f t="shared" si="3"/>
        <v>3127.36</v>
      </c>
      <c r="L134" s="634">
        <v>2945.9</v>
      </c>
      <c r="M134" s="634">
        <v>3547.42</v>
      </c>
    </row>
    <row r="135" spans="1:13" ht="30" customHeight="1" x14ac:dyDescent="0.25">
      <c r="A135" s="627" t="s">
        <v>8740</v>
      </c>
      <c r="B135" s="627" t="s">
        <v>8739</v>
      </c>
      <c r="C135" s="627" t="s">
        <v>8738</v>
      </c>
      <c r="D135" s="627" t="s">
        <v>8735</v>
      </c>
      <c r="E135" s="767" t="s">
        <v>8740</v>
      </c>
      <c r="F135" s="758">
        <v>60</v>
      </c>
      <c r="G135" s="758"/>
      <c r="H135" s="758">
        <v>60</v>
      </c>
      <c r="I135" s="628">
        <v>30</v>
      </c>
      <c r="J135" s="628">
        <v>1630.91</v>
      </c>
      <c r="K135" s="811">
        <f t="shared" si="3"/>
        <v>1660.91</v>
      </c>
      <c r="L135" s="634">
        <v>1408.08</v>
      </c>
      <c r="M135" s="634">
        <v>1117.51</v>
      </c>
    </row>
    <row r="136" spans="1:13" ht="30" customHeight="1" x14ac:dyDescent="0.25">
      <c r="A136" s="627" t="s">
        <v>8737</v>
      </c>
      <c r="B136" s="627" t="s">
        <v>8736</v>
      </c>
      <c r="C136" s="627" t="s">
        <v>158</v>
      </c>
      <c r="D136" s="627" t="s">
        <v>8735</v>
      </c>
      <c r="E136" s="767" t="s">
        <v>8737</v>
      </c>
      <c r="F136" s="758">
        <v>1665</v>
      </c>
      <c r="G136" s="758">
        <v>223.57</v>
      </c>
      <c r="H136" s="758">
        <v>1888.57</v>
      </c>
      <c r="I136" s="628">
        <v>225</v>
      </c>
      <c r="J136" s="628">
        <v>3524.8999999999996</v>
      </c>
      <c r="K136" s="811">
        <f t="shared" si="3"/>
        <v>3749.8999999999996</v>
      </c>
      <c r="L136" s="634">
        <v>3432.85</v>
      </c>
      <c r="M136" s="634">
        <v>2995.81</v>
      </c>
    </row>
    <row r="137" spans="1:13" ht="30" customHeight="1" x14ac:dyDescent="0.25">
      <c r="A137" s="627" t="s">
        <v>8734</v>
      </c>
      <c r="B137" s="627" t="s">
        <v>8733</v>
      </c>
      <c r="C137" s="627" t="s">
        <v>226</v>
      </c>
      <c r="D137" s="627" t="s">
        <v>8714</v>
      </c>
      <c r="E137" s="767" t="s">
        <v>8734</v>
      </c>
      <c r="F137" s="758">
        <v>250</v>
      </c>
      <c r="G137" s="758"/>
      <c r="H137" s="758">
        <v>250</v>
      </c>
      <c r="I137" s="628">
        <v>140</v>
      </c>
      <c r="J137" s="628">
        <v>140</v>
      </c>
      <c r="K137" s="811">
        <f t="shared" si="3"/>
        <v>280</v>
      </c>
      <c r="L137" s="634">
        <v>230</v>
      </c>
      <c r="M137" s="634">
        <v>376.63</v>
      </c>
    </row>
    <row r="138" spans="1:13" ht="30" customHeight="1" x14ac:dyDescent="0.25">
      <c r="A138" s="627" t="s">
        <v>8732</v>
      </c>
      <c r="B138" s="627" t="s">
        <v>8731</v>
      </c>
      <c r="C138" s="627" t="s">
        <v>8730</v>
      </c>
      <c r="D138" s="627" t="s">
        <v>8714</v>
      </c>
      <c r="E138" s="767" t="s">
        <v>8732</v>
      </c>
      <c r="F138" s="758">
        <v>21</v>
      </c>
      <c r="G138" s="758">
        <v>187.56</v>
      </c>
      <c r="H138" s="758">
        <v>208.56</v>
      </c>
      <c r="I138" s="628">
        <v>0</v>
      </c>
      <c r="J138" s="628">
        <v>816.07999999999993</v>
      </c>
      <c r="K138" s="811">
        <f t="shared" si="3"/>
        <v>816.07999999999993</v>
      </c>
      <c r="L138" s="634">
        <v>1198.06</v>
      </c>
      <c r="M138" s="634">
        <v>733.14</v>
      </c>
    </row>
    <row r="139" spans="1:13" ht="30" customHeight="1" x14ac:dyDescent="0.25">
      <c r="A139" s="627" t="s">
        <v>8729</v>
      </c>
      <c r="B139" s="627" t="s">
        <v>8728</v>
      </c>
      <c r="C139" s="627" t="s">
        <v>7837</v>
      </c>
      <c r="D139" s="627" t="s">
        <v>8714</v>
      </c>
      <c r="E139" s="767" t="s">
        <v>8729</v>
      </c>
      <c r="F139" s="758">
        <v>960</v>
      </c>
      <c r="G139" s="758">
        <v>591</v>
      </c>
      <c r="H139" s="758">
        <v>1551</v>
      </c>
      <c r="I139" s="628">
        <v>360</v>
      </c>
      <c r="J139" s="628">
        <v>2157</v>
      </c>
      <c r="K139" s="811">
        <f t="shared" si="3"/>
        <v>2517</v>
      </c>
      <c r="L139" s="634">
        <v>2795</v>
      </c>
      <c r="M139" s="634">
        <v>2866</v>
      </c>
    </row>
    <row r="140" spans="1:13" ht="30" customHeight="1" x14ac:dyDescent="0.25">
      <c r="A140" s="627" t="s">
        <v>8727</v>
      </c>
      <c r="B140" s="627" t="s">
        <v>8726</v>
      </c>
      <c r="C140" s="627" t="s">
        <v>8725</v>
      </c>
      <c r="D140" s="627" t="s">
        <v>8714</v>
      </c>
      <c r="E140" s="767" t="s">
        <v>8727</v>
      </c>
      <c r="F140" s="758">
        <v>65</v>
      </c>
      <c r="G140" s="758">
        <v>361.47</v>
      </c>
      <c r="H140" s="758">
        <v>426.47</v>
      </c>
      <c r="I140" s="628">
        <v>30</v>
      </c>
      <c r="J140" s="628">
        <v>1143.1299999999999</v>
      </c>
      <c r="K140" s="811">
        <f t="shared" si="3"/>
        <v>1173.1299999999999</v>
      </c>
      <c r="L140" s="634">
        <v>1965.33</v>
      </c>
      <c r="M140" s="634">
        <v>1731.22</v>
      </c>
    </row>
    <row r="141" spans="1:13" ht="30" customHeight="1" x14ac:dyDescent="0.25">
      <c r="A141" s="627" t="s">
        <v>8724</v>
      </c>
      <c r="B141" s="627" t="s">
        <v>8723</v>
      </c>
      <c r="C141" s="627" t="s">
        <v>7829</v>
      </c>
      <c r="D141" s="627" t="s">
        <v>8714</v>
      </c>
      <c r="E141" s="767" t="s">
        <v>8724</v>
      </c>
      <c r="F141" s="758">
        <v>320</v>
      </c>
      <c r="G141" s="758">
        <v>178.75</v>
      </c>
      <c r="H141" s="758">
        <v>498.75</v>
      </c>
      <c r="I141" s="628">
        <v>100</v>
      </c>
      <c r="J141" s="628">
        <v>686.36</v>
      </c>
      <c r="K141" s="811">
        <f t="shared" si="3"/>
        <v>786.36</v>
      </c>
      <c r="L141" s="634">
        <v>789.77</v>
      </c>
      <c r="M141" s="634">
        <v>1219.5</v>
      </c>
    </row>
    <row r="142" spans="1:13" ht="30" customHeight="1" x14ac:dyDescent="0.25">
      <c r="A142" s="627" t="s">
        <v>11323</v>
      </c>
      <c r="B142" s="810">
        <v>2692</v>
      </c>
      <c r="C142" s="627" t="s">
        <v>11327</v>
      </c>
      <c r="D142" s="627" t="s">
        <v>8714</v>
      </c>
      <c r="E142" s="767" t="s">
        <v>11323</v>
      </c>
      <c r="F142" s="758">
        <v>40</v>
      </c>
      <c r="G142" s="758"/>
      <c r="H142" s="758">
        <v>40</v>
      </c>
      <c r="I142" s="628"/>
      <c r="J142" s="628"/>
      <c r="K142" s="811"/>
      <c r="L142" s="634"/>
      <c r="M142" s="634"/>
    </row>
    <row r="143" spans="1:13" ht="30" customHeight="1" x14ac:dyDescent="0.25">
      <c r="A143" s="627" t="s">
        <v>11324</v>
      </c>
      <c r="B143" s="810">
        <v>2693</v>
      </c>
      <c r="C143" s="627" t="s">
        <v>11328</v>
      </c>
      <c r="D143" s="627" t="s">
        <v>8714</v>
      </c>
      <c r="E143" s="767" t="s">
        <v>11324</v>
      </c>
      <c r="F143" s="758">
        <v>20</v>
      </c>
      <c r="G143" s="758"/>
      <c r="H143" s="758">
        <v>20</v>
      </c>
      <c r="I143" s="628"/>
      <c r="J143" s="628"/>
      <c r="K143" s="811"/>
      <c r="L143" s="634"/>
      <c r="M143" s="634"/>
    </row>
    <row r="144" spans="1:13" ht="30" customHeight="1" x14ac:dyDescent="0.25">
      <c r="A144" s="627" t="s">
        <v>8722</v>
      </c>
      <c r="B144" s="627" t="s">
        <v>8721</v>
      </c>
      <c r="C144" s="627" t="s">
        <v>8720</v>
      </c>
      <c r="D144" s="627" t="s">
        <v>8714</v>
      </c>
      <c r="E144" s="767" t="s">
        <v>8722</v>
      </c>
      <c r="F144" s="758">
        <v>566.56999999999994</v>
      </c>
      <c r="G144" s="758">
        <v>436.63</v>
      </c>
      <c r="H144" s="758">
        <v>1003.1999999999999</v>
      </c>
      <c r="I144" s="628">
        <v>521.39</v>
      </c>
      <c r="J144" s="628">
        <v>720.7700000000001</v>
      </c>
      <c r="K144" s="811">
        <f t="shared" si="3"/>
        <v>1242.1600000000001</v>
      </c>
      <c r="L144" s="634">
        <v>875.1</v>
      </c>
      <c r="M144" s="634">
        <v>1066.8499999999999</v>
      </c>
    </row>
    <row r="145" spans="1:13" ht="30" customHeight="1" x14ac:dyDescent="0.25">
      <c r="A145" s="627" t="s">
        <v>8719</v>
      </c>
      <c r="B145" s="627" t="s">
        <v>8718</v>
      </c>
      <c r="C145" s="627" t="s">
        <v>532</v>
      </c>
      <c r="D145" s="627" t="s">
        <v>8714</v>
      </c>
      <c r="E145" s="767" t="s">
        <v>8719</v>
      </c>
      <c r="F145" s="758">
        <v>549</v>
      </c>
      <c r="G145" s="758">
        <v>1055.3499999999999</v>
      </c>
      <c r="H145" s="758">
        <v>1604.35</v>
      </c>
      <c r="I145" s="628">
        <v>76</v>
      </c>
      <c r="J145" s="628">
        <v>2731.67</v>
      </c>
      <c r="K145" s="811">
        <f t="shared" si="3"/>
        <v>2807.67</v>
      </c>
      <c r="L145" s="634">
        <v>3902.95</v>
      </c>
      <c r="M145" s="634">
        <v>4360.47</v>
      </c>
    </row>
    <row r="146" spans="1:13" ht="30" customHeight="1" x14ac:dyDescent="0.25">
      <c r="A146" s="627" t="s">
        <v>8717</v>
      </c>
      <c r="B146" s="627" t="s">
        <v>8716</v>
      </c>
      <c r="C146" s="627" t="s">
        <v>8715</v>
      </c>
      <c r="D146" s="627" t="s">
        <v>8714</v>
      </c>
      <c r="E146" s="767" t="s">
        <v>8717</v>
      </c>
      <c r="F146" s="758">
        <v>12</v>
      </c>
      <c r="G146" s="758"/>
      <c r="H146" s="758">
        <v>12</v>
      </c>
      <c r="I146" s="628">
        <v>5</v>
      </c>
      <c r="J146" s="628">
        <v>446.37999999999988</v>
      </c>
      <c r="K146" s="811">
        <f t="shared" si="3"/>
        <v>451.37999999999988</v>
      </c>
      <c r="L146" s="634">
        <v>629.79</v>
      </c>
      <c r="M146" s="634">
        <v>596.11</v>
      </c>
    </row>
    <row r="147" spans="1:13" ht="30" customHeight="1" x14ac:dyDescent="0.25">
      <c r="A147" s="627" t="s">
        <v>8713</v>
      </c>
      <c r="B147" s="627" t="s">
        <v>8712</v>
      </c>
      <c r="C147" s="627" t="s">
        <v>8711</v>
      </c>
      <c r="D147" s="627" t="s">
        <v>8710</v>
      </c>
      <c r="E147" s="767" t="s">
        <v>8713</v>
      </c>
      <c r="F147" s="758"/>
      <c r="G147" s="758">
        <v>3405</v>
      </c>
      <c r="H147" s="758">
        <v>3405</v>
      </c>
      <c r="I147" s="628">
        <v>0</v>
      </c>
      <c r="J147" s="628">
        <v>2425</v>
      </c>
      <c r="K147" s="811">
        <f t="shared" si="3"/>
        <v>2425</v>
      </c>
      <c r="L147" s="634">
        <v>2822</v>
      </c>
      <c r="M147" s="634">
        <v>1266</v>
      </c>
    </row>
    <row r="148" spans="1:13" ht="30" customHeight="1" x14ac:dyDescent="0.25">
      <c r="A148" s="627" t="s">
        <v>8709</v>
      </c>
      <c r="B148" s="627" t="s">
        <v>8708</v>
      </c>
      <c r="C148" s="627" t="s">
        <v>5390</v>
      </c>
      <c r="D148" s="627" t="s">
        <v>8707</v>
      </c>
      <c r="E148" s="767" t="s">
        <v>8709</v>
      </c>
      <c r="F148" s="758">
        <v>150</v>
      </c>
      <c r="G148" s="758">
        <v>345</v>
      </c>
      <c r="H148" s="758">
        <v>495</v>
      </c>
      <c r="I148" s="628">
        <v>80</v>
      </c>
      <c r="J148" s="628">
        <v>427</v>
      </c>
      <c r="K148" s="811">
        <f t="shared" si="3"/>
        <v>507</v>
      </c>
      <c r="L148" s="634">
        <v>680</v>
      </c>
      <c r="M148" s="634">
        <v>961</v>
      </c>
    </row>
    <row r="149" spans="1:13" ht="30" customHeight="1" x14ac:dyDescent="0.25">
      <c r="A149" s="627" t="s">
        <v>8706</v>
      </c>
      <c r="B149" s="627" t="s">
        <v>8705</v>
      </c>
      <c r="C149" s="627" t="s">
        <v>1871</v>
      </c>
      <c r="D149" s="627" t="s">
        <v>8704</v>
      </c>
      <c r="E149" s="767" t="s">
        <v>8706</v>
      </c>
      <c r="F149" s="758"/>
      <c r="G149" s="758">
        <v>106.8</v>
      </c>
      <c r="H149" s="758">
        <v>106.8</v>
      </c>
      <c r="I149" s="628">
        <v>0</v>
      </c>
      <c r="J149" s="628">
        <v>141.5</v>
      </c>
      <c r="K149" s="811">
        <f t="shared" si="3"/>
        <v>141.5</v>
      </c>
      <c r="L149" s="634">
        <v>168.3</v>
      </c>
      <c r="M149" s="634">
        <v>222.58</v>
      </c>
    </row>
    <row r="150" spans="1:13" ht="30" customHeight="1" x14ac:dyDescent="0.25">
      <c r="A150" s="627" t="s">
        <v>8703</v>
      </c>
      <c r="B150" s="627" t="s">
        <v>8702</v>
      </c>
      <c r="C150" s="627" t="s">
        <v>8701</v>
      </c>
      <c r="D150" s="627" t="s">
        <v>8700</v>
      </c>
      <c r="E150" s="767" t="s">
        <v>8703</v>
      </c>
      <c r="F150" s="758">
        <v>240</v>
      </c>
      <c r="G150" s="758">
        <v>44</v>
      </c>
      <c r="H150" s="758">
        <v>284</v>
      </c>
      <c r="I150" s="628">
        <v>130</v>
      </c>
      <c r="J150" s="628">
        <v>224.68</v>
      </c>
      <c r="K150" s="811">
        <f t="shared" si="3"/>
        <v>354.68</v>
      </c>
      <c r="L150" s="634">
        <v>616.32999999999993</v>
      </c>
      <c r="M150" s="634">
        <v>336</v>
      </c>
    </row>
    <row r="151" spans="1:13" ht="30" customHeight="1" x14ac:dyDescent="0.25">
      <c r="A151" s="627" t="s">
        <v>8699</v>
      </c>
      <c r="B151" s="627" t="s">
        <v>8698</v>
      </c>
      <c r="C151" s="627" t="s">
        <v>8697</v>
      </c>
      <c r="D151" s="627" t="s">
        <v>8696</v>
      </c>
      <c r="E151" s="767" t="s">
        <v>8699</v>
      </c>
      <c r="F151" s="758">
        <v>45</v>
      </c>
      <c r="G151" s="758">
        <v>501.15</v>
      </c>
      <c r="H151" s="758">
        <v>546.15</v>
      </c>
      <c r="I151" s="628">
        <v>20</v>
      </c>
      <c r="J151" s="628">
        <v>2084.77</v>
      </c>
      <c r="K151" s="811">
        <f t="shared" ref="K151:K164" si="4">SUM(I151:J151)</f>
        <v>2104.77</v>
      </c>
      <c r="L151" s="634">
        <v>1896.65</v>
      </c>
      <c r="M151" s="634">
        <v>2014.9</v>
      </c>
    </row>
    <row r="152" spans="1:13" ht="30" customHeight="1" x14ac:dyDescent="0.25">
      <c r="A152" s="627" t="s">
        <v>8695</v>
      </c>
      <c r="B152" s="627" t="s">
        <v>8694</v>
      </c>
      <c r="C152" s="627" t="s">
        <v>8693</v>
      </c>
      <c r="D152" s="627" t="s">
        <v>8692</v>
      </c>
      <c r="E152" s="767" t="s">
        <v>8695</v>
      </c>
      <c r="F152" s="758">
        <v>315.70999999999998</v>
      </c>
      <c r="G152" s="758">
        <v>1397.8899999999999</v>
      </c>
      <c r="H152" s="758">
        <v>1713.6</v>
      </c>
      <c r="I152" s="628">
        <v>40</v>
      </c>
      <c r="J152" s="628">
        <v>3138.87</v>
      </c>
      <c r="K152" s="811">
        <f t="shared" si="4"/>
        <v>3178.87</v>
      </c>
      <c r="L152" s="634">
        <v>3470.17</v>
      </c>
      <c r="M152" s="634">
        <v>3685.56</v>
      </c>
    </row>
    <row r="153" spans="1:13" ht="30" customHeight="1" x14ac:dyDescent="0.25">
      <c r="A153" s="627" t="s">
        <v>8691</v>
      </c>
      <c r="B153" s="627" t="s">
        <v>8690</v>
      </c>
      <c r="C153" s="627" t="s">
        <v>532</v>
      </c>
      <c r="D153" s="627" t="s">
        <v>8689</v>
      </c>
      <c r="E153" s="767" t="s">
        <v>8691</v>
      </c>
      <c r="F153" s="758"/>
      <c r="G153" s="758">
        <v>232.1</v>
      </c>
      <c r="H153" s="758">
        <v>232.1</v>
      </c>
      <c r="I153" s="628">
        <v>0</v>
      </c>
      <c r="J153" s="628">
        <v>404.49</v>
      </c>
      <c r="K153" s="811">
        <f t="shared" si="4"/>
        <v>404.49</v>
      </c>
      <c r="L153" s="634">
        <v>579.55999999999995</v>
      </c>
      <c r="M153" s="634">
        <v>756</v>
      </c>
    </row>
    <row r="154" spans="1:13" ht="30" customHeight="1" x14ac:dyDescent="0.25">
      <c r="A154" s="627" t="s">
        <v>8688</v>
      </c>
      <c r="B154" s="627" t="s">
        <v>8687</v>
      </c>
      <c r="C154" s="627" t="s">
        <v>8686</v>
      </c>
      <c r="D154" s="627" t="s">
        <v>8642</v>
      </c>
      <c r="E154" s="767" t="s">
        <v>8688</v>
      </c>
      <c r="F154" s="758">
        <v>363.5</v>
      </c>
      <c r="G154" s="758">
        <v>717.32999999999993</v>
      </c>
      <c r="H154" s="758">
        <v>1080.83</v>
      </c>
      <c r="I154" s="628">
        <v>85</v>
      </c>
      <c r="J154" s="628">
        <v>2415.81</v>
      </c>
      <c r="K154" s="811">
        <f t="shared" si="4"/>
        <v>2500.81</v>
      </c>
      <c r="L154" s="634">
        <v>2455.83</v>
      </c>
      <c r="M154" s="634">
        <v>2158.08</v>
      </c>
    </row>
    <row r="155" spans="1:13" ht="30" customHeight="1" x14ac:dyDescent="0.25">
      <c r="A155" s="627" t="s">
        <v>8685</v>
      </c>
      <c r="B155" s="627" t="s">
        <v>8684</v>
      </c>
      <c r="C155" s="627" t="s">
        <v>2896</v>
      </c>
      <c r="D155" s="627" t="s">
        <v>8642</v>
      </c>
      <c r="E155" s="767" t="s">
        <v>8685</v>
      </c>
      <c r="F155" s="758">
        <v>120</v>
      </c>
      <c r="G155" s="758"/>
      <c r="H155" s="758">
        <v>120</v>
      </c>
      <c r="I155" s="628">
        <v>40</v>
      </c>
      <c r="J155" s="628">
        <v>657</v>
      </c>
      <c r="K155" s="811">
        <f t="shared" si="4"/>
        <v>697</v>
      </c>
      <c r="L155" s="634">
        <v>882</v>
      </c>
      <c r="M155" s="634">
        <v>1042</v>
      </c>
    </row>
    <row r="156" spans="1:13" ht="30" customHeight="1" x14ac:dyDescent="0.25">
      <c r="A156" s="627" t="s">
        <v>8683</v>
      </c>
      <c r="B156" s="627" t="s">
        <v>8682</v>
      </c>
      <c r="C156" s="627" t="s">
        <v>8681</v>
      </c>
      <c r="D156" s="627" t="s">
        <v>8674</v>
      </c>
      <c r="E156" s="767" t="s">
        <v>8683</v>
      </c>
      <c r="F156" s="758">
        <v>430</v>
      </c>
      <c r="G156" s="758">
        <v>870.24</v>
      </c>
      <c r="H156" s="758">
        <v>1300.24</v>
      </c>
      <c r="I156" s="628">
        <v>265</v>
      </c>
      <c r="J156" s="628">
        <v>3206.7999999999997</v>
      </c>
      <c r="K156" s="811">
        <f t="shared" si="4"/>
        <v>3471.7999999999997</v>
      </c>
      <c r="L156" s="634">
        <v>3269.29</v>
      </c>
      <c r="M156" s="634">
        <v>3667.65</v>
      </c>
    </row>
    <row r="157" spans="1:13" ht="30" customHeight="1" x14ac:dyDescent="0.25">
      <c r="A157" s="627" t="s">
        <v>8680</v>
      </c>
      <c r="B157" s="627" t="s">
        <v>8679</v>
      </c>
      <c r="C157" s="627" t="s">
        <v>8678</v>
      </c>
      <c r="D157" s="627" t="s">
        <v>8674</v>
      </c>
      <c r="E157" s="767" t="s">
        <v>8680</v>
      </c>
      <c r="F157" s="758">
        <v>685</v>
      </c>
      <c r="G157" s="758">
        <v>739.16</v>
      </c>
      <c r="H157" s="758">
        <v>1424.1599999999999</v>
      </c>
      <c r="I157" s="628">
        <v>0</v>
      </c>
      <c r="J157" s="628">
        <v>1850.7599999999998</v>
      </c>
      <c r="K157" s="811">
        <f t="shared" si="4"/>
        <v>1850.7599999999998</v>
      </c>
      <c r="L157" s="634">
        <v>1744.19</v>
      </c>
      <c r="M157" s="634">
        <v>2260.35</v>
      </c>
    </row>
    <row r="158" spans="1:13" ht="30" customHeight="1" x14ac:dyDescent="0.25">
      <c r="A158" s="627" t="s">
        <v>8677</v>
      </c>
      <c r="B158" s="627" t="s">
        <v>8676</v>
      </c>
      <c r="C158" s="627" t="s">
        <v>8675</v>
      </c>
      <c r="D158" s="627" t="s">
        <v>8674</v>
      </c>
      <c r="E158" s="767" t="s">
        <v>8677</v>
      </c>
      <c r="F158" s="758">
        <v>328</v>
      </c>
      <c r="G158" s="758">
        <v>603.79</v>
      </c>
      <c r="H158" s="758">
        <v>931.79</v>
      </c>
      <c r="I158" s="628">
        <v>54</v>
      </c>
      <c r="J158" s="628">
        <v>1292.6300000000001</v>
      </c>
      <c r="K158" s="811">
        <f t="shared" si="4"/>
        <v>1346.63</v>
      </c>
      <c r="L158" s="634">
        <v>1214.22</v>
      </c>
      <c r="M158" s="634">
        <v>1946.11</v>
      </c>
    </row>
    <row r="159" spans="1:13" ht="30" customHeight="1" x14ac:dyDescent="0.25">
      <c r="A159" s="627" t="s">
        <v>8673</v>
      </c>
      <c r="B159" s="627" t="s">
        <v>8672</v>
      </c>
      <c r="C159" s="627" t="s">
        <v>270</v>
      </c>
      <c r="D159" s="627" t="s">
        <v>8671</v>
      </c>
      <c r="E159" s="767" t="s">
        <v>8673</v>
      </c>
      <c r="F159" s="758">
        <v>1624.18</v>
      </c>
      <c r="G159" s="758">
        <v>443.53000000000009</v>
      </c>
      <c r="H159" s="758">
        <v>2067.71</v>
      </c>
      <c r="I159" s="628">
        <v>207</v>
      </c>
      <c r="J159" s="628">
        <v>2102.59</v>
      </c>
      <c r="K159" s="811">
        <f t="shared" si="4"/>
        <v>2309.59</v>
      </c>
      <c r="L159" s="634">
        <v>2441.71</v>
      </c>
      <c r="M159" s="634">
        <v>2234.13</v>
      </c>
    </row>
    <row r="160" spans="1:13" ht="30" customHeight="1" x14ac:dyDescent="0.25">
      <c r="A160" s="627" t="s">
        <v>8670</v>
      </c>
      <c r="B160" s="627" t="s">
        <v>8669</v>
      </c>
      <c r="C160" s="627" t="s">
        <v>7584</v>
      </c>
      <c r="D160" s="627" t="s">
        <v>8668</v>
      </c>
      <c r="E160" s="767" t="s">
        <v>8670</v>
      </c>
      <c r="F160" s="758">
        <v>288</v>
      </c>
      <c r="G160" s="758">
        <v>160</v>
      </c>
      <c r="H160" s="758">
        <v>448</v>
      </c>
      <c r="I160" s="628">
        <v>164</v>
      </c>
      <c r="J160" s="628">
        <v>731.4</v>
      </c>
      <c r="K160" s="811">
        <f t="shared" si="4"/>
        <v>895.4</v>
      </c>
      <c r="L160" s="634">
        <v>1155.05</v>
      </c>
      <c r="M160" s="634">
        <v>959.75</v>
      </c>
    </row>
    <row r="161" spans="1:15" ht="30" customHeight="1" x14ac:dyDescent="0.25">
      <c r="A161" s="627" t="s">
        <v>8667</v>
      </c>
      <c r="B161" s="627" t="s">
        <v>8666</v>
      </c>
      <c r="C161" s="627" t="s">
        <v>8665</v>
      </c>
      <c r="D161" s="627" t="s">
        <v>8664</v>
      </c>
      <c r="E161" s="767" t="s">
        <v>8667</v>
      </c>
      <c r="F161" s="758">
        <v>65</v>
      </c>
      <c r="G161" s="758">
        <v>49</v>
      </c>
      <c r="H161" s="758">
        <v>114</v>
      </c>
      <c r="I161" s="628">
        <v>40</v>
      </c>
      <c r="J161" s="628">
        <v>676.90000000000009</v>
      </c>
      <c r="K161" s="811">
        <f t="shared" si="4"/>
        <v>716.90000000000009</v>
      </c>
      <c r="L161" s="634">
        <v>752.7</v>
      </c>
      <c r="M161" s="634">
        <v>938.1</v>
      </c>
    </row>
    <row r="162" spans="1:15" ht="30" customHeight="1" x14ac:dyDescent="0.25">
      <c r="A162" s="627" t="s">
        <v>8663</v>
      </c>
      <c r="B162" s="627" t="s">
        <v>8662</v>
      </c>
      <c r="C162" s="627" t="s">
        <v>8661</v>
      </c>
      <c r="D162" s="627" t="s">
        <v>8660</v>
      </c>
      <c r="E162" s="767" t="s">
        <v>8663</v>
      </c>
      <c r="F162" s="758">
        <v>425.9</v>
      </c>
      <c r="G162" s="758">
        <v>-155.9</v>
      </c>
      <c r="H162" s="758">
        <v>270</v>
      </c>
      <c r="I162" s="628">
        <v>120</v>
      </c>
      <c r="J162" s="628">
        <v>60</v>
      </c>
      <c r="K162" s="811">
        <f t="shared" si="4"/>
        <v>180</v>
      </c>
      <c r="L162" s="634">
        <v>3541.22</v>
      </c>
      <c r="M162" s="634">
        <v>3684.9</v>
      </c>
    </row>
    <row r="163" spans="1:15" ht="30" customHeight="1" x14ac:dyDescent="0.25">
      <c r="A163" s="627" t="s">
        <v>8659</v>
      </c>
      <c r="B163" s="627" t="s">
        <v>8658</v>
      </c>
      <c r="C163" s="627" t="s">
        <v>7475</v>
      </c>
      <c r="D163" s="627" t="s">
        <v>8657</v>
      </c>
      <c r="E163" s="767" t="s">
        <v>8659</v>
      </c>
      <c r="F163" s="758">
        <v>44</v>
      </c>
      <c r="G163" s="758">
        <v>346</v>
      </c>
      <c r="H163" s="758">
        <v>390</v>
      </c>
      <c r="I163" s="628">
        <v>22</v>
      </c>
      <c r="J163" s="628">
        <v>94.5</v>
      </c>
      <c r="K163" s="811">
        <f t="shared" si="4"/>
        <v>116.5</v>
      </c>
      <c r="L163" s="634">
        <v>489</v>
      </c>
      <c r="M163" s="634">
        <v>586</v>
      </c>
    </row>
    <row r="164" spans="1:15" ht="30" customHeight="1" x14ac:dyDescent="0.25">
      <c r="A164" s="627" t="s">
        <v>8656</v>
      </c>
      <c r="B164" s="627" t="s">
        <v>8655</v>
      </c>
      <c r="C164" s="627" t="s">
        <v>8654</v>
      </c>
      <c r="D164" s="627" t="s">
        <v>8653</v>
      </c>
      <c r="E164" s="767" t="s">
        <v>8656</v>
      </c>
      <c r="F164" s="758">
        <v>653.79</v>
      </c>
      <c r="G164" s="758">
        <v>1150.6299999999999</v>
      </c>
      <c r="H164" s="758">
        <v>1804.4199999999998</v>
      </c>
      <c r="I164" s="628">
        <v>280</v>
      </c>
      <c r="J164" s="628">
        <v>3424.03</v>
      </c>
      <c r="K164" s="811">
        <f t="shared" si="4"/>
        <v>3704.03</v>
      </c>
      <c r="L164" s="634">
        <v>3829.02</v>
      </c>
      <c r="M164" s="634">
        <v>3657.04</v>
      </c>
    </row>
    <row r="165" spans="1:15" ht="30" customHeight="1" x14ac:dyDescent="0.25">
      <c r="A165" s="627" t="s">
        <v>8652</v>
      </c>
      <c r="B165" s="627" t="s">
        <v>8651</v>
      </c>
      <c r="C165" s="627" t="s">
        <v>1670</v>
      </c>
      <c r="D165" s="627" t="s">
        <v>8650</v>
      </c>
      <c r="E165" s="767" t="s">
        <v>8652</v>
      </c>
      <c r="F165" s="758">
        <v>270</v>
      </c>
      <c r="G165" s="758"/>
      <c r="H165" s="758">
        <v>270</v>
      </c>
      <c r="I165" s="628">
        <v>10</v>
      </c>
      <c r="J165" s="628">
        <v>10</v>
      </c>
      <c r="K165" s="811">
        <f>SUM(I165:J165)</f>
        <v>20</v>
      </c>
      <c r="L165" s="634">
        <v>70</v>
      </c>
      <c r="M165" s="634">
        <v>20</v>
      </c>
    </row>
    <row r="166" spans="1:15" ht="30" customHeight="1" x14ac:dyDescent="0.25">
      <c r="A166" s="627" t="s">
        <v>8649</v>
      </c>
      <c r="B166" s="627" t="s">
        <v>8648</v>
      </c>
      <c r="C166" s="627" t="s">
        <v>8647</v>
      </c>
      <c r="D166" s="627" t="s">
        <v>8646</v>
      </c>
      <c r="E166" s="767" t="s">
        <v>8649</v>
      </c>
      <c r="F166" s="758">
        <v>326</v>
      </c>
      <c r="G166" s="758"/>
      <c r="H166" s="758">
        <v>326</v>
      </c>
      <c r="I166" s="628">
        <v>178</v>
      </c>
      <c r="J166" s="628">
        <v>1103.3800000000001</v>
      </c>
      <c r="K166" s="811">
        <f>SUM(I166:J166)</f>
        <v>1281.3800000000001</v>
      </c>
      <c r="L166" s="634">
        <v>1272.4099999999999</v>
      </c>
      <c r="M166" s="634">
        <v>1019.2</v>
      </c>
    </row>
    <row r="167" spans="1:15" ht="30" customHeight="1" x14ac:dyDescent="0.25">
      <c r="A167" s="627" t="s">
        <v>8645</v>
      </c>
      <c r="B167" s="627" t="s">
        <v>8644</v>
      </c>
      <c r="C167" s="627" t="s">
        <v>8643</v>
      </c>
      <c r="D167" s="627" t="s">
        <v>8642</v>
      </c>
      <c r="E167" s="767" t="s">
        <v>8645</v>
      </c>
      <c r="F167" s="758">
        <v>260</v>
      </c>
      <c r="G167" s="758">
        <v>1253.95</v>
      </c>
      <c r="H167" s="758">
        <v>1513.95</v>
      </c>
      <c r="I167" s="628">
        <v>120</v>
      </c>
      <c r="J167" s="628">
        <v>1712.5600000000002</v>
      </c>
      <c r="K167" s="811">
        <f>SUM(I167:J167)</f>
        <v>1832.5600000000002</v>
      </c>
      <c r="L167" s="634">
        <v>1411</v>
      </c>
      <c r="M167" s="634">
        <v>1724.55</v>
      </c>
    </row>
    <row r="168" spans="1:15" s="627" customFormat="1" ht="30" customHeight="1" x14ac:dyDescent="0.2">
      <c r="A168" s="627" t="s">
        <v>8641</v>
      </c>
      <c r="B168" s="627" t="s">
        <v>8640</v>
      </c>
      <c r="C168" s="627" t="s">
        <v>231</v>
      </c>
      <c r="D168" s="627" t="s">
        <v>8639</v>
      </c>
      <c r="E168" s="627" t="s">
        <v>8641</v>
      </c>
      <c r="F168" s="758"/>
      <c r="G168" s="758">
        <v>25.1</v>
      </c>
      <c r="H168" s="758">
        <v>25.1</v>
      </c>
      <c r="I168" s="627">
        <v>0</v>
      </c>
      <c r="J168" s="627">
        <v>624.96</v>
      </c>
      <c r="K168" s="812">
        <f>SUM(I168:J168)</f>
        <v>624.96</v>
      </c>
      <c r="L168" s="812">
        <v>1114.3699999999999</v>
      </c>
      <c r="M168" s="812">
        <v>676.98</v>
      </c>
    </row>
    <row r="169" spans="1:15" s="627" customFormat="1" ht="30" customHeight="1" x14ac:dyDescent="0.2">
      <c r="A169" s="627" t="s">
        <v>10901</v>
      </c>
      <c r="C169" s="627" t="s">
        <v>839</v>
      </c>
      <c r="D169" s="627" t="s">
        <v>10902</v>
      </c>
      <c r="F169" s="758"/>
      <c r="G169" s="758"/>
      <c r="H169" s="758"/>
      <c r="I169" s="627">
        <v>1396.07</v>
      </c>
      <c r="J169" s="627">
        <v>1725.44</v>
      </c>
      <c r="K169" s="812"/>
      <c r="L169" s="812">
        <v>1396.07</v>
      </c>
      <c r="M169" s="812">
        <v>1725.44</v>
      </c>
    </row>
    <row r="170" spans="1:15" s="627" customFormat="1" ht="30" customHeight="1" x14ac:dyDescent="0.2">
      <c r="A170" s="627" t="s">
        <v>11325</v>
      </c>
      <c r="B170" s="627">
        <v>2721</v>
      </c>
      <c r="C170" s="627" t="s">
        <v>78</v>
      </c>
      <c r="D170" s="627" t="s">
        <v>11326</v>
      </c>
      <c r="E170" s="627" t="s">
        <v>11325</v>
      </c>
      <c r="F170" s="758">
        <v>20</v>
      </c>
      <c r="G170" s="758"/>
      <c r="H170" s="758">
        <v>20</v>
      </c>
      <c r="K170" s="812"/>
      <c r="L170" s="812"/>
      <c r="M170" s="812"/>
    </row>
    <row r="171" spans="1:15" s="627" customFormat="1" ht="30" customHeight="1" x14ac:dyDescent="0.2">
      <c r="A171" s="627" t="s">
        <v>8638</v>
      </c>
      <c r="B171" s="627" t="s">
        <v>8637</v>
      </c>
      <c r="C171" s="627" t="s">
        <v>8636</v>
      </c>
      <c r="D171" s="627" t="s">
        <v>8635</v>
      </c>
      <c r="E171" s="627" t="s">
        <v>8638</v>
      </c>
      <c r="F171" s="758">
        <v>320</v>
      </c>
      <c r="G171" s="758"/>
      <c r="H171" s="758">
        <v>320</v>
      </c>
      <c r="I171" s="627">
        <v>110</v>
      </c>
      <c r="J171" s="627">
        <v>144.07999999999998</v>
      </c>
      <c r="K171" s="812">
        <f>SUM(I171:J171)</f>
        <v>254.07999999999998</v>
      </c>
      <c r="L171" s="812">
        <v>299.06</v>
      </c>
      <c r="M171" s="812">
        <v>264.38</v>
      </c>
    </row>
    <row r="172" spans="1:15" s="627" customFormat="1" ht="30" customHeight="1" x14ac:dyDescent="0.2">
      <c r="A172" s="627" t="s">
        <v>8634</v>
      </c>
      <c r="B172" s="627" t="s">
        <v>8633</v>
      </c>
      <c r="C172" s="627" t="s">
        <v>8513</v>
      </c>
      <c r="D172" s="627" t="s">
        <v>8632</v>
      </c>
      <c r="E172" s="627" t="s">
        <v>8634</v>
      </c>
      <c r="F172" s="758">
        <v>120</v>
      </c>
      <c r="G172" s="758">
        <v>171.95</v>
      </c>
      <c r="H172" s="758">
        <v>291.95</v>
      </c>
      <c r="I172" s="627">
        <v>60</v>
      </c>
      <c r="J172" s="627">
        <v>370.85</v>
      </c>
      <c r="K172" s="812">
        <f>SUM(I172:J172)</f>
        <v>430.85</v>
      </c>
      <c r="L172" s="812">
        <v>571.83999999999992</v>
      </c>
      <c r="M172" s="812">
        <v>398.36</v>
      </c>
    </row>
    <row r="173" spans="1:15" s="627" customFormat="1" ht="30" customHeight="1" x14ac:dyDescent="0.2">
      <c r="A173" s="627" t="s">
        <v>8631</v>
      </c>
      <c r="B173" s="627" t="s">
        <v>8630</v>
      </c>
      <c r="C173" s="627" t="s">
        <v>8629</v>
      </c>
      <c r="D173" s="627" t="s">
        <v>8628</v>
      </c>
      <c r="E173" s="627" t="s">
        <v>8631</v>
      </c>
      <c r="F173" s="758">
        <v>4121.8599999999997</v>
      </c>
      <c r="G173" s="758">
        <v>1235.3399999999999</v>
      </c>
      <c r="H173" s="758">
        <v>5357.2</v>
      </c>
      <c r="I173" s="627">
        <v>536</v>
      </c>
      <c r="J173" s="627">
        <v>808.02</v>
      </c>
      <c r="K173" s="812">
        <f>SUM(I173:J173)</f>
        <v>1344.02</v>
      </c>
      <c r="L173" s="812">
        <v>1452.6</v>
      </c>
      <c r="M173" s="812">
        <v>1257.73</v>
      </c>
    </row>
    <row r="174" spans="1:15" ht="15.75" thickBot="1" x14ac:dyDescent="0.3">
      <c r="H174" s="608"/>
    </row>
    <row r="175" spans="1:15" s="74" customFormat="1" ht="83.25" customHeight="1" thickBot="1" x14ac:dyDescent="0.25">
      <c r="A175" s="854" t="s">
        <v>10987</v>
      </c>
      <c r="B175" s="855"/>
      <c r="C175" s="855"/>
      <c r="D175" s="855"/>
      <c r="E175" s="855"/>
      <c r="F175" s="855"/>
      <c r="G175" s="855"/>
      <c r="H175" s="855"/>
      <c r="I175" s="855"/>
      <c r="J175" s="855"/>
      <c r="K175" s="855"/>
      <c r="L175" s="855"/>
      <c r="M175" s="855"/>
      <c r="N175" s="855"/>
      <c r="O175" s="855"/>
    </row>
    <row r="176" spans="1:15" s="74" customFormat="1" x14ac:dyDescent="0.2">
      <c r="A176" s="718"/>
      <c r="B176" s="718"/>
      <c r="C176" s="718"/>
    </row>
    <row r="177" spans="1:8" s="74" customFormat="1" ht="45" x14ac:dyDescent="0.2">
      <c r="A177" s="897" t="s">
        <v>10990</v>
      </c>
      <c r="B177" s="897"/>
      <c r="C177" s="764" t="s">
        <v>11008</v>
      </c>
    </row>
    <row r="178" spans="1:8" s="74" customFormat="1" ht="45" x14ac:dyDescent="0.2">
      <c r="A178" s="897" t="s">
        <v>7809</v>
      </c>
      <c r="B178" s="897"/>
      <c r="C178" s="764" t="s">
        <v>11320</v>
      </c>
    </row>
    <row r="179" spans="1:8" x14ac:dyDescent="0.25">
      <c r="H179" s="608"/>
    </row>
  </sheetData>
  <mergeCells count="3">
    <mergeCell ref="A175:O175"/>
    <mergeCell ref="A177:B177"/>
    <mergeCell ref="A178:B178"/>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C00000"/>
  </sheetPr>
  <dimension ref="A1:O104"/>
  <sheetViews>
    <sheetView workbookViewId="0">
      <pane xSplit="2" ySplit="3" topLeftCell="C94" activePane="bottomRight" state="frozen"/>
      <selection pane="topRight" activeCell="C1" sqref="C1"/>
      <selection pane="bottomLeft" activeCell="A4" sqref="A4"/>
      <selection pane="bottomRight" activeCell="A103" sqref="A103:XFD104"/>
    </sheetView>
  </sheetViews>
  <sheetFormatPr defaultColWidth="9.140625" defaultRowHeight="15" x14ac:dyDescent="0.25"/>
  <cols>
    <col min="1" max="1" width="9.140625" style="608"/>
    <col min="2" max="2" width="10.85546875" style="608" bestFit="1" customWidth="1"/>
    <col min="3" max="3" width="46.5703125" style="608" bestFit="1" customWidth="1"/>
    <col min="4" max="4" width="31" style="608" customWidth="1"/>
    <col min="5" max="5" width="9.7109375" style="608" hidden="1" customWidth="1"/>
    <col min="6" max="6" width="15.28515625" style="608" bestFit="1" customWidth="1"/>
    <col min="7" max="7" width="14.28515625" style="608" bestFit="1" customWidth="1"/>
    <col min="8" max="8" width="14.42578125" style="608" bestFit="1" customWidth="1"/>
    <col min="9" max="9" width="15.28515625" style="608" hidden="1" customWidth="1"/>
    <col min="10" max="10" width="13.7109375" style="608" hidden="1" customWidth="1"/>
    <col min="11" max="12" width="12.85546875" style="608" bestFit="1" customWidth="1"/>
    <col min="13" max="13" width="13.85546875" style="608" bestFit="1" customWidth="1"/>
    <col min="14" max="16384" width="9.140625" style="608"/>
  </cols>
  <sheetData>
    <row r="1" spans="1:13" ht="26.25" x14ac:dyDescent="0.4">
      <c r="A1" s="609" t="s">
        <v>11340</v>
      </c>
    </row>
    <row r="2" spans="1:13" ht="26.25" x14ac:dyDescent="0.4">
      <c r="A2" s="609"/>
    </row>
    <row r="3" spans="1:13" s="630" customFormat="1" ht="30" customHeight="1" x14ac:dyDescent="0.35">
      <c r="A3" s="629" t="s">
        <v>1</v>
      </c>
      <c r="B3" s="631" t="s">
        <v>8627</v>
      </c>
      <c r="C3" s="629" t="s">
        <v>7809</v>
      </c>
      <c r="D3" s="629" t="s">
        <v>2</v>
      </c>
      <c r="E3" s="629"/>
      <c r="F3" s="629" t="s">
        <v>11319</v>
      </c>
      <c r="G3" s="629" t="s">
        <v>7809</v>
      </c>
      <c r="H3" s="629">
        <v>2020</v>
      </c>
      <c r="I3" s="629" t="s">
        <v>8626</v>
      </c>
      <c r="J3" s="629" t="s">
        <v>8625</v>
      </c>
      <c r="K3" s="629">
        <v>2019</v>
      </c>
      <c r="L3" s="629">
        <v>2018</v>
      </c>
      <c r="M3" s="629">
        <v>2017</v>
      </c>
    </row>
    <row r="4" spans="1:13" ht="30" customHeight="1" x14ac:dyDescent="0.25">
      <c r="A4" s="627" t="s">
        <v>9375</v>
      </c>
      <c r="B4" s="627" t="s">
        <v>9374</v>
      </c>
      <c r="C4" s="627" t="s">
        <v>9373</v>
      </c>
      <c r="D4" s="627" t="s">
        <v>9366</v>
      </c>
      <c r="E4" s="767" t="s">
        <v>9375</v>
      </c>
      <c r="F4" s="758">
        <v>104</v>
      </c>
      <c r="G4" s="758"/>
      <c r="H4" s="758">
        <v>104</v>
      </c>
      <c r="I4" s="628">
        <v>550</v>
      </c>
      <c r="J4" s="628">
        <v>54</v>
      </c>
      <c r="K4" s="813">
        <f t="shared" ref="K4:K33" si="0">SUM(I4:J4)</f>
        <v>604</v>
      </c>
      <c r="L4" s="814">
        <v>150.87</v>
      </c>
      <c r="M4" s="815">
        <v>913.97</v>
      </c>
    </row>
    <row r="5" spans="1:13" ht="30" customHeight="1" x14ac:dyDescent="0.25">
      <c r="A5" s="627" t="s">
        <v>9372</v>
      </c>
      <c r="B5" s="627" t="s">
        <v>9371</v>
      </c>
      <c r="C5" s="627" t="s">
        <v>2896</v>
      </c>
      <c r="D5" s="627" t="s">
        <v>9366</v>
      </c>
      <c r="E5" s="767" t="s">
        <v>9372</v>
      </c>
      <c r="F5" s="758">
        <v>50</v>
      </c>
      <c r="G5" s="758"/>
      <c r="H5" s="758">
        <v>50</v>
      </c>
      <c r="I5" s="628">
        <v>50</v>
      </c>
      <c r="J5" s="628">
        <v>0</v>
      </c>
      <c r="K5" s="813">
        <f t="shared" si="0"/>
        <v>50</v>
      </c>
      <c r="L5" s="814"/>
      <c r="M5" s="815"/>
    </row>
    <row r="6" spans="1:13" ht="30" customHeight="1" x14ac:dyDescent="0.25">
      <c r="A6" s="627" t="s">
        <v>9370</v>
      </c>
      <c r="B6" s="627" t="s">
        <v>9369</v>
      </c>
      <c r="C6" s="627" t="s">
        <v>532</v>
      </c>
      <c r="D6" s="627" t="s">
        <v>9366</v>
      </c>
      <c r="E6" s="767" t="s">
        <v>9370</v>
      </c>
      <c r="F6" s="758">
        <v>140</v>
      </c>
      <c r="G6" s="758">
        <v>190.51</v>
      </c>
      <c r="H6" s="758">
        <v>330.51</v>
      </c>
      <c r="I6" s="628">
        <v>30</v>
      </c>
      <c r="J6" s="628">
        <v>873.18000000000006</v>
      </c>
      <c r="K6" s="813">
        <f t="shared" si="0"/>
        <v>903.18000000000006</v>
      </c>
      <c r="L6" s="814">
        <v>700.12</v>
      </c>
      <c r="M6" s="815">
        <v>978.71</v>
      </c>
    </row>
    <row r="7" spans="1:13" ht="30" customHeight="1" x14ac:dyDescent="0.25">
      <c r="A7" s="627" t="s">
        <v>9368</v>
      </c>
      <c r="B7" s="627" t="s">
        <v>9367</v>
      </c>
      <c r="C7" s="627" t="s">
        <v>453</v>
      </c>
      <c r="D7" s="627" t="s">
        <v>9366</v>
      </c>
      <c r="E7" s="767" t="s">
        <v>9368</v>
      </c>
      <c r="F7" s="758"/>
      <c r="G7" s="758">
        <v>366.15</v>
      </c>
      <c r="H7" s="758">
        <v>366.15</v>
      </c>
      <c r="I7" s="628">
        <v>0</v>
      </c>
      <c r="J7" s="628">
        <v>575.68000000000006</v>
      </c>
      <c r="K7" s="813">
        <f t="shared" si="0"/>
        <v>575.68000000000006</v>
      </c>
      <c r="L7" s="814">
        <v>740.9</v>
      </c>
      <c r="M7" s="815">
        <v>631.6</v>
      </c>
    </row>
    <row r="8" spans="1:13" ht="30" customHeight="1" x14ac:dyDescent="0.25">
      <c r="A8" s="627" t="s">
        <v>9365</v>
      </c>
      <c r="B8" s="627" t="s">
        <v>9364</v>
      </c>
      <c r="C8" s="627" t="s">
        <v>6440</v>
      </c>
      <c r="D8" s="627" t="s">
        <v>9363</v>
      </c>
      <c r="E8" s="767" t="s">
        <v>9365</v>
      </c>
      <c r="F8" s="758">
        <v>140</v>
      </c>
      <c r="G8" s="758"/>
      <c r="H8" s="758">
        <v>140</v>
      </c>
      <c r="I8" s="628">
        <v>10</v>
      </c>
      <c r="J8" s="628">
        <v>905</v>
      </c>
      <c r="K8" s="813">
        <f t="shared" si="0"/>
        <v>915</v>
      </c>
      <c r="L8" s="814">
        <v>835</v>
      </c>
      <c r="M8" s="815">
        <v>895</v>
      </c>
    </row>
    <row r="9" spans="1:13" ht="30" customHeight="1" x14ac:dyDescent="0.25">
      <c r="A9" s="627" t="s">
        <v>9362</v>
      </c>
      <c r="B9" s="627" t="s">
        <v>9361</v>
      </c>
      <c r="C9" s="627" t="s">
        <v>9360</v>
      </c>
      <c r="D9" s="627" t="s">
        <v>9359</v>
      </c>
      <c r="E9" s="767" t="s">
        <v>9362</v>
      </c>
      <c r="F9" s="758">
        <v>20</v>
      </c>
      <c r="G9" s="758"/>
      <c r="H9" s="758">
        <v>20</v>
      </c>
      <c r="I9" s="628">
        <v>100</v>
      </c>
      <c r="J9" s="628">
        <v>0</v>
      </c>
      <c r="K9" s="813">
        <f t="shared" si="0"/>
        <v>100</v>
      </c>
      <c r="L9" s="814">
        <v>100</v>
      </c>
      <c r="M9" s="815">
        <v>150</v>
      </c>
    </row>
    <row r="10" spans="1:13" ht="30" customHeight="1" x14ac:dyDescent="0.25">
      <c r="A10" s="627" t="s">
        <v>9358</v>
      </c>
      <c r="B10" s="627" t="s">
        <v>9357</v>
      </c>
      <c r="C10" s="627" t="s">
        <v>532</v>
      </c>
      <c r="D10" s="627" t="s">
        <v>9356</v>
      </c>
      <c r="E10" s="767" t="s">
        <v>9358</v>
      </c>
      <c r="F10" s="758">
        <v>717.06000000000006</v>
      </c>
      <c r="G10" s="758">
        <v>1239.72</v>
      </c>
      <c r="H10" s="758">
        <v>1956.7800000000002</v>
      </c>
      <c r="I10" s="628">
        <v>150</v>
      </c>
      <c r="J10" s="628">
        <v>2428.1300000000006</v>
      </c>
      <c r="K10" s="813">
        <f t="shared" si="0"/>
        <v>2578.1300000000006</v>
      </c>
      <c r="L10" s="814">
        <v>2473.13</v>
      </c>
      <c r="M10" s="815">
        <v>2514.6</v>
      </c>
    </row>
    <row r="11" spans="1:13" ht="30" customHeight="1" x14ac:dyDescent="0.25">
      <c r="A11" s="627" t="s">
        <v>9355</v>
      </c>
      <c r="B11" s="627" t="s">
        <v>9354</v>
      </c>
      <c r="C11" s="627" t="s">
        <v>9353</v>
      </c>
      <c r="D11" s="627" t="s">
        <v>9352</v>
      </c>
      <c r="E11" s="767" t="s">
        <v>9355</v>
      </c>
      <c r="F11" s="758">
        <v>125</v>
      </c>
      <c r="G11" s="758"/>
      <c r="H11" s="758">
        <v>125</v>
      </c>
      <c r="I11" s="628">
        <v>60</v>
      </c>
      <c r="J11" s="628">
        <v>502.82</v>
      </c>
      <c r="K11" s="813">
        <f t="shared" si="0"/>
        <v>562.81999999999994</v>
      </c>
      <c r="L11" s="814">
        <v>558.02</v>
      </c>
      <c r="M11" s="815">
        <v>633.74</v>
      </c>
    </row>
    <row r="12" spans="1:13" ht="30" customHeight="1" x14ac:dyDescent="0.25">
      <c r="A12" s="627" t="s">
        <v>11330</v>
      </c>
      <c r="B12" s="810">
        <v>2739</v>
      </c>
      <c r="C12" s="627" t="s">
        <v>11335</v>
      </c>
      <c r="D12" s="627" t="s">
        <v>9348</v>
      </c>
      <c r="E12" s="767" t="s">
        <v>11330</v>
      </c>
      <c r="F12" s="758">
        <v>235.34000000000003</v>
      </c>
      <c r="G12" s="758"/>
      <c r="H12" s="758">
        <v>235.34000000000003</v>
      </c>
      <c r="I12" s="628"/>
      <c r="J12" s="628"/>
      <c r="K12" s="813"/>
      <c r="L12" s="814"/>
      <c r="M12" s="815"/>
    </row>
    <row r="13" spans="1:13" ht="30" customHeight="1" x14ac:dyDescent="0.25">
      <c r="A13" s="627" t="s">
        <v>9351</v>
      </c>
      <c r="B13" s="810" t="s">
        <v>9350</v>
      </c>
      <c r="C13" s="627" t="s">
        <v>9349</v>
      </c>
      <c r="D13" s="627" t="s">
        <v>9348</v>
      </c>
      <c r="E13" s="767" t="s">
        <v>9351</v>
      </c>
      <c r="F13" s="758">
        <v>135</v>
      </c>
      <c r="G13" s="758">
        <v>1185.74</v>
      </c>
      <c r="H13" s="758">
        <v>1320.74</v>
      </c>
      <c r="I13" s="628">
        <v>115</v>
      </c>
      <c r="J13" s="628">
        <v>2993.16</v>
      </c>
      <c r="K13" s="813">
        <f t="shared" si="0"/>
        <v>3108.16</v>
      </c>
      <c r="L13" s="814">
        <v>2281.38</v>
      </c>
      <c r="M13" s="815">
        <v>3067.24</v>
      </c>
    </row>
    <row r="14" spans="1:13" ht="30" customHeight="1" x14ac:dyDescent="0.25">
      <c r="A14" s="627" t="s">
        <v>11331</v>
      </c>
      <c r="B14" s="810">
        <v>2744</v>
      </c>
      <c r="C14" s="627" t="s">
        <v>11334</v>
      </c>
      <c r="D14" s="627" t="s">
        <v>9348</v>
      </c>
      <c r="E14" s="767" t="s">
        <v>11331</v>
      </c>
      <c r="F14" s="758">
        <v>140</v>
      </c>
      <c r="G14" s="758">
        <v>755</v>
      </c>
      <c r="H14" s="758">
        <v>895</v>
      </c>
      <c r="I14" s="628"/>
      <c r="J14" s="628"/>
      <c r="K14" s="813"/>
      <c r="L14" s="814"/>
      <c r="M14" s="815"/>
    </row>
    <row r="15" spans="1:13" ht="30" customHeight="1" x14ac:dyDescent="0.25">
      <c r="A15" s="627" t="s">
        <v>9347</v>
      </c>
      <c r="B15" s="627" t="s">
        <v>9346</v>
      </c>
      <c r="C15" s="627" t="s">
        <v>9345</v>
      </c>
      <c r="D15" s="627" t="s">
        <v>9330</v>
      </c>
      <c r="E15" s="767" t="s">
        <v>9347</v>
      </c>
      <c r="F15" s="758">
        <v>140</v>
      </c>
      <c r="G15" s="758">
        <v>1723.41</v>
      </c>
      <c r="H15" s="758">
        <v>1863.41</v>
      </c>
      <c r="I15" s="628">
        <v>120</v>
      </c>
      <c r="J15" s="628">
        <v>2673.65</v>
      </c>
      <c r="K15" s="813">
        <f t="shared" si="0"/>
        <v>2793.65</v>
      </c>
      <c r="L15" s="814">
        <v>3003.34</v>
      </c>
      <c r="M15" s="815">
        <v>2204.5500000000002</v>
      </c>
    </row>
    <row r="16" spans="1:13" ht="30" customHeight="1" x14ac:dyDescent="0.25">
      <c r="A16" s="627" t="s">
        <v>9344</v>
      </c>
      <c r="B16" s="627" t="s">
        <v>9343</v>
      </c>
      <c r="C16" s="627" t="s">
        <v>9342</v>
      </c>
      <c r="D16" s="627" t="s">
        <v>9330</v>
      </c>
      <c r="E16" s="767" t="s">
        <v>9344</v>
      </c>
      <c r="F16" s="758">
        <v>220</v>
      </c>
      <c r="G16" s="758"/>
      <c r="H16" s="758">
        <v>220</v>
      </c>
      <c r="I16" s="628">
        <v>0</v>
      </c>
      <c r="J16" s="628">
        <v>391.54</v>
      </c>
      <c r="K16" s="813">
        <f t="shared" si="0"/>
        <v>391.54</v>
      </c>
      <c r="L16" s="814">
        <v>353.37</v>
      </c>
      <c r="M16" s="815">
        <v>377.61</v>
      </c>
    </row>
    <row r="17" spans="1:13" ht="30" customHeight="1" x14ac:dyDescent="0.25">
      <c r="A17" s="627" t="s">
        <v>9341</v>
      </c>
      <c r="B17" s="627" t="s">
        <v>9340</v>
      </c>
      <c r="C17" s="627" t="s">
        <v>1165</v>
      </c>
      <c r="D17" s="627" t="s">
        <v>9330</v>
      </c>
      <c r="E17" s="767" t="s">
        <v>9341</v>
      </c>
      <c r="F17" s="758">
        <v>88.3</v>
      </c>
      <c r="G17" s="758">
        <v>79.55</v>
      </c>
      <c r="H17" s="758">
        <v>167.85</v>
      </c>
      <c r="I17" s="628">
        <v>20</v>
      </c>
      <c r="J17" s="628">
        <v>336.95</v>
      </c>
      <c r="K17" s="813">
        <f t="shared" si="0"/>
        <v>356.95</v>
      </c>
      <c r="L17" s="814">
        <v>240.11</v>
      </c>
      <c r="M17" s="815">
        <v>346.5</v>
      </c>
    </row>
    <row r="18" spans="1:13" ht="30" customHeight="1" x14ac:dyDescent="0.25">
      <c r="A18" s="627" t="s">
        <v>9339</v>
      </c>
      <c r="B18" s="627" t="s">
        <v>9338</v>
      </c>
      <c r="C18" s="627" t="s">
        <v>270</v>
      </c>
      <c r="D18" s="627" t="s">
        <v>9330</v>
      </c>
      <c r="E18" s="767"/>
      <c r="F18" s="758"/>
      <c r="G18" s="758"/>
      <c r="H18" s="758"/>
      <c r="I18" s="628">
        <v>0</v>
      </c>
      <c r="J18" s="628">
        <v>64</v>
      </c>
      <c r="K18" s="813">
        <f t="shared" si="0"/>
        <v>64</v>
      </c>
      <c r="L18" s="814">
        <v>1055.83</v>
      </c>
      <c r="M18" s="815">
        <v>1641.54</v>
      </c>
    </row>
    <row r="19" spans="1:13" ht="30" customHeight="1" x14ac:dyDescent="0.25">
      <c r="A19" s="627" t="s">
        <v>9337</v>
      </c>
      <c r="B19" s="627" t="s">
        <v>9336</v>
      </c>
      <c r="C19" s="627" t="s">
        <v>9335</v>
      </c>
      <c r="D19" s="627" t="s">
        <v>9330</v>
      </c>
      <c r="E19" s="767" t="s">
        <v>9337</v>
      </c>
      <c r="F19" s="758"/>
      <c r="G19" s="758">
        <v>166.1</v>
      </c>
      <c r="H19" s="758">
        <v>166.1</v>
      </c>
      <c r="I19" s="628">
        <v>24</v>
      </c>
      <c r="J19" s="628">
        <v>241.76</v>
      </c>
      <c r="K19" s="813">
        <f t="shared" si="0"/>
        <v>265.76</v>
      </c>
      <c r="L19" s="814">
        <v>122.84</v>
      </c>
      <c r="M19" s="815">
        <v>301.3</v>
      </c>
    </row>
    <row r="20" spans="1:13" ht="30" customHeight="1" x14ac:dyDescent="0.25">
      <c r="A20" s="627" t="s">
        <v>9334</v>
      </c>
      <c r="B20" s="627" t="s">
        <v>9333</v>
      </c>
      <c r="C20" s="627" t="s">
        <v>127</v>
      </c>
      <c r="D20" s="627" t="s">
        <v>9330</v>
      </c>
      <c r="E20" s="767" t="s">
        <v>9334</v>
      </c>
      <c r="F20" s="758">
        <v>154.63999999999999</v>
      </c>
      <c r="G20" s="758">
        <v>421</v>
      </c>
      <c r="H20" s="758">
        <v>575.64</v>
      </c>
      <c r="I20" s="628">
        <v>0</v>
      </c>
      <c r="J20" s="628">
        <v>611.93000000000006</v>
      </c>
      <c r="K20" s="813">
        <f t="shared" si="0"/>
        <v>611.93000000000006</v>
      </c>
      <c r="L20" s="814">
        <v>138</v>
      </c>
      <c r="M20" s="815">
        <v>721</v>
      </c>
    </row>
    <row r="21" spans="1:13" ht="30" customHeight="1" x14ac:dyDescent="0.25">
      <c r="A21" s="627" t="s">
        <v>9332</v>
      </c>
      <c r="B21" s="627" t="s">
        <v>9331</v>
      </c>
      <c r="C21" s="627" t="s">
        <v>231</v>
      </c>
      <c r="D21" s="627" t="s">
        <v>9330</v>
      </c>
      <c r="E21" s="767" t="s">
        <v>9332</v>
      </c>
      <c r="F21" s="758"/>
      <c r="G21" s="758">
        <v>691.04</v>
      </c>
      <c r="H21" s="758">
        <v>691.04</v>
      </c>
      <c r="I21" s="628">
        <v>100</v>
      </c>
      <c r="J21" s="628">
        <v>2205.0299999999997</v>
      </c>
      <c r="K21" s="813">
        <f t="shared" si="0"/>
        <v>2305.0299999999997</v>
      </c>
      <c r="L21" s="814">
        <v>1131.76</v>
      </c>
      <c r="M21" s="815">
        <v>1630.75</v>
      </c>
    </row>
    <row r="22" spans="1:13" ht="30" customHeight="1" x14ac:dyDescent="0.25">
      <c r="A22" s="627" t="s">
        <v>9329</v>
      </c>
      <c r="B22" s="627" t="s">
        <v>9328</v>
      </c>
      <c r="C22" s="627" t="s">
        <v>1004</v>
      </c>
      <c r="D22" s="627" t="s">
        <v>9327</v>
      </c>
      <c r="E22" s="767" t="s">
        <v>9329</v>
      </c>
      <c r="F22" s="758">
        <v>125</v>
      </c>
      <c r="G22" s="758">
        <v>193.45</v>
      </c>
      <c r="H22" s="758">
        <v>318.45</v>
      </c>
      <c r="I22" s="628">
        <v>125</v>
      </c>
      <c r="J22" s="628">
        <v>558.26</v>
      </c>
      <c r="K22" s="813">
        <f t="shared" si="0"/>
        <v>683.26</v>
      </c>
      <c r="L22" s="814">
        <v>1388.83</v>
      </c>
      <c r="M22" s="815">
        <v>1126.33</v>
      </c>
    </row>
    <row r="23" spans="1:13" ht="30" customHeight="1" x14ac:dyDescent="0.25">
      <c r="A23" s="627" t="s">
        <v>9326</v>
      </c>
      <c r="B23" s="627" t="s">
        <v>9325</v>
      </c>
      <c r="C23" s="627" t="s">
        <v>9324</v>
      </c>
      <c r="D23" s="627" t="s">
        <v>9126</v>
      </c>
      <c r="E23" s="767" t="s">
        <v>9326</v>
      </c>
      <c r="F23" s="758">
        <v>128.05000000000001</v>
      </c>
      <c r="G23" s="758">
        <v>656.95</v>
      </c>
      <c r="H23" s="758">
        <v>785</v>
      </c>
      <c r="I23" s="628">
        <v>0</v>
      </c>
      <c r="J23" s="628">
        <v>1372</v>
      </c>
      <c r="K23" s="813">
        <f t="shared" si="0"/>
        <v>1372</v>
      </c>
      <c r="L23" s="814">
        <v>1176</v>
      </c>
      <c r="M23" s="815">
        <v>1331</v>
      </c>
    </row>
    <row r="24" spans="1:13" ht="30" customHeight="1" x14ac:dyDescent="0.25">
      <c r="A24" s="627" t="s">
        <v>9323</v>
      </c>
      <c r="B24" s="627" t="s">
        <v>9322</v>
      </c>
      <c r="C24" s="627" t="s">
        <v>9321</v>
      </c>
      <c r="D24" s="627" t="s">
        <v>9126</v>
      </c>
      <c r="E24" s="767" t="s">
        <v>9323</v>
      </c>
      <c r="F24" s="758">
        <v>110</v>
      </c>
      <c r="G24" s="758">
        <v>1425.95</v>
      </c>
      <c r="H24" s="758">
        <v>1535.95</v>
      </c>
      <c r="I24" s="628">
        <v>0</v>
      </c>
      <c r="J24" s="628">
        <v>1841.4000000000005</v>
      </c>
      <c r="K24" s="813">
        <f t="shared" si="0"/>
        <v>1841.4000000000005</v>
      </c>
      <c r="L24" s="814">
        <v>1767.19</v>
      </c>
      <c r="M24" s="815">
        <v>1904.67</v>
      </c>
    </row>
    <row r="25" spans="1:13" ht="30" customHeight="1" x14ac:dyDescent="0.25">
      <c r="A25" s="627" t="s">
        <v>9320</v>
      </c>
      <c r="B25" s="627" t="s">
        <v>9319</v>
      </c>
      <c r="C25" s="627" t="s">
        <v>9318</v>
      </c>
      <c r="D25" s="627" t="s">
        <v>9126</v>
      </c>
      <c r="E25" s="767"/>
      <c r="F25" s="758"/>
      <c r="G25" s="758"/>
      <c r="H25" s="758"/>
      <c r="I25" s="628">
        <v>0</v>
      </c>
      <c r="J25" s="628">
        <v>673.31</v>
      </c>
      <c r="K25" s="813">
        <f t="shared" si="0"/>
        <v>673.31</v>
      </c>
      <c r="L25" s="814">
        <v>528.57000000000005</v>
      </c>
      <c r="M25" s="815">
        <v>532.39</v>
      </c>
    </row>
    <row r="26" spans="1:13" ht="30" customHeight="1" x14ac:dyDescent="0.25">
      <c r="A26" s="627" t="s">
        <v>9317</v>
      </c>
      <c r="B26" s="627" t="s">
        <v>9316</v>
      </c>
      <c r="C26" s="627" t="s">
        <v>9315</v>
      </c>
      <c r="D26" s="627" t="s">
        <v>9126</v>
      </c>
      <c r="E26" s="767" t="s">
        <v>9317</v>
      </c>
      <c r="F26" s="758">
        <v>95</v>
      </c>
      <c r="G26" s="758">
        <v>743.58</v>
      </c>
      <c r="H26" s="758">
        <v>838.58</v>
      </c>
      <c r="I26" s="628">
        <v>80</v>
      </c>
      <c r="J26" s="628">
        <v>936</v>
      </c>
      <c r="K26" s="813">
        <f t="shared" si="0"/>
        <v>1016</v>
      </c>
      <c r="L26" s="814">
        <v>752</v>
      </c>
      <c r="M26" s="815">
        <v>1245.7</v>
      </c>
    </row>
    <row r="27" spans="1:13" ht="30" customHeight="1" x14ac:dyDescent="0.25">
      <c r="A27" s="627" t="s">
        <v>9314</v>
      </c>
      <c r="B27" s="627" t="s">
        <v>9313</v>
      </c>
      <c r="C27" s="627" t="s">
        <v>9312</v>
      </c>
      <c r="D27" s="627" t="s">
        <v>9126</v>
      </c>
      <c r="E27" s="767" t="s">
        <v>9314</v>
      </c>
      <c r="F27" s="758"/>
      <c r="G27" s="758">
        <v>150.71</v>
      </c>
      <c r="H27" s="758">
        <v>150.71</v>
      </c>
      <c r="I27" s="628">
        <v>0</v>
      </c>
      <c r="J27" s="628">
        <v>46.84</v>
      </c>
      <c r="K27" s="813">
        <f t="shared" si="0"/>
        <v>46.84</v>
      </c>
      <c r="L27" s="814">
        <v>493.15</v>
      </c>
      <c r="M27" s="815">
        <v>11.32</v>
      </c>
    </row>
    <row r="28" spans="1:13" ht="30" customHeight="1" x14ac:dyDescent="0.25">
      <c r="A28" s="627" t="s">
        <v>9311</v>
      </c>
      <c r="B28" s="627" t="s">
        <v>9310</v>
      </c>
      <c r="C28" s="627" t="s">
        <v>1203</v>
      </c>
      <c r="D28" s="627" t="s">
        <v>9309</v>
      </c>
      <c r="E28" s="767" t="s">
        <v>9311</v>
      </c>
      <c r="F28" s="758"/>
      <c r="G28" s="758">
        <v>94.940000000000012</v>
      </c>
      <c r="H28" s="758">
        <v>94.940000000000012</v>
      </c>
      <c r="I28" s="628">
        <v>0</v>
      </c>
      <c r="J28" s="628">
        <v>316.32999999999993</v>
      </c>
      <c r="K28" s="813">
        <f t="shared" si="0"/>
        <v>316.32999999999993</v>
      </c>
      <c r="L28" s="814">
        <v>422.33000000000004</v>
      </c>
      <c r="M28" s="815">
        <v>574.13</v>
      </c>
    </row>
    <row r="29" spans="1:13" ht="30" customHeight="1" x14ac:dyDescent="0.25">
      <c r="A29" s="627" t="s">
        <v>9308</v>
      </c>
      <c r="B29" s="627" t="s">
        <v>9307</v>
      </c>
      <c r="C29" s="627" t="s">
        <v>7376</v>
      </c>
      <c r="D29" s="627" t="s">
        <v>9306</v>
      </c>
      <c r="E29" s="767" t="s">
        <v>9308</v>
      </c>
      <c r="F29" s="758"/>
      <c r="G29" s="758">
        <v>113.74</v>
      </c>
      <c r="H29" s="758">
        <v>113.74</v>
      </c>
      <c r="I29" s="628">
        <v>0</v>
      </c>
      <c r="J29" s="628">
        <v>88.04</v>
      </c>
      <c r="K29" s="813">
        <f t="shared" si="0"/>
        <v>88.04</v>
      </c>
      <c r="L29" s="814">
        <v>85.86</v>
      </c>
      <c r="M29" s="815">
        <v>94.72</v>
      </c>
    </row>
    <row r="30" spans="1:13" ht="30" customHeight="1" x14ac:dyDescent="0.25">
      <c r="A30" s="627" t="s">
        <v>9305</v>
      </c>
      <c r="B30" s="627" t="s">
        <v>9304</v>
      </c>
      <c r="C30" s="627" t="s">
        <v>5958</v>
      </c>
      <c r="D30" s="627" t="s">
        <v>9303</v>
      </c>
      <c r="E30" s="767" t="s">
        <v>9305</v>
      </c>
      <c r="F30" s="758"/>
      <c r="G30" s="758">
        <v>81.95</v>
      </c>
      <c r="H30" s="758">
        <v>81.95</v>
      </c>
      <c r="I30" s="628">
        <v>0</v>
      </c>
      <c r="J30" s="628">
        <v>312.7</v>
      </c>
      <c r="K30" s="813">
        <f t="shared" si="0"/>
        <v>312.7</v>
      </c>
      <c r="L30" s="814">
        <v>201.16</v>
      </c>
      <c r="M30" s="815">
        <v>700.03</v>
      </c>
    </row>
    <row r="31" spans="1:13" ht="30" customHeight="1" x14ac:dyDescent="0.25">
      <c r="A31" s="627" t="s">
        <v>9302</v>
      </c>
      <c r="B31" s="627" t="s">
        <v>9301</v>
      </c>
      <c r="C31" s="627" t="s">
        <v>9300</v>
      </c>
      <c r="D31" s="627" t="s">
        <v>9299</v>
      </c>
      <c r="E31" s="767" t="s">
        <v>9302</v>
      </c>
      <c r="F31" s="758">
        <v>336</v>
      </c>
      <c r="G31" s="758">
        <v>775.42</v>
      </c>
      <c r="H31" s="758">
        <v>1111.42</v>
      </c>
      <c r="I31" s="628">
        <v>63</v>
      </c>
      <c r="J31" s="628">
        <v>578</v>
      </c>
      <c r="K31" s="813">
        <f t="shared" si="0"/>
        <v>641</v>
      </c>
      <c r="L31" s="814">
        <v>2100.3000000000002</v>
      </c>
      <c r="M31" s="815">
        <v>2293.5500000000002</v>
      </c>
    </row>
    <row r="32" spans="1:13" ht="30" customHeight="1" x14ac:dyDescent="0.25">
      <c r="A32" s="627" t="s">
        <v>9298</v>
      </c>
      <c r="B32" s="627" t="s">
        <v>9297</v>
      </c>
      <c r="C32" s="627" t="s">
        <v>7280</v>
      </c>
      <c r="D32" s="627" t="s">
        <v>9122</v>
      </c>
      <c r="E32" s="767" t="s">
        <v>9298</v>
      </c>
      <c r="F32" s="758">
        <v>305</v>
      </c>
      <c r="G32" s="758">
        <v>525</v>
      </c>
      <c r="H32" s="758">
        <v>830</v>
      </c>
      <c r="I32" s="628">
        <v>240</v>
      </c>
      <c r="J32" s="628">
        <v>1180</v>
      </c>
      <c r="K32" s="813">
        <f t="shared" si="0"/>
        <v>1420</v>
      </c>
      <c r="L32" s="814">
        <v>1232</v>
      </c>
      <c r="M32" s="815">
        <v>1148</v>
      </c>
    </row>
    <row r="33" spans="1:13" ht="30" customHeight="1" x14ac:dyDescent="0.25">
      <c r="A33" s="627" t="s">
        <v>9296</v>
      </c>
      <c r="B33" s="627" t="s">
        <v>9295</v>
      </c>
      <c r="C33" s="627" t="s">
        <v>532</v>
      </c>
      <c r="D33" s="627" t="s">
        <v>9294</v>
      </c>
      <c r="E33" s="767" t="s">
        <v>9296</v>
      </c>
      <c r="F33" s="758">
        <v>140</v>
      </c>
      <c r="G33" s="758"/>
      <c r="H33" s="758">
        <v>140</v>
      </c>
      <c r="I33" s="628">
        <v>0</v>
      </c>
      <c r="J33" s="628">
        <v>237.63</v>
      </c>
      <c r="K33" s="813">
        <f t="shared" si="0"/>
        <v>237.63</v>
      </c>
      <c r="L33" s="814">
        <v>201.3</v>
      </c>
      <c r="M33" s="815">
        <v>168.32999999999998</v>
      </c>
    </row>
    <row r="34" spans="1:13" ht="30" customHeight="1" x14ac:dyDescent="0.25">
      <c r="A34" s="627" t="s">
        <v>10913</v>
      </c>
      <c r="B34" s="810">
        <v>2768</v>
      </c>
      <c r="C34" s="627" t="s">
        <v>10912</v>
      </c>
      <c r="D34" s="627" t="s">
        <v>10911</v>
      </c>
      <c r="E34" s="767" t="s">
        <v>10913</v>
      </c>
      <c r="F34" s="758">
        <v>100</v>
      </c>
      <c r="G34" s="758"/>
      <c r="H34" s="758">
        <v>100</v>
      </c>
      <c r="I34" s="628"/>
      <c r="J34" s="628"/>
      <c r="K34" s="813"/>
      <c r="L34" s="814">
        <v>150</v>
      </c>
      <c r="M34" s="815">
        <v>150</v>
      </c>
    </row>
    <row r="35" spans="1:13" ht="30" customHeight="1" x14ac:dyDescent="0.25">
      <c r="A35" s="627" t="s">
        <v>9293</v>
      </c>
      <c r="B35" s="627" t="s">
        <v>9292</v>
      </c>
      <c r="C35" s="627" t="s">
        <v>9291</v>
      </c>
      <c r="D35" s="627" t="s">
        <v>9290</v>
      </c>
      <c r="E35" s="767" t="s">
        <v>9293</v>
      </c>
      <c r="F35" s="758">
        <v>74</v>
      </c>
      <c r="G35" s="758">
        <v>220</v>
      </c>
      <c r="H35" s="758">
        <v>294</v>
      </c>
      <c r="I35" s="628">
        <v>27</v>
      </c>
      <c r="J35" s="628">
        <v>62</v>
      </c>
      <c r="K35" s="813">
        <f t="shared" ref="K35:K70" si="1">SUM(I35:J35)</f>
        <v>89</v>
      </c>
      <c r="L35" s="814">
        <v>820.34</v>
      </c>
      <c r="M35" s="815">
        <v>362</v>
      </c>
    </row>
    <row r="36" spans="1:13" ht="30" customHeight="1" x14ac:dyDescent="0.25">
      <c r="A36" s="627" t="s">
        <v>9289</v>
      </c>
      <c r="B36" s="627" t="s">
        <v>9288</v>
      </c>
      <c r="C36" s="627" t="s">
        <v>9287</v>
      </c>
      <c r="D36" s="627" t="s">
        <v>9286</v>
      </c>
      <c r="E36" s="767"/>
      <c r="F36" s="758"/>
      <c r="G36" s="758"/>
      <c r="H36" s="758"/>
      <c r="I36" s="628">
        <v>0</v>
      </c>
      <c r="J36" s="628">
        <v>290.3</v>
      </c>
      <c r="K36" s="813">
        <f t="shared" si="1"/>
        <v>290.3</v>
      </c>
      <c r="L36" s="814">
        <v>25</v>
      </c>
      <c r="M36" s="815">
        <v>161</v>
      </c>
    </row>
    <row r="37" spans="1:13" ht="30" customHeight="1" x14ac:dyDescent="0.25">
      <c r="A37" s="627" t="s">
        <v>9285</v>
      </c>
      <c r="B37" s="627" t="s">
        <v>9284</v>
      </c>
      <c r="C37" s="627" t="s">
        <v>226</v>
      </c>
      <c r="D37" s="627" t="s">
        <v>9283</v>
      </c>
      <c r="E37" s="767" t="s">
        <v>9285</v>
      </c>
      <c r="F37" s="758">
        <v>720.71</v>
      </c>
      <c r="G37" s="758">
        <v>1116.0999999999999</v>
      </c>
      <c r="H37" s="758">
        <v>1836.81</v>
      </c>
      <c r="I37" s="628">
        <v>20</v>
      </c>
      <c r="J37" s="628">
        <v>3063.42</v>
      </c>
      <c r="K37" s="813">
        <f t="shared" si="1"/>
        <v>3083.42</v>
      </c>
      <c r="L37" s="814">
        <v>3147.45</v>
      </c>
      <c r="M37" s="815">
        <v>3189.34</v>
      </c>
    </row>
    <row r="38" spans="1:13" ht="30" customHeight="1" x14ac:dyDescent="0.25">
      <c r="A38" s="627" t="s">
        <v>9282</v>
      </c>
      <c r="B38" s="627" t="s">
        <v>9281</v>
      </c>
      <c r="C38" s="627" t="s">
        <v>226</v>
      </c>
      <c r="D38" s="627" t="s">
        <v>9280</v>
      </c>
      <c r="E38" s="767" t="s">
        <v>9282</v>
      </c>
      <c r="F38" s="758">
        <v>30</v>
      </c>
      <c r="G38" s="758"/>
      <c r="H38" s="758">
        <v>30</v>
      </c>
      <c r="I38" s="628">
        <v>0</v>
      </c>
      <c r="J38" s="628">
        <v>99</v>
      </c>
      <c r="K38" s="813">
        <f t="shared" si="1"/>
        <v>99</v>
      </c>
      <c r="L38" s="814">
        <v>90.6</v>
      </c>
      <c r="M38" s="815">
        <v>103.94</v>
      </c>
    </row>
    <row r="39" spans="1:13" ht="30" customHeight="1" x14ac:dyDescent="0.25">
      <c r="A39" s="627" t="s">
        <v>9279</v>
      </c>
      <c r="B39" s="627" t="s">
        <v>9278</v>
      </c>
      <c r="C39" s="627" t="s">
        <v>9277</v>
      </c>
      <c r="D39" s="627" t="s">
        <v>9271</v>
      </c>
      <c r="E39" s="767" t="s">
        <v>9279</v>
      </c>
      <c r="F39" s="758"/>
      <c r="G39" s="758">
        <v>254</v>
      </c>
      <c r="H39" s="758">
        <v>254</v>
      </c>
      <c r="I39" s="628">
        <v>0</v>
      </c>
      <c r="J39" s="628">
        <v>535</v>
      </c>
      <c r="K39" s="813">
        <f t="shared" si="1"/>
        <v>535</v>
      </c>
      <c r="L39" s="814">
        <v>359</v>
      </c>
      <c r="M39" s="815">
        <v>443</v>
      </c>
    </row>
    <row r="40" spans="1:13" ht="30" customHeight="1" x14ac:dyDescent="0.25">
      <c r="A40" s="627" t="s">
        <v>9276</v>
      </c>
      <c r="B40" s="627" t="s">
        <v>9275</v>
      </c>
      <c r="C40" s="627" t="s">
        <v>226</v>
      </c>
      <c r="D40" s="627" t="s">
        <v>9271</v>
      </c>
      <c r="E40" s="767" t="s">
        <v>9276</v>
      </c>
      <c r="F40" s="758">
        <v>100</v>
      </c>
      <c r="G40" s="758">
        <v>737.5</v>
      </c>
      <c r="H40" s="758">
        <v>837.5</v>
      </c>
      <c r="I40" s="628">
        <v>0</v>
      </c>
      <c r="J40" s="628">
        <v>1010.3</v>
      </c>
      <c r="K40" s="813">
        <f t="shared" si="1"/>
        <v>1010.3</v>
      </c>
      <c r="L40" s="814">
        <v>835.3</v>
      </c>
      <c r="M40" s="815">
        <v>1187</v>
      </c>
    </row>
    <row r="41" spans="1:13" ht="30" customHeight="1" x14ac:dyDescent="0.25">
      <c r="A41" s="627" t="s">
        <v>9274</v>
      </c>
      <c r="B41" s="627" t="s">
        <v>9273</v>
      </c>
      <c r="C41" s="627" t="s">
        <v>9272</v>
      </c>
      <c r="D41" s="627" t="s">
        <v>9271</v>
      </c>
      <c r="E41" s="767" t="s">
        <v>9274</v>
      </c>
      <c r="F41" s="758">
        <v>20</v>
      </c>
      <c r="G41" s="758">
        <v>130</v>
      </c>
      <c r="H41" s="758">
        <v>150</v>
      </c>
      <c r="I41" s="628">
        <v>0</v>
      </c>
      <c r="J41" s="628">
        <v>970.55</v>
      </c>
      <c r="K41" s="813">
        <f t="shared" si="1"/>
        <v>970.55</v>
      </c>
      <c r="L41" s="814">
        <v>760</v>
      </c>
      <c r="M41" s="815">
        <v>1112.3699999999999</v>
      </c>
    </row>
    <row r="42" spans="1:13" ht="30" customHeight="1" x14ac:dyDescent="0.25">
      <c r="A42" s="627" t="s">
        <v>9270</v>
      </c>
      <c r="B42" s="627" t="s">
        <v>9269</v>
      </c>
      <c r="C42" s="627" t="s">
        <v>1165</v>
      </c>
      <c r="D42" s="627" t="s">
        <v>9268</v>
      </c>
      <c r="E42" s="767" t="s">
        <v>9270</v>
      </c>
      <c r="F42" s="758">
        <v>25</v>
      </c>
      <c r="G42" s="758"/>
      <c r="H42" s="758">
        <v>25</v>
      </c>
      <c r="I42" s="628">
        <v>25</v>
      </c>
      <c r="J42" s="628">
        <v>618</v>
      </c>
      <c r="K42" s="813">
        <f t="shared" si="1"/>
        <v>643</v>
      </c>
      <c r="L42" s="814">
        <v>213</v>
      </c>
      <c r="M42" s="815">
        <v>529.12</v>
      </c>
    </row>
    <row r="43" spans="1:13" ht="30" customHeight="1" x14ac:dyDescent="0.25">
      <c r="A43" s="627" t="s">
        <v>9267</v>
      </c>
      <c r="B43" s="627" t="s">
        <v>9266</v>
      </c>
      <c r="C43" s="627" t="s">
        <v>9265</v>
      </c>
      <c r="D43" s="627" t="s">
        <v>9264</v>
      </c>
      <c r="E43" s="767" t="s">
        <v>9267</v>
      </c>
      <c r="F43" s="758"/>
      <c r="G43" s="758">
        <v>750</v>
      </c>
      <c r="H43" s="758">
        <v>750</v>
      </c>
      <c r="I43" s="628">
        <v>0</v>
      </c>
      <c r="J43" s="628">
        <v>773.3</v>
      </c>
      <c r="K43" s="813">
        <f t="shared" si="1"/>
        <v>773.3</v>
      </c>
      <c r="L43" s="814">
        <v>788.45</v>
      </c>
      <c r="M43" s="815">
        <v>605.91</v>
      </c>
    </row>
    <row r="44" spans="1:13" ht="30" customHeight="1" x14ac:dyDescent="0.25">
      <c r="A44" s="627" t="s">
        <v>9263</v>
      </c>
      <c r="B44" s="627" t="s">
        <v>9262</v>
      </c>
      <c r="C44" s="627" t="s">
        <v>9261</v>
      </c>
      <c r="D44" s="627" t="s">
        <v>9260</v>
      </c>
      <c r="E44" s="767" t="s">
        <v>9263</v>
      </c>
      <c r="F44" s="758">
        <v>118</v>
      </c>
      <c r="G44" s="758">
        <v>298.41000000000003</v>
      </c>
      <c r="H44" s="758">
        <v>416.41</v>
      </c>
      <c r="I44" s="628">
        <v>44</v>
      </c>
      <c r="J44" s="628">
        <v>841.78</v>
      </c>
      <c r="K44" s="813">
        <f t="shared" si="1"/>
        <v>885.78</v>
      </c>
      <c r="L44" s="814">
        <v>638.70000000000005</v>
      </c>
      <c r="M44" s="815">
        <v>1055.71</v>
      </c>
    </row>
    <row r="45" spans="1:13" ht="30" customHeight="1" x14ac:dyDescent="0.25">
      <c r="A45" s="627" t="s">
        <v>9259</v>
      </c>
      <c r="B45" s="627" t="s">
        <v>9258</v>
      </c>
      <c r="C45" s="627" t="s">
        <v>9257</v>
      </c>
      <c r="D45" s="627" t="s">
        <v>9256</v>
      </c>
      <c r="E45" s="767" t="s">
        <v>9259</v>
      </c>
      <c r="F45" s="758">
        <v>15</v>
      </c>
      <c r="G45" s="758"/>
      <c r="H45" s="758">
        <v>15</v>
      </c>
      <c r="I45" s="628">
        <v>0</v>
      </c>
      <c r="J45" s="628">
        <v>150.33000000000001</v>
      </c>
      <c r="K45" s="813">
        <f t="shared" si="1"/>
        <v>150.33000000000001</v>
      </c>
      <c r="L45" s="814">
        <v>25</v>
      </c>
      <c r="M45" s="815">
        <v>153</v>
      </c>
    </row>
    <row r="46" spans="1:13" ht="30" customHeight="1" x14ac:dyDescent="0.25">
      <c r="A46" s="627" t="s">
        <v>9255</v>
      </c>
      <c r="B46" s="627" t="s">
        <v>9254</v>
      </c>
      <c r="C46" s="627" t="s">
        <v>8697</v>
      </c>
      <c r="D46" s="627" t="s">
        <v>9253</v>
      </c>
      <c r="E46" s="767" t="s">
        <v>9255</v>
      </c>
      <c r="F46" s="758">
        <v>130</v>
      </c>
      <c r="G46" s="758">
        <v>598.61</v>
      </c>
      <c r="H46" s="758">
        <v>728.61</v>
      </c>
      <c r="I46" s="628">
        <v>30</v>
      </c>
      <c r="J46" s="628">
        <v>1385.4099999999999</v>
      </c>
      <c r="K46" s="813">
        <f t="shared" si="1"/>
        <v>1415.4099999999999</v>
      </c>
      <c r="L46" s="814">
        <v>1277.98</v>
      </c>
      <c r="M46" s="815">
        <v>1137.83</v>
      </c>
    </row>
    <row r="47" spans="1:13" ht="30" customHeight="1" x14ac:dyDescent="0.25">
      <c r="A47" s="627" t="s">
        <v>9252</v>
      </c>
      <c r="B47" s="627" t="s">
        <v>9251</v>
      </c>
      <c r="C47" s="627" t="s">
        <v>226</v>
      </c>
      <c r="D47" s="627" t="s">
        <v>9250</v>
      </c>
      <c r="E47" s="767" t="s">
        <v>9252</v>
      </c>
      <c r="F47" s="758">
        <v>25</v>
      </c>
      <c r="G47" s="758">
        <v>110.74</v>
      </c>
      <c r="H47" s="758">
        <v>135.74</v>
      </c>
      <c r="I47" s="628">
        <v>0</v>
      </c>
      <c r="J47" s="628">
        <v>312.37</v>
      </c>
      <c r="K47" s="813">
        <f t="shared" si="1"/>
        <v>312.37</v>
      </c>
      <c r="L47" s="814">
        <v>382.23</v>
      </c>
      <c r="M47" s="815">
        <v>445.05</v>
      </c>
    </row>
    <row r="48" spans="1:13" ht="30" customHeight="1" x14ac:dyDescent="0.25">
      <c r="A48" s="627" t="s">
        <v>9249</v>
      </c>
      <c r="B48" s="627" t="s">
        <v>9248</v>
      </c>
      <c r="C48" s="627" t="s">
        <v>226</v>
      </c>
      <c r="D48" s="627" t="s">
        <v>9247</v>
      </c>
      <c r="E48" s="767" t="s">
        <v>9249</v>
      </c>
      <c r="F48" s="758">
        <v>75</v>
      </c>
      <c r="G48" s="758">
        <v>272</v>
      </c>
      <c r="H48" s="758">
        <v>347</v>
      </c>
      <c r="I48" s="628">
        <v>75</v>
      </c>
      <c r="J48" s="628">
        <v>747</v>
      </c>
      <c r="K48" s="813">
        <f t="shared" si="1"/>
        <v>822</v>
      </c>
      <c r="L48" s="814">
        <v>1370.3</v>
      </c>
      <c r="M48" s="815">
        <v>948</v>
      </c>
    </row>
    <row r="49" spans="1:13" ht="30" customHeight="1" x14ac:dyDescent="0.25">
      <c r="A49" s="627" t="s">
        <v>9246</v>
      </c>
      <c r="B49" s="627" t="s">
        <v>9245</v>
      </c>
      <c r="C49" s="627" t="s">
        <v>226</v>
      </c>
      <c r="D49" s="627" t="s">
        <v>9144</v>
      </c>
      <c r="E49" s="767" t="s">
        <v>9246</v>
      </c>
      <c r="F49" s="758">
        <v>20</v>
      </c>
      <c r="G49" s="758">
        <v>779.5</v>
      </c>
      <c r="H49" s="758">
        <v>799.5</v>
      </c>
      <c r="I49" s="628">
        <v>20</v>
      </c>
      <c r="J49" s="628">
        <v>849.15000000000009</v>
      </c>
      <c r="K49" s="813">
        <f t="shared" si="1"/>
        <v>869.15000000000009</v>
      </c>
      <c r="L49" s="814">
        <v>928.55</v>
      </c>
      <c r="M49" s="815">
        <v>982.45</v>
      </c>
    </row>
    <row r="50" spans="1:13" ht="30" customHeight="1" x14ac:dyDescent="0.25">
      <c r="A50" s="627" t="s">
        <v>9244</v>
      </c>
      <c r="B50" s="627" t="s">
        <v>9243</v>
      </c>
      <c r="C50" s="627" t="s">
        <v>9242</v>
      </c>
      <c r="D50" s="627" t="s">
        <v>9241</v>
      </c>
      <c r="E50" s="767" t="s">
        <v>9244</v>
      </c>
      <c r="F50" s="758">
        <v>440</v>
      </c>
      <c r="G50" s="758"/>
      <c r="H50" s="758">
        <v>440</v>
      </c>
      <c r="I50" s="628">
        <v>0</v>
      </c>
      <c r="J50" s="628">
        <v>2005.85</v>
      </c>
      <c r="K50" s="813">
        <f t="shared" si="1"/>
        <v>2005.85</v>
      </c>
      <c r="L50" s="814">
        <v>1204</v>
      </c>
      <c r="M50" s="815">
        <v>1442</v>
      </c>
    </row>
    <row r="51" spans="1:13" ht="30" customHeight="1" x14ac:dyDescent="0.25">
      <c r="A51" s="627" t="s">
        <v>9240</v>
      </c>
      <c r="B51" s="627" t="s">
        <v>9239</v>
      </c>
      <c r="C51" s="627" t="s">
        <v>9238</v>
      </c>
      <c r="D51" s="627" t="s">
        <v>9237</v>
      </c>
      <c r="E51" s="767" t="s">
        <v>9240</v>
      </c>
      <c r="F51" s="758">
        <v>160</v>
      </c>
      <c r="G51" s="758">
        <v>126</v>
      </c>
      <c r="H51" s="758">
        <v>286</v>
      </c>
      <c r="I51" s="628">
        <v>10</v>
      </c>
      <c r="J51" s="628">
        <v>371.5</v>
      </c>
      <c r="K51" s="813">
        <f t="shared" si="1"/>
        <v>381.5</v>
      </c>
      <c r="L51" s="814">
        <v>404.5</v>
      </c>
      <c r="M51" s="815">
        <v>143.19999999999999</v>
      </c>
    </row>
    <row r="52" spans="1:13" ht="30" customHeight="1" x14ac:dyDescent="0.25">
      <c r="A52" s="627" t="s">
        <v>9236</v>
      </c>
      <c r="B52" s="627" t="s">
        <v>9235</v>
      </c>
      <c r="C52" s="627" t="s">
        <v>9234</v>
      </c>
      <c r="D52" s="627" t="s">
        <v>9233</v>
      </c>
      <c r="E52" s="767" t="s">
        <v>9236</v>
      </c>
      <c r="F52" s="758">
        <v>50</v>
      </c>
      <c r="G52" s="758">
        <v>660</v>
      </c>
      <c r="H52" s="758">
        <v>710</v>
      </c>
      <c r="I52" s="628">
        <v>0</v>
      </c>
      <c r="J52" s="628">
        <v>1700</v>
      </c>
      <c r="K52" s="813">
        <f t="shared" si="1"/>
        <v>1700</v>
      </c>
      <c r="L52" s="814">
        <v>1798.8</v>
      </c>
      <c r="M52" s="815">
        <v>2174</v>
      </c>
    </row>
    <row r="53" spans="1:13" ht="30" customHeight="1" x14ac:dyDescent="0.25">
      <c r="A53" s="627" t="s">
        <v>9232</v>
      </c>
      <c r="B53" s="627" t="s">
        <v>9231</v>
      </c>
      <c r="C53" s="627" t="s">
        <v>6487</v>
      </c>
      <c r="D53" s="627" t="s">
        <v>9230</v>
      </c>
      <c r="E53" s="767" t="s">
        <v>9232</v>
      </c>
      <c r="F53" s="758"/>
      <c r="G53" s="758">
        <v>181.21</v>
      </c>
      <c r="H53" s="758">
        <v>181.21</v>
      </c>
      <c r="I53" s="628">
        <v>0</v>
      </c>
      <c r="J53" s="628">
        <v>219.96</v>
      </c>
      <c r="K53" s="813">
        <f t="shared" si="1"/>
        <v>219.96</v>
      </c>
      <c r="L53" s="814">
        <v>224.52</v>
      </c>
      <c r="M53" s="815">
        <v>220.01</v>
      </c>
    </row>
    <row r="54" spans="1:13" ht="30" customHeight="1" x14ac:dyDescent="0.25">
      <c r="A54" s="627" t="s">
        <v>9229</v>
      </c>
      <c r="B54" s="627" t="s">
        <v>9228</v>
      </c>
      <c r="C54" s="627" t="s">
        <v>226</v>
      </c>
      <c r="D54" s="627" t="s">
        <v>9227</v>
      </c>
      <c r="E54" s="767" t="s">
        <v>9229</v>
      </c>
      <c r="F54" s="758">
        <v>155</v>
      </c>
      <c r="G54" s="758"/>
      <c r="H54" s="758">
        <v>155</v>
      </c>
      <c r="I54" s="628">
        <v>0</v>
      </c>
      <c r="J54" s="628">
        <v>529.54</v>
      </c>
      <c r="K54" s="813">
        <f t="shared" si="1"/>
        <v>529.54</v>
      </c>
      <c r="L54" s="814">
        <v>572.23</v>
      </c>
      <c r="M54" s="815">
        <v>600.16</v>
      </c>
    </row>
    <row r="55" spans="1:13" ht="30" customHeight="1" x14ac:dyDescent="0.25">
      <c r="A55" s="627" t="s">
        <v>9226</v>
      </c>
      <c r="B55" s="627" t="s">
        <v>9225</v>
      </c>
      <c r="C55" s="627" t="s">
        <v>1065</v>
      </c>
      <c r="D55" s="627" t="s">
        <v>9106</v>
      </c>
      <c r="E55" s="767" t="s">
        <v>9226</v>
      </c>
      <c r="F55" s="758">
        <v>280</v>
      </c>
      <c r="G55" s="758"/>
      <c r="H55" s="758">
        <v>280</v>
      </c>
      <c r="I55" s="628">
        <v>100</v>
      </c>
      <c r="J55" s="628">
        <v>1631</v>
      </c>
      <c r="K55" s="813">
        <f t="shared" si="1"/>
        <v>1731</v>
      </c>
      <c r="L55" s="814">
        <v>1759.5</v>
      </c>
      <c r="M55" s="815">
        <v>1961.14</v>
      </c>
    </row>
    <row r="56" spans="1:13" ht="30" customHeight="1" x14ac:dyDescent="0.25">
      <c r="A56" s="627" t="s">
        <v>9224</v>
      </c>
      <c r="B56" s="627" t="s">
        <v>9223</v>
      </c>
      <c r="C56" s="627" t="s">
        <v>7797</v>
      </c>
      <c r="D56" s="627" t="s">
        <v>9222</v>
      </c>
      <c r="E56" s="767" t="s">
        <v>9224</v>
      </c>
      <c r="F56" s="758">
        <v>225</v>
      </c>
      <c r="G56" s="758">
        <v>420</v>
      </c>
      <c r="H56" s="758">
        <v>645</v>
      </c>
      <c r="I56" s="628">
        <v>55</v>
      </c>
      <c r="J56" s="628">
        <v>839</v>
      </c>
      <c r="K56" s="813">
        <f t="shared" si="1"/>
        <v>894</v>
      </c>
      <c r="L56" s="814">
        <v>997</v>
      </c>
      <c r="M56" s="815">
        <v>964</v>
      </c>
    </row>
    <row r="57" spans="1:13" ht="30" customHeight="1" x14ac:dyDescent="0.25">
      <c r="A57" s="627" t="s">
        <v>9221</v>
      </c>
      <c r="B57" s="627" t="s">
        <v>9220</v>
      </c>
      <c r="C57" s="627" t="s">
        <v>9219</v>
      </c>
      <c r="D57" s="627" t="s">
        <v>9218</v>
      </c>
      <c r="E57" s="767" t="s">
        <v>9221</v>
      </c>
      <c r="F57" s="758">
        <v>94</v>
      </c>
      <c r="G57" s="758">
        <v>853.12</v>
      </c>
      <c r="H57" s="758">
        <v>947.12</v>
      </c>
      <c r="I57" s="628">
        <v>12</v>
      </c>
      <c r="J57" s="628">
        <v>660.15000000000009</v>
      </c>
      <c r="K57" s="813">
        <f t="shared" si="1"/>
        <v>672.15000000000009</v>
      </c>
      <c r="L57" s="814">
        <v>1007.94</v>
      </c>
      <c r="M57" s="815">
        <v>1058.4099999999999</v>
      </c>
    </row>
    <row r="58" spans="1:13" ht="30" customHeight="1" x14ac:dyDescent="0.25">
      <c r="A58" s="627" t="s">
        <v>9217</v>
      </c>
      <c r="B58" s="627" t="s">
        <v>9216</v>
      </c>
      <c r="C58" s="627" t="s">
        <v>9215</v>
      </c>
      <c r="D58" s="627" t="s">
        <v>9115</v>
      </c>
      <c r="E58" s="767" t="s">
        <v>9217</v>
      </c>
      <c r="F58" s="758"/>
      <c r="G58" s="758">
        <v>1716.05</v>
      </c>
      <c r="H58" s="758">
        <v>1716.05</v>
      </c>
      <c r="I58" s="628">
        <v>0</v>
      </c>
      <c r="J58" s="628">
        <v>1873.2</v>
      </c>
      <c r="K58" s="813">
        <f t="shared" si="1"/>
        <v>1873.2</v>
      </c>
      <c r="L58" s="814">
        <v>1825</v>
      </c>
      <c r="M58" s="815">
        <v>2177</v>
      </c>
    </row>
    <row r="59" spans="1:13" ht="30" customHeight="1" x14ac:dyDescent="0.25">
      <c r="A59" s="627" t="s">
        <v>9214</v>
      </c>
      <c r="B59" s="627" t="s">
        <v>9213</v>
      </c>
      <c r="C59" s="627" t="s">
        <v>226</v>
      </c>
      <c r="D59" s="627" t="s">
        <v>8826</v>
      </c>
      <c r="E59" s="767" t="s">
        <v>9214</v>
      </c>
      <c r="F59" s="758">
        <v>26</v>
      </c>
      <c r="G59" s="758"/>
      <c r="H59" s="758">
        <v>26</v>
      </c>
      <c r="I59" s="628">
        <v>0</v>
      </c>
      <c r="J59" s="628">
        <v>125.16</v>
      </c>
      <c r="K59" s="813">
        <f t="shared" si="1"/>
        <v>125.16</v>
      </c>
      <c r="L59" s="814">
        <v>50</v>
      </c>
      <c r="M59" s="815">
        <v>142.37</v>
      </c>
    </row>
    <row r="60" spans="1:13" ht="30" customHeight="1" x14ac:dyDescent="0.25">
      <c r="A60" s="627" t="s">
        <v>9212</v>
      </c>
      <c r="B60" s="627" t="s">
        <v>9211</v>
      </c>
      <c r="C60" s="627" t="s">
        <v>9210</v>
      </c>
      <c r="D60" s="627" t="s">
        <v>9209</v>
      </c>
      <c r="E60" s="767" t="s">
        <v>9212</v>
      </c>
      <c r="F60" s="758">
        <v>425.2</v>
      </c>
      <c r="G60" s="758">
        <v>536.3599999999999</v>
      </c>
      <c r="H60" s="758">
        <v>961.56</v>
      </c>
      <c r="I60" s="628">
        <v>196</v>
      </c>
      <c r="J60" s="628">
        <v>1646.8</v>
      </c>
      <c r="K60" s="813">
        <f t="shared" si="1"/>
        <v>1842.8</v>
      </c>
      <c r="L60" s="814">
        <v>1345.13</v>
      </c>
      <c r="M60" s="815">
        <v>1456.16</v>
      </c>
    </row>
    <row r="61" spans="1:13" ht="30" customHeight="1" x14ac:dyDescent="0.25">
      <c r="A61" s="627" t="s">
        <v>9208</v>
      </c>
      <c r="B61" s="627" t="s">
        <v>9207</v>
      </c>
      <c r="C61" s="627" t="s">
        <v>164</v>
      </c>
      <c r="D61" s="627" t="s">
        <v>9112</v>
      </c>
      <c r="E61" s="767" t="s">
        <v>9208</v>
      </c>
      <c r="F61" s="758">
        <v>206</v>
      </c>
      <c r="G61" s="758"/>
      <c r="H61" s="758">
        <v>206</v>
      </c>
      <c r="I61" s="628">
        <v>71</v>
      </c>
      <c r="J61" s="628">
        <v>110</v>
      </c>
      <c r="K61" s="813">
        <f t="shared" si="1"/>
        <v>181</v>
      </c>
      <c r="L61" s="814">
        <v>231</v>
      </c>
      <c r="M61" s="815">
        <v>181</v>
      </c>
    </row>
    <row r="62" spans="1:13" ht="30" customHeight="1" x14ac:dyDescent="0.25">
      <c r="A62" s="627" t="s">
        <v>9206</v>
      </c>
      <c r="B62" s="627" t="s">
        <v>9205</v>
      </c>
      <c r="C62" s="627" t="s">
        <v>1409</v>
      </c>
      <c r="D62" s="627" t="s">
        <v>9109</v>
      </c>
      <c r="E62" s="767" t="s">
        <v>9206</v>
      </c>
      <c r="F62" s="758">
        <v>225</v>
      </c>
      <c r="G62" s="758">
        <v>1357</v>
      </c>
      <c r="H62" s="758">
        <v>1582</v>
      </c>
      <c r="I62" s="628">
        <v>120</v>
      </c>
      <c r="J62" s="628">
        <v>2405</v>
      </c>
      <c r="K62" s="813">
        <f t="shared" si="1"/>
        <v>2525</v>
      </c>
      <c r="L62" s="814">
        <v>1922</v>
      </c>
      <c r="M62" s="815">
        <v>2599</v>
      </c>
    </row>
    <row r="63" spans="1:13" ht="30" customHeight="1" x14ac:dyDescent="0.25">
      <c r="A63" s="627" t="s">
        <v>9204</v>
      </c>
      <c r="B63" s="627" t="s">
        <v>9203</v>
      </c>
      <c r="C63" s="627" t="s">
        <v>9202</v>
      </c>
      <c r="D63" s="627" t="s">
        <v>9109</v>
      </c>
      <c r="E63" s="767" t="s">
        <v>9204</v>
      </c>
      <c r="F63" s="758"/>
      <c r="G63" s="758">
        <v>1358.96</v>
      </c>
      <c r="H63" s="758">
        <v>1358.96</v>
      </c>
      <c r="I63" s="628">
        <v>0</v>
      </c>
      <c r="J63" s="628">
        <v>1852.5299999999995</v>
      </c>
      <c r="K63" s="813">
        <f t="shared" si="1"/>
        <v>1852.5299999999995</v>
      </c>
      <c r="L63" s="814">
        <v>2399.36</v>
      </c>
      <c r="M63" s="815">
        <v>2268.1799999999998</v>
      </c>
    </row>
    <row r="64" spans="1:13" ht="30" customHeight="1" x14ac:dyDescent="0.25">
      <c r="A64" s="627" t="s">
        <v>9201</v>
      </c>
      <c r="B64" s="627" t="s">
        <v>9200</v>
      </c>
      <c r="C64" s="627" t="s">
        <v>9199</v>
      </c>
      <c r="D64" s="627" t="s">
        <v>9109</v>
      </c>
      <c r="E64" s="767" t="s">
        <v>9201</v>
      </c>
      <c r="F64" s="758"/>
      <c r="G64" s="758">
        <v>735.69</v>
      </c>
      <c r="H64" s="758">
        <v>735.69</v>
      </c>
      <c r="I64" s="628">
        <v>0</v>
      </c>
      <c r="J64" s="628">
        <v>1018.0999999999999</v>
      </c>
      <c r="K64" s="813">
        <f t="shared" si="1"/>
        <v>1018.0999999999999</v>
      </c>
      <c r="L64" s="814">
        <v>751.16</v>
      </c>
      <c r="M64" s="815">
        <v>654.54999999999995</v>
      </c>
    </row>
    <row r="65" spans="1:13" ht="30" customHeight="1" x14ac:dyDescent="0.25">
      <c r="A65" s="627" t="s">
        <v>9198</v>
      </c>
      <c r="B65" s="627" t="s">
        <v>9197</v>
      </c>
      <c r="C65" s="627" t="s">
        <v>1588</v>
      </c>
      <c r="D65" s="627" t="s">
        <v>9109</v>
      </c>
      <c r="E65" s="767" t="s">
        <v>9198</v>
      </c>
      <c r="F65" s="758">
        <v>110</v>
      </c>
      <c r="G65" s="758">
        <v>444</v>
      </c>
      <c r="H65" s="758">
        <v>554</v>
      </c>
      <c r="I65" s="628">
        <v>0</v>
      </c>
      <c r="J65" s="628">
        <v>749.05</v>
      </c>
      <c r="K65" s="813">
        <f t="shared" si="1"/>
        <v>749.05</v>
      </c>
      <c r="L65" s="814">
        <v>661</v>
      </c>
      <c r="M65" s="815">
        <v>744</v>
      </c>
    </row>
    <row r="66" spans="1:13" ht="30" customHeight="1" x14ac:dyDescent="0.25">
      <c r="A66" s="627" t="s">
        <v>9196</v>
      </c>
      <c r="B66" s="627" t="s">
        <v>9195</v>
      </c>
      <c r="C66" s="627" t="s">
        <v>1165</v>
      </c>
      <c r="D66" s="627" t="s">
        <v>9109</v>
      </c>
      <c r="E66" s="767" t="s">
        <v>9196</v>
      </c>
      <c r="F66" s="758">
        <v>30</v>
      </c>
      <c r="G66" s="758">
        <v>310</v>
      </c>
      <c r="H66" s="758">
        <v>340</v>
      </c>
      <c r="I66" s="628">
        <v>0</v>
      </c>
      <c r="J66" s="628">
        <v>243</v>
      </c>
      <c r="K66" s="813">
        <f t="shared" si="1"/>
        <v>243</v>
      </c>
      <c r="L66" s="814">
        <v>255.87</v>
      </c>
      <c r="M66" s="815">
        <v>223</v>
      </c>
    </row>
    <row r="67" spans="1:13" ht="30" customHeight="1" x14ac:dyDescent="0.25">
      <c r="A67" s="627" t="s">
        <v>9194</v>
      </c>
      <c r="B67" s="627" t="s">
        <v>9193</v>
      </c>
      <c r="C67" s="627" t="s">
        <v>9192</v>
      </c>
      <c r="D67" s="627" t="s">
        <v>9109</v>
      </c>
      <c r="E67" s="767" t="s">
        <v>9194</v>
      </c>
      <c r="F67" s="758"/>
      <c r="G67" s="758">
        <v>291</v>
      </c>
      <c r="H67" s="758">
        <v>291</v>
      </c>
      <c r="I67" s="628">
        <v>0</v>
      </c>
      <c r="J67" s="628">
        <v>479</v>
      </c>
      <c r="K67" s="813">
        <f t="shared" si="1"/>
        <v>479</v>
      </c>
      <c r="L67" s="814">
        <v>499</v>
      </c>
      <c r="M67" s="815">
        <v>780</v>
      </c>
    </row>
    <row r="68" spans="1:13" ht="30" customHeight="1" x14ac:dyDescent="0.25">
      <c r="A68" s="627" t="s">
        <v>9191</v>
      </c>
      <c r="B68" s="627" t="s">
        <v>9190</v>
      </c>
      <c r="C68" s="627" t="s">
        <v>9189</v>
      </c>
      <c r="D68" s="627" t="s">
        <v>9109</v>
      </c>
      <c r="E68" s="767" t="s">
        <v>9191</v>
      </c>
      <c r="F68" s="758">
        <v>24</v>
      </c>
      <c r="G68" s="758">
        <v>419.89</v>
      </c>
      <c r="H68" s="758">
        <v>443.89</v>
      </c>
      <c r="I68" s="628">
        <v>12</v>
      </c>
      <c r="J68" s="628">
        <v>785.17</v>
      </c>
      <c r="K68" s="813">
        <f t="shared" si="1"/>
        <v>797.17</v>
      </c>
      <c r="L68" s="814">
        <v>1811.91</v>
      </c>
      <c r="M68" s="815">
        <v>1388.58</v>
      </c>
    </row>
    <row r="69" spans="1:13" ht="30" customHeight="1" x14ac:dyDescent="0.25">
      <c r="A69" s="627" t="s">
        <v>9188</v>
      </c>
      <c r="B69" s="627" t="s">
        <v>9187</v>
      </c>
      <c r="C69" s="627" t="s">
        <v>3864</v>
      </c>
      <c r="D69" s="627" t="s">
        <v>9109</v>
      </c>
      <c r="E69" s="767" t="s">
        <v>9188</v>
      </c>
      <c r="F69" s="758">
        <v>671</v>
      </c>
      <c r="G69" s="758">
        <v>142.94999999999999</v>
      </c>
      <c r="H69" s="758">
        <v>813.95</v>
      </c>
      <c r="I69" s="628">
        <v>120</v>
      </c>
      <c r="J69" s="628">
        <v>819</v>
      </c>
      <c r="K69" s="813">
        <f t="shared" si="1"/>
        <v>939</v>
      </c>
      <c r="L69" s="814">
        <v>1709</v>
      </c>
      <c r="M69" s="815">
        <v>1794</v>
      </c>
    </row>
    <row r="70" spans="1:13" ht="30" customHeight="1" x14ac:dyDescent="0.25">
      <c r="A70" s="627" t="s">
        <v>9186</v>
      </c>
      <c r="B70" s="627" t="s">
        <v>9185</v>
      </c>
      <c r="C70" s="627" t="s">
        <v>9184</v>
      </c>
      <c r="D70" s="627" t="s">
        <v>9109</v>
      </c>
      <c r="E70" s="767" t="s">
        <v>9186</v>
      </c>
      <c r="F70" s="758">
        <v>187.5</v>
      </c>
      <c r="G70" s="758">
        <v>431.94</v>
      </c>
      <c r="H70" s="758">
        <v>619.44000000000005</v>
      </c>
      <c r="I70" s="628">
        <v>62</v>
      </c>
      <c r="J70" s="628">
        <v>826.04</v>
      </c>
      <c r="K70" s="813">
        <f t="shared" si="1"/>
        <v>888.04</v>
      </c>
      <c r="L70" s="814">
        <v>1557.72</v>
      </c>
      <c r="M70" s="815">
        <v>1073.7</v>
      </c>
    </row>
    <row r="71" spans="1:13" ht="30" customHeight="1" x14ac:dyDescent="0.25">
      <c r="A71" s="627" t="s">
        <v>9183</v>
      </c>
      <c r="B71" s="627" t="s">
        <v>9182</v>
      </c>
      <c r="C71" s="627" t="s">
        <v>9181</v>
      </c>
      <c r="D71" s="627" t="s">
        <v>9109</v>
      </c>
      <c r="E71" s="767" t="s">
        <v>9183</v>
      </c>
      <c r="F71" s="758">
        <v>40</v>
      </c>
      <c r="G71" s="758">
        <v>155</v>
      </c>
      <c r="H71" s="758">
        <v>195</v>
      </c>
      <c r="I71" s="628">
        <v>0</v>
      </c>
      <c r="J71" s="628">
        <v>414.16</v>
      </c>
      <c r="K71" s="813">
        <f>SUM(I71:J71)</f>
        <v>414.16</v>
      </c>
      <c r="L71" s="814">
        <v>399.2</v>
      </c>
      <c r="M71" s="815">
        <v>399.47</v>
      </c>
    </row>
    <row r="72" spans="1:13" s="613" customFormat="1" ht="30" customHeight="1" x14ac:dyDescent="0.25">
      <c r="A72" s="627" t="s">
        <v>9180</v>
      </c>
      <c r="B72" s="627" t="s">
        <v>9179</v>
      </c>
      <c r="C72" s="627" t="s">
        <v>7193</v>
      </c>
      <c r="D72" s="627" t="s">
        <v>9109</v>
      </c>
      <c r="E72" s="767" t="s">
        <v>9180</v>
      </c>
      <c r="F72" s="758">
        <v>50</v>
      </c>
      <c r="G72" s="758">
        <v>675.5</v>
      </c>
      <c r="H72" s="758">
        <v>725.5</v>
      </c>
      <c r="I72" s="628">
        <v>0</v>
      </c>
      <c r="J72" s="628">
        <v>745.73</v>
      </c>
      <c r="K72" s="813">
        <f>SUM(I72:J72)</f>
        <v>745.73</v>
      </c>
      <c r="L72" s="814">
        <v>1623.61</v>
      </c>
      <c r="M72" s="815">
        <v>1599.68</v>
      </c>
    </row>
    <row r="73" spans="1:13" ht="30" customHeight="1" x14ac:dyDescent="0.25">
      <c r="A73" s="627" t="s">
        <v>9178</v>
      </c>
      <c r="B73" s="627" t="s">
        <v>9177</v>
      </c>
      <c r="C73" s="627" t="s">
        <v>119</v>
      </c>
      <c r="D73" s="627" t="s">
        <v>9106</v>
      </c>
      <c r="E73" s="767" t="s">
        <v>9178</v>
      </c>
      <c r="F73" s="758">
        <v>95</v>
      </c>
      <c r="G73" s="758">
        <v>890.57999999999993</v>
      </c>
      <c r="H73" s="758">
        <v>985.57999999999993</v>
      </c>
      <c r="I73" s="628">
        <v>115</v>
      </c>
      <c r="J73" s="628">
        <v>2582.83</v>
      </c>
      <c r="K73" s="813">
        <f>SUM(I73:J73)</f>
        <v>2697.83</v>
      </c>
      <c r="L73" s="814">
        <v>3535.65</v>
      </c>
      <c r="M73" s="815">
        <v>2903.02</v>
      </c>
    </row>
    <row r="74" spans="1:13" ht="30" customHeight="1" x14ac:dyDescent="0.25">
      <c r="A74" s="614" t="s">
        <v>10910</v>
      </c>
      <c r="B74" s="627" t="s">
        <v>11336</v>
      </c>
      <c r="C74" s="614" t="s">
        <v>10909</v>
      </c>
      <c r="D74" s="614" t="s">
        <v>10908</v>
      </c>
      <c r="E74" s="767" t="s">
        <v>10910</v>
      </c>
      <c r="F74" s="758">
        <v>90</v>
      </c>
      <c r="G74" s="758"/>
      <c r="H74" s="758">
        <v>90</v>
      </c>
      <c r="I74" s="628"/>
      <c r="J74" s="628"/>
      <c r="K74" s="813"/>
      <c r="L74" s="814">
        <v>90</v>
      </c>
      <c r="M74" s="815">
        <v>130</v>
      </c>
    </row>
    <row r="75" spans="1:13" ht="30" customHeight="1" x14ac:dyDescent="0.25">
      <c r="A75" s="627" t="s">
        <v>9176</v>
      </c>
      <c r="B75" s="627" t="s">
        <v>9175</v>
      </c>
      <c r="C75" s="627" t="s">
        <v>532</v>
      </c>
      <c r="D75" s="627" t="s">
        <v>9174</v>
      </c>
      <c r="E75" s="767" t="s">
        <v>9176</v>
      </c>
      <c r="F75" s="758">
        <v>76.239999999999995</v>
      </c>
      <c r="G75" s="758"/>
      <c r="H75" s="758">
        <v>76.239999999999995</v>
      </c>
      <c r="I75" s="628">
        <v>35</v>
      </c>
      <c r="J75" s="628">
        <v>0</v>
      </c>
      <c r="K75" s="813">
        <f t="shared" ref="K75:K95" si="2">SUM(I75:J75)</f>
        <v>35</v>
      </c>
      <c r="L75" s="814"/>
      <c r="M75" s="815">
        <v>40</v>
      </c>
    </row>
    <row r="76" spans="1:13" ht="30" customHeight="1" x14ac:dyDescent="0.25">
      <c r="A76" s="627" t="s">
        <v>9173</v>
      </c>
      <c r="B76" s="627" t="s">
        <v>9172</v>
      </c>
      <c r="C76" s="627" t="s">
        <v>127</v>
      </c>
      <c r="D76" s="627" t="s">
        <v>9171</v>
      </c>
      <c r="E76" s="767" t="s">
        <v>9173</v>
      </c>
      <c r="F76" s="758"/>
      <c r="G76" s="758">
        <v>74.239999999999995</v>
      </c>
      <c r="H76" s="758">
        <v>74.239999999999995</v>
      </c>
      <c r="I76" s="628">
        <v>0</v>
      </c>
      <c r="J76" s="628">
        <v>116</v>
      </c>
      <c r="K76" s="813">
        <f t="shared" si="2"/>
        <v>116</v>
      </c>
      <c r="L76" s="814">
        <v>100</v>
      </c>
      <c r="M76" s="815">
        <v>196</v>
      </c>
    </row>
    <row r="77" spans="1:13" ht="30" customHeight="1" x14ac:dyDescent="0.25">
      <c r="A77" s="627" t="s">
        <v>9170</v>
      </c>
      <c r="B77" s="627" t="s">
        <v>9169</v>
      </c>
      <c r="C77" s="627" t="s">
        <v>231</v>
      </c>
      <c r="D77" s="627" t="s">
        <v>9103</v>
      </c>
      <c r="E77" s="767" t="s">
        <v>9170</v>
      </c>
      <c r="F77" s="758">
        <v>16.5</v>
      </c>
      <c r="G77" s="758">
        <v>1741.3899999999999</v>
      </c>
      <c r="H77" s="758">
        <v>1757.8899999999999</v>
      </c>
      <c r="I77" s="628">
        <v>160</v>
      </c>
      <c r="J77" s="628">
        <v>2763.1200000000003</v>
      </c>
      <c r="K77" s="813">
        <f t="shared" si="2"/>
        <v>2923.1200000000003</v>
      </c>
      <c r="L77" s="814">
        <v>2885.51</v>
      </c>
      <c r="M77" s="815">
        <v>3136.97</v>
      </c>
    </row>
    <row r="78" spans="1:13" ht="30" customHeight="1" x14ac:dyDescent="0.25">
      <c r="A78" s="627" t="s">
        <v>9168</v>
      </c>
      <c r="B78" s="627" t="s">
        <v>9167</v>
      </c>
      <c r="C78" s="627" t="s">
        <v>9166</v>
      </c>
      <c r="D78" s="627" t="s">
        <v>9165</v>
      </c>
      <c r="E78" s="767" t="s">
        <v>9168</v>
      </c>
      <c r="F78" s="758">
        <v>15</v>
      </c>
      <c r="G78" s="758">
        <v>16.47</v>
      </c>
      <c r="H78" s="758">
        <v>31.47</v>
      </c>
      <c r="I78" s="628">
        <v>15</v>
      </c>
      <c r="J78" s="628">
        <v>170.04</v>
      </c>
      <c r="K78" s="813">
        <f t="shared" si="2"/>
        <v>185.04</v>
      </c>
      <c r="L78" s="814">
        <v>177.85</v>
      </c>
      <c r="M78" s="815">
        <v>218.35</v>
      </c>
    </row>
    <row r="79" spans="1:13" ht="30" customHeight="1" x14ac:dyDescent="0.25">
      <c r="A79" s="627" t="s">
        <v>9164</v>
      </c>
      <c r="B79" s="627" t="s">
        <v>9163</v>
      </c>
      <c r="C79" s="627" t="s">
        <v>9162</v>
      </c>
      <c r="D79" s="627" t="s">
        <v>9161</v>
      </c>
      <c r="E79" s="767" t="s">
        <v>9164</v>
      </c>
      <c r="F79" s="758">
        <v>360</v>
      </c>
      <c r="G79" s="758">
        <v>524</v>
      </c>
      <c r="H79" s="758">
        <v>884</v>
      </c>
      <c r="I79" s="628">
        <v>105</v>
      </c>
      <c r="J79" s="628">
        <v>1147</v>
      </c>
      <c r="K79" s="813">
        <f t="shared" si="2"/>
        <v>1252</v>
      </c>
      <c r="L79" s="814">
        <v>1657.97</v>
      </c>
      <c r="M79" s="815">
        <v>1089.05</v>
      </c>
    </row>
    <row r="80" spans="1:13" ht="30" customHeight="1" x14ac:dyDescent="0.25">
      <c r="A80" s="627" t="s">
        <v>9160</v>
      </c>
      <c r="B80" s="627" t="s">
        <v>9159</v>
      </c>
      <c r="C80" s="627" t="s">
        <v>9158</v>
      </c>
      <c r="D80" s="627" t="s">
        <v>9157</v>
      </c>
      <c r="E80" s="767"/>
      <c r="F80" s="758"/>
      <c r="G80" s="758"/>
      <c r="H80" s="758"/>
      <c r="I80" s="628">
        <v>0</v>
      </c>
      <c r="J80" s="628">
        <v>324.45</v>
      </c>
      <c r="K80" s="813">
        <f t="shared" si="2"/>
        <v>324.45</v>
      </c>
      <c r="L80" s="814">
        <v>211.81</v>
      </c>
      <c r="M80" s="815">
        <v>378.23</v>
      </c>
    </row>
    <row r="81" spans="1:13" ht="30" customHeight="1" x14ac:dyDescent="0.25">
      <c r="A81" s="627" t="s">
        <v>9156</v>
      </c>
      <c r="B81" s="627" t="s">
        <v>9155</v>
      </c>
      <c r="C81" s="627" t="s">
        <v>9154</v>
      </c>
      <c r="D81" s="627" t="s">
        <v>9153</v>
      </c>
      <c r="E81" s="767" t="s">
        <v>9156</v>
      </c>
      <c r="F81" s="758">
        <v>40</v>
      </c>
      <c r="G81" s="758"/>
      <c r="H81" s="758">
        <v>40</v>
      </c>
      <c r="I81" s="628">
        <v>0</v>
      </c>
      <c r="J81" s="628">
        <v>10</v>
      </c>
      <c r="K81" s="813">
        <f t="shared" si="2"/>
        <v>10</v>
      </c>
      <c r="L81" s="814"/>
      <c r="M81" s="815"/>
    </row>
    <row r="82" spans="1:13" ht="30" customHeight="1" x14ac:dyDescent="0.25">
      <c r="A82" s="627" t="s">
        <v>9152</v>
      </c>
      <c r="B82" s="627" t="s">
        <v>9151</v>
      </c>
      <c r="C82" s="627" t="s">
        <v>839</v>
      </c>
      <c r="D82" s="627" t="s">
        <v>9150</v>
      </c>
      <c r="E82" s="767" t="s">
        <v>9152</v>
      </c>
      <c r="F82" s="758"/>
      <c r="G82" s="758">
        <v>102.2</v>
      </c>
      <c r="H82" s="758">
        <v>102.2</v>
      </c>
      <c r="I82" s="628">
        <v>25</v>
      </c>
      <c r="J82" s="628">
        <v>144</v>
      </c>
      <c r="K82" s="813">
        <f t="shared" si="2"/>
        <v>169</v>
      </c>
      <c r="L82" s="814">
        <v>190.41</v>
      </c>
      <c r="M82" s="815">
        <v>198.84</v>
      </c>
    </row>
    <row r="83" spans="1:13" ht="30" customHeight="1" x14ac:dyDescent="0.25">
      <c r="A83" s="627" t="s">
        <v>9149</v>
      </c>
      <c r="B83" s="627" t="s">
        <v>9148</v>
      </c>
      <c r="C83" s="627" t="s">
        <v>9147</v>
      </c>
      <c r="D83" s="627" t="s">
        <v>9144</v>
      </c>
      <c r="E83" s="767" t="s">
        <v>9149</v>
      </c>
      <c r="F83" s="758">
        <v>65</v>
      </c>
      <c r="G83" s="758">
        <v>2325</v>
      </c>
      <c r="H83" s="758">
        <v>2390</v>
      </c>
      <c r="I83" s="628">
        <v>35</v>
      </c>
      <c r="J83" s="628">
        <v>974.90000000000009</v>
      </c>
      <c r="K83" s="813">
        <f t="shared" si="2"/>
        <v>1009.9000000000001</v>
      </c>
      <c r="L83" s="814">
        <v>2132.4</v>
      </c>
      <c r="M83" s="815">
        <v>1719.05</v>
      </c>
    </row>
    <row r="84" spans="1:13" ht="30" customHeight="1" x14ac:dyDescent="0.25">
      <c r="A84" s="627" t="s">
        <v>9146</v>
      </c>
      <c r="B84" s="627" t="s">
        <v>9145</v>
      </c>
      <c r="C84" s="627" t="s">
        <v>5211</v>
      </c>
      <c r="D84" s="627" t="s">
        <v>9144</v>
      </c>
      <c r="E84" s="767" t="s">
        <v>9146</v>
      </c>
      <c r="F84" s="758">
        <v>60</v>
      </c>
      <c r="G84" s="758">
        <v>757</v>
      </c>
      <c r="H84" s="758">
        <v>817</v>
      </c>
      <c r="I84" s="628">
        <v>60</v>
      </c>
      <c r="J84" s="628">
        <v>1031.5</v>
      </c>
      <c r="K84" s="813">
        <f t="shared" si="2"/>
        <v>1091.5</v>
      </c>
      <c r="L84" s="814">
        <v>1455.27</v>
      </c>
      <c r="M84" s="815">
        <v>1860.57</v>
      </c>
    </row>
    <row r="85" spans="1:13" ht="30" customHeight="1" x14ac:dyDescent="0.25">
      <c r="A85" s="627" t="s">
        <v>9143</v>
      </c>
      <c r="B85" s="627" t="s">
        <v>9142</v>
      </c>
      <c r="C85" s="627" t="s">
        <v>5390</v>
      </c>
      <c r="D85" s="627" t="s">
        <v>9141</v>
      </c>
      <c r="E85" s="767" t="s">
        <v>9143</v>
      </c>
      <c r="F85" s="758">
        <v>150</v>
      </c>
      <c r="G85" s="758">
        <v>9.2899999999999991</v>
      </c>
      <c r="H85" s="758">
        <v>159.29</v>
      </c>
      <c r="I85" s="628">
        <v>0</v>
      </c>
      <c r="J85" s="628">
        <v>603.5</v>
      </c>
      <c r="K85" s="813">
        <f t="shared" si="2"/>
        <v>603.5</v>
      </c>
      <c r="L85" s="814">
        <v>1023.5</v>
      </c>
      <c r="M85" s="815">
        <v>598.19000000000005</v>
      </c>
    </row>
    <row r="86" spans="1:13" ht="30" customHeight="1" x14ac:dyDescent="0.25">
      <c r="A86" s="627" t="s">
        <v>9140</v>
      </c>
      <c r="B86" s="627" t="s">
        <v>9139</v>
      </c>
      <c r="C86" s="627" t="s">
        <v>9138</v>
      </c>
      <c r="D86" s="627" t="s">
        <v>9137</v>
      </c>
      <c r="E86" s="767" t="s">
        <v>9140</v>
      </c>
      <c r="F86" s="758">
        <v>95</v>
      </c>
      <c r="G86" s="758"/>
      <c r="H86" s="758">
        <v>95</v>
      </c>
      <c r="I86" s="628">
        <v>0</v>
      </c>
      <c r="J86" s="628">
        <v>215.39</v>
      </c>
      <c r="K86" s="813">
        <f t="shared" si="2"/>
        <v>215.39</v>
      </c>
      <c r="L86" s="814">
        <v>151.6</v>
      </c>
      <c r="M86" s="815">
        <v>266.27999999999997</v>
      </c>
    </row>
    <row r="87" spans="1:13" ht="30" customHeight="1" x14ac:dyDescent="0.25">
      <c r="A87" s="627" t="s">
        <v>9136</v>
      </c>
      <c r="B87" s="627" t="s">
        <v>9135</v>
      </c>
      <c r="C87" s="627" t="s">
        <v>9134</v>
      </c>
      <c r="D87" s="627" t="s">
        <v>9130</v>
      </c>
      <c r="E87" s="767" t="s">
        <v>9136</v>
      </c>
      <c r="F87" s="758"/>
      <c r="G87" s="758">
        <v>1800.8000000000002</v>
      </c>
      <c r="H87" s="758">
        <v>1800.8000000000002</v>
      </c>
      <c r="I87" s="628">
        <v>0</v>
      </c>
      <c r="J87" s="628">
        <v>3901.93</v>
      </c>
      <c r="K87" s="813">
        <f t="shared" si="2"/>
        <v>3901.93</v>
      </c>
      <c r="L87" s="814">
        <v>4450.08</v>
      </c>
      <c r="M87" s="815">
        <v>5991.31</v>
      </c>
    </row>
    <row r="88" spans="1:13" ht="30" customHeight="1" x14ac:dyDescent="0.25">
      <c r="A88" s="627" t="s">
        <v>9133</v>
      </c>
      <c r="B88" s="627" t="s">
        <v>9132</v>
      </c>
      <c r="C88" s="627" t="s">
        <v>9131</v>
      </c>
      <c r="D88" s="627" t="s">
        <v>9130</v>
      </c>
      <c r="E88" s="767"/>
      <c r="F88" s="758"/>
      <c r="G88" s="758"/>
      <c r="H88" s="758"/>
      <c r="I88" s="628">
        <v>30</v>
      </c>
      <c r="J88" s="628">
        <v>30</v>
      </c>
      <c r="K88" s="813">
        <f t="shared" si="2"/>
        <v>60</v>
      </c>
      <c r="L88" s="814"/>
      <c r="M88" s="815"/>
    </row>
    <row r="89" spans="1:13" ht="30" customHeight="1" x14ac:dyDescent="0.25">
      <c r="A89" s="627" t="s">
        <v>9129</v>
      </c>
      <c r="B89" s="627" t="s">
        <v>9128</v>
      </c>
      <c r="C89" s="627" t="s">
        <v>9127</v>
      </c>
      <c r="D89" s="627" t="s">
        <v>9126</v>
      </c>
      <c r="E89" s="767" t="s">
        <v>9129</v>
      </c>
      <c r="F89" s="758">
        <v>110</v>
      </c>
      <c r="G89" s="758">
        <v>401.88</v>
      </c>
      <c r="H89" s="758">
        <v>511.88</v>
      </c>
      <c r="I89" s="628">
        <v>125</v>
      </c>
      <c r="J89" s="628">
        <v>602.71</v>
      </c>
      <c r="K89" s="813">
        <f t="shared" si="2"/>
        <v>727.71</v>
      </c>
      <c r="L89" s="814">
        <v>702.52</v>
      </c>
      <c r="M89" s="815">
        <v>518.57999999999993</v>
      </c>
    </row>
    <row r="90" spans="1:13" ht="30" customHeight="1" x14ac:dyDescent="0.25">
      <c r="A90" s="627" t="s">
        <v>9125</v>
      </c>
      <c r="B90" s="627" t="s">
        <v>9124</v>
      </c>
      <c r="C90" s="627" t="s">
        <v>9123</v>
      </c>
      <c r="D90" s="627" t="s">
        <v>9122</v>
      </c>
      <c r="E90" s="767" t="s">
        <v>9125</v>
      </c>
      <c r="F90" s="758">
        <v>370</v>
      </c>
      <c r="G90" s="758"/>
      <c r="H90" s="758">
        <v>370</v>
      </c>
      <c r="I90" s="628">
        <v>25</v>
      </c>
      <c r="J90" s="628">
        <v>280.27999999999997</v>
      </c>
      <c r="K90" s="813">
        <f t="shared" si="2"/>
        <v>305.27999999999997</v>
      </c>
      <c r="L90" s="814">
        <v>413.75</v>
      </c>
      <c r="M90" s="815">
        <v>549.07999999999993</v>
      </c>
    </row>
    <row r="91" spans="1:13" ht="30" customHeight="1" x14ac:dyDescent="0.25">
      <c r="A91" s="627" t="s">
        <v>11332</v>
      </c>
      <c r="B91" s="810">
        <v>2783</v>
      </c>
      <c r="C91" s="627" t="s">
        <v>7332</v>
      </c>
      <c r="D91" s="627" t="s">
        <v>11337</v>
      </c>
      <c r="E91" s="767" t="s">
        <v>11332</v>
      </c>
      <c r="F91" s="758">
        <v>100</v>
      </c>
      <c r="G91" s="758"/>
      <c r="H91" s="758">
        <v>100</v>
      </c>
      <c r="I91" s="628"/>
      <c r="J91" s="628"/>
      <c r="K91" s="813"/>
      <c r="L91" s="814"/>
      <c r="M91" s="815"/>
    </row>
    <row r="92" spans="1:13" ht="30" customHeight="1" x14ac:dyDescent="0.25">
      <c r="A92" s="627" t="s">
        <v>9121</v>
      </c>
      <c r="B92" s="627" t="s">
        <v>9120</v>
      </c>
      <c r="C92" s="627" t="s">
        <v>916</v>
      </c>
      <c r="D92" s="627" t="s">
        <v>9119</v>
      </c>
      <c r="E92" s="767" t="s">
        <v>9121</v>
      </c>
      <c r="F92" s="758">
        <v>194.64</v>
      </c>
      <c r="G92" s="758">
        <v>245.71</v>
      </c>
      <c r="H92" s="758">
        <v>440.35</v>
      </c>
      <c r="I92" s="628">
        <v>0</v>
      </c>
      <c r="J92" s="628">
        <v>884.57999999999993</v>
      </c>
      <c r="K92" s="813">
        <f t="shared" si="2"/>
        <v>884.57999999999993</v>
      </c>
      <c r="L92" s="814">
        <v>887.13</v>
      </c>
      <c r="M92" s="815">
        <v>852.88</v>
      </c>
    </row>
    <row r="93" spans="1:13" ht="30" customHeight="1" x14ac:dyDescent="0.25">
      <c r="A93" s="627" t="s">
        <v>9118</v>
      </c>
      <c r="B93" s="627" t="s">
        <v>9117</v>
      </c>
      <c r="C93" s="627" t="s">
        <v>9116</v>
      </c>
      <c r="D93" s="627" t="s">
        <v>9115</v>
      </c>
      <c r="E93" s="767" t="s">
        <v>9118</v>
      </c>
      <c r="F93" s="758">
        <v>40</v>
      </c>
      <c r="G93" s="758"/>
      <c r="H93" s="758">
        <v>40</v>
      </c>
      <c r="I93" s="628">
        <v>20</v>
      </c>
      <c r="J93" s="628">
        <v>20</v>
      </c>
      <c r="K93" s="813">
        <f t="shared" si="2"/>
        <v>40</v>
      </c>
      <c r="L93" s="814"/>
      <c r="M93" s="815"/>
    </row>
    <row r="94" spans="1:13" ht="30" customHeight="1" x14ac:dyDescent="0.25">
      <c r="A94" s="627" t="s">
        <v>9114</v>
      </c>
      <c r="B94" s="627" t="s">
        <v>9113</v>
      </c>
      <c r="C94" s="627" t="s">
        <v>1047</v>
      </c>
      <c r="D94" s="627" t="s">
        <v>9112</v>
      </c>
      <c r="E94" s="767" t="s">
        <v>9114</v>
      </c>
      <c r="F94" s="758">
        <v>5080</v>
      </c>
      <c r="G94" s="758"/>
      <c r="H94" s="758">
        <v>5080</v>
      </c>
      <c r="I94" s="628">
        <v>40</v>
      </c>
      <c r="J94" s="628">
        <v>0</v>
      </c>
      <c r="K94" s="813">
        <f t="shared" si="2"/>
        <v>40</v>
      </c>
      <c r="L94" s="814">
        <v>60</v>
      </c>
      <c r="M94" s="815">
        <v>1180.97</v>
      </c>
    </row>
    <row r="95" spans="1:13" ht="30" customHeight="1" x14ac:dyDescent="0.25">
      <c r="A95" s="627" t="s">
        <v>9111</v>
      </c>
      <c r="B95" s="627" t="s">
        <v>9110</v>
      </c>
      <c r="C95" s="627" t="s">
        <v>5145</v>
      </c>
      <c r="D95" s="627" t="s">
        <v>9109</v>
      </c>
      <c r="E95" s="767" t="s">
        <v>9111</v>
      </c>
      <c r="F95" s="758">
        <v>130</v>
      </c>
      <c r="G95" s="758">
        <v>1372</v>
      </c>
      <c r="H95" s="758">
        <v>1502</v>
      </c>
      <c r="I95" s="628">
        <v>105</v>
      </c>
      <c r="J95" s="628">
        <v>1982.23</v>
      </c>
      <c r="K95" s="813">
        <f t="shared" si="2"/>
        <v>2087.23</v>
      </c>
      <c r="L95" s="814">
        <v>2010.44</v>
      </c>
      <c r="M95" s="815">
        <v>2078.71</v>
      </c>
    </row>
    <row r="96" spans="1:13" ht="30" customHeight="1" x14ac:dyDescent="0.25">
      <c r="A96" s="627" t="s">
        <v>9108</v>
      </c>
      <c r="B96" s="627" t="s">
        <v>9107</v>
      </c>
      <c r="C96" s="627" t="s">
        <v>5256</v>
      </c>
      <c r="D96" s="627" t="s">
        <v>9106</v>
      </c>
      <c r="E96" s="767" t="s">
        <v>9108</v>
      </c>
      <c r="F96" s="758">
        <v>125</v>
      </c>
      <c r="G96" s="758">
        <v>414</v>
      </c>
      <c r="H96" s="758">
        <v>539</v>
      </c>
      <c r="I96" s="628">
        <v>0</v>
      </c>
      <c r="J96" s="628">
        <v>1319</v>
      </c>
      <c r="K96" s="813">
        <f>SUM(I96:J96)</f>
        <v>1319</v>
      </c>
      <c r="L96" s="814">
        <v>125</v>
      </c>
      <c r="M96" s="815">
        <v>1054</v>
      </c>
    </row>
    <row r="97" spans="1:15" ht="30" customHeight="1" x14ac:dyDescent="0.25">
      <c r="A97" s="627" t="s">
        <v>9105</v>
      </c>
      <c r="B97" s="627" t="s">
        <v>9104</v>
      </c>
      <c r="C97" s="627" t="s">
        <v>3704</v>
      </c>
      <c r="D97" s="627" t="s">
        <v>9103</v>
      </c>
      <c r="E97" s="767" t="s">
        <v>9105</v>
      </c>
      <c r="F97" s="758">
        <v>80</v>
      </c>
      <c r="G97" s="758"/>
      <c r="H97" s="758">
        <v>80</v>
      </c>
      <c r="I97" s="628">
        <v>50</v>
      </c>
      <c r="J97" s="628">
        <v>0</v>
      </c>
      <c r="K97" s="813">
        <f>SUM(I97:J97)</f>
        <v>50</v>
      </c>
      <c r="L97" s="814">
        <v>30</v>
      </c>
      <c r="M97" s="815">
        <v>30</v>
      </c>
    </row>
    <row r="98" spans="1:15" ht="30" customHeight="1" x14ac:dyDescent="0.25">
      <c r="A98" s="627" t="s">
        <v>11333</v>
      </c>
      <c r="B98" s="627" t="s">
        <v>11338</v>
      </c>
      <c r="C98" s="627" t="s">
        <v>7321</v>
      </c>
      <c r="D98" s="627" t="s">
        <v>11339</v>
      </c>
      <c r="E98" s="767" t="s">
        <v>11333</v>
      </c>
      <c r="F98" s="758">
        <v>15</v>
      </c>
      <c r="G98" s="758"/>
      <c r="H98" s="758">
        <v>15</v>
      </c>
      <c r="I98" s="628"/>
      <c r="J98" s="628"/>
      <c r="K98" s="813"/>
      <c r="L98" s="814"/>
      <c r="M98" s="815"/>
    </row>
    <row r="99" spans="1:15" ht="30" customHeight="1" x14ac:dyDescent="0.25">
      <c r="A99" s="627" t="s">
        <v>9102</v>
      </c>
      <c r="B99" s="627" t="s">
        <v>9101</v>
      </c>
      <c r="C99" s="627" t="s">
        <v>9100</v>
      </c>
      <c r="D99" s="627" t="s">
        <v>9099</v>
      </c>
      <c r="E99" s="767" t="s">
        <v>9102</v>
      </c>
      <c r="F99" s="758">
        <v>3199.47</v>
      </c>
      <c r="G99" s="758">
        <v>418.96</v>
      </c>
      <c r="H99" s="758">
        <v>3618.43</v>
      </c>
      <c r="I99" s="628">
        <v>115</v>
      </c>
      <c r="J99" s="628">
        <v>845.07999999999993</v>
      </c>
      <c r="K99" s="813">
        <f>SUM(I99:J99)</f>
        <v>960.07999999999993</v>
      </c>
      <c r="L99" s="814">
        <v>366.94</v>
      </c>
      <c r="M99" s="815">
        <v>872.67000000000007</v>
      </c>
    </row>
    <row r="100" spans="1:15" ht="15.75" thickBot="1" x14ac:dyDescent="0.3"/>
    <row r="101" spans="1:15" s="74" customFormat="1" ht="83.25" customHeight="1" thickBot="1" x14ac:dyDescent="0.25">
      <c r="A101" s="854" t="s">
        <v>10987</v>
      </c>
      <c r="B101" s="855"/>
      <c r="C101" s="855"/>
      <c r="D101" s="855"/>
      <c r="E101" s="855"/>
      <c r="F101" s="855"/>
      <c r="G101" s="855"/>
      <c r="H101" s="855"/>
      <c r="I101" s="855"/>
      <c r="J101" s="855"/>
      <c r="K101" s="855"/>
      <c r="L101" s="855"/>
      <c r="M101" s="855"/>
      <c r="N101" s="855"/>
      <c r="O101" s="855"/>
    </row>
    <row r="102" spans="1:15" s="74" customFormat="1" x14ac:dyDescent="0.2">
      <c r="A102" s="718"/>
      <c r="B102" s="718"/>
      <c r="C102" s="718"/>
    </row>
    <row r="103" spans="1:15" s="74" customFormat="1" ht="45" x14ac:dyDescent="0.2">
      <c r="A103" s="897" t="s">
        <v>10990</v>
      </c>
      <c r="B103" s="897"/>
      <c r="C103" s="764" t="s">
        <v>11008</v>
      </c>
    </row>
    <row r="104" spans="1:15" s="74" customFormat="1" ht="45" x14ac:dyDescent="0.2">
      <c r="A104" s="897" t="s">
        <v>7809</v>
      </c>
      <c r="B104" s="897"/>
      <c r="C104" s="764" t="s">
        <v>11320</v>
      </c>
    </row>
  </sheetData>
  <mergeCells count="3">
    <mergeCell ref="A101:O101"/>
    <mergeCell ref="A103:B103"/>
    <mergeCell ref="A104:B104"/>
  </mergeCells>
  <conditionalFormatting sqref="E37 A34:D34">
    <cfRule type="duplicateValues" dxfId="62" priority="4"/>
  </conditionalFormatting>
  <conditionalFormatting sqref="A35:A90 A1:A33 A100:A1048576 A92:A95">
    <cfRule type="duplicateValues" dxfId="61" priority="29"/>
  </conditionalFormatting>
  <conditionalFormatting sqref="A96:A99">
    <cfRule type="duplicateValues" dxfId="60" priority="2"/>
  </conditionalFormatting>
  <conditionalFormatting sqref="A91">
    <cfRule type="duplicateValues" dxfId="59" priority="1"/>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O110"/>
  <sheetViews>
    <sheetView workbookViewId="0">
      <pane xSplit="2" ySplit="3" topLeftCell="C103" activePane="bottomRight" state="frozen"/>
      <selection pane="topRight" activeCell="C1" sqref="C1"/>
      <selection pane="bottomLeft" activeCell="A4" sqref="A4"/>
      <selection pane="bottomRight" activeCell="A109" sqref="A109:XFD110"/>
    </sheetView>
  </sheetViews>
  <sheetFormatPr defaultColWidth="9.140625" defaultRowHeight="15" x14ac:dyDescent="0.25"/>
  <cols>
    <col min="1" max="2" width="9.140625" style="608"/>
    <col min="3" max="3" width="51.28515625" style="608" customWidth="1"/>
    <col min="4" max="4" width="28.85546875" style="608" bestFit="1" customWidth="1"/>
    <col min="5" max="5" width="11" style="608" hidden="1" customWidth="1"/>
    <col min="6" max="6" width="13.7109375" style="608" bestFit="1" customWidth="1"/>
    <col min="7" max="7" width="12.85546875" style="608" bestFit="1" customWidth="1"/>
    <col min="8" max="8" width="14.28515625" style="613" bestFit="1" customWidth="1"/>
    <col min="9" max="9" width="14.28515625" style="613" hidden="1" customWidth="1"/>
    <col min="10" max="10" width="0" style="613" hidden="1" customWidth="1"/>
    <col min="11" max="13" width="12.85546875" style="608" bestFit="1" customWidth="1"/>
    <col min="14" max="16384" width="9.140625" style="608"/>
  </cols>
  <sheetData>
    <row r="1" spans="1:14" ht="26.25" x14ac:dyDescent="0.4">
      <c r="A1" s="609" t="s">
        <v>11343</v>
      </c>
      <c r="I1" s="608"/>
      <c r="J1" s="608"/>
      <c r="L1" s="613"/>
      <c r="M1" s="613"/>
      <c r="N1" s="613"/>
    </row>
    <row r="2" spans="1:14" ht="26.25" x14ac:dyDescent="0.4">
      <c r="A2" s="609"/>
      <c r="I2" s="608"/>
      <c r="J2" s="608"/>
      <c r="L2" s="613"/>
      <c r="M2" s="613"/>
      <c r="N2" s="613"/>
    </row>
    <row r="3" spans="1:14" ht="30" customHeight="1" x14ac:dyDescent="0.25">
      <c r="A3" s="629" t="s">
        <v>1</v>
      </c>
      <c r="B3" s="631" t="s">
        <v>8627</v>
      </c>
      <c r="C3" s="629" t="s">
        <v>7809</v>
      </c>
      <c r="D3" s="629" t="s">
        <v>2</v>
      </c>
      <c r="E3" s="629"/>
      <c r="F3" s="629" t="s">
        <v>11319</v>
      </c>
      <c r="G3" s="629" t="s">
        <v>7809</v>
      </c>
      <c r="H3" s="629">
        <v>2020</v>
      </c>
      <c r="I3" s="629" t="s">
        <v>8626</v>
      </c>
      <c r="J3" s="629" t="s">
        <v>8625</v>
      </c>
      <c r="K3" s="629">
        <v>2019</v>
      </c>
      <c r="L3" s="629">
        <v>2018</v>
      </c>
      <c r="M3" s="629">
        <v>2017</v>
      </c>
      <c r="N3" s="613"/>
    </row>
    <row r="4" spans="1:14" ht="30" customHeight="1" x14ac:dyDescent="0.25">
      <c r="A4" s="627" t="s">
        <v>9660</v>
      </c>
      <c r="B4" s="627" t="s">
        <v>9659</v>
      </c>
      <c r="C4" s="627" t="s">
        <v>9658</v>
      </c>
      <c r="D4" s="627" t="s">
        <v>9657</v>
      </c>
      <c r="E4" s="767" t="s">
        <v>9660</v>
      </c>
      <c r="F4" s="758">
        <v>70</v>
      </c>
      <c r="G4" s="758"/>
      <c r="H4" s="758">
        <v>70</v>
      </c>
      <c r="I4" s="628">
        <v>0</v>
      </c>
      <c r="J4" s="628">
        <v>390.6</v>
      </c>
      <c r="K4" s="813">
        <f t="shared" ref="K4:K30" si="0">SUM(I4:J4)</f>
        <v>390.6</v>
      </c>
      <c r="L4" s="818">
        <v>298.8</v>
      </c>
      <c r="M4" s="818">
        <v>353</v>
      </c>
      <c r="N4" s="613"/>
    </row>
    <row r="5" spans="1:14" ht="30" customHeight="1" x14ac:dyDescent="0.25">
      <c r="A5" s="627" t="s">
        <v>9656</v>
      </c>
      <c r="B5" s="627" t="s">
        <v>9655</v>
      </c>
      <c r="C5" s="627" t="s">
        <v>532</v>
      </c>
      <c r="D5" s="627" t="s">
        <v>9654</v>
      </c>
      <c r="E5" s="767" t="s">
        <v>9656</v>
      </c>
      <c r="F5" s="758">
        <v>40</v>
      </c>
      <c r="G5" s="758">
        <v>988.5</v>
      </c>
      <c r="H5" s="758">
        <v>1028.5</v>
      </c>
      <c r="I5" s="628">
        <v>0</v>
      </c>
      <c r="J5" s="628">
        <v>961</v>
      </c>
      <c r="K5" s="813">
        <f t="shared" si="0"/>
        <v>961</v>
      </c>
      <c r="L5" s="818">
        <v>872.16</v>
      </c>
      <c r="M5" s="818">
        <v>886</v>
      </c>
      <c r="N5" s="613"/>
    </row>
    <row r="6" spans="1:14" ht="30" customHeight="1" x14ac:dyDescent="0.25">
      <c r="A6" s="627" t="s">
        <v>9653</v>
      </c>
      <c r="B6" s="627" t="s">
        <v>9652</v>
      </c>
      <c r="C6" s="627" t="s">
        <v>1004</v>
      </c>
      <c r="D6" s="627" t="s">
        <v>9651</v>
      </c>
      <c r="E6" s="767" t="s">
        <v>9653</v>
      </c>
      <c r="F6" s="758">
        <v>50</v>
      </c>
      <c r="G6" s="758"/>
      <c r="H6" s="758">
        <v>50</v>
      </c>
      <c r="I6" s="628">
        <v>11.59</v>
      </c>
      <c r="J6" s="628">
        <v>580</v>
      </c>
      <c r="K6" s="813">
        <f t="shared" si="0"/>
        <v>591.59</v>
      </c>
      <c r="L6" s="818">
        <v>455</v>
      </c>
      <c r="M6" s="818">
        <v>575</v>
      </c>
      <c r="N6" s="613"/>
    </row>
    <row r="7" spans="1:14" ht="30" customHeight="1" x14ac:dyDescent="0.25">
      <c r="A7" s="627" t="s">
        <v>9650</v>
      </c>
      <c r="B7" s="627" t="s">
        <v>9649</v>
      </c>
      <c r="C7" s="627" t="s">
        <v>532</v>
      </c>
      <c r="D7" s="627" t="s">
        <v>9648</v>
      </c>
      <c r="E7" s="767" t="s">
        <v>9650</v>
      </c>
      <c r="F7" s="758"/>
      <c r="G7" s="758">
        <v>487.74</v>
      </c>
      <c r="H7" s="758">
        <v>487.74</v>
      </c>
      <c r="I7" s="628">
        <v>0</v>
      </c>
      <c r="J7" s="628">
        <v>684.18000000000006</v>
      </c>
      <c r="K7" s="813">
        <f t="shared" si="0"/>
        <v>684.18000000000006</v>
      </c>
      <c r="L7" s="818">
        <v>887.1</v>
      </c>
      <c r="M7" s="818">
        <v>479.07</v>
      </c>
      <c r="N7" s="613"/>
    </row>
    <row r="8" spans="1:14" ht="30" customHeight="1" x14ac:dyDescent="0.25">
      <c r="A8" s="627" t="s">
        <v>9647</v>
      </c>
      <c r="B8" s="627" t="s">
        <v>9646</v>
      </c>
      <c r="C8" s="627" t="s">
        <v>2981</v>
      </c>
      <c r="D8" s="627" t="s">
        <v>9645</v>
      </c>
      <c r="E8" s="767" t="s">
        <v>9647</v>
      </c>
      <c r="F8" s="758">
        <v>50</v>
      </c>
      <c r="G8" s="758">
        <v>475</v>
      </c>
      <c r="H8" s="758">
        <v>525</v>
      </c>
      <c r="I8" s="628">
        <v>0</v>
      </c>
      <c r="J8" s="628">
        <v>222.27</v>
      </c>
      <c r="K8" s="813">
        <f t="shared" si="0"/>
        <v>222.27</v>
      </c>
      <c r="L8" s="818">
        <v>10.14</v>
      </c>
      <c r="M8" s="818">
        <v>140.72</v>
      </c>
      <c r="N8" s="613"/>
    </row>
    <row r="9" spans="1:14" ht="30" customHeight="1" x14ac:dyDescent="0.25">
      <c r="A9" s="627" t="s">
        <v>9644</v>
      </c>
      <c r="B9" s="627" t="s">
        <v>9643</v>
      </c>
      <c r="C9" s="627" t="s">
        <v>9642</v>
      </c>
      <c r="D9" s="627" t="s">
        <v>9641</v>
      </c>
      <c r="E9" s="767" t="s">
        <v>9644</v>
      </c>
      <c r="F9" s="758">
        <v>45</v>
      </c>
      <c r="G9" s="758">
        <v>618</v>
      </c>
      <c r="H9" s="758">
        <v>663</v>
      </c>
      <c r="I9" s="628">
        <v>0</v>
      </c>
      <c r="J9" s="628">
        <v>1578.95</v>
      </c>
      <c r="K9" s="813">
        <f t="shared" si="0"/>
        <v>1578.95</v>
      </c>
      <c r="L9" s="818">
        <v>1796</v>
      </c>
      <c r="M9" s="818">
        <v>1310.55</v>
      </c>
      <c r="N9" s="613"/>
    </row>
    <row r="10" spans="1:14" ht="30" customHeight="1" x14ac:dyDescent="0.25">
      <c r="A10" s="627" t="s">
        <v>9640</v>
      </c>
      <c r="B10" s="627" t="s">
        <v>9639</v>
      </c>
      <c r="C10" s="627" t="s">
        <v>158</v>
      </c>
      <c r="D10" s="627" t="s">
        <v>3923</v>
      </c>
      <c r="E10" s="767" t="s">
        <v>9640</v>
      </c>
      <c r="F10" s="758">
        <v>100</v>
      </c>
      <c r="G10" s="758">
        <v>514.68000000000006</v>
      </c>
      <c r="H10" s="758">
        <v>614.68000000000006</v>
      </c>
      <c r="I10" s="628">
        <v>20</v>
      </c>
      <c r="J10" s="628">
        <v>2026.55</v>
      </c>
      <c r="K10" s="813">
        <f t="shared" si="0"/>
        <v>2046.55</v>
      </c>
      <c r="L10" s="818">
        <v>2277.3000000000002</v>
      </c>
      <c r="M10" s="818">
        <v>2108.8000000000002</v>
      </c>
      <c r="N10" s="613"/>
    </row>
    <row r="11" spans="1:14" ht="30" customHeight="1" x14ac:dyDescent="0.25">
      <c r="A11" s="627" t="s">
        <v>9638</v>
      </c>
      <c r="B11" s="627" t="s">
        <v>9637</v>
      </c>
      <c r="C11" s="627" t="s">
        <v>532</v>
      </c>
      <c r="D11" s="627" t="s">
        <v>9636</v>
      </c>
      <c r="E11" s="767" t="s">
        <v>9638</v>
      </c>
      <c r="F11" s="758">
        <v>15</v>
      </c>
      <c r="G11" s="758"/>
      <c r="H11" s="758">
        <v>15</v>
      </c>
      <c r="I11" s="628">
        <v>10</v>
      </c>
      <c r="J11" s="628">
        <v>65.16</v>
      </c>
      <c r="K11" s="813">
        <f t="shared" si="0"/>
        <v>75.16</v>
      </c>
      <c r="L11" s="818">
        <v>180.67000000000002</v>
      </c>
      <c r="M11" s="818">
        <v>151.18</v>
      </c>
      <c r="N11" s="613"/>
    </row>
    <row r="12" spans="1:14" ht="30" customHeight="1" x14ac:dyDescent="0.25">
      <c r="A12" s="627" t="s">
        <v>9635</v>
      </c>
      <c r="B12" s="627" t="s">
        <v>9634</v>
      </c>
      <c r="C12" s="627" t="s">
        <v>9633</v>
      </c>
      <c r="D12" s="627" t="s">
        <v>9605</v>
      </c>
      <c r="E12" s="767" t="s">
        <v>9635</v>
      </c>
      <c r="F12" s="758">
        <v>48</v>
      </c>
      <c r="G12" s="758"/>
      <c r="H12" s="758">
        <v>48</v>
      </c>
      <c r="I12" s="628">
        <v>29</v>
      </c>
      <c r="J12" s="628">
        <v>343.80000000000007</v>
      </c>
      <c r="K12" s="813">
        <f t="shared" si="0"/>
        <v>372.80000000000007</v>
      </c>
      <c r="L12" s="818">
        <v>876.88</v>
      </c>
      <c r="M12" s="818">
        <v>859.76</v>
      </c>
      <c r="N12" s="613"/>
    </row>
    <row r="13" spans="1:14" ht="30" customHeight="1" x14ac:dyDescent="0.25">
      <c r="A13" s="627" t="s">
        <v>9632</v>
      </c>
      <c r="B13" s="627" t="s">
        <v>9631</v>
      </c>
      <c r="C13" s="627" t="s">
        <v>4227</v>
      </c>
      <c r="D13" s="627" t="s">
        <v>9605</v>
      </c>
      <c r="E13" s="767" t="s">
        <v>9632</v>
      </c>
      <c r="F13" s="758">
        <v>70.010000000000005</v>
      </c>
      <c r="G13" s="758"/>
      <c r="H13" s="758">
        <v>70.010000000000005</v>
      </c>
      <c r="I13" s="628">
        <v>0</v>
      </c>
      <c r="J13" s="628">
        <v>927.73</v>
      </c>
      <c r="K13" s="813">
        <f t="shared" si="0"/>
        <v>927.73</v>
      </c>
      <c r="L13" s="818">
        <v>1173.07</v>
      </c>
      <c r="M13" s="818">
        <v>1247.48</v>
      </c>
      <c r="N13" s="613"/>
    </row>
    <row r="14" spans="1:14" ht="30" customHeight="1" x14ac:dyDescent="0.25">
      <c r="A14" s="627" t="s">
        <v>9630</v>
      </c>
      <c r="B14" s="627" t="s">
        <v>9629</v>
      </c>
      <c r="C14" s="627" t="s">
        <v>1409</v>
      </c>
      <c r="D14" s="627" t="s">
        <v>9605</v>
      </c>
      <c r="E14" s="767" t="s">
        <v>9630</v>
      </c>
      <c r="F14" s="758">
        <v>277.53999999999996</v>
      </c>
      <c r="G14" s="758">
        <v>342.96</v>
      </c>
      <c r="H14" s="758">
        <v>620.5</v>
      </c>
      <c r="I14" s="628">
        <v>10</v>
      </c>
      <c r="J14" s="628">
        <v>737</v>
      </c>
      <c r="K14" s="813">
        <f t="shared" si="0"/>
        <v>747</v>
      </c>
      <c r="L14" s="818">
        <v>589</v>
      </c>
      <c r="M14" s="818">
        <v>668.5</v>
      </c>
      <c r="N14" s="613"/>
    </row>
    <row r="15" spans="1:14" ht="30" customHeight="1" x14ac:dyDescent="0.25">
      <c r="A15" s="627" t="s">
        <v>9628</v>
      </c>
      <c r="B15" s="627" t="s">
        <v>9627</v>
      </c>
      <c r="C15" s="627" t="s">
        <v>5145</v>
      </c>
      <c r="D15" s="627" t="s">
        <v>9605</v>
      </c>
      <c r="E15" s="767" t="s">
        <v>9628</v>
      </c>
      <c r="F15" s="758">
        <v>181.62</v>
      </c>
      <c r="G15" s="758">
        <v>252.04000000000002</v>
      </c>
      <c r="H15" s="758">
        <v>433.66</v>
      </c>
      <c r="I15" s="628">
        <v>10</v>
      </c>
      <c r="J15" s="628">
        <v>1461.47</v>
      </c>
      <c r="K15" s="813">
        <f t="shared" si="0"/>
        <v>1471.47</v>
      </c>
      <c r="L15" s="818">
        <v>1256.32</v>
      </c>
      <c r="M15" s="818">
        <v>1554.63</v>
      </c>
      <c r="N15" s="613"/>
    </row>
    <row r="16" spans="1:14" ht="30" customHeight="1" x14ac:dyDescent="0.25">
      <c r="A16" s="627" t="s">
        <v>9626</v>
      </c>
      <c r="B16" s="627" t="s">
        <v>9625</v>
      </c>
      <c r="C16" s="627" t="s">
        <v>9624</v>
      </c>
      <c r="D16" s="627" t="s">
        <v>9605</v>
      </c>
      <c r="E16" s="767" t="s">
        <v>9626</v>
      </c>
      <c r="F16" s="758">
        <v>200</v>
      </c>
      <c r="G16" s="758"/>
      <c r="H16" s="758">
        <v>200</v>
      </c>
      <c r="I16" s="628">
        <v>150</v>
      </c>
      <c r="J16" s="628">
        <v>0</v>
      </c>
      <c r="K16" s="813">
        <f t="shared" si="0"/>
        <v>150</v>
      </c>
      <c r="L16" s="818">
        <v>200</v>
      </c>
      <c r="M16" s="818">
        <v>125</v>
      </c>
      <c r="N16" s="613"/>
    </row>
    <row r="17" spans="1:14" ht="30" customHeight="1" x14ac:dyDescent="0.25">
      <c r="A17" s="627" t="s">
        <v>9623</v>
      </c>
      <c r="B17" s="627" t="s">
        <v>9622</v>
      </c>
      <c r="C17" s="627" t="s">
        <v>9621</v>
      </c>
      <c r="D17" s="627" t="s">
        <v>9605</v>
      </c>
      <c r="E17" s="767" t="s">
        <v>9623</v>
      </c>
      <c r="F17" s="758">
        <v>77</v>
      </c>
      <c r="G17" s="758"/>
      <c r="H17" s="758">
        <v>77</v>
      </c>
      <c r="I17" s="628">
        <v>51</v>
      </c>
      <c r="J17" s="628">
        <v>26</v>
      </c>
      <c r="K17" s="813">
        <f t="shared" si="0"/>
        <v>77</v>
      </c>
      <c r="L17" s="818">
        <v>77</v>
      </c>
      <c r="M17" s="818">
        <v>403.83</v>
      </c>
      <c r="N17" s="613"/>
    </row>
    <row r="18" spans="1:14" ht="30" customHeight="1" x14ac:dyDescent="0.25">
      <c r="A18" s="627" t="s">
        <v>9620</v>
      </c>
      <c r="B18" s="627" t="s">
        <v>9619</v>
      </c>
      <c r="C18" s="627" t="s">
        <v>5152</v>
      </c>
      <c r="D18" s="627" t="s">
        <v>9605</v>
      </c>
      <c r="E18" s="767" t="s">
        <v>9620</v>
      </c>
      <c r="F18" s="758">
        <v>105</v>
      </c>
      <c r="G18" s="758">
        <v>229.1</v>
      </c>
      <c r="H18" s="758">
        <v>334.1</v>
      </c>
      <c r="I18" s="628">
        <v>40</v>
      </c>
      <c r="J18" s="628">
        <v>878.25000000000011</v>
      </c>
      <c r="K18" s="813">
        <f t="shared" si="0"/>
        <v>918.25000000000011</v>
      </c>
      <c r="L18" s="818">
        <v>1280.74</v>
      </c>
      <c r="M18" s="818">
        <v>1254.54</v>
      </c>
      <c r="N18" s="613"/>
    </row>
    <row r="19" spans="1:14" ht="30" customHeight="1" x14ac:dyDescent="0.25">
      <c r="A19" s="627" t="s">
        <v>9618</v>
      </c>
      <c r="B19" s="627" t="s">
        <v>9617</v>
      </c>
      <c r="C19" s="627" t="s">
        <v>164</v>
      </c>
      <c r="D19" s="627" t="s">
        <v>9605</v>
      </c>
      <c r="E19" s="767" t="s">
        <v>9618</v>
      </c>
      <c r="F19" s="758"/>
      <c r="G19" s="758">
        <v>2704.5</v>
      </c>
      <c r="H19" s="758">
        <v>2704.5</v>
      </c>
      <c r="I19" s="628">
        <v>0</v>
      </c>
      <c r="J19" s="628">
        <v>2385.0299999999997</v>
      </c>
      <c r="K19" s="813">
        <f t="shared" si="0"/>
        <v>2385.0299999999997</v>
      </c>
      <c r="L19" s="818">
        <v>2106.23</v>
      </c>
      <c r="M19" s="818">
        <v>1738.4</v>
      </c>
      <c r="N19" s="613"/>
    </row>
    <row r="20" spans="1:14" ht="30" customHeight="1" x14ac:dyDescent="0.25">
      <c r="A20" s="627" t="s">
        <v>9616</v>
      </c>
      <c r="B20" s="627" t="s">
        <v>9615</v>
      </c>
      <c r="C20" s="627" t="s">
        <v>532</v>
      </c>
      <c r="D20" s="627" t="s">
        <v>9605</v>
      </c>
      <c r="E20" s="767" t="s">
        <v>9616</v>
      </c>
      <c r="F20" s="758">
        <v>88</v>
      </c>
      <c r="G20" s="758"/>
      <c r="H20" s="758">
        <v>88</v>
      </c>
      <c r="I20" s="628">
        <v>44</v>
      </c>
      <c r="J20" s="628">
        <v>44</v>
      </c>
      <c r="K20" s="813">
        <f t="shared" si="0"/>
        <v>88</v>
      </c>
      <c r="L20" s="818">
        <v>118</v>
      </c>
      <c r="M20" s="818">
        <v>93</v>
      </c>
      <c r="N20" s="613"/>
    </row>
    <row r="21" spans="1:14" ht="30" customHeight="1" x14ac:dyDescent="0.25">
      <c r="A21" s="627" t="s">
        <v>9614</v>
      </c>
      <c r="B21" s="627" t="s">
        <v>9613</v>
      </c>
      <c r="C21" s="627" t="s">
        <v>9612</v>
      </c>
      <c r="D21" s="627" t="s">
        <v>9605</v>
      </c>
      <c r="E21" s="767" t="s">
        <v>9614</v>
      </c>
      <c r="F21" s="758">
        <v>90</v>
      </c>
      <c r="G21" s="758">
        <v>354.18</v>
      </c>
      <c r="H21" s="758">
        <v>444.18</v>
      </c>
      <c r="I21" s="628">
        <v>30</v>
      </c>
      <c r="J21" s="628">
        <v>576</v>
      </c>
      <c r="K21" s="813">
        <f t="shared" si="0"/>
        <v>606</v>
      </c>
      <c r="L21" s="818">
        <v>412</v>
      </c>
      <c r="M21" s="818">
        <v>417</v>
      </c>
      <c r="N21" s="613"/>
    </row>
    <row r="22" spans="1:14" ht="30" customHeight="1" x14ac:dyDescent="0.25">
      <c r="A22" s="627" t="s">
        <v>9611</v>
      </c>
      <c r="B22" s="627" t="s">
        <v>9610</v>
      </c>
      <c r="C22" s="627" t="s">
        <v>9609</v>
      </c>
      <c r="D22" s="627" t="s">
        <v>9605</v>
      </c>
      <c r="E22" s="767" t="s">
        <v>9611</v>
      </c>
      <c r="F22" s="758"/>
      <c r="G22" s="758">
        <v>320</v>
      </c>
      <c r="H22" s="758">
        <v>320</v>
      </c>
      <c r="I22" s="628">
        <v>25</v>
      </c>
      <c r="J22" s="628">
        <v>1531.15</v>
      </c>
      <c r="K22" s="813">
        <f t="shared" si="0"/>
        <v>1556.15</v>
      </c>
      <c r="L22" s="818">
        <v>1357.9</v>
      </c>
      <c r="M22" s="818">
        <v>1480.38</v>
      </c>
      <c r="N22" s="613"/>
    </row>
    <row r="23" spans="1:14" ht="30" customHeight="1" x14ac:dyDescent="0.25">
      <c r="A23" s="627" t="s">
        <v>9608</v>
      </c>
      <c r="B23" s="627" t="s">
        <v>9607</v>
      </c>
      <c r="C23" s="627" t="s">
        <v>9606</v>
      </c>
      <c r="D23" s="627" t="s">
        <v>9605</v>
      </c>
      <c r="E23" s="767" t="s">
        <v>9608</v>
      </c>
      <c r="F23" s="758">
        <v>108.8</v>
      </c>
      <c r="G23" s="758">
        <v>433.2</v>
      </c>
      <c r="H23" s="758">
        <v>542</v>
      </c>
      <c r="I23" s="628">
        <v>30</v>
      </c>
      <c r="J23" s="628">
        <v>921</v>
      </c>
      <c r="K23" s="813">
        <f t="shared" si="0"/>
        <v>951</v>
      </c>
      <c r="L23" s="818">
        <v>1006</v>
      </c>
      <c r="M23" s="818">
        <v>1080</v>
      </c>
      <c r="N23" s="613"/>
    </row>
    <row r="24" spans="1:14" ht="30" customHeight="1" x14ac:dyDescent="0.25">
      <c r="A24" s="627" t="s">
        <v>9604</v>
      </c>
      <c r="B24" s="627" t="s">
        <v>9603</v>
      </c>
      <c r="C24" s="627" t="s">
        <v>532</v>
      </c>
      <c r="D24" s="627" t="s">
        <v>9602</v>
      </c>
      <c r="E24" s="767" t="s">
        <v>9604</v>
      </c>
      <c r="F24" s="758">
        <v>12.5</v>
      </c>
      <c r="G24" s="758"/>
      <c r="H24" s="758">
        <v>12.5</v>
      </c>
      <c r="I24" s="628">
        <v>0</v>
      </c>
      <c r="J24" s="628">
        <v>986.71</v>
      </c>
      <c r="K24" s="813">
        <f t="shared" si="0"/>
        <v>986.71</v>
      </c>
      <c r="L24" s="818">
        <v>1063.46</v>
      </c>
      <c r="M24" s="818">
        <v>1168.19</v>
      </c>
      <c r="N24" s="613"/>
    </row>
    <row r="25" spans="1:14" ht="30" customHeight="1" x14ac:dyDescent="0.25">
      <c r="A25" s="627" t="s">
        <v>9601</v>
      </c>
      <c r="B25" s="627" t="s">
        <v>9600</v>
      </c>
      <c r="C25" s="627" t="s">
        <v>9599</v>
      </c>
      <c r="D25" s="627" t="s">
        <v>9525</v>
      </c>
      <c r="E25" s="767" t="s">
        <v>9601</v>
      </c>
      <c r="F25" s="758">
        <v>200</v>
      </c>
      <c r="G25" s="758">
        <v>259.52</v>
      </c>
      <c r="H25" s="758">
        <v>459.52</v>
      </c>
      <c r="I25" s="628">
        <v>240</v>
      </c>
      <c r="J25" s="628">
        <v>802.33</v>
      </c>
      <c r="K25" s="813">
        <f t="shared" si="0"/>
        <v>1042.33</v>
      </c>
      <c r="L25" s="818">
        <v>970.41</v>
      </c>
      <c r="M25" s="818">
        <v>1188.1399999999999</v>
      </c>
      <c r="N25" s="613"/>
    </row>
    <row r="26" spans="1:14" ht="30" customHeight="1" x14ac:dyDescent="0.25">
      <c r="A26" s="627" t="s">
        <v>9598</v>
      </c>
      <c r="B26" s="627" t="s">
        <v>9597</v>
      </c>
      <c r="C26" s="627" t="s">
        <v>226</v>
      </c>
      <c r="D26" s="627" t="s">
        <v>9596</v>
      </c>
      <c r="E26" s="767" t="s">
        <v>9598</v>
      </c>
      <c r="F26" s="758">
        <v>10</v>
      </c>
      <c r="G26" s="758">
        <v>17</v>
      </c>
      <c r="H26" s="758">
        <v>27</v>
      </c>
      <c r="I26" s="628">
        <v>0</v>
      </c>
      <c r="J26" s="628">
        <v>306.63</v>
      </c>
      <c r="K26" s="813">
        <f t="shared" si="0"/>
        <v>306.63</v>
      </c>
      <c r="L26" s="818">
        <v>286.14999999999998</v>
      </c>
      <c r="M26" s="818">
        <v>551.98</v>
      </c>
      <c r="N26" s="613"/>
    </row>
    <row r="27" spans="1:14" ht="30" customHeight="1" x14ac:dyDescent="0.25">
      <c r="A27" s="627" t="s">
        <v>9595</v>
      </c>
      <c r="B27" s="627" t="s">
        <v>9594</v>
      </c>
      <c r="C27" s="627" t="s">
        <v>532</v>
      </c>
      <c r="D27" s="627" t="s">
        <v>9593</v>
      </c>
      <c r="E27" s="767" t="s">
        <v>9595</v>
      </c>
      <c r="F27" s="758">
        <v>203.62</v>
      </c>
      <c r="G27" s="758">
        <v>388.36</v>
      </c>
      <c r="H27" s="758">
        <v>591.98</v>
      </c>
      <c r="I27" s="628">
        <v>0</v>
      </c>
      <c r="J27" s="628">
        <v>1097.4000000000001</v>
      </c>
      <c r="K27" s="813">
        <f t="shared" si="0"/>
        <v>1097.4000000000001</v>
      </c>
      <c r="L27" s="818">
        <v>1349.61</v>
      </c>
      <c r="M27" s="818">
        <v>1370.84</v>
      </c>
      <c r="N27" s="613"/>
    </row>
    <row r="28" spans="1:14" ht="30" customHeight="1" x14ac:dyDescent="0.25">
      <c r="A28" s="627" t="s">
        <v>9592</v>
      </c>
      <c r="B28" s="627" t="s">
        <v>9591</v>
      </c>
      <c r="C28" s="627" t="s">
        <v>9590</v>
      </c>
      <c r="D28" s="627" t="s">
        <v>9589</v>
      </c>
      <c r="E28" s="767" t="s">
        <v>9592</v>
      </c>
      <c r="F28" s="758"/>
      <c r="G28" s="758">
        <v>249.8</v>
      </c>
      <c r="H28" s="758">
        <v>249.8</v>
      </c>
      <c r="I28" s="628">
        <v>0</v>
      </c>
      <c r="J28" s="628">
        <v>320</v>
      </c>
      <c r="K28" s="813">
        <f t="shared" si="0"/>
        <v>320</v>
      </c>
      <c r="L28" s="818">
        <v>628.6</v>
      </c>
      <c r="M28" s="818">
        <v>883.15</v>
      </c>
      <c r="N28" s="613"/>
    </row>
    <row r="29" spans="1:14" ht="30" customHeight="1" x14ac:dyDescent="0.25">
      <c r="A29" s="627" t="s">
        <v>9588</v>
      </c>
      <c r="B29" s="627" t="s">
        <v>9587</v>
      </c>
      <c r="C29" s="627" t="s">
        <v>7282</v>
      </c>
      <c r="D29" s="627" t="s">
        <v>9586</v>
      </c>
      <c r="E29" s="767" t="s">
        <v>9588</v>
      </c>
      <c r="F29" s="758">
        <v>50</v>
      </c>
      <c r="G29" s="758">
        <v>13.02</v>
      </c>
      <c r="H29" s="758">
        <v>63.019999999999996</v>
      </c>
      <c r="I29" s="628">
        <v>70</v>
      </c>
      <c r="J29" s="628">
        <v>606.09</v>
      </c>
      <c r="K29" s="813">
        <f t="shared" si="0"/>
        <v>676.09</v>
      </c>
      <c r="L29" s="818">
        <v>581.92000000000007</v>
      </c>
      <c r="M29" s="818">
        <v>680.32</v>
      </c>
      <c r="N29" s="613"/>
    </row>
    <row r="30" spans="1:14" ht="30" customHeight="1" x14ac:dyDescent="0.25">
      <c r="A30" s="627" t="s">
        <v>9585</v>
      </c>
      <c r="B30" s="627" t="s">
        <v>9584</v>
      </c>
      <c r="C30" s="627" t="s">
        <v>9583</v>
      </c>
      <c r="D30" s="627" t="s">
        <v>9582</v>
      </c>
      <c r="E30" s="767" t="s">
        <v>9585</v>
      </c>
      <c r="F30" s="758">
        <v>20</v>
      </c>
      <c r="G30" s="758">
        <v>558</v>
      </c>
      <c r="H30" s="758">
        <v>578</v>
      </c>
      <c r="I30" s="628">
        <v>0</v>
      </c>
      <c r="J30" s="628">
        <v>1135</v>
      </c>
      <c r="K30" s="813">
        <f t="shared" si="0"/>
        <v>1135</v>
      </c>
      <c r="L30" s="818">
        <v>1417</v>
      </c>
      <c r="M30" s="818">
        <v>1537</v>
      </c>
      <c r="N30" s="613"/>
    </row>
    <row r="31" spans="1:14" ht="30" customHeight="1" x14ac:dyDescent="0.25">
      <c r="A31" s="627" t="s">
        <v>10914</v>
      </c>
      <c r="B31" s="627">
        <v>2886</v>
      </c>
      <c r="C31" s="627" t="s">
        <v>10915</v>
      </c>
      <c r="D31" s="627" t="s">
        <v>9582</v>
      </c>
      <c r="E31" s="767" t="s">
        <v>10914</v>
      </c>
      <c r="F31" s="758">
        <v>24</v>
      </c>
      <c r="G31" s="758"/>
      <c r="H31" s="758">
        <v>24</v>
      </c>
      <c r="I31" s="628"/>
      <c r="J31" s="628"/>
      <c r="K31" s="813"/>
      <c r="L31" s="818">
        <v>165</v>
      </c>
      <c r="M31" s="818">
        <v>704.99</v>
      </c>
      <c r="N31" s="613"/>
    </row>
    <row r="32" spans="1:14" ht="30" customHeight="1" x14ac:dyDescent="0.25">
      <c r="A32" s="627" t="s">
        <v>9581</v>
      </c>
      <c r="B32" s="627" t="s">
        <v>9580</v>
      </c>
      <c r="C32" s="627" t="s">
        <v>5211</v>
      </c>
      <c r="D32" s="627" t="s">
        <v>9579</v>
      </c>
      <c r="E32" s="767" t="s">
        <v>9581</v>
      </c>
      <c r="F32" s="758">
        <v>441</v>
      </c>
      <c r="G32" s="758">
        <v>734.7399999999999</v>
      </c>
      <c r="H32" s="758">
        <v>1175.7399999999998</v>
      </c>
      <c r="I32" s="628">
        <v>30</v>
      </c>
      <c r="J32" s="628">
        <v>1329.8099999999995</v>
      </c>
      <c r="K32" s="813">
        <f>SUM(I32:J32)</f>
        <v>1359.8099999999995</v>
      </c>
      <c r="L32" s="818">
        <v>1461.52</v>
      </c>
      <c r="M32" s="818">
        <v>1482.1</v>
      </c>
      <c r="N32" s="613"/>
    </row>
    <row r="33" spans="1:14" ht="30" customHeight="1" x14ac:dyDescent="0.25">
      <c r="A33" s="627" t="s">
        <v>9578</v>
      </c>
      <c r="B33" s="627" t="s">
        <v>9577</v>
      </c>
      <c r="C33" s="627" t="s">
        <v>5256</v>
      </c>
      <c r="D33" s="627" t="s">
        <v>9567</v>
      </c>
      <c r="E33" s="767" t="s">
        <v>9578</v>
      </c>
      <c r="F33" s="758">
        <v>135</v>
      </c>
      <c r="G33" s="758"/>
      <c r="H33" s="758">
        <v>135</v>
      </c>
      <c r="I33" s="628">
        <v>0</v>
      </c>
      <c r="J33" s="628">
        <v>597.12</v>
      </c>
      <c r="K33" s="813">
        <f>SUM(I33:J33)</f>
        <v>597.12</v>
      </c>
      <c r="L33" s="818">
        <v>896.36</v>
      </c>
      <c r="M33" s="818">
        <v>776.22</v>
      </c>
      <c r="N33" s="613"/>
    </row>
    <row r="34" spans="1:14" ht="30" customHeight="1" x14ac:dyDescent="0.25">
      <c r="A34" s="627" t="s">
        <v>10916</v>
      </c>
      <c r="B34" s="627">
        <v>2895</v>
      </c>
      <c r="C34" s="627" t="s">
        <v>10917</v>
      </c>
      <c r="D34" s="627" t="s">
        <v>9567</v>
      </c>
      <c r="E34" s="767" t="s">
        <v>10916</v>
      </c>
      <c r="F34" s="758"/>
      <c r="G34" s="758">
        <v>96.75</v>
      </c>
      <c r="H34" s="758">
        <v>96.75</v>
      </c>
      <c r="I34" s="628"/>
      <c r="J34" s="628"/>
      <c r="K34" s="813"/>
      <c r="L34" s="818">
        <v>303.11</v>
      </c>
      <c r="M34" s="818">
        <v>10</v>
      </c>
      <c r="N34" s="613"/>
    </row>
    <row r="35" spans="1:14" ht="30" customHeight="1" x14ac:dyDescent="0.25">
      <c r="A35" s="627" t="s">
        <v>9576</v>
      </c>
      <c r="B35" s="627" t="s">
        <v>9575</v>
      </c>
      <c r="C35" s="627" t="s">
        <v>9574</v>
      </c>
      <c r="D35" s="627" t="s">
        <v>9567</v>
      </c>
      <c r="E35" s="767" t="s">
        <v>9576</v>
      </c>
      <c r="F35" s="758">
        <v>50</v>
      </c>
      <c r="G35" s="758"/>
      <c r="H35" s="758">
        <v>50</v>
      </c>
      <c r="I35" s="628">
        <v>25</v>
      </c>
      <c r="J35" s="628">
        <v>637.92000000000007</v>
      </c>
      <c r="K35" s="813">
        <f t="shared" ref="K35:K56" si="1">SUM(I35:J35)</f>
        <v>662.92000000000007</v>
      </c>
      <c r="L35" s="818">
        <v>530.31999999999994</v>
      </c>
      <c r="M35" s="818">
        <v>557.39</v>
      </c>
      <c r="N35" s="613"/>
    </row>
    <row r="36" spans="1:14" ht="30" customHeight="1" x14ac:dyDescent="0.25">
      <c r="A36" s="627" t="s">
        <v>9573</v>
      </c>
      <c r="B36" s="627" t="s">
        <v>9572</v>
      </c>
      <c r="C36" s="627" t="s">
        <v>9571</v>
      </c>
      <c r="D36" s="627" t="s">
        <v>9567</v>
      </c>
      <c r="E36" s="767" t="s">
        <v>9573</v>
      </c>
      <c r="F36" s="758">
        <v>150</v>
      </c>
      <c r="G36" s="758"/>
      <c r="H36" s="758">
        <v>150</v>
      </c>
      <c r="I36" s="628">
        <v>120</v>
      </c>
      <c r="J36" s="628">
        <v>120</v>
      </c>
      <c r="K36" s="813">
        <f t="shared" si="1"/>
        <v>240</v>
      </c>
      <c r="L36" s="818">
        <v>362</v>
      </c>
      <c r="M36" s="818">
        <v>577.04</v>
      </c>
      <c r="N36" s="613"/>
    </row>
    <row r="37" spans="1:14" ht="30" customHeight="1" x14ac:dyDescent="0.25">
      <c r="A37" s="627" t="s">
        <v>9570</v>
      </c>
      <c r="B37" s="627" t="s">
        <v>9569</v>
      </c>
      <c r="C37" s="627" t="s">
        <v>9568</v>
      </c>
      <c r="D37" s="627" t="s">
        <v>9567</v>
      </c>
      <c r="E37" s="767" t="s">
        <v>9570</v>
      </c>
      <c r="F37" s="758">
        <v>90</v>
      </c>
      <c r="G37" s="758">
        <v>264.39</v>
      </c>
      <c r="H37" s="758">
        <v>354.39</v>
      </c>
      <c r="I37" s="628">
        <v>20</v>
      </c>
      <c r="J37" s="628">
        <v>823.59</v>
      </c>
      <c r="K37" s="813">
        <f t="shared" si="1"/>
        <v>843.59</v>
      </c>
      <c r="L37" s="818">
        <v>929.15</v>
      </c>
      <c r="M37" s="818">
        <v>923.12</v>
      </c>
      <c r="N37" s="613"/>
    </row>
    <row r="38" spans="1:14" ht="30" customHeight="1" x14ac:dyDescent="0.25">
      <c r="A38" s="627" t="s">
        <v>9566</v>
      </c>
      <c r="B38" s="627" t="s">
        <v>9565</v>
      </c>
      <c r="C38" s="627" t="s">
        <v>9564</v>
      </c>
      <c r="D38" s="627" t="s">
        <v>9558</v>
      </c>
      <c r="E38" s="767" t="s">
        <v>9566</v>
      </c>
      <c r="F38" s="758">
        <v>416</v>
      </c>
      <c r="G38" s="758"/>
      <c r="H38" s="758">
        <v>416</v>
      </c>
      <c r="I38" s="628">
        <v>123</v>
      </c>
      <c r="J38" s="628">
        <v>1144.1799999999998</v>
      </c>
      <c r="K38" s="813">
        <f t="shared" si="1"/>
        <v>1267.1799999999998</v>
      </c>
      <c r="L38" s="818">
        <v>1456.8</v>
      </c>
      <c r="M38" s="818">
        <v>1491.52</v>
      </c>
      <c r="N38" s="613"/>
    </row>
    <row r="39" spans="1:14" ht="30" customHeight="1" x14ac:dyDescent="0.25">
      <c r="A39" s="627" t="s">
        <v>9563</v>
      </c>
      <c r="B39" s="627" t="s">
        <v>9562</v>
      </c>
      <c r="C39" s="627" t="s">
        <v>532</v>
      </c>
      <c r="D39" s="627" t="s">
        <v>9558</v>
      </c>
      <c r="E39" s="767" t="s">
        <v>9563</v>
      </c>
      <c r="F39" s="758">
        <v>20</v>
      </c>
      <c r="G39" s="758">
        <v>1069.96</v>
      </c>
      <c r="H39" s="758">
        <v>1089.96</v>
      </c>
      <c r="I39" s="628">
        <v>20</v>
      </c>
      <c r="J39" s="628">
        <v>321.12</v>
      </c>
      <c r="K39" s="813">
        <f t="shared" si="1"/>
        <v>341.12</v>
      </c>
      <c r="L39" s="818">
        <v>752.09</v>
      </c>
      <c r="M39" s="818">
        <v>793.66</v>
      </c>
      <c r="N39" s="613"/>
    </row>
    <row r="40" spans="1:14" ht="30" customHeight="1" x14ac:dyDescent="0.25">
      <c r="A40" s="627" t="s">
        <v>9561</v>
      </c>
      <c r="B40" s="627" t="s">
        <v>9560</v>
      </c>
      <c r="C40" s="627" t="s">
        <v>9559</v>
      </c>
      <c r="D40" s="627" t="s">
        <v>9558</v>
      </c>
      <c r="E40" s="767" t="s">
        <v>9561</v>
      </c>
      <c r="F40" s="758">
        <v>1316.92</v>
      </c>
      <c r="G40" s="758">
        <v>-52.31</v>
      </c>
      <c r="H40" s="758">
        <v>1264.6100000000001</v>
      </c>
      <c r="I40" s="628">
        <v>165</v>
      </c>
      <c r="J40" s="628">
        <v>1699.23</v>
      </c>
      <c r="K40" s="813">
        <f t="shared" si="1"/>
        <v>1864.23</v>
      </c>
      <c r="L40" s="818">
        <v>2242.15</v>
      </c>
      <c r="M40" s="818">
        <v>2110.08</v>
      </c>
      <c r="N40" s="613"/>
    </row>
    <row r="41" spans="1:14" ht="30" customHeight="1" x14ac:dyDescent="0.25">
      <c r="A41" s="627" t="s">
        <v>9557</v>
      </c>
      <c r="B41" s="627" t="s">
        <v>9556</v>
      </c>
      <c r="C41" s="627" t="s">
        <v>1203</v>
      </c>
      <c r="D41" s="627" t="s">
        <v>9555</v>
      </c>
      <c r="E41" s="767" t="s">
        <v>9557</v>
      </c>
      <c r="F41" s="758"/>
      <c r="G41" s="758">
        <v>79.17</v>
      </c>
      <c r="H41" s="758">
        <v>79.17</v>
      </c>
      <c r="I41" s="628">
        <v>0</v>
      </c>
      <c r="J41" s="628">
        <v>299.99</v>
      </c>
      <c r="K41" s="813">
        <f t="shared" si="1"/>
        <v>299.99</v>
      </c>
      <c r="L41" s="818">
        <v>152.29</v>
      </c>
      <c r="M41" s="818">
        <v>366.73</v>
      </c>
      <c r="N41" s="613"/>
    </row>
    <row r="42" spans="1:14" ht="30" customHeight="1" x14ac:dyDescent="0.25">
      <c r="A42" s="627" t="s">
        <v>9554</v>
      </c>
      <c r="B42" s="627" t="s">
        <v>9553</v>
      </c>
      <c r="C42" s="627" t="s">
        <v>2530</v>
      </c>
      <c r="D42" s="627" t="s">
        <v>9552</v>
      </c>
      <c r="E42" s="767" t="s">
        <v>9554</v>
      </c>
      <c r="F42" s="758">
        <v>44</v>
      </c>
      <c r="G42" s="758"/>
      <c r="H42" s="758">
        <v>44</v>
      </c>
      <c r="I42" s="628">
        <v>16</v>
      </c>
      <c r="J42" s="628">
        <v>529.9</v>
      </c>
      <c r="K42" s="813">
        <f t="shared" si="1"/>
        <v>545.9</v>
      </c>
      <c r="L42" s="818">
        <v>356.9</v>
      </c>
      <c r="M42" s="818">
        <v>322</v>
      </c>
      <c r="N42" s="613"/>
    </row>
    <row r="43" spans="1:14" ht="30" customHeight="1" x14ac:dyDescent="0.25">
      <c r="A43" s="627" t="s">
        <v>9551</v>
      </c>
      <c r="B43" s="627" t="s">
        <v>9550</v>
      </c>
      <c r="C43" s="627" t="s">
        <v>3992</v>
      </c>
      <c r="D43" s="627" t="s">
        <v>9549</v>
      </c>
      <c r="E43" s="767" t="s">
        <v>9551</v>
      </c>
      <c r="F43" s="758"/>
      <c r="G43" s="758">
        <v>463.76</v>
      </c>
      <c r="H43" s="758">
        <v>463.76</v>
      </c>
      <c r="I43" s="628">
        <v>0</v>
      </c>
      <c r="J43" s="628">
        <v>547.58000000000004</v>
      </c>
      <c r="K43" s="813">
        <f t="shared" si="1"/>
        <v>547.58000000000004</v>
      </c>
      <c r="L43" s="818">
        <v>979.98</v>
      </c>
      <c r="M43" s="818">
        <v>1210.8699999999999</v>
      </c>
      <c r="N43" s="613"/>
    </row>
    <row r="44" spans="1:14" ht="30" customHeight="1" x14ac:dyDescent="0.25">
      <c r="A44" s="627" t="s">
        <v>9548</v>
      </c>
      <c r="B44" s="627" t="s">
        <v>9547</v>
      </c>
      <c r="C44" s="627" t="s">
        <v>9546</v>
      </c>
      <c r="D44" s="627" t="s">
        <v>9545</v>
      </c>
      <c r="E44" s="767" t="s">
        <v>9548</v>
      </c>
      <c r="F44" s="758">
        <v>85</v>
      </c>
      <c r="G44" s="758"/>
      <c r="H44" s="758">
        <v>85</v>
      </c>
      <c r="I44" s="628">
        <v>30</v>
      </c>
      <c r="J44" s="628">
        <v>1370</v>
      </c>
      <c r="K44" s="813">
        <f t="shared" si="1"/>
        <v>1400</v>
      </c>
      <c r="L44" s="818">
        <v>85</v>
      </c>
      <c r="M44" s="818">
        <v>645</v>
      </c>
      <c r="N44" s="613"/>
    </row>
    <row r="45" spans="1:14" ht="30" customHeight="1" x14ac:dyDescent="0.25">
      <c r="A45" s="627" t="s">
        <v>9544</v>
      </c>
      <c r="B45" s="627" t="s">
        <v>9543</v>
      </c>
      <c r="C45" s="627" t="s">
        <v>9542</v>
      </c>
      <c r="D45" s="627" t="s">
        <v>9541</v>
      </c>
      <c r="E45" s="767" t="s">
        <v>9544</v>
      </c>
      <c r="F45" s="758">
        <v>160</v>
      </c>
      <c r="G45" s="758">
        <v>1053.58</v>
      </c>
      <c r="H45" s="758">
        <v>1213.58</v>
      </c>
      <c r="I45" s="628">
        <v>80</v>
      </c>
      <c r="J45" s="628">
        <v>1567.5700000000002</v>
      </c>
      <c r="K45" s="813">
        <f t="shared" si="1"/>
        <v>1647.5700000000002</v>
      </c>
      <c r="L45" s="818">
        <v>1589.18</v>
      </c>
      <c r="M45" s="818">
        <v>1604.08</v>
      </c>
      <c r="N45" s="613"/>
    </row>
    <row r="46" spans="1:14" ht="30" customHeight="1" x14ac:dyDescent="0.25">
      <c r="A46" s="627" t="s">
        <v>9540</v>
      </c>
      <c r="B46" s="627" t="s">
        <v>9539</v>
      </c>
      <c r="C46" s="627" t="s">
        <v>9538</v>
      </c>
      <c r="D46" s="627" t="s">
        <v>9528</v>
      </c>
      <c r="E46" s="767"/>
      <c r="F46" s="758"/>
      <c r="G46" s="758"/>
      <c r="H46" s="758"/>
      <c r="I46" s="628">
        <v>0</v>
      </c>
      <c r="J46" s="628">
        <v>580</v>
      </c>
      <c r="K46" s="813">
        <f t="shared" si="1"/>
        <v>580</v>
      </c>
      <c r="L46" s="818">
        <v>840</v>
      </c>
      <c r="M46" s="818">
        <v>1019</v>
      </c>
      <c r="N46" s="613"/>
    </row>
    <row r="47" spans="1:14" ht="30" customHeight="1" x14ac:dyDescent="0.25">
      <c r="A47" s="627" t="s">
        <v>9537</v>
      </c>
      <c r="B47" s="627" t="s">
        <v>9536</v>
      </c>
      <c r="C47" s="627" t="s">
        <v>9535</v>
      </c>
      <c r="D47" s="627" t="s">
        <v>9528</v>
      </c>
      <c r="E47" s="767" t="s">
        <v>9537</v>
      </c>
      <c r="F47" s="758">
        <v>50</v>
      </c>
      <c r="G47" s="758"/>
      <c r="H47" s="758">
        <v>50</v>
      </c>
      <c r="I47" s="628">
        <v>0</v>
      </c>
      <c r="J47" s="628">
        <v>350.12</v>
      </c>
      <c r="K47" s="813">
        <f t="shared" si="1"/>
        <v>350.12</v>
      </c>
      <c r="L47" s="818">
        <v>308</v>
      </c>
      <c r="M47" s="818">
        <v>412.8</v>
      </c>
      <c r="N47" s="613"/>
    </row>
    <row r="48" spans="1:14" ht="30" customHeight="1" x14ac:dyDescent="0.25">
      <c r="A48" s="627" t="s">
        <v>9534</v>
      </c>
      <c r="B48" s="627" t="s">
        <v>9533</v>
      </c>
      <c r="C48" s="627" t="s">
        <v>9532</v>
      </c>
      <c r="D48" s="627" t="s">
        <v>9528</v>
      </c>
      <c r="E48" s="767"/>
      <c r="F48" s="758"/>
      <c r="G48" s="758"/>
      <c r="H48" s="758"/>
      <c r="I48" s="628">
        <v>0</v>
      </c>
      <c r="J48" s="628">
        <v>341.8</v>
      </c>
      <c r="K48" s="813">
        <f t="shared" si="1"/>
        <v>341.8</v>
      </c>
      <c r="L48" s="818">
        <v>249.42</v>
      </c>
      <c r="M48" s="818">
        <v>172.78</v>
      </c>
      <c r="N48" s="613"/>
    </row>
    <row r="49" spans="1:14" ht="30" customHeight="1" x14ac:dyDescent="0.25">
      <c r="A49" s="627" t="s">
        <v>9531</v>
      </c>
      <c r="B49" s="627" t="s">
        <v>9530</v>
      </c>
      <c r="C49" s="627" t="s">
        <v>9529</v>
      </c>
      <c r="D49" s="627" t="s">
        <v>9528</v>
      </c>
      <c r="E49" s="767" t="s">
        <v>9531</v>
      </c>
      <c r="F49" s="758">
        <v>625</v>
      </c>
      <c r="G49" s="758">
        <v>385</v>
      </c>
      <c r="H49" s="758">
        <v>1010</v>
      </c>
      <c r="I49" s="628">
        <v>490</v>
      </c>
      <c r="J49" s="628">
        <v>660</v>
      </c>
      <c r="K49" s="813">
        <f t="shared" si="1"/>
        <v>1150</v>
      </c>
      <c r="L49" s="818">
        <v>1311</v>
      </c>
      <c r="M49" s="818">
        <v>1435.19</v>
      </c>
      <c r="N49" s="613"/>
    </row>
    <row r="50" spans="1:14" ht="30" customHeight="1" x14ac:dyDescent="0.25">
      <c r="A50" s="627" t="s">
        <v>9527</v>
      </c>
      <c r="B50" s="627" t="s">
        <v>9526</v>
      </c>
      <c r="C50" s="627" t="s">
        <v>231</v>
      </c>
      <c r="D50" s="627" t="s">
        <v>9525</v>
      </c>
      <c r="E50" s="767" t="s">
        <v>9527</v>
      </c>
      <c r="F50" s="758">
        <v>282</v>
      </c>
      <c r="G50" s="758"/>
      <c r="H50" s="758">
        <v>282</v>
      </c>
      <c r="I50" s="628">
        <v>0</v>
      </c>
      <c r="J50" s="628">
        <v>1130</v>
      </c>
      <c r="K50" s="813">
        <f t="shared" si="1"/>
        <v>1130</v>
      </c>
      <c r="L50" s="818">
        <v>1307</v>
      </c>
      <c r="M50" s="818">
        <v>1132</v>
      </c>
      <c r="N50" s="613"/>
    </row>
    <row r="51" spans="1:14" ht="30" customHeight="1" x14ac:dyDescent="0.25">
      <c r="A51" s="627" t="s">
        <v>9524</v>
      </c>
      <c r="B51" s="627" t="s">
        <v>9523</v>
      </c>
      <c r="C51" s="627" t="s">
        <v>839</v>
      </c>
      <c r="D51" s="627" t="s">
        <v>9520</v>
      </c>
      <c r="E51" s="767" t="s">
        <v>9524</v>
      </c>
      <c r="F51" s="758">
        <v>216</v>
      </c>
      <c r="G51" s="758">
        <v>253</v>
      </c>
      <c r="H51" s="758">
        <v>469</v>
      </c>
      <c r="I51" s="628">
        <v>0</v>
      </c>
      <c r="J51" s="628">
        <v>1209</v>
      </c>
      <c r="K51" s="813">
        <f t="shared" si="1"/>
        <v>1209</v>
      </c>
      <c r="L51" s="818">
        <v>2061.17</v>
      </c>
      <c r="M51" s="818">
        <v>2186.36</v>
      </c>
      <c r="N51" s="613"/>
    </row>
    <row r="52" spans="1:14" ht="30" customHeight="1" x14ac:dyDescent="0.25">
      <c r="A52" s="627" t="s">
        <v>9522</v>
      </c>
      <c r="B52" s="627" t="s">
        <v>9521</v>
      </c>
      <c r="C52" s="627" t="s">
        <v>61</v>
      </c>
      <c r="D52" s="627" t="s">
        <v>9520</v>
      </c>
      <c r="E52" s="767" t="s">
        <v>9522</v>
      </c>
      <c r="F52" s="758">
        <v>48</v>
      </c>
      <c r="G52" s="758">
        <v>837.3</v>
      </c>
      <c r="H52" s="758">
        <v>885.3</v>
      </c>
      <c r="I52" s="628">
        <v>24</v>
      </c>
      <c r="J52" s="628">
        <v>1414.86</v>
      </c>
      <c r="K52" s="813">
        <f t="shared" si="1"/>
        <v>1438.86</v>
      </c>
      <c r="L52" s="818">
        <v>2179.5</v>
      </c>
      <c r="M52" s="818">
        <v>1597.2</v>
      </c>
      <c r="N52" s="613"/>
    </row>
    <row r="53" spans="1:14" ht="30" customHeight="1" x14ac:dyDescent="0.25">
      <c r="A53" s="627" t="s">
        <v>9519</v>
      </c>
      <c r="B53" s="627" t="s">
        <v>9518</v>
      </c>
      <c r="C53" s="627" t="s">
        <v>226</v>
      </c>
      <c r="D53" s="627" t="s">
        <v>9517</v>
      </c>
      <c r="E53" s="767" t="s">
        <v>9519</v>
      </c>
      <c r="F53" s="758">
        <v>190</v>
      </c>
      <c r="G53" s="758">
        <v>953.19</v>
      </c>
      <c r="H53" s="758">
        <v>1143.19</v>
      </c>
      <c r="I53" s="628">
        <v>90</v>
      </c>
      <c r="J53" s="628">
        <v>0</v>
      </c>
      <c r="K53" s="813">
        <f t="shared" si="1"/>
        <v>90</v>
      </c>
      <c r="L53" s="818">
        <v>2248.83</v>
      </c>
      <c r="M53" s="818">
        <v>1133.72</v>
      </c>
      <c r="N53" s="613"/>
    </row>
    <row r="54" spans="1:14" ht="30" customHeight="1" x14ac:dyDescent="0.25">
      <c r="A54" s="627" t="s">
        <v>9516</v>
      </c>
      <c r="B54" s="627" t="s">
        <v>9515</v>
      </c>
      <c r="C54" s="627" t="s">
        <v>9514</v>
      </c>
      <c r="D54" s="627" t="s">
        <v>9452</v>
      </c>
      <c r="E54" s="767" t="s">
        <v>9516</v>
      </c>
      <c r="F54" s="758">
        <v>10</v>
      </c>
      <c r="G54" s="758">
        <v>171.73</v>
      </c>
      <c r="H54" s="758">
        <v>181.73</v>
      </c>
      <c r="I54" s="628">
        <v>0</v>
      </c>
      <c r="J54" s="628">
        <v>492</v>
      </c>
      <c r="K54" s="813">
        <f t="shared" si="1"/>
        <v>492</v>
      </c>
      <c r="L54" s="818">
        <v>753</v>
      </c>
      <c r="M54" s="818">
        <v>658</v>
      </c>
      <c r="N54" s="613"/>
    </row>
    <row r="55" spans="1:14" ht="30" customHeight="1" x14ac:dyDescent="0.25">
      <c r="A55" s="627" t="s">
        <v>9513</v>
      </c>
      <c r="B55" s="627" t="s">
        <v>9512</v>
      </c>
      <c r="C55" s="627" t="s">
        <v>9511</v>
      </c>
      <c r="D55" s="627" t="s">
        <v>9470</v>
      </c>
      <c r="E55" s="767" t="s">
        <v>9513</v>
      </c>
      <c r="F55" s="758">
        <v>480</v>
      </c>
      <c r="G55" s="758">
        <v>77</v>
      </c>
      <c r="H55" s="758">
        <v>557</v>
      </c>
      <c r="I55" s="628">
        <v>160</v>
      </c>
      <c r="J55" s="628">
        <v>100.2</v>
      </c>
      <c r="K55" s="813">
        <f t="shared" si="1"/>
        <v>260.2</v>
      </c>
      <c r="L55" s="818">
        <v>168</v>
      </c>
      <c r="M55" s="818">
        <v>514.65</v>
      </c>
      <c r="N55" s="613"/>
    </row>
    <row r="56" spans="1:14" ht="30" customHeight="1" x14ac:dyDescent="0.25">
      <c r="A56" s="627" t="s">
        <v>9510</v>
      </c>
      <c r="B56" s="627" t="s">
        <v>9509</v>
      </c>
      <c r="C56" s="627" t="s">
        <v>9508</v>
      </c>
      <c r="D56" s="627" t="s">
        <v>9470</v>
      </c>
      <c r="E56" s="767" t="s">
        <v>9510</v>
      </c>
      <c r="F56" s="758">
        <v>40</v>
      </c>
      <c r="G56" s="758"/>
      <c r="H56" s="758">
        <v>40</v>
      </c>
      <c r="I56" s="628">
        <v>0</v>
      </c>
      <c r="J56" s="628">
        <v>27</v>
      </c>
      <c r="K56" s="813">
        <f t="shared" si="1"/>
        <v>27</v>
      </c>
      <c r="L56" s="818"/>
      <c r="M56" s="818"/>
      <c r="N56" s="613"/>
    </row>
    <row r="57" spans="1:14" ht="30" customHeight="1" x14ac:dyDescent="0.25">
      <c r="A57" s="627" t="s">
        <v>10918</v>
      </c>
      <c r="B57" s="627">
        <v>2929</v>
      </c>
      <c r="C57" s="627" t="s">
        <v>10919</v>
      </c>
      <c r="D57" s="627" t="s">
        <v>9470</v>
      </c>
      <c r="E57" s="767"/>
      <c r="F57" s="758"/>
      <c r="G57" s="758"/>
      <c r="H57" s="758"/>
      <c r="I57" s="628"/>
      <c r="J57" s="628"/>
      <c r="K57" s="813"/>
      <c r="L57" s="818">
        <v>136</v>
      </c>
      <c r="M57" s="818"/>
      <c r="N57" s="613"/>
    </row>
    <row r="58" spans="1:14" ht="30" customHeight="1" x14ac:dyDescent="0.25">
      <c r="A58" s="627" t="s">
        <v>11344</v>
      </c>
      <c r="B58" s="627" t="s">
        <v>11347</v>
      </c>
      <c r="C58" s="627" t="s">
        <v>11348</v>
      </c>
      <c r="D58" s="627" t="s">
        <v>9470</v>
      </c>
      <c r="E58" s="767" t="s">
        <v>11344</v>
      </c>
      <c r="F58" s="758">
        <v>150.57</v>
      </c>
      <c r="G58" s="758"/>
      <c r="H58" s="758">
        <v>150.57</v>
      </c>
      <c r="I58" s="628"/>
      <c r="J58" s="628"/>
      <c r="K58" s="813"/>
      <c r="L58" s="818"/>
      <c r="M58" s="818"/>
      <c r="N58" s="613"/>
    </row>
    <row r="59" spans="1:14" ht="30" customHeight="1" x14ac:dyDescent="0.25">
      <c r="A59" s="627" t="s">
        <v>9507</v>
      </c>
      <c r="B59" s="627" t="s">
        <v>9506</v>
      </c>
      <c r="C59" s="627" t="s">
        <v>9505</v>
      </c>
      <c r="D59" s="627" t="s">
        <v>9470</v>
      </c>
      <c r="E59" s="767"/>
      <c r="F59" s="758"/>
      <c r="G59" s="758"/>
      <c r="H59" s="758"/>
      <c r="I59" s="628">
        <v>15</v>
      </c>
      <c r="J59" s="628">
        <v>278.07</v>
      </c>
      <c r="K59" s="813">
        <f t="shared" ref="K59:K72" si="2">SUM(I59:J59)</f>
        <v>293.07</v>
      </c>
      <c r="L59" s="818">
        <v>723.99</v>
      </c>
      <c r="M59" s="818">
        <v>411.25</v>
      </c>
      <c r="N59" s="613"/>
    </row>
    <row r="60" spans="1:14" ht="30" customHeight="1" x14ac:dyDescent="0.25">
      <c r="A60" s="627" t="s">
        <v>9504</v>
      </c>
      <c r="B60" s="627" t="s">
        <v>9503</v>
      </c>
      <c r="C60" s="627" t="s">
        <v>9502</v>
      </c>
      <c r="D60" s="627" t="s">
        <v>9470</v>
      </c>
      <c r="E60" s="767" t="s">
        <v>9504</v>
      </c>
      <c r="F60" s="758">
        <v>1021.7799999999999</v>
      </c>
      <c r="G60" s="758">
        <v>263.22000000000003</v>
      </c>
      <c r="H60" s="758">
        <v>1285</v>
      </c>
      <c r="I60" s="628">
        <v>50</v>
      </c>
      <c r="J60" s="628">
        <v>1341.1</v>
      </c>
      <c r="K60" s="813">
        <f t="shared" si="2"/>
        <v>1391.1</v>
      </c>
      <c r="L60" s="818">
        <v>1306.27</v>
      </c>
      <c r="M60" s="818">
        <v>1668.64</v>
      </c>
      <c r="N60" s="613"/>
    </row>
    <row r="61" spans="1:14" ht="30" customHeight="1" x14ac:dyDescent="0.25">
      <c r="A61" s="627" t="s">
        <v>9501</v>
      </c>
      <c r="B61" s="627" t="s">
        <v>9500</v>
      </c>
      <c r="C61" s="627" t="s">
        <v>9499</v>
      </c>
      <c r="D61" s="627" t="s">
        <v>9470</v>
      </c>
      <c r="E61" s="767" t="s">
        <v>9501</v>
      </c>
      <c r="F61" s="758"/>
      <c r="G61" s="758">
        <v>139.6</v>
      </c>
      <c r="H61" s="758">
        <v>139.6</v>
      </c>
      <c r="I61" s="628">
        <v>30</v>
      </c>
      <c r="J61" s="628">
        <v>217</v>
      </c>
      <c r="K61" s="813">
        <f t="shared" si="2"/>
        <v>247</v>
      </c>
      <c r="L61" s="818">
        <v>219</v>
      </c>
      <c r="M61" s="818">
        <v>307.2</v>
      </c>
      <c r="N61" s="613"/>
    </row>
    <row r="62" spans="1:14" ht="30" customHeight="1" x14ac:dyDescent="0.25">
      <c r="A62" s="627" t="s">
        <v>9498</v>
      </c>
      <c r="B62" s="627" t="s">
        <v>9497</v>
      </c>
      <c r="C62" s="627" t="s">
        <v>9496</v>
      </c>
      <c r="D62" s="627" t="s">
        <v>9470</v>
      </c>
      <c r="E62" s="767" t="s">
        <v>9498</v>
      </c>
      <c r="F62" s="758">
        <v>700</v>
      </c>
      <c r="G62" s="758"/>
      <c r="H62" s="758">
        <v>700</v>
      </c>
      <c r="I62" s="628">
        <v>250</v>
      </c>
      <c r="J62" s="628">
        <v>2011.6</v>
      </c>
      <c r="K62" s="813">
        <f t="shared" si="2"/>
        <v>2261.6</v>
      </c>
      <c r="L62" s="818">
        <v>2097</v>
      </c>
      <c r="M62" s="818">
        <v>1752.42</v>
      </c>
      <c r="N62" s="613"/>
    </row>
    <row r="63" spans="1:14" ht="30" customHeight="1" x14ac:dyDescent="0.25">
      <c r="A63" s="627" t="s">
        <v>9495</v>
      </c>
      <c r="B63" s="627" t="s">
        <v>9494</v>
      </c>
      <c r="C63" s="627" t="s">
        <v>4017</v>
      </c>
      <c r="D63" s="627" t="s">
        <v>9470</v>
      </c>
      <c r="E63" s="767"/>
      <c r="F63" s="758"/>
      <c r="G63" s="758"/>
      <c r="H63" s="758"/>
      <c r="I63" s="628">
        <v>0</v>
      </c>
      <c r="J63" s="628">
        <v>177.8</v>
      </c>
      <c r="K63" s="813">
        <f t="shared" si="2"/>
        <v>177.8</v>
      </c>
      <c r="L63" s="818">
        <v>148.13</v>
      </c>
      <c r="M63" s="818">
        <v>457.5</v>
      </c>
      <c r="N63" s="613"/>
    </row>
    <row r="64" spans="1:14" ht="30" customHeight="1" x14ac:dyDescent="0.25">
      <c r="A64" s="627" t="s">
        <v>9493</v>
      </c>
      <c r="B64" s="627" t="s">
        <v>9492</v>
      </c>
      <c r="C64" s="627" t="s">
        <v>9491</v>
      </c>
      <c r="D64" s="627" t="s">
        <v>9470</v>
      </c>
      <c r="E64" s="767" t="s">
        <v>9493</v>
      </c>
      <c r="F64" s="758">
        <v>80</v>
      </c>
      <c r="G64" s="758">
        <v>243.7</v>
      </c>
      <c r="H64" s="758">
        <v>323.7</v>
      </c>
      <c r="I64" s="628">
        <v>10</v>
      </c>
      <c r="J64" s="628">
        <v>495</v>
      </c>
      <c r="K64" s="813">
        <f t="shared" si="2"/>
        <v>505</v>
      </c>
      <c r="L64" s="818">
        <v>629.39</v>
      </c>
      <c r="M64" s="818">
        <v>1341</v>
      </c>
      <c r="N64" s="613"/>
    </row>
    <row r="65" spans="1:14" ht="30" customHeight="1" x14ac:dyDescent="0.25">
      <c r="A65" s="627" t="s">
        <v>9490</v>
      </c>
      <c r="B65" s="627" t="s">
        <v>9489</v>
      </c>
      <c r="C65" s="627" t="s">
        <v>9488</v>
      </c>
      <c r="D65" s="627" t="s">
        <v>9470</v>
      </c>
      <c r="E65" s="767" t="s">
        <v>9490</v>
      </c>
      <c r="F65" s="758">
        <v>50</v>
      </c>
      <c r="G65" s="758">
        <v>1115</v>
      </c>
      <c r="H65" s="758">
        <v>1165</v>
      </c>
      <c r="I65" s="628">
        <v>20</v>
      </c>
      <c r="J65" s="628">
        <v>1335</v>
      </c>
      <c r="K65" s="813">
        <f t="shared" si="2"/>
        <v>1355</v>
      </c>
      <c r="L65" s="818">
        <v>1501.9</v>
      </c>
      <c r="M65" s="818">
        <v>1569</v>
      </c>
      <c r="N65" s="613"/>
    </row>
    <row r="66" spans="1:14" ht="30" customHeight="1" x14ac:dyDescent="0.25">
      <c r="A66" s="627" t="s">
        <v>9487</v>
      </c>
      <c r="B66" s="627" t="s">
        <v>9486</v>
      </c>
      <c r="C66" s="627" t="s">
        <v>9485</v>
      </c>
      <c r="D66" s="627" t="s">
        <v>9470</v>
      </c>
      <c r="E66" s="767" t="s">
        <v>9487</v>
      </c>
      <c r="F66" s="758">
        <v>638</v>
      </c>
      <c r="G66" s="758">
        <v>330.8</v>
      </c>
      <c r="H66" s="758">
        <v>968.8</v>
      </c>
      <c r="I66" s="628">
        <v>386</v>
      </c>
      <c r="J66" s="628">
        <v>903.43000000000052</v>
      </c>
      <c r="K66" s="813">
        <f t="shared" si="2"/>
        <v>1289.4300000000005</v>
      </c>
      <c r="L66" s="818">
        <v>1188</v>
      </c>
      <c r="M66" s="818">
        <v>2024.94</v>
      </c>
      <c r="N66" s="613"/>
    </row>
    <row r="67" spans="1:14" ht="30" customHeight="1" x14ac:dyDescent="0.25">
      <c r="A67" s="627" t="s">
        <v>11345</v>
      </c>
      <c r="B67" s="627">
        <v>2946</v>
      </c>
      <c r="C67" s="627" t="s">
        <v>11349</v>
      </c>
      <c r="D67" s="627" t="s">
        <v>9470</v>
      </c>
      <c r="E67" s="767" t="s">
        <v>11345</v>
      </c>
      <c r="F67" s="758">
        <v>62.24</v>
      </c>
      <c r="G67" s="758"/>
      <c r="H67" s="758">
        <v>62.24</v>
      </c>
      <c r="I67" s="628"/>
      <c r="J67" s="628"/>
      <c r="K67" s="813"/>
      <c r="L67" s="818"/>
      <c r="M67" s="818"/>
      <c r="N67" s="613"/>
    </row>
    <row r="68" spans="1:14" ht="30" customHeight="1" x14ac:dyDescent="0.25">
      <c r="A68" s="627" t="s">
        <v>9484</v>
      </c>
      <c r="B68" s="627" t="s">
        <v>9483</v>
      </c>
      <c r="C68" s="627" t="s">
        <v>9482</v>
      </c>
      <c r="D68" s="627" t="s">
        <v>9470</v>
      </c>
      <c r="E68" s="767" t="s">
        <v>9484</v>
      </c>
      <c r="F68" s="758">
        <v>475.2</v>
      </c>
      <c r="G68" s="758"/>
      <c r="H68" s="758">
        <v>475.2</v>
      </c>
      <c r="I68" s="628">
        <v>0</v>
      </c>
      <c r="J68" s="628">
        <v>1297.75</v>
      </c>
      <c r="K68" s="813">
        <f t="shared" si="2"/>
        <v>1297.75</v>
      </c>
      <c r="L68" s="818">
        <v>1077.83</v>
      </c>
      <c r="M68" s="818">
        <v>1102.92</v>
      </c>
      <c r="N68" s="613"/>
    </row>
    <row r="69" spans="1:14" ht="30" customHeight="1" x14ac:dyDescent="0.25">
      <c r="A69" s="627" t="s">
        <v>9481</v>
      </c>
      <c r="B69" s="627" t="s">
        <v>9480</v>
      </c>
      <c r="C69" s="627" t="s">
        <v>158</v>
      </c>
      <c r="D69" s="627" t="s">
        <v>9470</v>
      </c>
      <c r="E69" s="767"/>
      <c r="F69" s="758"/>
      <c r="G69" s="758"/>
      <c r="H69" s="758"/>
      <c r="I69" s="628">
        <v>0</v>
      </c>
      <c r="J69" s="628">
        <v>400</v>
      </c>
      <c r="K69" s="813">
        <f t="shared" si="2"/>
        <v>400</v>
      </c>
      <c r="L69" s="818">
        <v>473</v>
      </c>
      <c r="M69" s="818">
        <v>663</v>
      </c>
      <c r="N69" s="613"/>
    </row>
    <row r="70" spans="1:14" ht="30" customHeight="1" x14ac:dyDescent="0.25">
      <c r="A70" s="627" t="s">
        <v>9479</v>
      </c>
      <c r="B70" s="627" t="s">
        <v>9478</v>
      </c>
      <c r="C70" s="627" t="s">
        <v>9477</v>
      </c>
      <c r="D70" s="627" t="s">
        <v>9470</v>
      </c>
      <c r="E70" s="767" t="s">
        <v>9479</v>
      </c>
      <c r="F70" s="758"/>
      <c r="G70" s="758">
        <v>74</v>
      </c>
      <c r="H70" s="758">
        <v>74</v>
      </c>
      <c r="I70" s="628">
        <v>0</v>
      </c>
      <c r="J70" s="628">
        <v>293.5</v>
      </c>
      <c r="K70" s="813">
        <f t="shared" si="2"/>
        <v>293.5</v>
      </c>
      <c r="L70" s="818">
        <v>256.95</v>
      </c>
      <c r="M70" s="818">
        <v>360.5</v>
      </c>
      <c r="N70" s="613"/>
    </row>
    <row r="71" spans="1:14" ht="30" customHeight="1" x14ac:dyDescent="0.25">
      <c r="A71" s="627" t="s">
        <v>9476</v>
      </c>
      <c r="B71" s="627" t="s">
        <v>9475</v>
      </c>
      <c r="C71" s="627" t="s">
        <v>9474</v>
      </c>
      <c r="D71" s="627" t="s">
        <v>9470</v>
      </c>
      <c r="E71" s="767" t="s">
        <v>9476</v>
      </c>
      <c r="F71" s="758"/>
      <c r="G71" s="758">
        <v>61</v>
      </c>
      <c r="H71" s="758">
        <v>61</v>
      </c>
      <c r="I71" s="628">
        <v>0</v>
      </c>
      <c r="J71" s="628">
        <v>1175.43</v>
      </c>
      <c r="K71" s="813">
        <f t="shared" si="2"/>
        <v>1175.43</v>
      </c>
      <c r="L71" s="818">
        <v>471.6</v>
      </c>
      <c r="M71" s="818">
        <v>729.88</v>
      </c>
      <c r="N71" s="613"/>
    </row>
    <row r="72" spans="1:14" ht="30" customHeight="1" x14ac:dyDescent="0.25">
      <c r="A72" s="627" t="s">
        <v>9473</v>
      </c>
      <c r="B72" s="627" t="s">
        <v>9472</v>
      </c>
      <c r="C72" s="627" t="s">
        <v>9471</v>
      </c>
      <c r="D72" s="627" t="s">
        <v>9470</v>
      </c>
      <c r="E72" s="767" t="s">
        <v>9473</v>
      </c>
      <c r="F72" s="758">
        <v>513.39</v>
      </c>
      <c r="G72" s="758">
        <v>2669.86</v>
      </c>
      <c r="H72" s="758">
        <v>3183.25</v>
      </c>
      <c r="I72" s="628">
        <v>110</v>
      </c>
      <c r="J72" s="628">
        <v>4730.41</v>
      </c>
      <c r="K72" s="813">
        <f t="shared" si="2"/>
        <v>4840.41</v>
      </c>
      <c r="L72" s="818">
        <v>4993.84</v>
      </c>
      <c r="M72" s="818">
        <v>4860.96</v>
      </c>
      <c r="N72" s="613"/>
    </row>
    <row r="73" spans="1:14" ht="30" customHeight="1" x14ac:dyDescent="0.25">
      <c r="A73" s="627" t="s">
        <v>11346</v>
      </c>
      <c r="B73" s="627">
        <v>2954</v>
      </c>
      <c r="C73" s="627" t="s">
        <v>11350</v>
      </c>
      <c r="D73" s="627" t="s">
        <v>9470</v>
      </c>
      <c r="E73" s="767" t="s">
        <v>11346</v>
      </c>
      <c r="F73" s="758">
        <v>90</v>
      </c>
      <c r="G73" s="758"/>
      <c r="H73" s="758">
        <v>90</v>
      </c>
      <c r="I73" s="628"/>
      <c r="J73" s="628"/>
      <c r="K73" s="813"/>
      <c r="L73" s="818"/>
      <c r="M73" s="818"/>
      <c r="N73" s="613"/>
    </row>
    <row r="74" spans="1:14" ht="30" customHeight="1" x14ac:dyDescent="0.25">
      <c r="A74" s="627" t="s">
        <v>10920</v>
      </c>
      <c r="B74" s="627">
        <v>2955</v>
      </c>
      <c r="C74" s="627" t="s">
        <v>10921</v>
      </c>
      <c r="D74" s="627" t="s">
        <v>9470</v>
      </c>
      <c r="E74" s="767"/>
      <c r="F74" s="758"/>
      <c r="G74" s="758"/>
      <c r="H74" s="758"/>
      <c r="I74" s="628"/>
      <c r="J74" s="628"/>
      <c r="K74" s="813"/>
      <c r="L74" s="818">
        <v>152.76</v>
      </c>
      <c r="M74" s="818">
        <v>379.47</v>
      </c>
      <c r="N74" s="613"/>
    </row>
    <row r="75" spans="1:14" ht="30" customHeight="1" x14ac:dyDescent="0.25">
      <c r="A75" s="627" t="s">
        <v>9469</v>
      </c>
      <c r="B75" s="627" t="s">
        <v>9468</v>
      </c>
      <c r="C75" s="627" t="s">
        <v>3715</v>
      </c>
      <c r="D75" s="627" t="s">
        <v>9467</v>
      </c>
      <c r="E75" s="767" t="s">
        <v>9469</v>
      </c>
      <c r="F75" s="758">
        <v>294.2</v>
      </c>
      <c r="G75" s="758">
        <v>196.58</v>
      </c>
      <c r="H75" s="758">
        <v>490.78</v>
      </c>
      <c r="I75" s="628">
        <v>0</v>
      </c>
      <c r="J75" s="628">
        <v>1662.48</v>
      </c>
      <c r="K75" s="813">
        <f t="shared" ref="K75:K80" si="3">SUM(I75:J75)</f>
        <v>1662.48</v>
      </c>
      <c r="L75" s="818">
        <v>1614.7</v>
      </c>
      <c r="M75" s="818">
        <v>1666.08</v>
      </c>
      <c r="N75" s="613"/>
    </row>
    <row r="76" spans="1:14" ht="30" customHeight="1" x14ac:dyDescent="0.25">
      <c r="A76" s="627" t="s">
        <v>9466</v>
      </c>
      <c r="B76" s="627" t="s">
        <v>9465</v>
      </c>
      <c r="C76" s="627" t="s">
        <v>5796</v>
      </c>
      <c r="D76" s="627" t="s">
        <v>9464</v>
      </c>
      <c r="E76" s="767" t="s">
        <v>9466</v>
      </c>
      <c r="F76" s="758">
        <v>45</v>
      </c>
      <c r="G76" s="758"/>
      <c r="H76" s="758">
        <v>45</v>
      </c>
      <c r="I76" s="628">
        <v>0</v>
      </c>
      <c r="J76" s="628">
        <v>218</v>
      </c>
      <c r="K76" s="813">
        <f t="shared" si="3"/>
        <v>218</v>
      </c>
      <c r="L76" s="818">
        <v>360</v>
      </c>
      <c r="M76" s="818">
        <v>298</v>
      </c>
      <c r="N76" s="613"/>
    </row>
    <row r="77" spans="1:14" ht="30" customHeight="1" x14ac:dyDescent="0.25">
      <c r="A77" s="627" t="s">
        <v>9463</v>
      </c>
      <c r="B77" s="627" t="s">
        <v>9462</v>
      </c>
      <c r="C77" s="627" t="s">
        <v>1008</v>
      </c>
      <c r="D77" s="627" t="s">
        <v>9461</v>
      </c>
      <c r="E77" s="767" t="s">
        <v>9463</v>
      </c>
      <c r="F77" s="758">
        <v>60</v>
      </c>
      <c r="G77" s="758">
        <v>1526.37</v>
      </c>
      <c r="H77" s="758">
        <v>1586.37</v>
      </c>
      <c r="I77" s="628">
        <v>30</v>
      </c>
      <c r="J77" s="628">
        <v>907.5</v>
      </c>
      <c r="K77" s="813">
        <f t="shared" si="3"/>
        <v>937.5</v>
      </c>
      <c r="L77" s="818">
        <v>2080.1999999999998</v>
      </c>
      <c r="M77" s="818">
        <v>2097.98</v>
      </c>
      <c r="N77" s="613"/>
    </row>
    <row r="78" spans="1:14" ht="30" customHeight="1" x14ac:dyDescent="0.25">
      <c r="A78" s="627" t="s">
        <v>9460</v>
      </c>
      <c r="B78" s="627" t="s">
        <v>9459</v>
      </c>
      <c r="C78" s="627" t="s">
        <v>8065</v>
      </c>
      <c r="D78" s="627" t="s">
        <v>9458</v>
      </c>
      <c r="E78" s="767" t="s">
        <v>9460</v>
      </c>
      <c r="F78" s="758">
        <v>374</v>
      </c>
      <c r="G78" s="758">
        <v>80</v>
      </c>
      <c r="H78" s="758">
        <v>454</v>
      </c>
      <c r="I78" s="628">
        <v>0</v>
      </c>
      <c r="J78" s="628">
        <v>1090.1600000000001</v>
      </c>
      <c r="K78" s="813">
        <f t="shared" si="3"/>
        <v>1090.1600000000001</v>
      </c>
      <c r="L78" s="818">
        <v>550.4</v>
      </c>
      <c r="M78" s="818">
        <v>886.2</v>
      </c>
      <c r="N78" s="613"/>
    </row>
    <row r="79" spans="1:14" ht="30" customHeight="1" x14ac:dyDescent="0.25">
      <c r="A79" s="627" t="s">
        <v>9457</v>
      </c>
      <c r="B79" s="627" t="s">
        <v>9456</v>
      </c>
      <c r="C79" s="627" t="s">
        <v>7343</v>
      </c>
      <c r="D79" s="627" t="s">
        <v>9455</v>
      </c>
      <c r="E79" s="767" t="s">
        <v>9457</v>
      </c>
      <c r="F79" s="758">
        <v>435</v>
      </c>
      <c r="G79" s="758">
        <v>132</v>
      </c>
      <c r="H79" s="758">
        <v>567</v>
      </c>
      <c r="I79" s="628">
        <v>80</v>
      </c>
      <c r="J79" s="628">
        <v>1348</v>
      </c>
      <c r="K79" s="813">
        <f t="shared" si="3"/>
        <v>1428</v>
      </c>
      <c r="L79" s="818">
        <v>766</v>
      </c>
      <c r="M79" s="818">
        <v>1674</v>
      </c>
      <c r="N79" s="613"/>
    </row>
    <row r="80" spans="1:14" ht="30" customHeight="1" x14ac:dyDescent="0.25">
      <c r="A80" s="627" t="s">
        <v>9454</v>
      </c>
      <c r="B80" s="627" t="s">
        <v>9453</v>
      </c>
      <c r="C80" s="627" t="s">
        <v>532</v>
      </c>
      <c r="D80" s="627" t="s">
        <v>9452</v>
      </c>
      <c r="E80" s="767" t="s">
        <v>9454</v>
      </c>
      <c r="F80" s="758">
        <v>484.86999999999995</v>
      </c>
      <c r="G80" s="758">
        <v>530.87999999999988</v>
      </c>
      <c r="H80" s="758">
        <v>1015.7499999999998</v>
      </c>
      <c r="I80" s="628">
        <v>120</v>
      </c>
      <c r="J80" s="628">
        <v>1590.7</v>
      </c>
      <c r="K80" s="813">
        <f t="shared" si="3"/>
        <v>1710.7</v>
      </c>
      <c r="L80" s="818">
        <v>1572</v>
      </c>
      <c r="M80" s="818">
        <v>1239</v>
      </c>
      <c r="N80" s="613"/>
    </row>
    <row r="81" spans="1:14" ht="30" customHeight="1" x14ac:dyDescent="0.25">
      <c r="A81" s="627" t="s">
        <v>10922</v>
      </c>
      <c r="B81" s="627" t="s">
        <v>11351</v>
      </c>
      <c r="C81" s="627" t="s">
        <v>10923</v>
      </c>
      <c r="D81" s="627" t="s">
        <v>9452</v>
      </c>
      <c r="E81" s="767"/>
      <c r="F81" s="758"/>
      <c r="G81" s="758"/>
      <c r="H81" s="758"/>
      <c r="I81" s="628"/>
      <c r="J81" s="628"/>
      <c r="K81" s="813"/>
      <c r="L81" s="818">
        <v>217</v>
      </c>
      <c r="M81" s="818">
        <v>587.95000000000005</v>
      </c>
      <c r="N81" s="613"/>
    </row>
    <row r="82" spans="1:14" ht="30" customHeight="1" x14ac:dyDescent="0.25">
      <c r="A82" s="627" t="s">
        <v>9451</v>
      </c>
      <c r="B82" s="627" t="s">
        <v>9450</v>
      </c>
      <c r="C82" s="627" t="s">
        <v>705</v>
      </c>
      <c r="D82" s="627" t="s">
        <v>9449</v>
      </c>
      <c r="E82" s="767" t="s">
        <v>9451</v>
      </c>
      <c r="F82" s="758">
        <v>132.94</v>
      </c>
      <c r="G82" s="758">
        <v>699.06</v>
      </c>
      <c r="H82" s="758">
        <v>832</v>
      </c>
      <c r="I82" s="628">
        <v>5</v>
      </c>
      <c r="J82" s="628">
        <v>1272</v>
      </c>
      <c r="K82" s="813">
        <f t="shared" ref="K82:K95" si="4">SUM(I82:J82)</f>
        <v>1277</v>
      </c>
      <c r="L82" s="818">
        <v>1137</v>
      </c>
      <c r="M82" s="818">
        <v>1509</v>
      </c>
      <c r="N82" s="613"/>
    </row>
    <row r="83" spans="1:14" ht="30" customHeight="1" x14ac:dyDescent="0.25">
      <c r="A83" s="627" t="s">
        <v>9448</v>
      </c>
      <c r="B83" s="627" t="s">
        <v>9447</v>
      </c>
      <c r="C83" s="627" t="s">
        <v>260</v>
      </c>
      <c r="D83" s="627" t="s">
        <v>9446</v>
      </c>
      <c r="E83" s="767" t="s">
        <v>9448</v>
      </c>
      <c r="F83" s="758"/>
      <c r="G83" s="758">
        <v>22</v>
      </c>
      <c r="H83" s="758">
        <v>22</v>
      </c>
      <c r="I83" s="628">
        <v>0</v>
      </c>
      <c r="J83" s="628">
        <v>201.34000000000003</v>
      </c>
      <c r="K83" s="813">
        <f t="shared" si="4"/>
        <v>201.34000000000003</v>
      </c>
      <c r="L83" s="818">
        <v>211.15</v>
      </c>
      <c r="M83" s="818">
        <v>203.04</v>
      </c>
      <c r="N83" s="613"/>
    </row>
    <row r="84" spans="1:14" ht="30" customHeight="1" x14ac:dyDescent="0.25">
      <c r="A84" s="627" t="s">
        <v>9445</v>
      </c>
      <c r="B84" s="627" t="s">
        <v>9444</v>
      </c>
      <c r="C84" s="627" t="s">
        <v>7193</v>
      </c>
      <c r="D84" s="627" t="s">
        <v>9443</v>
      </c>
      <c r="E84" s="767" t="s">
        <v>9445</v>
      </c>
      <c r="F84" s="758">
        <v>90</v>
      </c>
      <c r="G84" s="758">
        <v>510</v>
      </c>
      <c r="H84" s="758">
        <v>600</v>
      </c>
      <c r="I84" s="628">
        <v>20</v>
      </c>
      <c r="J84" s="628">
        <v>759</v>
      </c>
      <c r="K84" s="813">
        <f t="shared" si="4"/>
        <v>779</v>
      </c>
      <c r="L84" s="818">
        <v>366</v>
      </c>
      <c r="M84" s="818">
        <v>584.36</v>
      </c>
      <c r="N84" s="613"/>
    </row>
    <row r="85" spans="1:14" ht="30" customHeight="1" x14ac:dyDescent="0.25">
      <c r="A85" s="627" t="s">
        <v>9442</v>
      </c>
      <c r="B85" s="627" t="s">
        <v>9441</v>
      </c>
      <c r="C85" s="627" t="s">
        <v>226</v>
      </c>
      <c r="D85" s="627" t="s">
        <v>3697</v>
      </c>
      <c r="E85" s="767" t="s">
        <v>9442</v>
      </c>
      <c r="F85" s="758">
        <v>20</v>
      </c>
      <c r="G85" s="758">
        <v>842.05</v>
      </c>
      <c r="H85" s="758">
        <v>862.05</v>
      </c>
      <c r="I85" s="628">
        <v>20</v>
      </c>
      <c r="J85" s="628">
        <v>723.31</v>
      </c>
      <c r="K85" s="813">
        <f t="shared" si="4"/>
        <v>743.31</v>
      </c>
      <c r="L85" s="818">
        <v>682.49</v>
      </c>
      <c r="M85" s="818">
        <v>370.77</v>
      </c>
      <c r="N85" s="613"/>
    </row>
    <row r="86" spans="1:14" ht="30" customHeight="1" x14ac:dyDescent="0.25">
      <c r="A86" s="627" t="s">
        <v>9440</v>
      </c>
      <c r="B86" s="627" t="s">
        <v>9439</v>
      </c>
      <c r="C86" s="627" t="s">
        <v>226</v>
      </c>
      <c r="D86" s="627" t="s">
        <v>9438</v>
      </c>
      <c r="E86" s="767" t="s">
        <v>9440</v>
      </c>
      <c r="F86" s="758">
        <v>213</v>
      </c>
      <c r="G86" s="758">
        <v>252.25</v>
      </c>
      <c r="H86" s="758">
        <v>465.25</v>
      </c>
      <c r="I86" s="628">
        <v>0</v>
      </c>
      <c r="J86" s="628">
        <v>1130.7700000000002</v>
      </c>
      <c r="K86" s="813">
        <f t="shared" si="4"/>
        <v>1130.7700000000002</v>
      </c>
      <c r="L86" s="818">
        <v>834.05</v>
      </c>
      <c r="M86" s="818">
        <v>1368.57</v>
      </c>
      <c r="N86" s="613"/>
    </row>
    <row r="87" spans="1:14" ht="30" customHeight="1" x14ac:dyDescent="0.25">
      <c r="A87" s="627" t="s">
        <v>9437</v>
      </c>
      <c r="B87" s="627" t="s">
        <v>9436</v>
      </c>
      <c r="C87" s="627" t="s">
        <v>9261</v>
      </c>
      <c r="D87" s="627" t="s">
        <v>9435</v>
      </c>
      <c r="E87" s="767" t="s">
        <v>9437</v>
      </c>
      <c r="F87" s="758">
        <v>55</v>
      </c>
      <c r="G87" s="758">
        <v>397.72</v>
      </c>
      <c r="H87" s="758">
        <v>452.72</v>
      </c>
      <c r="I87" s="628">
        <v>100</v>
      </c>
      <c r="J87" s="628">
        <v>25</v>
      </c>
      <c r="K87" s="813">
        <f t="shared" si="4"/>
        <v>125</v>
      </c>
      <c r="L87" s="818">
        <v>503.51</v>
      </c>
      <c r="M87" s="818">
        <v>687.32999999999993</v>
      </c>
      <c r="N87" s="613"/>
    </row>
    <row r="88" spans="1:14" ht="30" customHeight="1" x14ac:dyDescent="0.25">
      <c r="A88" s="627" t="s">
        <v>9434</v>
      </c>
      <c r="B88" s="627" t="s">
        <v>9433</v>
      </c>
      <c r="C88" s="627" t="s">
        <v>9432</v>
      </c>
      <c r="D88" s="627" t="s">
        <v>9431</v>
      </c>
      <c r="E88" s="767" t="s">
        <v>9434</v>
      </c>
      <c r="F88" s="758">
        <v>70</v>
      </c>
      <c r="G88" s="758"/>
      <c r="H88" s="758">
        <v>70</v>
      </c>
      <c r="I88" s="628">
        <v>50</v>
      </c>
      <c r="J88" s="628">
        <v>695.71</v>
      </c>
      <c r="K88" s="813">
        <f t="shared" si="4"/>
        <v>745.71</v>
      </c>
      <c r="L88" s="818">
        <v>776</v>
      </c>
      <c r="M88" s="818">
        <v>980</v>
      </c>
      <c r="N88" s="613"/>
    </row>
    <row r="89" spans="1:14" ht="30" customHeight="1" x14ac:dyDescent="0.25">
      <c r="A89" s="627" t="s">
        <v>9430</v>
      </c>
      <c r="B89" s="627" t="s">
        <v>9429</v>
      </c>
      <c r="C89" s="627" t="s">
        <v>63</v>
      </c>
      <c r="D89" s="627" t="s">
        <v>9428</v>
      </c>
      <c r="E89" s="767"/>
      <c r="F89" s="758"/>
      <c r="G89" s="758"/>
      <c r="H89" s="758"/>
      <c r="I89" s="628">
        <v>0</v>
      </c>
      <c r="J89" s="628">
        <v>313.97000000000003</v>
      </c>
      <c r="K89" s="813">
        <f t="shared" si="4"/>
        <v>313.97000000000003</v>
      </c>
      <c r="L89" s="818">
        <v>212.99</v>
      </c>
      <c r="M89" s="818">
        <v>401.01</v>
      </c>
      <c r="N89" s="613"/>
    </row>
    <row r="90" spans="1:14" ht="30" customHeight="1" x14ac:dyDescent="0.25">
      <c r="A90" s="627" t="s">
        <v>9427</v>
      </c>
      <c r="B90" s="627" t="s">
        <v>9426</v>
      </c>
      <c r="C90" s="627" t="s">
        <v>3222</v>
      </c>
      <c r="D90" s="627" t="s">
        <v>9425</v>
      </c>
      <c r="E90" s="767" t="s">
        <v>9427</v>
      </c>
      <c r="F90" s="758">
        <v>60</v>
      </c>
      <c r="G90" s="758"/>
      <c r="H90" s="758">
        <v>60</v>
      </c>
      <c r="I90" s="628">
        <v>0</v>
      </c>
      <c r="J90" s="628">
        <v>207</v>
      </c>
      <c r="K90" s="813">
        <f t="shared" si="4"/>
        <v>207</v>
      </c>
      <c r="L90" s="818">
        <v>298</v>
      </c>
      <c r="M90" s="818">
        <v>371</v>
      </c>
      <c r="N90" s="613"/>
    </row>
    <row r="91" spans="1:14" ht="30" customHeight="1" x14ac:dyDescent="0.25">
      <c r="A91" s="627" t="s">
        <v>9424</v>
      </c>
      <c r="B91" s="627" t="s">
        <v>9423</v>
      </c>
      <c r="C91" s="627" t="s">
        <v>7535</v>
      </c>
      <c r="D91" s="627" t="s">
        <v>9393</v>
      </c>
      <c r="E91" s="767" t="s">
        <v>9424</v>
      </c>
      <c r="F91" s="758">
        <v>180</v>
      </c>
      <c r="G91" s="758"/>
      <c r="H91" s="758">
        <v>180</v>
      </c>
      <c r="I91" s="628">
        <v>0</v>
      </c>
      <c r="J91" s="628">
        <v>549.89999999999986</v>
      </c>
      <c r="K91" s="813">
        <f t="shared" si="4"/>
        <v>549.89999999999986</v>
      </c>
      <c r="L91" s="818">
        <v>574</v>
      </c>
      <c r="M91" s="818">
        <v>869</v>
      </c>
      <c r="N91" s="613"/>
    </row>
    <row r="92" spans="1:14" ht="30" customHeight="1" x14ac:dyDescent="0.25">
      <c r="A92" s="627" t="s">
        <v>9422</v>
      </c>
      <c r="B92" s="627" t="s">
        <v>9421</v>
      </c>
      <c r="C92" s="627" t="s">
        <v>9420</v>
      </c>
      <c r="D92" s="627" t="s">
        <v>9419</v>
      </c>
      <c r="E92" s="767" t="s">
        <v>9422</v>
      </c>
      <c r="F92" s="758">
        <v>50</v>
      </c>
      <c r="G92" s="758">
        <v>1995</v>
      </c>
      <c r="H92" s="758">
        <v>2045</v>
      </c>
      <c r="I92" s="628">
        <v>0</v>
      </c>
      <c r="J92" s="628">
        <v>1235</v>
      </c>
      <c r="K92" s="813">
        <f t="shared" si="4"/>
        <v>1235</v>
      </c>
      <c r="L92" s="818">
        <v>1854</v>
      </c>
      <c r="M92" s="818">
        <v>1677</v>
      </c>
      <c r="N92" s="613"/>
    </row>
    <row r="93" spans="1:14" ht="30" customHeight="1" x14ac:dyDescent="0.25">
      <c r="A93" s="627" t="s">
        <v>9418</v>
      </c>
      <c r="B93" s="627" t="s">
        <v>9417</v>
      </c>
      <c r="C93" s="627" t="s">
        <v>9416</v>
      </c>
      <c r="D93" s="627" t="s">
        <v>9415</v>
      </c>
      <c r="E93" s="767"/>
      <c r="F93" s="758"/>
      <c r="G93" s="758"/>
      <c r="H93" s="758"/>
      <c r="I93" s="628">
        <v>0</v>
      </c>
      <c r="J93" s="628">
        <v>255</v>
      </c>
      <c r="K93" s="813">
        <f t="shared" si="4"/>
        <v>255</v>
      </c>
      <c r="L93" s="818">
        <v>265</v>
      </c>
      <c r="M93" s="818">
        <v>255</v>
      </c>
    </row>
    <row r="94" spans="1:14" ht="30" customHeight="1" x14ac:dyDescent="0.25">
      <c r="A94" s="627" t="s">
        <v>9414</v>
      </c>
      <c r="B94" s="627" t="s">
        <v>9413</v>
      </c>
      <c r="C94" s="627" t="s">
        <v>532</v>
      </c>
      <c r="D94" s="627" t="s">
        <v>9412</v>
      </c>
      <c r="E94" s="767" t="s">
        <v>9414</v>
      </c>
      <c r="F94" s="758"/>
      <c r="G94" s="758">
        <v>100</v>
      </c>
      <c r="H94" s="758">
        <v>100</v>
      </c>
      <c r="I94" s="628">
        <v>0</v>
      </c>
      <c r="J94" s="628">
        <v>403</v>
      </c>
      <c r="K94" s="813">
        <f t="shared" si="4"/>
        <v>403</v>
      </c>
      <c r="L94" s="818">
        <v>340</v>
      </c>
      <c r="M94" s="818">
        <v>475</v>
      </c>
    </row>
    <row r="95" spans="1:14" ht="30" customHeight="1" x14ac:dyDescent="0.25">
      <c r="A95" s="627" t="s">
        <v>9411</v>
      </c>
      <c r="B95" s="627" t="s">
        <v>9410</v>
      </c>
      <c r="C95" s="627" t="s">
        <v>9409</v>
      </c>
      <c r="D95" s="627" t="s">
        <v>9408</v>
      </c>
      <c r="E95" s="767" t="s">
        <v>9411</v>
      </c>
      <c r="F95" s="758">
        <v>408.23</v>
      </c>
      <c r="G95" s="758">
        <v>178.61</v>
      </c>
      <c r="H95" s="758">
        <v>586.84</v>
      </c>
      <c r="I95" s="628">
        <v>60</v>
      </c>
      <c r="J95" s="628">
        <v>1201.01</v>
      </c>
      <c r="K95" s="813">
        <f t="shared" si="4"/>
        <v>1261.01</v>
      </c>
      <c r="L95" s="818">
        <v>836.7</v>
      </c>
      <c r="M95" s="818">
        <v>1154.52</v>
      </c>
    </row>
    <row r="96" spans="1:14" ht="30" customHeight="1" x14ac:dyDescent="0.25">
      <c r="A96" s="627" t="s">
        <v>9407</v>
      </c>
      <c r="B96" s="627" t="s">
        <v>9406</v>
      </c>
      <c r="C96" s="627" t="s">
        <v>9405</v>
      </c>
      <c r="D96" s="627" t="s">
        <v>9402</v>
      </c>
      <c r="E96" s="767" t="s">
        <v>9407</v>
      </c>
      <c r="F96" s="758">
        <v>100</v>
      </c>
      <c r="G96" s="758">
        <v>65</v>
      </c>
      <c r="H96" s="758">
        <v>165</v>
      </c>
      <c r="I96" s="628">
        <v>90</v>
      </c>
      <c r="J96" s="628">
        <v>119</v>
      </c>
      <c r="K96" s="813">
        <f t="shared" ref="K96:K105" si="5">SUM(I96:J96)</f>
        <v>209</v>
      </c>
      <c r="L96" s="818">
        <v>294.77</v>
      </c>
      <c r="M96" s="818">
        <v>496.71</v>
      </c>
    </row>
    <row r="97" spans="1:15" ht="30" customHeight="1" x14ac:dyDescent="0.25">
      <c r="A97" s="627" t="s">
        <v>9404</v>
      </c>
      <c r="B97" s="627" t="s">
        <v>9403</v>
      </c>
      <c r="C97" s="627" t="s">
        <v>8759</v>
      </c>
      <c r="D97" s="627" t="s">
        <v>9402</v>
      </c>
      <c r="E97" s="767" t="s">
        <v>9404</v>
      </c>
      <c r="F97" s="758">
        <v>515.28</v>
      </c>
      <c r="G97" s="758">
        <v>325.52999999999997</v>
      </c>
      <c r="H97" s="758">
        <v>840.81</v>
      </c>
      <c r="I97" s="628">
        <v>20</v>
      </c>
      <c r="J97" s="628">
        <v>991.81</v>
      </c>
      <c r="K97" s="813">
        <f t="shared" si="5"/>
        <v>1011.81</v>
      </c>
      <c r="L97" s="818">
        <v>1236.71</v>
      </c>
      <c r="M97" s="818">
        <v>980.34</v>
      </c>
    </row>
    <row r="98" spans="1:15" ht="30" customHeight="1" x14ac:dyDescent="0.25">
      <c r="A98" s="627" t="s">
        <v>9401</v>
      </c>
      <c r="B98" s="627" t="s">
        <v>9400</v>
      </c>
      <c r="C98" s="627" t="s">
        <v>532</v>
      </c>
      <c r="D98" s="627" t="s">
        <v>9399</v>
      </c>
      <c r="E98" s="767" t="s">
        <v>9401</v>
      </c>
      <c r="F98" s="758">
        <v>1335</v>
      </c>
      <c r="G98" s="758"/>
      <c r="H98" s="758">
        <v>1335</v>
      </c>
      <c r="I98" s="628">
        <v>125</v>
      </c>
      <c r="J98" s="628">
        <v>1065.8000000000002</v>
      </c>
      <c r="K98" s="813">
        <f t="shared" si="5"/>
        <v>1190.8000000000002</v>
      </c>
      <c r="L98" s="818">
        <v>543.18000000000006</v>
      </c>
      <c r="M98" s="818">
        <v>323.42</v>
      </c>
    </row>
    <row r="99" spans="1:15" ht="30" customHeight="1" x14ac:dyDescent="0.25">
      <c r="A99" s="627" t="s">
        <v>9398</v>
      </c>
      <c r="B99" s="627" t="s">
        <v>9397</v>
      </c>
      <c r="C99" s="627" t="s">
        <v>8759</v>
      </c>
      <c r="D99" s="627" t="s">
        <v>9396</v>
      </c>
      <c r="E99" s="767" t="s">
        <v>9398</v>
      </c>
      <c r="F99" s="758">
        <v>580</v>
      </c>
      <c r="G99" s="758">
        <v>153</v>
      </c>
      <c r="H99" s="758">
        <v>733</v>
      </c>
      <c r="I99" s="628">
        <v>300</v>
      </c>
      <c r="J99" s="628">
        <v>744.55000000000007</v>
      </c>
      <c r="K99" s="813">
        <f t="shared" si="5"/>
        <v>1044.5500000000002</v>
      </c>
      <c r="L99" s="818">
        <v>1133.6500000000001</v>
      </c>
      <c r="M99" s="818">
        <v>1108.9099999999999</v>
      </c>
    </row>
    <row r="100" spans="1:15" ht="30" customHeight="1" x14ac:dyDescent="0.25">
      <c r="A100" s="627" t="s">
        <v>9395</v>
      </c>
      <c r="B100" s="627" t="s">
        <v>9394</v>
      </c>
      <c r="C100" s="627" t="s">
        <v>231</v>
      </c>
      <c r="D100" s="627" t="s">
        <v>9393</v>
      </c>
      <c r="E100" s="767" t="s">
        <v>9395</v>
      </c>
      <c r="F100" s="758">
        <v>100</v>
      </c>
      <c r="G100" s="758"/>
      <c r="H100" s="758">
        <v>100</v>
      </c>
      <c r="I100" s="628">
        <v>100</v>
      </c>
      <c r="J100" s="628">
        <v>0</v>
      </c>
      <c r="K100" s="813">
        <f t="shared" si="5"/>
        <v>100</v>
      </c>
      <c r="L100" s="818"/>
      <c r="M100" s="818"/>
    </row>
    <row r="101" spans="1:15" ht="30" customHeight="1" x14ac:dyDescent="0.25">
      <c r="A101" s="627" t="s">
        <v>9392</v>
      </c>
      <c r="B101" s="627" t="s">
        <v>9391</v>
      </c>
      <c r="C101" s="627" t="s">
        <v>1026</v>
      </c>
      <c r="D101" s="627" t="s">
        <v>9390</v>
      </c>
      <c r="E101" s="767" t="s">
        <v>9392</v>
      </c>
      <c r="F101" s="758">
        <v>120</v>
      </c>
      <c r="G101" s="758">
        <v>19.63</v>
      </c>
      <c r="H101" s="758">
        <v>139.63</v>
      </c>
      <c r="I101" s="628">
        <v>60</v>
      </c>
      <c r="J101" s="628">
        <v>299.44000000000005</v>
      </c>
      <c r="K101" s="813">
        <f t="shared" si="5"/>
        <v>359.44000000000005</v>
      </c>
      <c r="L101" s="818">
        <v>367.35</v>
      </c>
      <c r="M101" s="818">
        <v>425.79</v>
      </c>
    </row>
    <row r="102" spans="1:15" ht="30" customHeight="1" x14ac:dyDescent="0.25">
      <c r="A102" s="627" t="s">
        <v>9389</v>
      </c>
      <c r="B102" s="627" t="s">
        <v>9388</v>
      </c>
      <c r="C102" s="627" t="s">
        <v>231</v>
      </c>
      <c r="D102" s="627" t="s">
        <v>9387</v>
      </c>
      <c r="E102" s="767" t="s">
        <v>9389</v>
      </c>
      <c r="F102" s="758">
        <v>20</v>
      </c>
      <c r="G102" s="758">
        <v>437.14</v>
      </c>
      <c r="H102" s="758">
        <v>457.14</v>
      </c>
      <c r="I102" s="628">
        <v>0</v>
      </c>
      <c r="J102" s="628">
        <v>534.74</v>
      </c>
      <c r="K102" s="813">
        <f t="shared" si="5"/>
        <v>534.74</v>
      </c>
      <c r="L102" s="818">
        <v>861.18</v>
      </c>
      <c r="M102" s="818">
        <v>955.11</v>
      </c>
    </row>
    <row r="103" spans="1:15" s="817" customFormat="1" ht="30" customHeight="1" x14ac:dyDescent="0.2">
      <c r="A103" s="627" t="s">
        <v>9386</v>
      </c>
      <c r="B103" s="627" t="s">
        <v>9385</v>
      </c>
      <c r="C103" s="627" t="s">
        <v>9384</v>
      </c>
      <c r="D103" s="627" t="s">
        <v>9383</v>
      </c>
      <c r="E103" s="816"/>
      <c r="F103" s="758"/>
      <c r="G103" s="758"/>
      <c r="H103" s="758"/>
      <c r="I103" s="628">
        <v>0</v>
      </c>
      <c r="J103" s="628">
        <v>119.9</v>
      </c>
      <c r="K103" s="813">
        <f t="shared" si="5"/>
        <v>119.9</v>
      </c>
      <c r="L103" s="818">
        <v>169.82</v>
      </c>
      <c r="M103" s="818">
        <v>237.02</v>
      </c>
    </row>
    <row r="104" spans="1:15" s="817" customFormat="1" ht="30" customHeight="1" x14ac:dyDescent="0.2">
      <c r="A104" s="627" t="s">
        <v>9382</v>
      </c>
      <c r="B104" s="627" t="s">
        <v>9381</v>
      </c>
      <c r="C104" s="627" t="s">
        <v>158</v>
      </c>
      <c r="D104" s="627" t="s">
        <v>9380</v>
      </c>
      <c r="E104" s="816" t="s">
        <v>9382</v>
      </c>
      <c r="F104" s="758">
        <v>132.81</v>
      </c>
      <c r="G104" s="758">
        <v>194.10000000000002</v>
      </c>
      <c r="H104" s="758">
        <v>326.91000000000003</v>
      </c>
      <c r="I104" s="628">
        <v>0</v>
      </c>
      <c r="J104" s="628">
        <v>552.16999999999996</v>
      </c>
      <c r="K104" s="813">
        <f t="shared" si="5"/>
        <v>552.16999999999996</v>
      </c>
      <c r="L104" s="818">
        <v>604.70000000000005</v>
      </c>
      <c r="M104" s="818">
        <v>740.57</v>
      </c>
    </row>
    <row r="105" spans="1:15" s="817" customFormat="1" ht="30" customHeight="1" x14ac:dyDescent="0.2">
      <c r="A105" s="627" t="s">
        <v>9379</v>
      </c>
      <c r="B105" s="627" t="s">
        <v>9378</v>
      </c>
      <c r="C105" s="627" t="s">
        <v>9377</v>
      </c>
      <c r="D105" s="627" t="s">
        <v>9376</v>
      </c>
      <c r="E105" s="816" t="s">
        <v>9379</v>
      </c>
      <c r="F105" s="758">
        <v>4183.59</v>
      </c>
      <c r="G105" s="758">
        <v>765</v>
      </c>
      <c r="H105" s="758">
        <v>4948.59</v>
      </c>
      <c r="I105" s="628">
        <v>640</v>
      </c>
      <c r="J105" s="628">
        <v>686</v>
      </c>
      <c r="K105" s="813">
        <f t="shared" si="5"/>
        <v>1326</v>
      </c>
      <c r="L105" s="818">
        <v>2355</v>
      </c>
      <c r="M105" s="818">
        <v>2641.81</v>
      </c>
    </row>
    <row r="106" spans="1:15" ht="15.75" thickBot="1" x14ac:dyDescent="0.3"/>
    <row r="107" spans="1:15" s="74" customFormat="1" ht="83.25" customHeight="1" thickBot="1" x14ac:dyDescent="0.25">
      <c r="A107" s="854" t="s">
        <v>10987</v>
      </c>
      <c r="B107" s="855"/>
      <c r="C107" s="855"/>
      <c r="D107" s="855"/>
      <c r="E107" s="855"/>
      <c r="F107" s="855"/>
      <c r="G107" s="855"/>
      <c r="H107" s="855"/>
      <c r="I107" s="855"/>
      <c r="J107" s="855"/>
      <c r="K107" s="855"/>
      <c r="L107" s="855"/>
      <c r="M107" s="855"/>
      <c r="N107" s="855"/>
      <c r="O107" s="855"/>
    </row>
    <row r="109" spans="1:15" s="74" customFormat="1" ht="45" x14ac:dyDescent="0.2">
      <c r="A109" s="897" t="s">
        <v>10990</v>
      </c>
      <c r="B109" s="897"/>
      <c r="C109" s="764" t="s">
        <v>11008</v>
      </c>
    </row>
    <row r="110" spans="1:15" s="74" customFormat="1" ht="45" x14ac:dyDescent="0.2">
      <c r="A110" s="897" t="s">
        <v>7809</v>
      </c>
      <c r="B110" s="897"/>
      <c r="C110" s="764" t="s">
        <v>11320</v>
      </c>
    </row>
  </sheetData>
  <mergeCells count="3">
    <mergeCell ref="A107:O107"/>
    <mergeCell ref="A109:B109"/>
    <mergeCell ref="A110:B110"/>
  </mergeCells>
  <conditionalFormatting sqref="A1:A102 A106 A108 A111:A1048576">
    <cfRule type="duplicateValues" dxfId="58" priority="31"/>
  </conditionalFormatting>
  <conditionalFormatting sqref="G111:G1048576 K1:K102 A1:A102 A106 A108 A111:A1048576">
    <cfRule type="duplicateValues" dxfId="57" priority="48"/>
  </conditionalFormatting>
  <conditionalFormatting sqref="A103:A105">
    <cfRule type="duplicateValues" dxfId="56" priority="3"/>
  </conditionalFormatting>
  <conditionalFormatting sqref="K103:K105 A103:A105">
    <cfRule type="duplicateValues" dxfId="55" priority="4"/>
  </conditionalFormatting>
  <conditionalFormatting sqref="A107">
    <cfRule type="duplicateValues" dxfId="54" priority="2"/>
  </conditionalFormatting>
  <conditionalFormatting sqref="A109:A110">
    <cfRule type="duplicateValues" dxfId="53" priority="1"/>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00000"/>
  </sheetPr>
  <dimension ref="A1:O208"/>
  <sheetViews>
    <sheetView workbookViewId="0">
      <pane xSplit="2" ySplit="3" topLeftCell="C190" activePane="bottomRight" state="frozen"/>
      <selection pane="topRight" activeCell="C1" sqref="C1"/>
      <selection pane="bottomLeft" activeCell="A4" sqref="A4"/>
      <selection pane="bottomRight" activeCell="A196" sqref="A196:XFD197"/>
    </sheetView>
  </sheetViews>
  <sheetFormatPr defaultColWidth="9.140625" defaultRowHeight="15" x14ac:dyDescent="0.25"/>
  <cols>
    <col min="1" max="1" width="9.140625" style="608"/>
    <col min="2" max="2" width="11.7109375" style="819" customWidth="1"/>
    <col min="3" max="3" width="46" style="638" customWidth="1"/>
    <col min="4" max="4" width="27" style="608" customWidth="1"/>
    <col min="5" max="5" width="10.5703125" style="608" hidden="1" customWidth="1"/>
    <col min="6" max="6" width="12.85546875" style="608" bestFit="1" customWidth="1"/>
    <col min="7" max="7" width="15.5703125" style="608" bestFit="1" customWidth="1"/>
    <col min="8" max="8" width="15.5703125" style="615" bestFit="1" customWidth="1"/>
    <col min="9" max="9" width="15.5703125" style="615" hidden="1" customWidth="1"/>
    <col min="10" max="10" width="13.7109375" style="615" hidden="1" customWidth="1"/>
    <col min="11" max="12" width="14.28515625" style="608" bestFit="1" customWidth="1"/>
    <col min="13" max="13" width="12.85546875" style="608" bestFit="1" customWidth="1"/>
    <col min="14" max="16384" width="9.140625" style="608"/>
  </cols>
  <sheetData>
    <row r="1" spans="1:14" ht="26.25" x14ac:dyDescent="0.4">
      <c r="A1" s="609" t="s">
        <v>11352</v>
      </c>
      <c r="I1" s="608"/>
      <c r="J1" s="608"/>
      <c r="L1" s="615"/>
      <c r="M1" s="615"/>
      <c r="N1" s="615"/>
    </row>
    <row r="2" spans="1:14" ht="26.25" x14ac:dyDescent="0.4">
      <c r="A2" s="609"/>
      <c r="I2" s="608"/>
      <c r="J2" s="608"/>
      <c r="L2" s="615"/>
      <c r="M2" s="615"/>
      <c r="N2" s="615"/>
    </row>
    <row r="3" spans="1:14" ht="30" customHeight="1" x14ac:dyDescent="0.25">
      <c r="A3" s="629" t="s">
        <v>1</v>
      </c>
      <c r="B3" s="820" t="s">
        <v>8627</v>
      </c>
      <c r="C3" s="639" t="s">
        <v>7809</v>
      </c>
      <c r="D3" s="629" t="s">
        <v>2</v>
      </c>
      <c r="E3" s="629"/>
      <c r="F3" s="629" t="s">
        <v>11319</v>
      </c>
      <c r="G3" s="629" t="s">
        <v>7809</v>
      </c>
      <c r="H3" s="629">
        <v>2020</v>
      </c>
      <c r="I3" s="629" t="s">
        <v>8626</v>
      </c>
      <c r="J3" s="629" t="s">
        <v>8625</v>
      </c>
      <c r="K3" s="629">
        <v>2019</v>
      </c>
      <c r="L3" s="633">
        <v>2018</v>
      </c>
      <c r="M3" s="633">
        <v>2017</v>
      </c>
      <c r="N3" s="615"/>
    </row>
    <row r="4" spans="1:14" ht="30" customHeight="1" x14ac:dyDescent="0.25">
      <c r="A4" s="627" t="s">
        <v>10924</v>
      </c>
      <c r="B4" s="810">
        <v>2992</v>
      </c>
      <c r="C4" s="635" t="s">
        <v>10925</v>
      </c>
      <c r="D4" s="627" t="s">
        <v>9902</v>
      </c>
      <c r="I4" s="627"/>
      <c r="J4" s="627"/>
      <c r="K4" s="637"/>
      <c r="L4" s="637">
        <v>70</v>
      </c>
      <c r="M4" s="637">
        <v>20</v>
      </c>
      <c r="N4" s="615"/>
    </row>
    <row r="5" spans="1:14" ht="30" customHeight="1" x14ac:dyDescent="0.25">
      <c r="A5" s="627" t="s">
        <v>10179</v>
      </c>
      <c r="B5" s="810" t="s">
        <v>10178</v>
      </c>
      <c r="C5" s="635" t="s">
        <v>1871</v>
      </c>
      <c r="D5" s="627" t="s">
        <v>9902</v>
      </c>
      <c r="E5" s="767" t="s">
        <v>10179</v>
      </c>
      <c r="F5" s="758">
        <v>554</v>
      </c>
      <c r="G5" s="758">
        <v>1309.3699999999999</v>
      </c>
      <c r="H5" s="758">
        <v>1863.37</v>
      </c>
      <c r="I5" s="628">
        <v>102</v>
      </c>
      <c r="J5" s="628">
        <v>2749.0499999999997</v>
      </c>
      <c r="K5" s="637">
        <f t="shared" ref="K5:K16" si="0">SUM(I5:J5)</f>
        <v>2851.0499999999997</v>
      </c>
      <c r="L5" s="637">
        <v>3333.46</v>
      </c>
      <c r="M5" s="637">
        <v>2480.8000000000002</v>
      </c>
      <c r="N5" s="615"/>
    </row>
    <row r="6" spans="1:14" ht="30" customHeight="1" x14ac:dyDescent="0.25">
      <c r="A6" s="627" t="s">
        <v>10177</v>
      </c>
      <c r="B6" s="810" t="s">
        <v>10176</v>
      </c>
      <c r="C6" s="635" t="s">
        <v>7366</v>
      </c>
      <c r="D6" s="627" t="s">
        <v>9902</v>
      </c>
      <c r="E6" s="767" t="s">
        <v>10177</v>
      </c>
      <c r="F6" s="758">
        <v>420</v>
      </c>
      <c r="G6" s="758">
        <v>1475.5</v>
      </c>
      <c r="H6" s="758">
        <v>1895.5</v>
      </c>
      <c r="I6" s="628">
        <v>200</v>
      </c>
      <c r="J6" s="628">
        <v>2367.5</v>
      </c>
      <c r="K6" s="637">
        <f t="shared" si="0"/>
        <v>2567.5</v>
      </c>
      <c r="L6" s="637">
        <v>2729.5</v>
      </c>
      <c r="M6" s="637">
        <v>2694.95</v>
      </c>
      <c r="N6" s="615"/>
    </row>
    <row r="7" spans="1:14" ht="30" customHeight="1" x14ac:dyDescent="0.25">
      <c r="A7" s="627" t="s">
        <v>10175</v>
      </c>
      <c r="B7" s="810" t="s">
        <v>10174</v>
      </c>
      <c r="C7" s="635" t="s">
        <v>10173</v>
      </c>
      <c r="D7" s="627" t="s">
        <v>9902</v>
      </c>
      <c r="E7" s="767" t="s">
        <v>10175</v>
      </c>
      <c r="F7" s="758">
        <v>348</v>
      </c>
      <c r="G7" s="758">
        <v>4657.8</v>
      </c>
      <c r="H7" s="758">
        <v>5005.8</v>
      </c>
      <c r="I7" s="628">
        <v>100</v>
      </c>
      <c r="J7" s="628">
        <v>7182.2199999999993</v>
      </c>
      <c r="K7" s="637">
        <f t="shared" si="0"/>
        <v>7282.2199999999993</v>
      </c>
      <c r="L7" s="637">
        <v>4609.17</v>
      </c>
      <c r="M7" s="637">
        <v>3988.53</v>
      </c>
      <c r="N7" s="615"/>
    </row>
    <row r="8" spans="1:14" ht="30" customHeight="1" x14ac:dyDescent="0.25">
      <c r="A8" s="627" t="s">
        <v>10172</v>
      </c>
      <c r="B8" s="810" t="s">
        <v>10171</v>
      </c>
      <c r="C8" s="635" t="s">
        <v>10170</v>
      </c>
      <c r="D8" s="627" t="s">
        <v>10103</v>
      </c>
      <c r="E8" s="767" t="s">
        <v>10172</v>
      </c>
      <c r="F8" s="758"/>
      <c r="G8" s="758">
        <v>1514</v>
      </c>
      <c r="H8" s="758">
        <v>1514</v>
      </c>
      <c r="I8" s="628">
        <v>0</v>
      </c>
      <c r="J8" s="628">
        <v>1658</v>
      </c>
      <c r="K8" s="637">
        <f t="shared" si="0"/>
        <v>1658</v>
      </c>
      <c r="L8" s="637">
        <v>1146</v>
      </c>
      <c r="M8" s="637">
        <v>1484.27</v>
      </c>
      <c r="N8" s="615"/>
    </row>
    <row r="9" spans="1:14" ht="30" customHeight="1" x14ac:dyDescent="0.25">
      <c r="A9" s="627" t="s">
        <v>10169</v>
      </c>
      <c r="B9" s="810" t="s">
        <v>10168</v>
      </c>
      <c r="C9" s="635" t="s">
        <v>10167</v>
      </c>
      <c r="D9" s="627" t="s">
        <v>9902</v>
      </c>
      <c r="E9" s="767" t="s">
        <v>10169</v>
      </c>
      <c r="F9" s="758">
        <v>420</v>
      </c>
      <c r="G9" s="758"/>
      <c r="H9" s="758">
        <v>420</v>
      </c>
      <c r="I9" s="628">
        <v>50</v>
      </c>
      <c r="J9" s="628">
        <v>617.86</v>
      </c>
      <c r="K9" s="637">
        <f t="shared" si="0"/>
        <v>667.86</v>
      </c>
      <c r="L9" s="637">
        <v>450</v>
      </c>
      <c r="M9" s="637">
        <v>866.91</v>
      </c>
      <c r="N9" s="615"/>
    </row>
    <row r="10" spans="1:14" ht="30" customHeight="1" x14ac:dyDescent="0.25">
      <c r="A10" s="627" t="s">
        <v>10166</v>
      </c>
      <c r="B10" s="810" t="s">
        <v>10165</v>
      </c>
      <c r="C10" s="635" t="s">
        <v>3992</v>
      </c>
      <c r="D10" s="627" t="s">
        <v>9902</v>
      </c>
      <c r="E10" s="767" t="s">
        <v>10166</v>
      </c>
      <c r="F10" s="758"/>
      <c r="G10" s="758">
        <v>944.54</v>
      </c>
      <c r="H10" s="758">
        <v>944.54</v>
      </c>
      <c r="I10" s="628">
        <v>0</v>
      </c>
      <c r="J10" s="628">
        <v>1258.9300000000003</v>
      </c>
      <c r="K10" s="637">
        <f t="shared" si="0"/>
        <v>1258.9300000000003</v>
      </c>
      <c r="L10" s="637">
        <v>1517.69</v>
      </c>
      <c r="M10" s="637">
        <v>1820.51</v>
      </c>
      <c r="N10" s="615"/>
    </row>
    <row r="11" spans="1:14" ht="30" customHeight="1" x14ac:dyDescent="0.25">
      <c r="A11" s="627" t="s">
        <v>10164</v>
      </c>
      <c r="B11" s="810" t="s">
        <v>10163</v>
      </c>
      <c r="C11" s="635" t="s">
        <v>10162</v>
      </c>
      <c r="D11" s="627" t="s">
        <v>9902</v>
      </c>
      <c r="E11" s="767" t="s">
        <v>10164</v>
      </c>
      <c r="F11" s="758">
        <v>200</v>
      </c>
      <c r="G11" s="758">
        <v>1884.95</v>
      </c>
      <c r="H11" s="758">
        <v>2084.9499999999998</v>
      </c>
      <c r="I11" s="628">
        <v>0</v>
      </c>
      <c r="J11" s="628">
        <v>3048.5</v>
      </c>
      <c r="K11" s="637">
        <f t="shared" si="0"/>
        <v>3048.5</v>
      </c>
      <c r="L11" s="637">
        <v>3216.5</v>
      </c>
      <c r="M11" s="637">
        <v>3130.5</v>
      </c>
      <c r="N11" s="615"/>
    </row>
    <row r="12" spans="1:14" ht="30" customHeight="1" x14ac:dyDescent="0.25">
      <c r="A12" s="627" t="s">
        <v>10161</v>
      </c>
      <c r="B12" s="810" t="s">
        <v>10160</v>
      </c>
      <c r="C12" s="635" t="s">
        <v>7706</v>
      </c>
      <c r="D12" s="627" t="s">
        <v>9902</v>
      </c>
      <c r="E12" s="767" t="s">
        <v>10161</v>
      </c>
      <c r="F12" s="758">
        <v>142.24</v>
      </c>
      <c r="G12" s="758">
        <v>3106.8999999999996</v>
      </c>
      <c r="H12" s="758">
        <v>3249.1399999999994</v>
      </c>
      <c r="I12" s="628">
        <v>50</v>
      </c>
      <c r="J12" s="628">
        <v>5276.8200000000015</v>
      </c>
      <c r="K12" s="637">
        <f t="shared" si="0"/>
        <v>5326.8200000000015</v>
      </c>
      <c r="L12" s="637">
        <v>5022.05</v>
      </c>
      <c r="M12" s="637">
        <v>4610.33</v>
      </c>
      <c r="N12" s="615"/>
    </row>
    <row r="13" spans="1:14" ht="30" customHeight="1" x14ac:dyDescent="0.25">
      <c r="A13" s="627" t="s">
        <v>10159</v>
      </c>
      <c r="B13" s="810" t="s">
        <v>10158</v>
      </c>
      <c r="C13" s="635" t="s">
        <v>10157</v>
      </c>
      <c r="D13" s="627" t="s">
        <v>9902</v>
      </c>
      <c r="E13" s="767" t="s">
        <v>10159</v>
      </c>
      <c r="F13" s="758"/>
      <c r="G13" s="758">
        <v>752.70999999999992</v>
      </c>
      <c r="H13" s="758">
        <v>752.70999999999992</v>
      </c>
      <c r="I13" s="628">
        <v>0</v>
      </c>
      <c r="J13" s="628">
        <v>2896.96</v>
      </c>
      <c r="K13" s="637">
        <f t="shared" si="0"/>
        <v>2896.96</v>
      </c>
      <c r="L13" s="637"/>
      <c r="M13" s="637"/>
      <c r="N13" s="615"/>
    </row>
    <row r="14" spans="1:14" ht="30" customHeight="1" x14ac:dyDescent="0.25">
      <c r="A14" s="627" t="s">
        <v>10156</v>
      </c>
      <c r="B14" s="810" t="s">
        <v>10155</v>
      </c>
      <c r="C14" s="635" t="s">
        <v>10154</v>
      </c>
      <c r="D14" s="627" t="s">
        <v>9902</v>
      </c>
      <c r="E14" s="767" t="s">
        <v>10156</v>
      </c>
      <c r="F14" s="758">
        <v>2172.81</v>
      </c>
      <c r="G14" s="758">
        <v>269.44</v>
      </c>
      <c r="H14" s="758">
        <v>2442.25</v>
      </c>
      <c r="I14" s="628">
        <v>170</v>
      </c>
      <c r="J14" s="628">
        <v>5330.4</v>
      </c>
      <c r="K14" s="637">
        <f t="shared" si="0"/>
        <v>5500.4</v>
      </c>
      <c r="L14" s="637">
        <v>7973.22</v>
      </c>
      <c r="M14" s="637">
        <v>7169.39</v>
      </c>
      <c r="N14" s="615"/>
    </row>
    <row r="15" spans="1:14" ht="30" customHeight="1" x14ac:dyDescent="0.25">
      <c r="A15" s="627" t="s">
        <v>10153</v>
      </c>
      <c r="B15" s="810" t="s">
        <v>10152</v>
      </c>
      <c r="C15" s="635" t="s">
        <v>6166</v>
      </c>
      <c r="D15" s="627" t="s">
        <v>9902</v>
      </c>
      <c r="E15" s="767" t="s">
        <v>10153</v>
      </c>
      <c r="F15" s="758">
        <v>202</v>
      </c>
      <c r="G15" s="758"/>
      <c r="H15" s="758">
        <v>202</v>
      </c>
      <c r="I15" s="628">
        <v>110</v>
      </c>
      <c r="J15" s="628">
        <v>756.48</v>
      </c>
      <c r="K15" s="637">
        <f t="shared" si="0"/>
        <v>866.48</v>
      </c>
      <c r="L15" s="637">
        <v>255.55</v>
      </c>
      <c r="M15" s="637">
        <v>165</v>
      </c>
      <c r="N15" s="615"/>
    </row>
    <row r="16" spans="1:14" ht="30" customHeight="1" x14ac:dyDescent="0.25">
      <c r="A16" s="627" t="s">
        <v>10151</v>
      </c>
      <c r="B16" s="810" t="s">
        <v>10150</v>
      </c>
      <c r="C16" s="635" t="s">
        <v>10149</v>
      </c>
      <c r="D16" s="627" t="s">
        <v>9902</v>
      </c>
      <c r="E16" s="767" t="s">
        <v>10151</v>
      </c>
      <c r="F16" s="758">
        <v>526.04999999999995</v>
      </c>
      <c r="G16" s="758"/>
      <c r="H16" s="758">
        <v>526.04999999999995</v>
      </c>
      <c r="I16" s="628">
        <v>285</v>
      </c>
      <c r="J16" s="628">
        <v>263.2</v>
      </c>
      <c r="K16" s="637">
        <f t="shared" si="0"/>
        <v>548.20000000000005</v>
      </c>
      <c r="L16" s="637">
        <v>673.93999999999994</v>
      </c>
      <c r="M16" s="637">
        <v>808.71</v>
      </c>
      <c r="N16" s="615"/>
    </row>
    <row r="17" spans="1:14" ht="30" customHeight="1" x14ac:dyDescent="0.25">
      <c r="A17" s="627" t="s">
        <v>10926</v>
      </c>
      <c r="B17" s="810">
        <v>3007</v>
      </c>
      <c r="C17" s="635" t="s">
        <v>10927</v>
      </c>
      <c r="D17" s="627" t="s">
        <v>9902</v>
      </c>
      <c r="E17" s="767"/>
      <c r="F17" s="758"/>
      <c r="G17" s="758"/>
      <c r="H17" s="758"/>
      <c r="I17" s="628"/>
      <c r="J17" s="628"/>
      <c r="K17" s="637"/>
      <c r="L17" s="637">
        <v>135</v>
      </c>
      <c r="M17" s="637">
        <v>905</v>
      </c>
      <c r="N17" s="615"/>
    </row>
    <row r="18" spans="1:14" ht="30" customHeight="1" x14ac:dyDescent="0.25">
      <c r="A18" s="627" t="s">
        <v>10148</v>
      </c>
      <c r="B18" s="810" t="s">
        <v>10147</v>
      </c>
      <c r="C18" s="635" t="s">
        <v>10146</v>
      </c>
      <c r="D18" s="627" t="s">
        <v>9902</v>
      </c>
      <c r="E18" s="767" t="s">
        <v>10148</v>
      </c>
      <c r="F18" s="758">
        <v>20</v>
      </c>
      <c r="G18" s="758">
        <v>45</v>
      </c>
      <c r="H18" s="758">
        <v>65</v>
      </c>
      <c r="I18" s="628">
        <v>0</v>
      </c>
      <c r="J18" s="628">
        <v>84</v>
      </c>
      <c r="K18" s="637">
        <f t="shared" ref="K18:K50" si="1">SUM(I18:J18)</f>
        <v>84</v>
      </c>
      <c r="L18" s="637">
        <v>45</v>
      </c>
      <c r="M18" s="637">
        <v>10</v>
      </c>
      <c r="N18" s="615"/>
    </row>
    <row r="19" spans="1:14" ht="30" customHeight="1" x14ac:dyDescent="0.25">
      <c r="A19" s="627" t="s">
        <v>10145</v>
      </c>
      <c r="B19" s="810" t="s">
        <v>10144</v>
      </c>
      <c r="C19" s="635" t="s">
        <v>10143</v>
      </c>
      <c r="D19" s="627" t="s">
        <v>9902</v>
      </c>
      <c r="E19" s="767" t="s">
        <v>10145</v>
      </c>
      <c r="F19" s="758">
        <v>678</v>
      </c>
      <c r="G19" s="758">
        <v>115</v>
      </c>
      <c r="H19" s="758">
        <v>793</v>
      </c>
      <c r="I19" s="628">
        <v>344</v>
      </c>
      <c r="J19" s="628">
        <v>1135.5499999999997</v>
      </c>
      <c r="K19" s="637">
        <f t="shared" si="1"/>
        <v>1479.5499999999997</v>
      </c>
      <c r="L19" s="637">
        <v>4473.38</v>
      </c>
      <c r="M19" s="637">
        <v>5208.3599999999997</v>
      </c>
      <c r="N19" s="615"/>
    </row>
    <row r="20" spans="1:14" ht="30" customHeight="1" x14ac:dyDescent="0.25">
      <c r="A20" s="627" t="s">
        <v>10142</v>
      </c>
      <c r="B20" s="810" t="s">
        <v>10141</v>
      </c>
      <c r="C20" s="635" t="s">
        <v>10140</v>
      </c>
      <c r="D20" s="627" t="s">
        <v>10103</v>
      </c>
      <c r="E20" s="767" t="s">
        <v>10142</v>
      </c>
      <c r="F20" s="758"/>
      <c r="G20" s="758">
        <v>175.78</v>
      </c>
      <c r="H20" s="758">
        <v>175.78</v>
      </c>
      <c r="I20" s="628">
        <v>0</v>
      </c>
      <c r="J20" s="628">
        <v>658.13</v>
      </c>
      <c r="K20" s="637">
        <f t="shared" si="1"/>
        <v>658.13</v>
      </c>
      <c r="L20" s="637">
        <v>1085</v>
      </c>
      <c r="M20" s="637">
        <v>1298</v>
      </c>
      <c r="N20" s="615"/>
    </row>
    <row r="21" spans="1:14" ht="30" customHeight="1" x14ac:dyDescent="0.25">
      <c r="A21" s="627" t="s">
        <v>10139</v>
      </c>
      <c r="B21" s="810" t="s">
        <v>10138</v>
      </c>
      <c r="C21" s="635" t="s">
        <v>119</v>
      </c>
      <c r="D21" s="627" t="s">
        <v>9902</v>
      </c>
      <c r="E21" s="767" t="s">
        <v>10139</v>
      </c>
      <c r="F21" s="758">
        <v>60</v>
      </c>
      <c r="G21" s="758">
        <v>185.38</v>
      </c>
      <c r="H21" s="758">
        <v>245.38</v>
      </c>
      <c r="I21" s="628">
        <v>30</v>
      </c>
      <c r="J21" s="628">
        <v>159.17000000000002</v>
      </c>
      <c r="K21" s="637">
        <f t="shared" si="1"/>
        <v>189.17000000000002</v>
      </c>
      <c r="L21" s="637">
        <v>413.4</v>
      </c>
      <c r="M21" s="637">
        <v>460.85</v>
      </c>
      <c r="N21" s="615"/>
    </row>
    <row r="22" spans="1:14" ht="30" customHeight="1" x14ac:dyDescent="0.25">
      <c r="A22" s="627" t="s">
        <v>10137</v>
      </c>
      <c r="B22" s="810" t="s">
        <v>10136</v>
      </c>
      <c r="C22" s="635" t="s">
        <v>10135</v>
      </c>
      <c r="D22" s="627" t="s">
        <v>9902</v>
      </c>
      <c r="E22" s="767" t="s">
        <v>10137</v>
      </c>
      <c r="F22" s="758"/>
      <c r="G22" s="758">
        <v>308.92</v>
      </c>
      <c r="H22" s="758">
        <v>308.92</v>
      </c>
      <c r="I22" s="628">
        <v>0</v>
      </c>
      <c r="J22" s="628">
        <v>513.51</v>
      </c>
      <c r="K22" s="637">
        <f t="shared" si="1"/>
        <v>513.51</v>
      </c>
      <c r="L22" s="637">
        <v>471.13</v>
      </c>
      <c r="M22" s="637">
        <v>414.4</v>
      </c>
      <c r="N22" s="615"/>
    </row>
    <row r="23" spans="1:14" ht="30" customHeight="1" x14ac:dyDescent="0.25">
      <c r="A23" s="627" t="s">
        <v>10134</v>
      </c>
      <c r="B23" s="810" t="s">
        <v>10133</v>
      </c>
      <c r="C23" s="635" t="s">
        <v>10132</v>
      </c>
      <c r="D23" s="627" t="s">
        <v>9902</v>
      </c>
      <c r="E23" s="767" t="s">
        <v>10134</v>
      </c>
      <c r="F23" s="758"/>
      <c r="G23" s="758">
        <v>182.4</v>
      </c>
      <c r="H23" s="758">
        <v>182.4</v>
      </c>
      <c r="I23" s="628">
        <v>0</v>
      </c>
      <c r="J23" s="628">
        <v>687</v>
      </c>
      <c r="K23" s="637">
        <f t="shared" si="1"/>
        <v>687</v>
      </c>
      <c r="L23" s="637">
        <v>372.93</v>
      </c>
      <c r="M23" s="637">
        <v>362.46</v>
      </c>
      <c r="N23" s="615"/>
    </row>
    <row r="24" spans="1:14" ht="30" customHeight="1" x14ac:dyDescent="0.25">
      <c r="A24" s="627" t="s">
        <v>10131</v>
      </c>
      <c r="B24" s="810" t="s">
        <v>10130</v>
      </c>
      <c r="C24" s="635" t="s">
        <v>5371</v>
      </c>
      <c r="D24" s="627" t="s">
        <v>9902</v>
      </c>
      <c r="E24" s="767" t="s">
        <v>10131</v>
      </c>
      <c r="F24" s="758">
        <v>376</v>
      </c>
      <c r="G24" s="758">
        <v>486</v>
      </c>
      <c r="H24" s="758">
        <v>862</v>
      </c>
      <c r="I24" s="628">
        <v>0</v>
      </c>
      <c r="J24" s="628">
        <v>2550.5099999999998</v>
      </c>
      <c r="K24" s="637">
        <f t="shared" si="1"/>
        <v>2550.5099999999998</v>
      </c>
      <c r="L24" s="637">
        <v>2333.6</v>
      </c>
      <c r="M24" s="637">
        <v>2198.38</v>
      </c>
      <c r="N24" s="615"/>
    </row>
    <row r="25" spans="1:14" ht="30" customHeight="1" x14ac:dyDescent="0.25">
      <c r="A25" s="627" t="s">
        <v>10129</v>
      </c>
      <c r="B25" s="810" t="s">
        <v>10128</v>
      </c>
      <c r="C25" s="635" t="s">
        <v>10127</v>
      </c>
      <c r="D25" s="627" t="s">
        <v>9902</v>
      </c>
      <c r="E25" s="767" t="s">
        <v>10129</v>
      </c>
      <c r="F25" s="758">
        <v>269.11</v>
      </c>
      <c r="G25" s="758">
        <v>-80</v>
      </c>
      <c r="H25" s="758">
        <v>189.11</v>
      </c>
      <c r="I25" s="628">
        <v>0</v>
      </c>
      <c r="J25" s="628">
        <v>462.04</v>
      </c>
      <c r="K25" s="637">
        <f t="shared" si="1"/>
        <v>462.04</v>
      </c>
      <c r="L25" s="637">
        <v>421.72</v>
      </c>
      <c r="M25" s="637">
        <v>1751.13</v>
      </c>
      <c r="N25" s="615"/>
    </row>
    <row r="26" spans="1:14" ht="30" customHeight="1" x14ac:dyDescent="0.25">
      <c r="A26" s="627" t="s">
        <v>10126</v>
      </c>
      <c r="B26" s="810" t="s">
        <v>10125</v>
      </c>
      <c r="C26" s="635" t="s">
        <v>10124</v>
      </c>
      <c r="D26" s="627" t="s">
        <v>9902</v>
      </c>
      <c r="E26" s="767" t="s">
        <v>10126</v>
      </c>
      <c r="F26" s="758"/>
      <c r="G26" s="758">
        <v>213.55</v>
      </c>
      <c r="H26" s="758">
        <v>213.55</v>
      </c>
      <c r="I26" s="628">
        <v>0</v>
      </c>
      <c r="J26" s="628">
        <v>800</v>
      </c>
      <c r="K26" s="637">
        <f t="shared" si="1"/>
        <v>800</v>
      </c>
      <c r="L26" s="637"/>
      <c r="M26" s="637">
        <v>171.1</v>
      </c>
      <c r="N26" s="615"/>
    </row>
    <row r="27" spans="1:14" ht="30" customHeight="1" x14ac:dyDescent="0.25">
      <c r="A27" s="627" t="s">
        <v>10123</v>
      </c>
      <c r="B27" s="810" t="s">
        <v>10122</v>
      </c>
      <c r="C27" s="635" t="s">
        <v>1409</v>
      </c>
      <c r="D27" s="627" t="s">
        <v>9902</v>
      </c>
      <c r="E27" s="767" t="s">
        <v>10123</v>
      </c>
      <c r="F27" s="758">
        <v>50</v>
      </c>
      <c r="G27" s="758"/>
      <c r="H27" s="758">
        <v>50</v>
      </c>
      <c r="I27" s="628">
        <v>60</v>
      </c>
      <c r="J27" s="628">
        <v>399.63</v>
      </c>
      <c r="K27" s="637">
        <f t="shared" si="1"/>
        <v>459.63</v>
      </c>
      <c r="L27" s="637">
        <v>120</v>
      </c>
      <c r="M27" s="637">
        <v>60</v>
      </c>
      <c r="N27" s="615"/>
    </row>
    <row r="28" spans="1:14" ht="30" customHeight="1" x14ac:dyDescent="0.25">
      <c r="A28" s="627" t="s">
        <v>10121</v>
      </c>
      <c r="B28" s="810" t="s">
        <v>10120</v>
      </c>
      <c r="C28" s="635" t="s">
        <v>10119</v>
      </c>
      <c r="D28" s="627" t="s">
        <v>9902</v>
      </c>
      <c r="E28" s="767" t="s">
        <v>10121</v>
      </c>
      <c r="F28" s="758">
        <v>455</v>
      </c>
      <c r="G28" s="758"/>
      <c r="H28" s="758">
        <v>455</v>
      </c>
      <c r="I28" s="628">
        <v>145</v>
      </c>
      <c r="J28" s="628">
        <v>120</v>
      </c>
      <c r="K28" s="637">
        <f t="shared" si="1"/>
        <v>265</v>
      </c>
      <c r="L28" s="637">
        <v>300.15999999999997</v>
      </c>
      <c r="M28" s="637">
        <v>240</v>
      </c>
      <c r="N28" s="615"/>
    </row>
    <row r="29" spans="1:14" ht="30" customHeight="1" x14ac:dyDescent="0.25">
      <c r="A29" s="627" t="s">
        <v>10118</v>
      </c>
      <c r="B29" s="810" t="s">
        <v>10117</v>
      </c>
      <c r="C29" s="635" t="s">
        <v>10116</v>
      </c>
      <c r="D29" s="627" t="s">
        <v>9902</v>
      </c>
      <c r="E29" s="767"/>
      <c r="F29" s="758"/>
      <c r="G29" s="758"/>
      <c r="H29" s="758"/>
      <c r="I29" s="628">
        <v>0</v>
      </c>
      <c r="J29" s="628">
        <v>369.73</v>
      </c>
      <c r="K29" s="637">
        <f t="shared" si="1"/>
        <v>369.73</v>
      </c>
      <c r="L29" s="637">
        <v>170.02</v>
      </c>
      <c r="M29" s="637">
        <v>356.69</v>
      </c>
      <c r="N29" s="615"/>
    </row>
    <row r="30" spans="1:14" ht="30" customHeight="1" x14ac:dyDescent="0.25">
      <c r="A30" s="627" t="s">
        <v>10115</v>
      </c>
      <c r="B30" s="810" t="s">
        <v>10114</v>
      </c>
      <c r="C30" s="635" t="s">
        <v>10113</v>
      </c>
      <c r="D30" s="627" t="s">
        <v>9902</v>
      </c>
      <c r="E30" s="767" t="s">
        <v>10115</v>
      </c>
      <c r="F30" s="758"/>
      <c r="G30" s="758">
        <v>1042.21</v>
      </c>
      <c r="H30" s="758">
        <v>1042.21</v>
      </c>
      <c r="I30" s="628">
        <v>0</v>
      </c>
      <c r="J30" s="628">
        <v>1855.6399999999999</v>
      </c>
      <c r="K30" s="637">
        <f t="shared" si="1"/>
        <v>1855.6399999999999</v>
      </c>
      <c r="L30" s="637">
        <v>1673.23</v>
      </c>
      <c r="M30" s="637">
        <v>2162.87</v>
      </c>
      <c r="N30" s="615"/>
    </row>
    <row r="31" spans="1:14" ht="30" customHeight="1" x14ac:dyDescent="0.25">
      <c r="A31" s="627" t="s">
        <v>10112</v>
      </c>
      <c r="B31" s="810" t="s">
        <v>10111</v>
      </c>
      <c r="C31" s="635" t="s">
        <v>10110</v>
      </c>
      <c r="D31" s="627" t="s">
        <v>9902</v>
      </c>
      <c r="E31" s="767" t="s">
        <v>10112</v>
      </c>
      <c r="F31" s="758">
        <v>60</v>
      </c>
      <c r="G31" s="758">
        <v>985</v>
      </c>
      <c r="H31" s="758">
        <v>1045</v>
      </c>
      <c r="I31" s="628">
        <v>20</v>
      </c>
      <c r="J31" s="628">
        <v>3715</v>
      </c>
      <c r="K31" s="637">
        <f t="shared" si="1"/>
        <v>3735</v>
      </c>
      <c r="L31" s="637">
        <v>3982</v>
      </c>
      <c r="M31" s="637">
        <v>4454</v>
      </c>
      <c r="N31" s="615"/>
    </row>
    <row r="32" spans="1:14" ht="30" customHeight="1" x14ac:dyDescent="0.25">
      <c r="A32" s="627" t="s">
        <v>11353</v>
      </c>
      <c r="B32" s="810">
        <v>17</v>
      </c>
      <c r="C32" s="635" t="s">
        <v>1762</v>
      </c>
      <c r="D32" s="627" t="s">
        <v>9902</v>
      </c>
      <c r="E32" s="767" t="s">
        <v>11353</v>
      </c>
      <c r="F32" s="758">
        <v>40</v>
      </c>
      <c r="G32" s="758">
        <v>20</v>
      </c>
      <c r="H32" s="758">
        <v>60</v>
      </c>
      <c r="I32" s="628"/>
      <c r="J32" s="628"/>
      <c r="K32" s="637"/>
      <c r="L32" s="637"/>
      <c r="M32" s="637"/>
      <c r="N32" s="615"/>
    </row>
    <row r="33" spans="1:14" ht="30" customHeight="1" x14ac:dyDescent="0.25">
      <c r="A33" s="627" t="s">
        <v>10109</v>
      </c>
      <c r="B33" s="810" t="s">
        <v>10108</v>
      </c>
      <c r="C33" s="635" t="s">
        <v>10107</v>
      </c>
      <c r="D33" s="627" t="s">
        <v>9902</v>
      </c>
      <c r="E33" s="767" t="s">
        <v>10109</v>
      </c>
      <c r="F33" s="758">
        <v>180</v>
      </c>
      <c r="G33" s="758">
        <v>618</v>
      </c>
      <c r="H33" s="758">
        <v>798</v>
      </c>
      <c r="I33" s="628">
        <v>65</v>
      </c>
      <c r="J33" s="628">
        <v>1309</v>
      </c>
      <c r="K33" s="637">
        <f t="shared" si="1"/>
        <v>1374</v>
      </c>
      <c r="L33" s="637">
        <v>1401</v>
      </c>
      <c r="M33" s="637">
        <v>1532</v>
      </c>
      <c r="N33" s="615"/>
    </row>
    <row r="34" spans="1:14" ht="30" customHeight="1" x14ac:dyDescent="0.25">
      <c r="A34" s="627" t="s">
        <v>10106</v>
      </c>
      <c r="B34" s="810" t="s">
        <v>10105</v>
      </c>
      <c r="C34" s="635" t="s">
        <v>10104</v>
      </c>
      <c r="D34" s="627" t="s">
        <v>10103</v>
      </c>
      <c r="E34" s="767" t="s">
        <v>10106</v>
      </c>
      <c r="F34" s="758">
        <v>75</v>
      </c>
      <c r="G34" s="758">
        <v>298.26000000000005</v>
      </c>
      <c r="H34" s="758">
        <v>373.26000000000005</v>
      </c>
      <c r="I34" s="628">
        <v>0</v>
      </c>
      <c r="J34" s="628">
        <v>671.57999999999993</v>
      </c>
      <c r="K34" s="637">
        <f t="shared" si="1"/>
        <v>671.57999999999993</v>
      </c>
      <c r="L34" s="637">
        <v>863.26</v>
      </c>
      <c r="M34" s="637">
        <v>722.27</v>
      </c>
      <c r="N34" s="615"/>
    </row>
    <row r="35" spans="1:14" ht="30" customHeight="1" x14ac:dyDescent="0.25">
      <c r="A35" s="627" t="s">
        <v>10102</v>
      </c>
      <c r="B35" s="810" t="s">
        <v>10101</v>
      </c>
      <c r="C35" s="635" t="s">
        <v>10100</v>
      </c>
      <c r="D35" s="627" t="s">
        <v>9902</v>
      </c>
      <c r="E35" s="767" t="s">
        <v>10102</v>
      </c>
      <c r="F35" s="758">
        <v>3</v>
      </c>
      <c r="G35" s="758">
        <v>599</v>
      </c>
      <c r="H35" s="758">
        <v>602</v>
      </c>
      <c r="I35" s="628">
        <v>45</v>
      </c>
      <c r="J35" s="628">
        <v>1257</v>
      </c>
      <c r="K35" s="637">
        <f t="shared" si="1"/>
        <v>1302</v>
      </c>
      <c r="L35" s="637">
        <v>981</v>
      </c>
      <c r="M35" s="637">
        <v>1883</v>
      </c>
      <c r="N35" s="615"/>
    </row>
    <row r="36" spans="1:14" ht="30" customHeight="1" x14ac:dyDescent="0.25">
      <c r="A36" s="627" t="s">
        <v>10099</v>
      </c>
      <c r="B36" s="810" t="s">
        <v>10098</v>
      </c>
      <c r="C36" s="635" t="s">
        <v>1770</v>
      </c>
      <c r="D36" s="627" t="s">
        <v>9902</v>
      </c>
      <c r="E36" s="767" t="s">
        <v>10099</v>
      </c>
      <c r="F36" s="758">
        <v>994.4</v>
      </c>
      <c r="G36" s="758">
        <v>2197.8000000000002</v>
      </c>
      <c r="H36" s="758">
        <v>3192.2000000000003</v>
      </c>
      <c r="I36" s="628">
        <v>0</v>
      </c>
      <c r="J36" s="628">
        <v>3860.5900000000006</v>
      </c>
      <c r="K36" s="637">
        <f t="shared" si="1"/>
        <v>3860.5900000000006</v>
      </c>
      <c r="L36" s="637">
        <v>3562.83</v>
      </c>
      <c r="M36" s="637">
        <v>3536.24</v>
      </c>
      <c r="N36" s="615"/>
    </row>
    <row r="37" spans="1:14" ht="30" customHeight="1" x14ac:dyDescent="0.25">
      <c r="A37" s="627" t="s">
        <v>10097</v>
      </c>
      <c r="B37" s="810" t="s">
        <v>10096</v>
      </c>
      <c r="C37" s="635" t="s">
        <v>164</v>
      </c>
      <c r="D37" s="627" t="s">
        <v>9902</v>
      </c>
      <c r="E37" s="767" t="s">
        <v>10097</v>
      </c>
      <c r="F37" s="758"/>
      <c r="G37" s="758">
        <v>2030</v>
      </c>
      <c r="H37" s="758">
        <v>2030</v>
      </c>
      <c r="I37" s="628">
        <v>0</v>
      </c>
      <c r="J37" s="628">
        <v>3537.85</v>
      </c>
      <c r="K37" s="637">
        <f t="shared" si="1"/>
        <v>3537.85</v>
      </c>
      <c r="L37" s="637">
        <v>2711</v>
      </c>
      <c r="M37" s="637">
        <v>3400</v>
      </c>
      <c r="N37" s="615"/>
    </row>
    <row r="38" spans="1:14" ht="30" customHeight="1" x14ac:dyDescent="0.25">
      <c r="A38" s="627" t="s">
        <v>10095</v>
      </c>
      <c r="B38" s="810" t="s">
        <v>10094</v>
      </c>
      <c r="C38" s="635" t="s">
        <v>938</v>
      </c>
      <c r="D38" s="627" t="s">
        <v>9902</v>
      </c>
      <c r="E38" s="767" t="s">
        <v>10095</v>
      </c>
      <c r="F38" s="758">
        <v>226</v>
      </c>
      <c r="G38" s="758">
        <v>2363.54</v>
      </c>
      <c r="H38" s="758">
        <v>2589.54</v>
      </c>
      <c r="I38" s="628">
        <v>116</v>
      </c>
      <c r="J38" s="628">
        <v>4700.2800000000007</v>
      </c>
      <c r="K38" s="637">
        <f t="shared" si="1"/>
        <v>4816.2800000000007</v>
      </c>
      <c r="L38" s="637">
        <v>5040.28</v>
      </c>
      <c r="M38" s="637">
        <v>5303.4</v>
      </c>
      <c r="N38" s="615"/>
    </row>
    <row r="39" spans="1:14" ht="30" customHeight="1" x14ac:dyDescent="0.25">
      <c r="A39" s="627" t="s">
        <v>10093</v>
      </c>
      <c r="B39" s="810" t="s">
        <v>10092</v>
      </c>
      <c r="C39" s="635" t="s">
        <v>10091</v>
      </c>
      <c r="D39" s="627" t="s">
        <v>9902</v>
      </c>
      <c r="E39" s="767" t="s">
        <v>10093</v>
      </c>
      <c r="F39" s="758">
        <v>588.95000000000005</v>
      </c>
      <c r="G39" s="758">
        <v>1527.91</v>
      </c>
      <c r="H39" s="758">
        <v>2116.86</v>
      </c>
      <c r="I39" s="628">
        <v>0</v>
      </c>
      <c r="J39" s="628">
        <v>3661.73</v>
      </c>
      <c r="K39" s="637">
        <f t="shared" si="1"/>
        <v>3661.73</v>
      </c>
      <c r="L39" s="637">
        <v>3403.95</v>
      </c>
      <c r="M39" s="637">
        <v>3222.19</v>
      </c>
      <c r="N39" s="615"/>
    </row>
    <row r="40" spans="1:14" ht="30" customHeight="1" x14ac:dyDescent="0.25">
      <c r="A40" s="627" t="s">
        <v>10090</v>
      </c>
      <c r="B40" s="810" t="s">
        <v>10089</v>
      </c>
      <c r="C40" s="635" t="s">
        <v>226</v>
      </c>
      <c r="D40" s="627" t="s">
        <v>9902</v>
      </c>
      <c r="E40" s="767" t="s">
        <v>10090</v>
      </c>
      <c r="F40" s="758">
        <v>817.62</v>
      </c>
      <c r="G40" s="758">
        <v>1025.7399999999998</v>
      </c>
      <c r="H40" s="758">
        <v>1843.3599999999997</v>
      </c>
      <c r="I40" s="628">
        <v>105</v>
      </c>
      <c r="J40" s="628">
        <v>3343.5600000000009</v>
      </c>
      <c r="K40" s="637">
        <f t="shared" si="1"/>
        <v>3448.5600000000009</v>
      </c>
      <c r="L40" s="637">
        <v>4182.7</v>
      </c>
      <c r="M40" s="637">
        <v>3337.99</v>
      </c>
      <c r="N40" s="615"/>
    </row>
    <row r="41" spans="1:14" ht="30" customHeight="1" x14ac:dyDescent="0.25">
      <c r="A41" s="627" t="s">
        <v>10088</v>
      </c>
      <c r="B41" s="810" t="s">
        <v>10087</v>
      </c>
      <c r="C41" s="635" t="s">
        <v>155</v>
      </c>
      <c r="D41" s="627" t="s">
        <v>9902</v>
      </c>
      <c r="E41" s="767" t="s">
        <v>10088</v>
      </c>
      <c r="F41" s="758"/>
      <c r="G41" s="758">
        <v>369</v>
      </c>
      <c r="H41" s="758">
        <v>369</v>
      </c>
      <c r="I41" s="628">
        <v>0</v>
      </c>
      <c r="J41" s="628">
        <v>612</v>
      </c>
      <c r="K41" s="637">
        <f t="shared" si="1"/>
        <v>612</v>
      </c>
      <c r="L41" s="637">
        <v>1025</v>
      </c>
      <c r="M41" s="637">
        <v>1303.5</v>
      </c>
      <c r="N41" s="615"/>
    </row>
    <row r="42" spans="1:14" ht="30" customHeight="1" x14ac:dyDescent="0.25">
      <c r="A42" s="627" t="s">
        <v>10086</v>
      </c>
      <c r="B42" s="810" t="s">
        <v>10085</v>
      </c>
      <c r="C42" s="635" t="s">
        <v>10084</v>
      </c>
      <c r="D42" s="627" t="s">
        <v>10072</v>
      </c>
      <c r="E42" s="767" t="s">
        <v>10086</v>
      </c>
      <c r="F42" s="758">
        <v>156.06</v>
      </c>
      <c r="G42" s="758">
        <v>133.9</v>
      </c>
      <c r="H42" s="758">
        <v>289.96000000000004</v>
      </c>
      <c r="I42" s="628">
        <v>0</v>
      </c>
      <c r="J42" s="628">
        <v>347.17999999999995</v>
      </c>
      <c r="K42" s="637">
        <f t="shared" si="1"/>
        <v>347.17999999999995</v>
      </c>
      <c r="L42" s="637">
        <v>380.25</v>
      </c>
      <c r="M42" s="637">
        <v>297.54000000000002</v>
      </c>
      <c r="N42" s="615"/>
    </row>
    <row r="43" spans="1:14" ht="30" customHeight="1" x14ac:dyDescent="0.25">
      <c r="A43" s="627" t="s">
        <v>10083</v>
      </c>
      <c r="B43" s="810" t="s">
        <v>10082</v>
      </c>
      <c r="C43" s="635" t="s">
        <v>10081</v>
      </c>
      <c r="D43" s="627" t="s">
        <v>9902</v>
      </c>
      <c r="E43" s="767" t="s">
        <v>10083</v>
      </c>
      <c r="F43" s="758">
        <v>125</v>
      </c>
      <c r="G43" s="758">
        <v>1967</v>
      </c>
      <c r="H43" s="758">
        <v>2092</v>
      </c>
      <c r="I43" s="628">
        <v>0</v>
      </c>
      <c r="J43" s="628">
        <v>2775.88</v>
      </c>
      <c r="K43" s="637">
        <f t="shared" si="1"/>
        <v>2775.88</v>
      </c>
      <c r="L43" s="637">
        <v>2962</v>
      </c>
      <c r="M43" s="637">
        <v>2938</v>
      </c>
      <c r="N43" s="615"/>
    </row>
    <row r="44" spans="1:14" ht="30" customHeight="1" x14ac:dyDescent="0.25">
      <c r="A44" s="627" t="s">
        <v>10080</v>
      </c>
      <c r="B44" s="810" t="s">
        <v>10079</v>
      </c>
      <c r="C44" s="635" t="s">
        <v>10078</v>
      </c>
      <c r="D44" s="627" t="s">
        <v>9902</v>
      </c>
      <c r="E44" s="767" t="s">
        <v>10080</v>
      </c>
      <c r="F44" s="758">
        <v>135</v>
      </c>
      <c r="G44" s="758"/>
      <c r="H44" s="758">
        <v>135</v>
      </c>
      <c r="I44" s="628">
        <v>60</v>
      </c>
      <c r="J44" s="628">
        <v>75</v>
      </c>
      <c r="K44" s="637">
        <f t="shared" si="1"/>
        <v>135</v>
      </c>
      <c r="L44" s="637">
        <v>2041.98</v>
      </c>
      <c r="M44" s="637">
        <v>2884.67</v>
      </c>
      <c r="N44" s="615"/>
    </row>
    <row r="45" spans="1:14" ht="30" customHeight="1" x14ac:dyDescent="0.25">
      <c r="A45" s="627" t="s">
        <v>10077</v>
      </c>
      <c r="B45" s="810" t="s">
        <v>10076</v>
      </c>
      <c r="C45" s="635" t="s">
        <v>10075</v>
      </c>
      <c r="D45" s="627" t="s">
        <v>9902</v>
      </c>
      <c r="E45" s="767" t="s">
        <v>10077</v>
      </c>
      <c r="F45" s="758">
        <v>10</v>
      </c>
      <c r="G45" s="758"/>
      <c r="H45" s="758">
        <v>10</v>
      </c>
      <c r="I45" s="628">
        <v>10</v>
      </c>
      <c r="J45" s="628">
        <v>0</v>
      </c>
      <c r="K45" s="637">
        <f t="shared" si="1"/>
        <v>10</v>
      </c>
      <c r="L45" s="637">
        <v>45</v>
      </c>
      <c r="M45" s="637">
        <v>222.5</v>
      </c>
      <c r="N45" s="615"/>
    </row>
    <row r="46" spans="1:14" ht="30" customHeight="1" x14ac:dyDescent="0.25">
      <c r="A46" s="627" t="s">
        <v>10074</v>
      </c>
      <c r="B46" s="810" t="s">
        <v>10073</v>
      </c>
      <c r="C46" s="635" t="s">
        <v>2667</v>
      </c>
      <c r="D46" s="627" t="s">
        <v>10072</v>
      </c>
      <c r="E46" s="767" t="s">
        <v>10074</v>
      </c>
      <c r="F46" s="758">
        <v>60</v>
      </c>
      <c r="G46" s="758">
        <v>212.11</v>
      </c>
      <c r="H46" s="758">
        <v>272.11</v>
      </c>
      <c r="I46" s="628">
        <v>19</v>
      </c>
      <c r="J46" s="628">
        <v>1026.2700000000002</v>
      </c>
      <c r="K46" s="637">
        <f t="shared" si="1"/>
        <v>1045.2700000000002</v>
      </c>
      <c r="L46" s="637">
        <v>751.07</v>
      </c>
      <c r="M46" s="637">
        <v>1689.7</v>
      </c>
      <c r="N46" s="615"/>
    </row>
    <row r="47" spans="1:14" ht="30" customHeight="1" x14ac:dyDescent="0.25">
      <c r="A47" s="627" t="s">
        <v>10071</v>
      </c>
      <c r="B47" s="810" t="s">
        <v>10070</v>
      </c>
      <c r="C47" s="635" t="s">
        <v>10069</v>
      </c>
      <c r="D47" s="627" t="s">
        <v>9902</v>
      </c>
      <c r="E47" s="767" t="s">
        <v>10071</v>
      </c>
      <c r="F47" s="758">
        <v>100</v>
      </c>
      <c r="G47" s="758">
        <v>178</v>
      </c>
      <c r="H47" s="758">
        <v>278</v>
      </c>
      <c r="I47" s="628">
        <v>10</v>
      </c>
      <c r="J47" s="628">
        <v>1306.5</v>
      </c>
      <c r="K47" s="637">
        <f t="shared" si="1"/>
        <v>1316.5</v>
      </c>
      <c r="L47" s="637">
        <v>1033.0999999999999</v>
      </c>
      <c r="M47" s="637">
        <v>935.5</v>
      </c>
      <c r="N47" s="615"/>
    </row>
    <row r="48" spans="1:14" ht="30" customHeight="1" x14ac:dyDescent="0.25">
      <c r="A48" s="627" t="s">
        <v>10068</v>
      </c>
      <c r="B48" s="810" t="s">
        <v>10067</v>
      </c>
      <c r="C48" s="635" t="s">
        <v>10066</v>
      </c>
      <c r="D48" s="627" t="s">
        <v>9902</v>
      </c>
      <c r="E48" s="767" t="s">
        <v>10068</v>
      </c>
      <c r="F48" s="758">
        <v>156</v>
      </c>
      <c r="G48" s="758"/>
      <c r="H48" s="758">
        <v>156</v>
      </c>
      <c r="I48" s="628">
        <v>65</v>
      </c>
      <c r="J48" s="628">
        <v>450</v>
      </c>
      <c r="K48" s="637">
        <f t="shared" si="1"/>
        <v>515</v>
      </c>
      <c r="L48" s="637">
        <v>1753.4</v>
      </c>
      <c r="M48" s="637">
        <v>205.23</v>
      </c>
      <c r="N48" s="615"/>
    </row>
    <row r="49" spans="1:14" ht="30" customHeight="1" x14ac:dyDescent="0.25">
      <c r="A49" s="627" t="s">
        <v>10065</v>
      </c>
      <c r="B49" s="810" t="s">
        <v>10064</v>
      </c>
      <c r="C49" s="635" t="s">
        <v>934</v>
      </c>
      <c r="D49" s="627" t="s">
        <v>9902</v>
      </c>
      <c r="E49" s="767" t="s">
        <v>10065</v>
      </c>
      <c r="F49" s="758">
        <v>85</v>
      </c>
      <c r="G49" s="758">
        <v>1040</v>
      </c>
      <c r="H49" s="758">
        <v>1125</v>
      </c>
      <c r="I49" s="628">
        <v>0</v>
      </c>
      <c r="J49" s="628">
        <v>1730</v>
      </c>
      <c r="K49" s="637">
        <f t="shared" si="1"/>
        <v>1730</v>
      </c>
      <c r="L49" s="637">
        <v>1918.84</v>
      </c>
      <c r="M49" s="637">
        <v>1828</v>
      </c>
      <c r="N49" s="615"/>
    </row>
    <row r="50" spans="1:14" ht="30" customHeight="1" x14ac:dyDescent="0.25">
      <c r="A50" s="627" t="s">
        <v>10063</v>
      </c>
      <c r="B50" s="810" t="s">
        <v>10062</v>
      </c>
      <c r="C50" s="635" t="s">
        <v>10061</v>
      </c>
      <c r="D50" s="627" t="s">
        <v>9902</v>
      </c>
      <c r="E50" s="767" t="s">
        <v>10063</v>
      </c>
      <c r="F50" s="758">
        <v>701.4699999999998</v>
      </c>
      <c r="G50" s="758">
        <v>337.3399999999998</v>
      </c>
      <c r="H50" s="758">
        <v>1038.8099999999995</v>
      </c>
      <c r="I50" s="628">
        <v>50</v>
      </c>
      <c r="J50" s="628">
        <v>1872.6900000000003</v>
      </c>
      <c r="K50" s="637">
        <f t="shared" si="1"/>
        <v>1922.6900000000003</v>
      </c>
      <c r="L50" s="637">
        <v>3004.2</v>
      </c>
      <c r="M50" s="637">
        <v>2065.4899999999998</v>
      </c>
      <c r="N50" s="615"/>
    </row>
    <row r="51" spans="1:14" ht="30" customHeight="1" x14ac:dyDescent="0.25">
      <c r="A51" s="627" t="s">
        <v>10060</v>
      </c>
      <c r="B51" s="810" t="s">
        <v>10059</v>
      </c>
      <c r="C51" s="635" t="s">
        <v>7193</v>
      </c>
      <c r="D51" s="627" t="s">
        <v>10052</v>
      </c>
      <c r="E51" s="767" t="s">
        <v>10060</v>
      </c>
      <c r="F51" s="758">
        <v>10</v>
      </c>
      <c r="G51" s="758">
        <v>666.75</v>
      </c>
      <c r="H51" s="758">
        <v>676.75</v>
      </c>
      <c r="I51" s="628">
        <v>0</v>
      </c>
      <c r="J51" s="628">
        <v>1226</v>
      </c>
      <c r="K51" s="637">
        <f t="shared" ref="K51:K75" si="2">SUM(I51:J51)</f>
        <v>1226</v>
      </c>
      <c r="L51" s="637">
        <v>1313.05</v>
      </c>
      <c r="M51" s="637">
        <v>1429.6</v>
      </c>
      <c r="N51" s="615"/>
    </row>
    <row r="52" spans="1:14" ht="30" customHeight="1" x14ac:dyDescent="0.25">
      <c r="A52" s="627" t="s">
        <v>10058</v>
      </c>
      <c r="B52" s="810" t="s">
        <v>10057</v>
      </c>
      <c r="C52" s="635" t="s">
        <v>532</v>
      </c>
      <c r="D52" s="627" t="s">
        <v>10056</v>
      </c>
      <c r="E52" s="767" t="s">
        <v>10058</v>
      </c>
      <c r="F52" s="758">
        <v>260</v>
      </c>
      <c r="G52" s="758">
        <v>581</v>
      </c>
      <c r="H52" s="758">
        <v>841</v>
      </c>
      <c r="I52" s="628">
        <v>0</v>
      </c>
      <c r="J52" s="628">
        <v>1989</v>
      </c>
      <c r="K52" s="637">
        <f t="shared" si="2"/>
        <v>1989</v>
      </c>
      <c r="L52" s="637">
        <v>1972.9</v>
      </c>
      <c r="M52" s="637">
        <v>2176.4299999999998</v>
      </c>
      <c r="N52" s="615"/>
    </row>
    <row r="53" spans="1:14" ht="30" customHeight="1" x14ac:dyDescent="0.25">
      <c r="A53" s="627" t="s">
        <v>10055</v>
      </c>
      <c r="B53" s="810" t="s">
        <v>10054</v>
      </c>
      <c r="C53" s="635" t="s">
        <v>10053</v>
      </c>
      <c r="D53" s="627" t="s">
        <v>10052</v>
      </c>
      <c r="E53" s="767" t="s">
        <v>10055</v>
      </c>
      <c r="F53" s="758">
        <v>351</v>
      </c>
      <c r="G53" s="758">
        <v>164.42</v>
      </c>
      <c r="H53" s="758">
        <v>515.41999999999996</v>
      </c>
      <c r="I53" s="628">
        <v>70</v>
      </c>
      <c r="J53" s="628">
        <v>881</v>
      </c>
      <c r="K53" s="637">
        <f t="shared" si="2"/>
        <v>951</v>
      </c>
      <c r="L53" s="637">
        <v>1198</v>
      </c>
      <c r="M53" s="637">
        <v>1248</v>
      </c>
      <c r="N53" s="615"/>
    </row>
    <row r="54" spans="1:14" ht="30" customHeight="1" x14ac:dyDescent="0.25">
      <c r="A54" s="627" t="s">
        <v>10051</v>
      </c>
      <c r="B54" s="810" t="s">
        <v>10050</v>
      </c>
      <c r="C54" s="635" t="s">
        <v>10049</v>
      </c>
      <c r="D54" s="627" t="s">
        <v>10048</v>
      </c>
      <c r="E54" s="767"/>
      <c r="F54" s="758"/>
      <c r="G54" s="758"/>
      <c r="H54" s="758"/>
      <c r="I54" s="628">
        <v>60</v>
      </c>
      <c r="J54" s="628">
        <v>326.77</v>
      </c>
      <c r="K54" s="637">
        <f t="shared" si="2"/>
        <v>386.77</v>
      </c>
      <c r="L54" s="637">
        <v>550.73</v>
      </c>
      <c r="M54" s="637">
        <v>447.03</v>
      </c>
      <c r="N54" s="615"/>
    </row>
    <row r="55" spans="1:14" ht="30" customHeight="1" x14ac:dyDescent="0.25">
      <c r="A55" s="627" t="s">
        <v>10047</v>
      </c>
      <c r="B55" s="810" t="s">
        <v>10046</v>
      </c>
      <c r="C55" s="635" t="s">
        <v>10045</v>
      </c>
      <c r="D55" s="627" t="s">
        <v>10044</v>
      </c>
      <c r="E55" s="767"/>
      <c r="F55" s="758"/>
      <c r="G55" s="758"/>
      <c r="H55" s="758"/>
      <c r="I55" s="628">
        <v>0</v>
      </c>
      <c r="J55" s="628">
        <v>5000</v>
      </c>
      <c r="K55" s="637">
        <f t="shared" si="2"/>
        <v>5000</v>
      </c>
      <c r="L55" s="637">
        <v>10060</v>
      </c>
      <c r="M55" s="637">
        <v>431.34000000000003</v>
      </c>
      <c r="N55" s="615"/>
    </row>
    <row r="56" spans="1:14" ht="30" customHeight="1" x14ac:dyDescent="0.25">
      <c r="A56" s="627" t="s">
        <v>10043</v>
      </c>
      <c r="B56" s="810" t="s">
        <v>10042</v>
      </c>
      <c r="C56" s="635" t="s">
        <v>226</v>
      </c>
      <c r="D56" s="627" t="s">
        <v>10041</v>
      </c>
      <c r="E56" s="767" t="s">
        <v>10043</v>
      </c>
      <c r="F56" s="758"/>
      <c r="G56" s="758">
        <v>735.62</v>
      </c>
      <c r="H56" s="758">
        <v>735.62</v>
      </c>
      <c r="I56" s="628">
        <v>0</v>
      </c>
      <c r="J56" s="628">
        <v>1292.54</v>
      </c>
      <c r="K56" s="637">
        <f t="shared" si="2"/>
        <v>1292.54</v>
      </c>
      <c r="L56" s="637">
        <v>1416.77</v>
      </c>
      <c r="M56" s="637">
        <v>1411.74</v>
      </c>
      <c r="N56" s="615"/>
    </row>
    <row r="57" spans="1:14" ht="30" customHeight="1" x14ac:dyDescent="0.25">
      <c r="A57" s="627" t="s">
        <v>10040</v>
      </c>
      <c r="B57" s="810" t="s">
        <v>10039</v>
      </c>
      <c r="C57" s="635" t="s">
        <v>226</v>
      </c>
      <c r="D57" s="627" t="s">
        <v>10038</v>
      </c>
      <c r="E57" s="767" t="s">
        <v>10040</v>
      </c>
      <c r="F57" s="758">
        <v>324</v>
      </c>
      <c r="G57" s="758">
        <v>46.41</v>
      </c>
      <c r="H57" s="758">
        <v>370.40999999999997</v>
      </c>
      <c r="I57" s="628">
        <v>202</v>
      </c>
      <c r="J57" s="628">
        <v>2290.0499999999997</v>
      </c>
      <c r="K57" s="637">
        <f t="shared" si="2"/>
        <v>2492.0499999999997</v>
      </c>
      <c r="L57" s="637">
        <v>2321.84</v>
      </c>
      <c r="M57" s="637">
        <v>3715.18</v>
      </c>
      <c r="N57" s="615"/>
    </row>
    <row r="58" spans="1:14" ht="30" customHeight="1" x14ac:dyDescent="0.25">
      <c r="A58" s="627" t="s">
        <v>10037</v>
      </c>
      <c r="B58" s="810" t="s">
        <v>10036</v>
      </c>
      <c r="C58" s="635" t="s">
        <v>532</v>
      </c>
      <c r="D58" s="627" t="s">
        <v>10035</v>
      </c>
      <c r="E58" s="767" t="s">
        <v>10037</v>
      </c>
      <c r="F58" s="758">
        <v>886.21999999999991</v>
      </c>
      <c r="G58" s="758">
        <v>1830.05</v>
      </c>
      <c r="H58" s="758">
        <v>2716.27</v>
      </c>
      <c r="I58" s="628">
        <v>382</v>
      </c>
      <c r="J58" s="628">
        <v>3413.0399999999995</v>
      </c>
      <c r="K58" s="637">
        <f t="shared" si="2"/>
        <v>3795.0399999999995</v>
      </c>
      <c r="L58" s="637">
        <v>3410.71</v>
      </c>
      <c r="M58" s="637">
        <v>3486.78</v>
      </c>
      <c r="N58" s="615"/>
    </row>
    <row r="59" spans="1:14" ht="30" customHeight="1" x14ac:dyDescent="0.25">
      <c r="A59" s="627" t="s">
        <v>10034</v>
      </c>
      <c r="B59" s="810" t="s">
        <v>10033</v>
      </c>
      <c r="C59" s="635" t="s">
        <v>10032</v>
      </c>
      <c r="D59" s="627" t="s">
        <v>10031</v>
      </c>
      <c r="E59" s="767" t="s">
        <v>10034</v>
      </c>
      <c r="F59" s="758">
        <v>160</v>
      </c>
      <c r="G59" s="758">
        <v>228.9</v>
      </c>
      <c r="H59" s="758">
        <v>388.9</v>
      </c>
      <c r="I59" s="628">
        <v>0</v>
      </c>
      <c r="J59" s="628">
        <v>1697.17</v>
      </c>
      <c r="K59" s="637">
        <f t="shared" si="2"/>
        <v>1697.17</v>
      </c>
      <c r="L59" s="637">
        <v>2259.4699999999998</v>
      </c>
      <c r="M59" s="637">
        <v>1364.32</v>
      </c>
      <c r="N59" s="615"/>
    </row>
    <row r="60" spans="1:14" ht="30" customHeight="1" x14ac:dyDescent="0.25">
      <c r="A60" s="627" t="s">
        <v>10030</v>
      </c>
      <c r="B60" s="810" t="s">
        <v>10029</v>
      </c>
      <c r="C60" s="635" t="s">
        <v>10028</v>
      </c>
      <c r="D60" s="627" t="s">
        <v>10018</v>
      </c>
      <c r="E60" s="767" t="s">
        <v>10030</v>
      </c>
      <c r="F60" s="758"/>
      <c r="G60" s="758">
        <v>151</v>
      </c>
      <c r="H60" s="758">
        <v>151</v>
      </c>
      <c r="I60" s="628">
        <v>0</v>
      </c>
      <c r="J60" s="628">
        <v>240</v>
      </c>
      <c r="K60" s="637">
        <f t="shared" si="2"/>
        <v>240</v>
      </c>
      <c r="L60" s="637">
        <v>150</v>
      </c>
      <c r="M60" s="637">
        <v>195</v>
      </c>
      <c r="N60" s="615"/>
    </row>
    <row r="61" spans="1:14" ht="30" customHeight="1" x14ac:dyDescent="0.25">
      <c r="A61" s="627" t="s">
        <v>10027</v>
      </c>
      <c r="B61" s="810" t="s">
        <v>10026</v>
      </c>
      <c r="C61" s="635" t="s">
        <v>10025</v>
      </c>
      <c r="D61" s="627" t="s">
        <v>10018</v>
      </c>
      <c r="E61" s="767" t="s">
        <v>10027</v>
      </c>
      <c r="F61" s="758">
        <v>1556.0000000000002</v>
      </c>
      <c r="G61" s="758">
        <v>-382</v>
      </c>
      <c r="H61" s="758">
        <v>1174.0000000000002</v>
      </c>
      <c r="I61" s="628">
        <v>42</v>
      </c>
      <c r="J61" s="628">
        <v>3918.64</v>
      </c>
      <c r="K61" s="637">
        <f t="shared" si="2"/>
        <v>3960.64</v>
      </c>
      <c r="L61" s="637">
        <v>2666.31</v>
      </c>
      <c r="M61" s="637">
        <v>4378.01</v>
      </c>
      <c r="N61" s="615"/>
    </row>
    <row r="62" spans="1:14" ht="30" customHeight="1" x14ac:dyDescent="0.25">
      <c r="A62" s="627" t="s">
        <v>10024</v>
      </c>
      <c r="B62" s="810" t="s">
        <v>10023</v>
      </c>
      <c r="C62" s="635" t="s">
        <v>10022</v>
      </c>
      <c r="D62" s="627" t="s">
        <v>10018</v>
      </c>
      <c r="E62" s="767" t="s">
        <v>10024</v>
      </c>
      <c r="F62" s="758">
        <v>54.010000000000005</v>
      </c>
      <c r="G62" s="758"/>
      <c r="H62" s="758">
        <v>54.010000000000005</v>
      </c>
      <c r="I62" s="628">
        <v>12</v>
      </c>
      <c r="J62" s="628">
        <v>12</v>
      </c>
      <c r="K62" s="637">
        <f t="shared" si="2"/>
        <v>24</v>
      </c>
      <c r="L62" s="637">
        <v>2711.25</v>
      </c>
      <c r="M62" s="637">
        <v>2531</v>
      </c>
      <c r="N62" s="615"/>
    </row>
    <row r="63" spans="1:14" ht="30" customHeight="1" x14ac:dyDescent="0.25">
      <c r="A63" s="627" t="s">
        <v>10021</v>
      </c>
      <c r="B63" s="810" t="s">
        <v>10020</v>
      </c>
      <c r="C63" s="635" t="s">
        <v>10019</v>
      </c>
      <c r="D63" s="627" t="s">
        <v>10018</v>
      </c>
      <c r="E63" s="767" t="s">
        <v>10021</v>
      </c>
      <c r="F63" s="758"/>
      <c r="G63" s="758">
        <v>1486.0900000000001</v>
      </c>
      <c r="H63" s="758">
        <v>1486.0900000000001</v>
      </c>
      <c r="I63" s="628">
        <v>0</v>
      </c>
      <c r="J63" s="628">
        <v>2287.0699999999997</v>
      </c>
      <c r="K63" s="637">
        <f t="shared" si="2"/>
        <v>2287.0699999999997</v>
      </c>
      <c r="L63" s="637">
        <v>2557.65</v>
      </c>
      <c r="M63" s="637">
        <v>2922.49</v>
      </c>
      <c r="N63" s="615"/>
    </row>
    <row r="64" spans="1:14" ht="30" customHeight="1" x14ac:dyDescent="0.25">
      <c r="A64" s="627" t="s">
        <v>10017</v>
      </c>
      <c r="B64" s="810" t="s">
        <v>10016</v>
      </c>
      <c r="C64" s="635" t="s">
        <v>532</v>
      </c>
      <c r="D64" s="627" t="s">
        <v>10015</v>
      </c>
      <c r="E64" s="767" t="s">
        <v>10017</v>
      </c>
      <c r="F64" s="758">
        <v>75</v>
      </c>
      <c r="G64" s="758">
        <v>566.66</v>
      </c>
      <c r="H64" s="758">
        <v>641.66</v>
      </c>
      <c r="I64" s="628">
        <v>20</v>
      </c>
      <c r="J64" s="628">
        <v>2233.7299999999996</v>
      </c>
      <c r="K64" s="637">
        <f t="shared" si="2"/>
        <v>2253.7299999999996</v>
      </c>
      <c r="L64" s="637">
        <v>2218.5300000000002</v>
      </c>
      <c r="M64" s="637">
        <v>2237.6999999999998</v>
      </c>
      <c r="N64" s="615"/>
    </row>
    <row r="65" spans="1:14" ht="30" customHeight="1" x14ac:dyDescent="0.25">
      <c r="A65" s="627" t="s">
        <v>10014</v>
      </c>
      <c r="B65" s="810" t="s">
        <v>10013</v>
      </c>
      <c r="C65" s="635" t="s">
        <v>532</v>
      </c>
      <c r="D65" s="627" t="s">
        <v>10012</v>
      </c>
      <c r="E65" s="767" t="s">
        <v>10014</v>
      </c>
      <c r="F65" s="758">
        <v>80</v>
      </c>
      <c r="G65" s="758">
        <v>550</v>
      </c>
      <c r="H65" s="758">
        <v>630</v>
      </c>
      <c r="I65" s="628">
        <v>0</v>
      </c>
      <c r="J65" s="628">
        <v>1446.5300000000002</v>
      </c>
      <c r="K65" s="637">
        <f t="shared" si="2"/>
        <v>1446.5300000000002</v>
      </c>
      <c r="L65" s="637">
        <v>1411.88</v>
      </c>
      <c r="M65" s="637">
        <v>1753.62</v>
      </c>
      <c r="N65" s="615"/>
    </row>
    <row r="66" spans="1:14" ht="30" customHeight="1" x14ac:dyDescent="0.25">
      <c r="A66" s="627" t="s">
        <v>10011</v>
      </c>
      <c r="B66" s="810" t="s">
        <v>10010</v>
      </c>
      <c r="C66" s="635" t="s">
        <v>1355</v>
      </c>
      <c r="D66" s="627" t="s">
        <v>10009</v>
      </c>
      <c r="E66" s="767" t="s">
        <v>10011</v>
      </c>
      <c r="F66" s="758">
        <v>165</v>
      </c>
      <c r="G66" s="758">
        <v>465.5</v>
      </c>
      <c r="H66" s="758">
        <v>630.5</v>
      </c>
      <c r="I66" s="628">
        <v>570</v>
      </c>
      <c r="J66" s="628">
        <v>776.8</v>
      </c>
      <c r="K66" s="637">
        <f t="shared" si="2"/>
        <v>1346.8</v>
      </c>
      <c r="L66" s="637">
        <v>965.8</v>
      </c>
      <c r="M66" s="637">
        <v>1196</v>
      </c>
      <c r="N66" s="615"/>
    </row>
    <row r="67" spans="1:14" ht="30" customHeight="1" x14ac:dyDescent="0.25">
      <c r="A67" s="627" t="s">
        <v>10008</v>
      </c>
      <c r="B67" s="810" t="s">
        <v>10007</v>
      </c>
      <c r="C67" s="635" t="s">
        <v>164</v>
      </c>
      <c r="D67" s="627" t="s">
        <v>10006</v>
      </c>
      <c r="E67" s="767" t="s">
        <v>10008</v>
      </c>
      <c r="F67" s="758"/>
      <c r="G67" s="758">
        <v>400.35</v>
      </c>
      <c r="H67" s="758">
        <v>400.35</v>
      </c>
      <c r="I67" s="628">
        <v>33</v>
      </c>
      <c r="J67" s="628">
        <v>1644.2099999999998</v>
      </c>
      <c r="K67" s="637">
        <f t="shared" si="2"/>
        <v>1677.2099999999998</v>
      </c>
      <c r="L67" s="637">
        <v>1855.35</v>
      </c>
      <c r="M67" s="637">
        <v>1613.87</v>
      </c>
      <c r="N67" s="615"/>
    </row>
    <row r="68" spans="1:14" ht="30" customHeight="1" x14ac:dyDescent="0.25">
      <c r="A68" s="627" t="s">
        <v>10005</v>
      </c>
      <c r="B68" s="810" t="s">
        <v>10004</v>
      </c>
      <c r="C68" s="635" t="s">
        <v>10003</v>
      </c>
      <c r="D68" s="627" t="s">
        <v>10002</v>
      </c>
      <c r="E68" s="767" t="s">
        <v>10005</v>
      </c>
      <c r="F68" s="758">
        <v>25</v>
      </c>
      <c r="G68" s="758">
        <v>1163.47</v>
      </c>
      <c r="H68" s="758">
        <v>1188.47</v>
      </c>
      <c r="I68" s="628">
        <v>25</v>
      </c>
      <c r="J68" s="628">
        <v>1820.3</v>
      </c>
      <c r="K68" s="637">
        <f t="shared" si="2"/>
        <v>1845.3</v>
      </c>
      <c r="L68" s="637">
        <v>2039.5</v>
      </c>
      <c r="M68" s="637">
        <v>2329.65</v>
      </c>
      <c r="N68" s="615"/>
    </row>
    <row r="69" spans="1:14" ht="30" customHeight="1" x14ac:dyDescent="0.25">
      <c r="A69" s="627" t="s">
        <v>10001</v>
      </c>
      <c r="B69" s="810" t="s">
        <v>10000</v>
      </c>
      <c r="C69" s="635" t="s">
        <v>9999</v>
      </c>
      <c r="D69" s="627" t="s">
        <v>9992</v>
      </c>
      <c r="E69" s="767" t="s">
        <v>10001</v>
      </c>
      <c r="F69" s="758">
        <v>43</v>
      </c>
      <c r="G69" s="758">
        <v>430.01</v>
      </c>
      <c r="H69" s="758">
        <v>473.01</v>
      </c>
      <c r="I69" s="628">
        <v>0</v>
      </c>
      <c r="J69" s="628">
        <v>1048.71</v>
      </c>
      <c r="K69" s="637">
        <f t="shared" si="2"/>
        <v>1048.71</v>
      </c>
      <c r="L69" s="637">
        <v>1153.6300000000001</v>
      </c>
      <c r="M69" s="637">
        <v>1367.53</v>
      </c>
      <c r="N69" s="615"/>
    </row>
    <row r="70" spans="1:14" ht="30" customHeight="1" x14ac:dyDescent="0.25">
      <c r="A70" s="627" t="s">
        <v>9998</v>
      </c>
      <c r="B70" s="810" t="s">
        <v>9997</v>
      </c>
      <c r="C70" s="635" t="s">
        <v>476</v>
      </c>
      <c r="D70" s="627" t="s">
        <v>9992</v>
      </c>
      <c r="E70" s="767" t="s">
        <v>9998</v>
      </c>
      <c r="F70" s="758"/>
      <c r="G70" s="758">
        <v>1451.07</v>
      </c>
      <c r="H70" s="758">
        <v>1451.07</v>
      </c>
      <c r="I70" s="628">
        <v>145</v>
      </c>
      <c r="J70" s="628">
        <v>3019.58</v>
      </c>
      <c r="K70" s="637">
        <f t="shared" si="2"/>
        <v>3164.58</v>
      </c>
      <c r="L70" s="637">
        <v>2682.8</v>
      </c>
      <c r="M70" s="637">
        <v>1983.35</v>
      </c>
      <c r="N70" s="615"/>
    </row>
    <row r="71" spans="1:14" ht="30" customHeight="1" x14ac:dyDescent="0.25">
      <c r="A71" s="627" t="s">
        <v>9996</v>
      </c>
      <c r="B71" s="810" t="s">
        <v>9995</v>
      </c>
      <c r="C71" s="635" t="s">
        <v>532</v>
      </c>
      <c r="D71" s="627" t="s">
        <v>9992</v>
      </c>
      <c r="E71" s="767" t="s">
        <v>9996</v>
      </c>
      <c r="F71" s="758">
        <v>150</v>
      </c>
      <c r="G71" s="758"/>
      <c r="H71" s="758">
        <v>150</v>
      </c>
      <c r="I71" s="628">
        <v>65</v>
      </c>
      <c r="J71" s="628">
        <v>448</v>
      </c>
      <c r="K71" s="637">
        <f t="shared" si="2"/>
        <v>513</v>
      </c>
      <c r="L71" s="637">
        <v>1517.43</v>
      </c>
      <c r="M71" s="637">
        <v>1204.46</v>
      </c>
      <c r="N71" s="615"/>
    </row>
    <row r="72" spans="1:14" ht="30" customHeight="1" x14ac:dyDescent="0.25">
      <c r="A72" s="627" t="s">
        <v>9994</v>
      </c>
      <c r="B72" s="810" t="s">
        <v>9993</v>
      </c>
      <c r="C72" s="635" t="s">
        <v>226</v>
      </c>
      <c r="D72" s="627" t="s">
        <v>9992</v>
      </c>
      <c r="E72" s="767" t="s">
        <v>9994</v>
      </c>
      <c r="F72" s="758">
        <v>80</v>
      </c>
      <c r="G72" s="758">
        <v>1168.25</v>
      </c>
      <c r="H72" s="758">
        <v>1248.25</v>
      </c>
      <c r="I72" s="628">
        <v>20</v>
      </c>
      <c r="J72" s="628">
        <v>3441.7299999999996</v>
      </c>
      <c r="K72" s="637">
        <f t="shared" si="2"/>
        <v>3461.7299999999996</v>
      </c>
      <c r="L72" s="637">
        <v>3675.2</v>
      </c>
      <c r="M72" s="637">
        <v>3710.79</v>
      </c>
      <c r="N72" s="615"/>
    </row>
    <row r="73" spans="1:14" ht="30" customHeight="1" x14ac:dyDescent="0.25">
      <c r="A73" s="627" t="s">
        <v>9991</v>
      </c>
      <c r="B73" s="810" t="s">
        <v>9990</v>
      </c>
      <c r="C73" s="635" t="s">
        <v>9989</v>
      </c>
      <c r="D73" s="627" t="s">
        <v>9988</v>
      </c>
      <c r="E73" s="767" t="s">
        <v>9991</v>
      </c>
      <c r="F73" s="758">
        <v>170</v>
      </c>
      <c r="G73" s="758">
        <v>1177.3699999999999</v>
      </c>
      <c r="H73" s="758">
        <v>1347.37</v>
      </c>
      <c r="I73" s="628">
        <v>160</v>
      </c>
      <c r="J73" s="628">
        <v>1674.56</v>
      </c>
      <c r="K73" s="637">
        <f t="shared" si="2"/>
        <v>1834.56</v>
      </c>
      <c r="L73" s="637">
        <v>2516.19</v>
      </c>
      <c r="M73" s="637">
        <v>3000.2</v>
      </c>
      <c r="N73" s="615"/>
    </row>
    <row r="74" spans="1:14" ht="30" customHeight="1" x14ac:dyDescent="0.25">
      <c r="A74" s="627" t="s">
        <v>9987</v>
      </c>
      <c r="B74" s="810" t="s">
        <v>9986</v>
      </c>
      <c r="C74" s="635" t="s">
        <v>8513</v>
      </c>
      <c r="D74" s="627" t="s">
        <v>9985</v>
      </c>
      <c r="E74" s="767" t="s">
        <v>9987</v>
      </c>
      <c r="F74" s="758">
        <v>60</v>
      </c>
      <c r="G74" s="758">
        <v>255</v>
      </c>
      <c r="H74" s="758">
        <v>315</v>
      </c>
      <c r="I74" s="628">
        <v>20</v>
      </c>
      <c r="J74" s="628">
        <v>758</v>
      </c>
      <c r="K74" s="637">
        <f t="shared" si="2"/>
        <v>778</v>
      </c>
      <c r="L74" s="637">
        <v>916.01</v>
      </c>
      <c r="M74" s="637">
        <v>1017.55</v>
      </c>
      <c r="N74" s="615"/>
    </row>
    <row r="75" spans="1:14" ht="30" customHeight="1" x14ac:dyDescent="0.25">
      <c r="A75" s="627" t="s">
        <v>9984</v>
      </c>
      <c r="B75" s="810" t="s">
        <v>9983</v>
      </c>
      <c r="C75" s="635" t="s">
        <v>9982</v>
      </c>
      <c r="D75" s="627" t="s">
        <v>9981</v>
      </c>
      <c r="E75" s="767" t="s">
        <v>9984</v>
      </c>
      <c r="F75" s="758">
        <v>150</v>
      </c>
      <c r="G75" s="758">
        <v>250.44</v>
      </c>
      <c r="H75" s="758">
        <v>400.44</v>
      </c>
      <c r="I75" s="628">
        <v>30</v>
      </c>
      <c r="J75" s="628">
        <v>876.69</v>
      </c>
      <c r="K75" s="637">
        <f t="shared" si="2"/>
        <v>906.69</v>
      </c>
      <c r="L75" s="637">
        <v>1149.19</v>
      </c>
      <c r="M75" s="637">
        <v>1396.7</v>
      </c>
      <c r="N75" s="615"/>
    </row>
    <row r="76" spans="1:14" ht="30" customHeight="1" x14ac:dyDescent="0.25">
      <c r="A76" s="627" t="s">
        <v>10928</v>
      </c>
      <c r="B76" s="810">
        <v>78</v>
      </c>
      <c r="C76" s="635" t="s">
        <v>1165</v>
      </c>
      <c r="D76" s="627" t="s">
        <v>10929</v>
      </c>
      <c r="E76" s="767" t="s">
        <v>10928</v>
      </c>
      <c r="F76" s="758">
        <v>20</v>
      </c>
      <c r="G76" s="758">
        <v>487.77</v>
      </c>
      <c r="H76" s="758">
        <v>507.77</v>
      </c>
      <c r="I76" s="628"/>
      <c r="J76" s="628"/>
      <c r="K76" s="637"/>
      <c r="L76" s="637">
        <v>1548</v>
      </c>
      <c r="M76" s="637">
        <v>1482</v>
      </c>
      <c r="N76" s="615"/>
    </row>
    <row r="77" spans="1:14" ht="30" customHeight="1" x14ac:dyDescent="0.25">
      <c r="A77" s="627" t="s">
        <v>9980</v>
      </c>
      <c r="B77" s="810" t="s">
        <v>9979</v>
      </c>
      <c r="C77" s="635" t="s">
        <v>3187</v>
      </c>
      <c r="D77" s="627" t="s">
        <v>9976</v>
      </c>
      <c r="E77" s="767" t="s">
        <v>9980</v>
      </c>
      <c r="F77" s="758">
        <v>540</v>
      </c>
      <c r="G77" s="758">
        <v>1968.63</v>
      </c>
      <c r="H77" s="758">
        <v>2508.63</v>
      </c>
      <c r="I77" s="628">
        <v>280</v>
      </c>
      <c r="J77" s="628">
        <v>5896.55</v>
      </c>
      <c r="K77" s="637">
        <f t="shared" ref="K77:K102" si="3">SUM(I77:J77)</f>
        <v>6176.55</v>
      </c>
      <c r="L77" s="637">
        <v>7389.04</v>
      </c>
      <c r="M77" s="637">
        <v>7779.35</v>
      </c>
      <c r="N77" s="615"/>
    </row>
    <row r="78" spans="1:14" ht="30" customHeight="1" x14ac:dyDescent="0.25">
      <c r="A78" s="627" t="s">
        <v>9978</v>
      </c>
      <c r="B78" s="810" t="s">
        <v>9977</v>
      </c>
      <c r="C78" s="635" t="s">
        <v>8759</v>
      </c>
      <c r="D78" s="627" t="s">
        <v>9976</v>
      </c>
      <c r="E78" s="767" t="s">
        <v>9978</v>
      </c>
      <c r="F78" s="758">
        <v>846.05</v>
      </c>
      <c r="G78" s="758">
        <v>878.71</v>
      </c>
      <c r="H78" s="758">
        <v>1724.76</v>
      </c>
      <c r="I78" s="628">
        <v>117.5</v>
      </c>
      <c r="J78" s="628">
        <v>4606.2</v>
      </c>
      <c r="K78" s="637">
        <f t="shared" si="3"/>
        <v>4723.7</v>
      </c>
      <c r="L78" s="637">
        <v>5061.6899999999996</v>
      </c>
      <c r="M78" s="637">
        <v>6251.86</v>
      </c>
      <c r="N78" s="615"/>
    </row>
    <row r="79" spans="1:14" ht="30" customHeight="1" x14ac:dyDescent="0.25">
      <c r="A79" s="627" t="s">
        <v>9975</v>
      </c>
      <c r="B79" s="810" t="s">
        <v>9974</v>
      </c>
      <c r="C79" s="635" t="s">
        <v>5796</v>
      </c>
      <c r="D79" s="627" t="s">
        <v>9973</v>
      </c>
      <c r="E79" s="767" t="s">
        <v>9975</v>
      </c>
      <c r="F79" s="758">
        <v>20</v>
      </c>
      <c r="G79" s="758">
        <v>346.57</v>
      </c>
      <c r="H79" s="758">
        <v>366.57</v>
      </c>
      <c r="I79" s="628">
        <v>25</v>
      </c>
      <c r="J79" s="628">
        <v>1233.1499999999999</v>
      </c>
      <c r="K79" s="637">
        <f t="shared" si="3"/>
        <v>1258.1499999999999</v>
      </c>
      <c r="L79" s="637">
        <v>1160.72</v>
      </c>
      <c r="M79" s="637">
        <v>974.5</v>
      </c>
      <c r="N79" s="615"/>
    </row>
    <row r="80" spans="1:14" ht="30" customHeight="1" x14ac:dyDescent="0.25">
      <c r="A80" s="627" t="s">
        <v>9972</v>
      </c>
      <c r="B80" s="810" t="s">
        <v>9971</v>
      </c>
      <c r="C80" s="635" t="s">
        <v>9970</v>
      </c>
      <c r="D80" s="627" t="s">
        <v>9724</v>
      </c>
      <c r="E80" s="767" t="s">
        <v>9972</v>
      </c>
      <c r="F80" s="758">
        <v>235</v>
      </c>
      <c r="G80" s="758">
        <v>120</v>
      </c>
      <c r="H80" s="758">
        <v>355</v>
      </c>
      <c r="I80" s="628">
        <v>125</v>
      </c>
      <c r="J80" s="628">
        <v>1340</v>
      </c>
      <c r="K80" s="637">
        <f t="shared" si="3"/>
        <v>1465</v>
      </c>
      <c r="L80" s="637">
        <v>255</v>
      </c>
      <c r="M80" s="637">
        <v>310.81</v>
      </c>
      <c r="N80" s="615"/>
    </row>
    <row r="81" spans="1:14" ht="30" customHeight="1" x14ac:dyDescent="0.25">
      <c r="A81" s="627" t="s">
        <v>9969</v>
      </c>
      <c r="B81" s="810" t="s">
        <v>9968</v>
      </c>
      <c r="C81" s="635" t="s">
        <v>5436</v>
      </c>
      <c r="D81" s="627" t="s">
        <v>9967</v>
      </c>
      <c r="E81" s="767" t="s">
        <v>9969</v>
      </c>
      <c r="F81" s="758"/>
      <c r="G81" s="758">
        <v>1182.26</v>
      </c>
      <c r="H81" s="758">
        <v>1182.26</v>
      </c>
      <c r="I81" s="628">
        <v>0</v>
      </c>
      <c r="J81" s="628">
        <v>2809.3199999999997</v>
      </c>
      <c r="K81" s="637">
        <f t="shared" si="3"/>
        <v>2809.3199999999997</v>
      </c>
      <c r="L81" s="637">
        <v>1626.34</v>
      </c>
      <c r="M81" s="637">
        <v>2484.94</v>
      </c>
      <c r="N81" s="615"/>
    </row>
    <row r="82" spans="1:14" ht="30" customHeight="1" x14ac:dyDescent="0.25">
      <c r="A82" s="627" t="s">
        <v>9966</v>
      </c>
      <c r="B82" s="810" t="s">
        <v>9965</v>
      </c>
      <c r="C82" s="635" t="s">
        <v>226</v>
      </c>
      <c r="D82" s="627" t="s">
        <v>9964</v>
      </c>
      <c r="E82" s="767"/>
      <c r="F82" s="758"/>
      <c r="G82" s="758"/>
      <c r="H82" s="758"/>
      <c r="I82" s="628">
        <v>50</v>
      </c>
      <c r="J82" s="628">
        <v>64.319999999999993</v>
      </c>
      <c r="K82" s="637">
        <f t="shared" si="3"/>
        <v>114.32</v>
      </c>
      <c r="L82" s="637">
        <v>100</v>
      </c>
      <c r="M82" s="637">
        <v>100</v>
      </c>
      <c r="N82" s="615"/>
    </row>
    <row r="83" spans="1:14" ht="30" customHeight="1" x14ac:dyDescent="0.25">
      <c r="A83" s="627" t="s">
        <v>9963</v>
      </c>
      <c r="B83" s="810" t="s">
        <v>9962</v>
      </c>
      <c r="C83" s="635" t="s">
        <v>9961</v>
      </c>
      <c r="D83" s="627" t="s">
        <v>9960</v>
      </c>
      <c r="E83" s="767" t="s">
        <v>9963</v>
      </c>
      <c r="F83" s="758"/>
      <c r="G83" s="758">
        <v>206.8</v>
      </c>
      <c r="H83" s="758">
        <v>206.8</v>
      </c>
      <c r="I83" s="628">
        <v>0</v>
      </c>
      <c r="J83" s="628">
        <v>810.04</v>
      </c>
      <c r="K83" s="637">
        <f t="shared" si="3"/>
        <v>810.04</v>
      </c>
      <c r="L83" s="637">
        <v>818.62</v>
      </c>
      <c r="M83" s="637">
        <v>769.84</v>
      </c>
      <c r="N83" s="615"/>
    </row>
    <row r="84" spans="1:14" ht="30" customHeight="1" x14ac:dyDescent="0.25">
      <c r="A84" s="627" t="s">
        <v>9959</v>
      </c>
      <c r="B84" s="810" t="s">
        <v>9958</v>
      </c>
      <c r="C84" s="635" t="s">
        <v>7540</v>
      </c>
      <c r="D84" s="627" t="s">
        <v>9952</v>
      </c>
      <c r="E84" s="767" t="s">
        <v>9959</v>
      </c>
      <c r="F84" s="758">
        <v>555.85</v>
      </c>
      <c r="G84" s="758">
        <v>-32.59999999999998</v>
      </c>
      <c r="H84" s="758">
        <v>523.25</v>
      </c>
      <c r="I84" s="628">
        <v>104</v>
      </c>
      <c r="J84" s="628">
        <v>1985.7899999999997</v>
      </c>
      <c r="K84" s="637">
        <f t="shared" si="3"/>
        <v>2089.79</v>
      </c>
      <c r="L84" s="637">
        <v>2100.96</v>
      </c>
      <c r="M84" s="637">
        <v>2622.23</v>
      </c>
      <c r="N84" s="615"/>
    </row>
    <row r="85" spans="1:14" ht="30" customHeight="1" x14ac:dyDescent="0.25">
      <c r="A85" s="627" t="s">
        <v>9957</v>
      </c>
      <c r="B85" s="810" t="s">
        <v>9956</v>
      </c>
      <c r="C85" s="635" t="s">
        <v>9955</v>
      </c>
      <c r="D85" s="627" t="s">
        <v>9952</v>
      </c>
      <c r="E85" s="767" t="s">
        <v>9957</v>
      </c>
      <c r="F85" s="758">
        <v>1083.46</v>
      </c>
      <c r="G85" s="758">
        <v>587.98</v>
      </c>
      <c r="H85" s="758">
        <v>1671.44</v>
      </c>
      <c r="I85" s="628">
        <v>169</v>
      </c>
      <c r="J85" s="628">
        <v>3134.8599999999997</v>
      </c>
      <c r="K85" s="637">
        <f t="shared" si="3"/>
        <v>3303.8599999999997</v>
      </c>
      <c r="L85" s="637">
        <v>2917</v>
      </c>
      <c r="M85" s="637">
        <v>3599.97</v>
      </c>
      <c r="N85" s="615"/>
    </row>
    <row r="86" spans="1:14" ht="30" customHeight="1" x14ac:dyDescent="0.25">
      <c r="A86" s="627" t="s">
        <v>9954</v>
      </c>
      <c r="B86" s="810" t="s">
        <v>9953</v>
      </c>
      <c r="C86" s="635" t="s">
        <v>839</v>
      </c>
      <c r="D86" s="627" t="s">
        <v>9952</v>
      </c>
      <c r="E86" s="767" t="s">
        <v>9954</v>
      </c>
      <c r="F86" s="758">
        <v>805</v>
      </c>
      <c r="G86" s="758">
        <v>470.4</v>
      </c>
      <c r="H86" s="758">
        <v>1275.4000000000001</v>
      </c>
      <c r="I86" s="628">
        <v>207.09</v>
      </c>
      <c r="J86" s="628">
        <v>1276.6300000000001</v>
      </c>
      <c r="K86" s="637">
        <f t="shared" si="3"/>
        <v>1483.72</v>
      </c>
      <c r="L86" s="637">
        <v>1282.6599999999999</v>
      </c>
      <c r="M86" s="637">
        <v>1393.04</v>
      </c>
      <c r="N86" s="615"/>
    </row>
    <row r="87" spans="1:14" ht="30" customHeight="1" x14ac:dyDescent="0.25">
      <c r="A87" s="627" t="s">
        <v>9951</v>
      </c>
      <c r="B87" s="810" t="s">
        <v>9950</v>
      </c>
      <c r="C87" s="635" t="s">
        <v>9949</v>
      </c>
      <c r="D87" s="627" t="s">
        <v>9665</v>
      </c>
      <c r="E87" s="767" t="s">
        <v>9951</v>
      </c>
      <c r="F87" s="758">
        <v>45</v>
      </c>
      <c r="G87" s="758">
        <v>268.05</v>
      </c>
      <c r="H87" s="758">
        <v>313.05</v>
      </c>
      <c r="I87" s="628">
        <v>20</v>
      </c>
      <c r="J87" s="628">
        <v>769.53</v>
      </c>
      <c r="K87" s="637">
        <f t="shared" si="3"/>
        <v>789.53</v>
      </c>
      <c r="L87" s="637">
        <v>792.14</v>
      </c>
      <c r="M87" s="637">
        <v>1107.79</v>
      </c>
      <c r="N87" s="615"/>
    </row>
    <row r="88" spans="1:14" ht="30" customHeight="1" x14ac:dyDescent="0.25">
      <c r="A88" s="627" t="s">
        <v>9948</v>
      </c>
      <c r="B88" s="810" t="s">
        <v>9947</v>
      </c>
      <c r="C88" s="635" t="s">
        <v>9946</v>
      </c>
      <c r="D88" s="627" t="s">
        <v>9945</v>
      </c>
      <c r="E88" s="767" t="s">
        <v>9948</v>
      </c>
      <c r="F88" s="758">
        <v>175</v>
      </c>
      <c r="G88" s="758">
        <v>310</v>
      </c>
      <c r="H88" s="758">
        <v>485</v>
      </c>
      <c r="I88" s="628">
        <v>60</v>
      </c>
      <c r="J88" s="628">
        <v>2093</v>
      </c>
      <c r="K88" s="637">
        <f t="shared" si="3"/>
        <v>2153</v>
      </c>
      <c r="L88" s="637">
        <v>1451.54</v>
      </c>
      <c r="M88" s="637">
        <v>2121.56</v>
      </c>
      <c r="N88" s="615"/>
    </row>
    <row r="89" spans="1:14" ht="30" customHeight="1" x14ac:dyDescent="0.25">
      <c r="A89" s="627" t="s">
        <v>9944</v>
      </c>
      <c r="B89" s="810" t="s">
        <v>9943</v>
      </c>
      <c r="C89" s="635" t="s">
        <v>2674</v>
      </c>
      <c r="D89" s="627" t="s">
        <v>9942</v>
      </c>
      <c r="E89" s="767" t="s">
        <v>9944</v>
      </c>
      <c r="F89" s="758">
        <v>435</v>
      </c>
      <c r="G89" s="758"/>
      <c r="H89" s="758">
        <v>435</v>
      </c>
      <c r="I89" s="628">
        <v>265</v>
      </c>
      <c r="J89" s="628">
        <v>0</v>
      </c>
      <c r="K89" s="637">
        <f t="shared" si="3"/>
        <v>265</v>
      </c>
      <c r="L89" s="637">
        <v>600</v>
      </c>
      <c r="M89" s="637">
        <v>426.89</v>
      </c>
      <c r="N89" s="615"/>
    </row>
    <row r="90" spans="1:14" ht="30" customHeight="1" x14ac:dyDescent="0.25">
      <c r="A90" s="627" t="s">
        <v>9941</v>
      </c>
      <c r="B90" s="810" t="s">
        <v>9940</v>
      </c>
      <c r="C90" s="635" t="s">
        <v>5211</v>
      </c>
      <c r="D90" s="627" t="s">
        <v>9939</v>
      </c>
      <c r="E90" s="767" t="s">
        <v>9941</v>
      </c>
      <c r="F90" s="758">
        <v>112</v>
      </c>
      <c r="G90" s="758">
        <v>106.5</v>
      </c>
      <c r="H90" s="758">
        <v>218.5</v>
      </c>
      <c r="I90" s="628">
        <v>0</v>
      </c>
      <c r="J90" s="628">
        <v>532</v>
      </c>
      <c r="K90" s="637">
        <f t="shared" si="3"/>
        <v>532</v>
      </c>
      <c r="L90" s="637">
        <v>745.65</v>
      </c>
      <c r="M90" s="637">
        <v>1157.2</v>
      </c>
      <c r="N90" s="615"/>
    </row>
    <row r="91" spans="1:14" ht="30" customHeight="1" x14ac:dyDescent="0.25">
      <c r="A91" s="627" t="s">
        <v>9938</v>
      </c>
      <c r="B91" s="810" t="s">
        <v>9937</v>
      </c>
      <c r="C91" s="635" t="s">
        <v>231</v>
      </c>
      <c r="D91" s="627" t="s">
        <v>9936</v>
      </c>
      <c r="E91" s="767" t="s">
        <v>9938</v>
      </c>
      <c r="F91" s="758">
        <v>162.47</v>
      </c>
      <c r="G91" s="758">
        <v>547</v>
      </c>
      <c r="H91" s="758">
        <v>709.47</v>
      </c>
      <c r="I91" s="628">
        <v>120</v>
      </c>
      <c r="J91" s="628">
        <v>2142.1</v>
      </c>
      <c r="K91" s="637">
        <f t="shared" si="3"/>
        <v>2262.1</v>
      </c>
      <c r="L91" s="637">
        <v>1478</v>
      </c>
      <c r="M91" s="637">
        <v>2487.17</v>
      </c>
      <c r="N91" s="615"/>
    </row>
    <row r="92" spans="1:14" ht="30" customHeight="1" x14ac:dyDescent="0.25">
      <c r="A92" s="627" t="s">
        <v>9935</v>
      </c>
      <c r="B92" s="810" t="s">
        <v>9934</v>
      </c>
      <c r="C92" s="635" t="s">
        <v>5436</v>
      </c>
      <c r="D92" s="627" t="s">
        <v>9923</v>
      </c>
      <c r="E92" s="767" t="s">
        <v>9935</v>
      </c>
      <c r="F92" s="758">
        <v>1265</v>
      </c>
      <c r="G92" s="758">
        <v>1987.03</v>
      </c>
      <c r="H92" s="758">
        <v>3252.0299999999997</v>
      </c>
      <c r="I92" s="628">
        <v>140</v>
      </c>
      <c r="J92" s="628">
        <v>3000.02</v>
      </c>
      <c r="K92" s="637">
        <f t="shared" si="3"/>
        <v>3140.02</v>
      </c>
      <c r="L92" s="637">
        <v>3548.73</v>
      </c>
      <c r="M92" s="637">
        <v>3815.53</v>
      </c>
      <c r="N92" s="615"/>
    </row>
    <row r="93" spans="1:14" ht="30" customHeight="1" x14ac:dyDescent="0.25">
      <c r="A93" s="627" t="s">
        <v>9933</v>
      </c>
      <c r="B93" s="810" t="s">
        <v>9932</v>
      </c>
      <c r="C93" s="635" t="s">
        <v>6280</v>
      </c>
      <c r="D93" s="627" t="s">
        <v>9923</v>
      </c>
      <c r="E93" s="767" t="s">
        <v>9933</v>
      </c>
      <c r="F93" s="758"/>
      <c r="G93" s="758">
        <v>102</v>
      </c>
      <c r="H93" s="758">
        <v>102</v>
      </c>
      <c r="I93" s="628">
        <v>0</v>
      </c>
      <c r="J93" s="628">
        <v>1273.28</v>
      </c>
      <c r="K93" s="637">
        <f t="shared" si="3"/>
        <v>1273.28</v>
      </c>
      <c r="L93" s="637">
        <v>1903</v>
      </c>
      <c r="M93" s="637">
        <v>2491.06</v>
      </c>
      <c r="N93" s="615"/>
    </row>
    <row r="94" spans="1:14" ht="30" customHeight="1" x14ac:dyDescent="0.25">
      <c r="A94" s="627" t="s">
        <v>9931</v>
      </c>
      <c r="B94" s="810" t="s">
        <v>9930</v>
      </c>
      <c r="C94" s="635" t="s">
        <v>7394</v>
      </c>
      <c r="D94" s="627" t="s">
        <v>9929</v>
      </c>
      <c r="E94" s="767" t="s">
        <v>9931</v>
      </c>
      <c r="F94" s="758"/>
      <c r="G94" s="758">
        <v>67.259999999999991</v>
      </c>
      <c r="H94" s="758">
        <v>67.259999999999991</v>
      </c>
      <c r="I94" s="628">
        <v>0</v>
      </c>
      <c r="J94" s="628">
        <v>1412.62</v>
      </c>
      <c r="K94" s="637">
        <f t="shared" si="3"/>
        <v>1412.62</v>
      </c>
      <c r="L94" s="637">
        <v>1683.64</v>
      </c>
      <c r="M94" s="637">
        <v>1601.22</v>
      </c>
      <c r="N94" s="615"/>
    </row>
    <row r="95" spans="1:14" ht="30" customHeight="1" x14ac:dyDescent="0.25">
      <c r="A95" s="627" t="s">
        <v>9928</v>
      </c>
      <c r="B95" s="810" t="s">
        <v>9927</v>
      </c>
      <c r="C95" s="635" t="s">
        <v>9926</v>
      </c>
      <c r="D95" s="627" t="s">
        <v>9923</v>
      </c>
      <c r="E95" s="767" t="s">
        <v>9928</v>
      </c>
      <c r="F95" s="758"/>
      <c r="G95" s="758">
        <v>996.69</v>
      </c>
      <c r="H95" s="758">
        <v>996.69</v>
      </c>
      <c r="I95" s="628">
        <v>0</v>
      </c>
      <c r="J95" s="628">
        <v>1119.23</v>
      </c>
      <c r="K95" s="637">
        <f t="shared" si="3"/>
        <v>1119.23</v>
      </c>
      <c r="L95" s="637">
        <v>1072</v>
      </c>
      <c r="M95" s="637">
        <v>1060</v>
      </c>
      <c r="N95" s="615"/>
    </row>
    <row r="96" spans="1:14" ht="30" customHeight="1" x14ac:dyDescent="0.25">
      <c r="A96" s="627" t="s">
        <v>9925</v>
      </c>
      <c r="B96" s="810" t="s">
        <v>9924</v>
      </c>
      <c r="C96" s="635" t="s">
        <v>7516</v>
      </c>
      <c r="D96" s="627" t="s">
        <v>9923</v>
      </c>
      <c r="E96" s="767" t="s">
        <v>9925</v>
      </c>
      <c r="F96" s="758"/>
      <c r="G96" s="758">
        <v>738.65000000000009</v>
      </c>
      <c r="H96" s="758">
        <v>738.65000000000009</v>
      </c>
      <c r="I96" s="628">
        <v>0</v>
      </c>
      <c r="J96" s="628">
        <v>1005.97</v>
      </c>
      <c r="K96" s="637">
        <f t="shared" si="3"/>
        <v>1005.97</v>
      </c>
      <c r="L96" s="637">
        <v>1200.68</v>
      </c>
      <c r="M96" s="637">
        <v>1137.8800000000001</v>
      </c>
      <c r="N96" s="615"/>
    </row>
    <row r="97" spans="1:14" ht="30" customHeight="1" x14ac:dyDescent="0.25">
      <c r="A97" s="627" t="s">
        <v>9922</v>
      </c>
      <c r="B97" s="810" t="s">
        <v>9921</v>
      </c>
      <c r="C97" s="635" t="s">
        <v>9920</v>
      </c>
      <c r="D97" s="627" t="s">
        <v>9919</v>
      </c>
      <c r="E97" s="767"/>
      <c r="F97" s="758"/>
      <c r="G97" s="758"/>
      <c r="H97" s="758"/>
      <c r="I97" s="628">
        <v>0</v>
      </c>
      <c r="J97" s="628">
        <v>584.6400000000001</v>
      </c>
      <c r="K97" s="637">
        <f t="shared" si="3"/>
        <v>584.6400000000001</v>
      </c>
      <c r="L97" s="637"/>
      <c r="M97" s="637">
        <v>478.55</v>
      </c>
      <c r="N97" s="615"/>
    </row>
    <row r="98" spans="1:14" ht="30" customHeight="1" x14ac:dyDescent="0.25">
      <c r="A98" s="627" t="s">
        <v>9918</v>
      </c>
      <c r="B98" s="810" t="s">
        <v>9917</v>
      </c>
      <c r="C98" s="635" t="s">
        <v>1165</v>
      </c>
      <c r="D98" s="627" t="s">
        <v>9916</v>
      </c>
      <c r="E98" s="767" t="s">
        <v>9918</v>
      </c>
      <c r="F98" s="758">
        <v>350</v>
      </c>
      <c r="G98" s="758">
        <v>28.38</v>
      </c>
      <c r="H98" s="758">
        <v>378.38</v>
      </c>
      <c r="I98" s="628">
        <v>210</v>
      </c>
      <c r="J98" s="628">
        <v>267.38</v>
      </c>
      <c r="K98" s="637">
        <f t="shared" si="3"/>
        <v>477.38</v>
      </c>
      <c r="L98" s="637">
        <v>217.33</v>
      </c>
      <c r="M98" s="637">
        <v>406.39</v>
      </c>
      <c r="N98" s="615"/>
    </row>
    <row r="99" spans="1:14" ht="30" customHeight="1" x14ac:dyDescent="0.25">
      <c r="A99" s="627" t="s">
        <v>9915</v>
      </c>
      <c r="B99" s="810" t="s">
        <v>9914</v>
      </c>
      <c r="C99" s="635" t="s">
        <v>9913</v>
      </c>
      <c r="D99" s="627" t="s">
        <v>9906</v>
      </c>
      <c r="E99" s="767" t="s">
        <v>9915</v>
      </c>
      <c r="F99" s="758"/>
      <c r="G99" s="758">
        <v>966.99</v>
      </c>
      <c r="H99" s="758">
        <v>966.99</v>
      </c>
      <c r="I99" s="628">
        <v>0</v>
      </c>
      <c r="J99" s="628">
        <v>1530.65</v>
      </c>
      <c r="K99" s="637">
        <f t="shared" si="3"/>
        <v>1530.65</v>
      </c>
      <c r="L99" s="637">
        <v>2178.21</v>
      </c>
      <c r="M99" s="637">
        <v>1915.94</v>
      </c>
      <c r="N99" s="615"/>
    </row>
    <row r="100" spans="1:14" ht="30" customHeight="1" x14ac:dyDescent="0.25">
      <c r="A100" s="627" t="s">
        <v>9912</v>
      </c>
      <c r="B100" s="810" t="s">
        <v>9911</v>
      </c>
      <c r="C100" s="635" t="s">
        <v>9910</v>
      </c>
      <c r="D100" s="627" t="s">
        <v>9906</v>
      </c>
      <c r="E100" s="767" t="s">
        <v>9912</v>
      </c>
      <c r="F100" s="758">
        <v>15</v>
      </c>
      <c r="G100" s="758"/>
      <c r="H100" s="758">
        <v>15</v>
      </c>
      <c r="I100" s="628">
        <v>0</v>
      </c>
      <c r="J100" s="628">
        <v>747.67000000000007</v>
      </c>
      <c r="K100" s="637">
        <f t="shared" si="3"/>
        <v>747.67000000000007</v>
      </c>
      <c r="L100" s="637">
        <v>894.72</v>
      </c>
      <c r="M100" s="637">
        <v>905</v>
      </c>
      <c r="N100" s="615"/>
    </row>
    <row r="101" spans="1:14" ht="30" customHeight="1" x14ac:dyDescent="0.25">
      <c r="A101" s="627" t="s">
        <v>9909</v>
      </c>
      <c r="B101" s="810" t="s">
        <v>9908</v>
      </c>
      <c r="C101" s="635" t="s">
        <v>9907</v>
      </c>
      <c r="D101" s="627" t="s">
        <v>9906</v>
      </c>
      <c r="E101" s="767" t="s">
        <v>9909</v>
      </c>
      <c r="F101" s="758">
        <v>72</v>
      </c>
      <c r="G101" s="758">
        <v>300</v>
      </c>
      <c r="H101" s="758">
        <v>372</v>
      </c>
      <c r="I101" s="628">
        <v>36</v>
      </c>
      <c r="J101" s="628">
        <v>1924.49</v>
      </c>
      <c r="K101" s="637">
        <f t="shared" si="3"/>
        <v>1960.49</v>
      </c>
      <c r="L101" s="637">
        <v>2233.31</v>
      </c>
      <c r="M101" s="637">
        <v>1825.9</v>
      </c>
      <c r="N101" s="615"/>
    </row>
    <row r="102" spans="1:14" ht="30" customHeight="1" x14ac:dyDescent="0.25">
      <c r="A102" s="627" t="s">
        <v>9905</v>
      </c>
      <c r="B102" s="810" t="s">
        <v>9904</v>
      </c>
      <c r="C102" s="635" t="s">
        <v>9903</v>
      </c>
      <c r="D102" s="627" t="s">
        <v>9902</v>
      </c>
      <c r="E102" s="767" t="s">
        <v>9905</v>
      </c>
      <c r="F102" s="758"/>
      <c r="G102" s="758">
        <v>270</v>
      </c>
      <c r="H102" s="758">
        <v>270</v>
      </c>
      <c r="I102" s="628">
        <v>0</v>
      </c>
      <c r="J102" s="628">
        <v>532.65</v>
      </c>
      <c r="K102" s="637">
        <f t="shared" si="3"/>
        <v>532.65</v>
      </c>
      <c r="L102" s="637">
        <v>581</v>
      </c>
      <c r="M102" s="637">
        <v>412</v>
      </c>
      <c r="N102" s="615"/>
    </row>
    <row r="103" spans="1:14" ht="30" customHeight="1" x14ac:dyDescent="0.25">
      <c r="A103" s="627" t="s">
        <v>10930</v>
      </c>
      <c r="B103" s="810">
        <v>109</v>
      </c>
      <c r="C103" s="635" t="s">
        <v>2578</v>
      </c>
      <c r="D103" s="627" t="s">
        <v>10931</v>
      </c>
      <c r="E103" s="767"/>
      <c r="F103" s="758"/>
      <c r="G103" s="758"/>
      <c r="H103" s="758"/>
      <c r="I103" s="628"/>
      <c r="J103" s="628"/>
      <c r="K103" s="637"/>
      <c r="L103" s="637">
        <v>150.25</v>
      </c>
      <c r="M103" s="637">
        <v>241</v>
      </c>
      <c r="N103" s="615"/>
    </row>
    <row r="104" spans="1:14" ht="30" customHeight="1" x14ac:dyDescent="0.25">
      <c r="A104" s="627" t="s">
        <v>10932</v>
      </c>
      <c r="B104" s="810">
        <v>110</v>
      </c>
      <c r="C104" s="635" t="s">
        <v>10933</v>
      </c>
      <c r="D104" s="627" t="s">
        <v>9895</v>
      </c>
      <c r="E104" s="767"/>
      <c r="F104" s="758"/>
      <c r="G104" s="758"/>
      <c r="H104" s="758"/>
      <c r="I104" s="628"/>
      <c r="J104" s="628"/>
      <c r="K104" s="637"/>
      <c r="L104" s="637">
        <v>332</v>
      </c>
      <c r="M104" s="637">
        <v>365.72</v>
      </c>
      <c r="N104" s="615"/>
    </row>
    <row r="105" spans="1:14" ht="30" customHeight="1" x14ac:dyDescent="0.25">
      <c r="A105" s="627" t="s">
        <v>9901</v>
      </c>
      <c r="B105" s="810" t="s">
        <v>9900</v>
      </c>
      <c r="C105" s="635" t="s">
        <v>9899</v>
      </c>
      <c r="D105" s="627" t="s">
        <v>9895</v>
      </c>
      <c r="E105" s="767" t="s">
        <v>9901</v>
      </c>
      <c r="F105" s="758"/>
      <c r="G105" s="758">
        <v>292.10000000000002</v>
      </c>
      <c r="H105" s="758">
        <v>292.10000000000002</v>
      </c>
      <c r="I105" s="628">
        <v>0</v>
      </c>
      <c r="J105" s="628">
        <v>337.02000000000004</v>
      </c>
      <c r="K105" s="637">
        <f t="shared" ref="K105:K125" si="4">SUM(I105:J105)</f>
        <v>337.02000000000004</v>
      </c>
      <c r="L105" s="637">
        <v>517.79999999999995</v>
      </c>
      <c r="M105" s="637">
        <v>352.56</v>
      </c>
      <c r="N105" s="615"/>
    </row>
    <row r="106" spans="1:14" ht="30" customHeight="1" x14ac:dyDescent="0.25">
      <c r="A106" s="627" t="s">
        <v>9898</v>
      </c>
      <c r="B106" s="810" t="s">
        <v>9897</v>
      </c>
      <c r="C106" s="635" t="s">
        <v>9896</v>
      </c>
      <c r="D106" s="627" t="s">
        <v>9895</v>
      </c>
      <c r="E106" s="767" t="s">
        <v>9898</v>
      </c>
      <c r="F106" s="758"/>
      <c r="G106" s="758">
        <v>2715</v>
      </c>
      <c r="H106" s="758">
        <v>2715</v>
      </c>
      <c r="I106" s="628">
        <v>0</v>
      </c>
      <c r="J106" s="628">
        <v>5645</v>
      </c>
      <c r="K106" s="637">
        <f t="shared" si="4"/>
        <v>5645</v>
      </c>
      <c r="L106" s="637">
        <v>5996</v>
      </c>
      <c r="M106" s="637">
        <v>6865</v>
      </c>
      <c r="N106" s="615"/>
    </row>
    <row r="107" spans="1:14" ht="30" customHeight="1" x14ac:dyDescent="0.25">
      <c r="A107" s="627" t="s">
        <v>9894</v>
      </c>
      <c r="B107" s="810" t="s">
        <v>9893</v>
      </c>
      <c r="C107" s="635" t="s">
        <v>226</v>
      </c>
      <c r="D107" s="627" t="s">
        <v>9892</v>
      </c>
      <c r="E107" s="767" t="s">
        <v>9894</v>
      </c>
      <c r="F107" s="758">
        <v>433</v>
      </c>
      <c r="G107" s="758">
        <v>1055.8599999999999</v>
      </c>
      <c r="H107" s="758">
        <v>1488.86</v>
      </c>
      <c r="I107" s="628">
        <v>20</v>
      </c>
      <c r="J107" s="628">
        <v>3125.46</v>
      </c>
      <c r="K107" s="637">
        <f t="shared" si="4"/>
        <v>3145.46</v>
      </c>
      <c r="L107" s="637">
        <v>2990.9</v>
      </c>
      <c r="M107" s="637">
        <v>3320.62</v>
      </c>
      <c r="N107" s="615"/>
    </row>
    <row r="108" spans="1:14" ht="30" customHeight="1" x14ac:dyDescent="0.25">
      <c r="A108" s="627" t="s">
        <v>9891</v>
      </c>
      <c r="B108" s="810" t="s">
        <v>9890</v>
      </c>
      <c r="C108" s="635" t="s">
        <v>9889</v>
      </c>
      <c r="D108" s="627" t="s">
        <v>9888</v>
      </c>
      <c r="E108" s="767" t="s">
        <v>9891</v>
      </c>
      <c r="F108" s="758">
        <v>407</v>
      </c>
      <c r="G108" s="758">
        <v>409.35</v>
      </c>
      <c r="H108" s="758">
        <v>816.35</v>
      </c>
      <c r="I108" s="628">
        <v>152</v>
      </c>
      <c r="J108" s="628">
        <v>1420.84</v>
      </c>
      <c r="K108" s="637">
        <f t="shared" si="4"/>
        <v>1572.84</v>
      </c>
      <c r="L108" s="637">
        <v>1802.33</v>
      </c>
      <c r="M108" s="637">
        <v>2131</v>
      </c>
      <c r="N108" s="615"/>
    </row>
    <row r="109" spans="1:14" ht="30" customHeight="1" x14ac:dyDescent="0.25">
      <c r="A109" s="627" t="s">
        <v>9887</v>
      </c>
      <c r="B109" s="810" t="s">
        <v>9886</v>
      </c>
      <c r="C109" s="635" t="s">
        <v>9885</v>
      </c>
      <c r="D109" s="627" t="s">
        <v>9884</v>
      </c>
      <c r="E109" s="767"/>
      <c r="F109" s="758"/>
      <c r="G109" s="758"/>
      <c r="H109" s="758"/>
      <c r="I109" s="628">
        <v>0</v>
      </c>
      <c r="J109" s="628">
        <v>212.63</v>
      </c>
      <c r="K109" s="637">
        <f t="shared" si="4"/>
        <v>212.63</v>
      </c>
      <c r="L109" s="637">
        <v>242.25</v>
      </c>
      <c r="M109" s="637">
        <v>1041.5</v>
      </c>
      <c r="N109" s="615"/>
    </row>
    <row r="110" spans="1:14" ht="30" customHeight="1" x14ac:dyDescent="0.25">
      <c r="A110" s="627" t="s">
        <v>9883</v>
      </c>
      <c r="B110" s="810" t="s">
        <v>9882</v>
      </c>
      <c r="C110" s="635" t="s">
        <v>9881</v>
      </c>
      <c r="D110" s="627" t="s">
        <v>9880</v>
      </c>
      <c r="E110" s="767" t="s">
        <v>9883</v>
      </c>
      <c r="F110" s="758">
        <v>36</v>
      </c>
      <c r="G110" s="758">
        <v>1065.29</v>
      </c>
      <c r="H110" s="758">
        <v>1101.29</v>
      </c>
      <c r="I110" s="628">
        <v>18</v>
      </c>
      <c r="J110" s="628">
        <v>1488.4099999999999</v>
      </c>
      <c r="K110" s="637">
        <f t="shared" si="4"/>
        <v>1506.4099999999999</v>
      </c>
      <c r="L110" s="637">
        <v>1850.36</v>
      </c>
      <c r="M110" s="637">
        <v>2479.6</v>
      </c>
      <c r="N110" s="615"/>
    </row>
    <row r="111" spans="1:14" ht="30" customHeight="1" x14ac:dyDescent="0.25">
      <c r="A111" s="627" t="s">
        <v>9879</v>
      </c>
      <c r="B111" s="810" t="s">
        <v>9878</v>
      </c>
      <c r="C111" s="635" t="s">
        <v>2900</v>
      </c>
      <c r="D111" s="627" t="s">
        <v>9877</v>
      </c>
      <c r="E111" s="767" t="s">
        <v>9879</v>
      </c>
      <c r="F111" s="758">
        <v>795</v>
      </c>
      <c r="G111" s="758">
        <v>370.47</v>
      </c>
      <c r="H111" s="758">
        <v>1165.47</v>
      </c>
      <c r="I111" s="628">
        <v>40</v>
      </c>
      <c r="J111" s="628">
        <v>3253.5499999999993</v>
      </c>
      <c r="K111" s="637">
        <f t="shared" si="4"/>
        <v>3293.5499999999993</v>
      </c>
      <c r="L111" s="637">
        <v>3485.45</v>
      </c>
      <c r="M111" s="637">
        <v>3909.59</v>
      </c>
      <c r="N111" s="615"/>
    </row>
    <row r="112" spans="1:14" ht="30" customHeight="1" x14ac:dyDescent="0.25">
      <c r="A112" s="627" t="s">
        <v>9876</v>
      </c>
      <c r="B112" s="810" t="s">
        <v>9875</v>
      </c>
      <c r="C112" s="635" t="s">
        <v>8759</v>
      </c>
      <c r="D112" s="627" t="s">
        <v>9855</v>
      </c>
      <c r="E112" s="767" t="s">
        <v>9876</v>
      </c>
      <c r="F112" s="758">
        <v>234.36</v>
      </c>
      <c r="G112" s="758">
        <v>92.11</v>
      </c>
      <c r="H112" s="758">
        <v>326.47000000000003</v>
      </c>
      <c r="I112" s="628">
        <v>100</v>
      </c>
      <c r="J112" s="628">
        <v>382.49</v>
      </c>
      <c r="K112" s="637">
        <f t="shared" si="4"/>
        <v>482.49</v>
      </c>
      <c r="L112" s="637">
        <v>559.81999999999994</v>
      </c>
      <c r="M112" s="637">
        <v>1129.29</v>
      </c>
      <c r="N112" s="615"/>
    </row>
    <row r="113" spans="1:14" ht="30" customHeight="1" x14ac:dyDescent="0.25">
      <c r="A113" s="627" t="s">
        <v>9874</v>
      </c>
      <c r="B113" s="810" t="s">
        <v>9873</v>
      </c>
      <c r="C113" s="635" t="s">
        <v>9872</v>
      </c>
      <c r="D113" s="627" t="s">
        <v>9871</v>
      </c>
      <c r="E113" s="767" t="s">
        <v>9874</v>
      </c>
      <c r="F113" s="758"/>
      <c r="G113" s="758">
        <v>85</v>
      </c>
      <c r="H113" s="758">
        <v>85</v>
      </c>
      <c r="I113" s="628">
        <v>0</v>
      </c>
      <c r="J113" s="628">
        <v>125</v>
      </c>
      <c r="K113" s="637">
        <f t="shared" si="4"/>
        <v>125</v>
      </c>
      <c r="L113" s="637">
        <v>74.72</v>
      </c>
      <c r="M113" s="637">
        <v>366.03</v>
      </c>
      <c r="N113" s="615"/>
    </row>
    <row r="114" spans="1:14" ht="30" customHeight="1" x14ac:dyDescent="0.25">
      <c r="A114" s="627" t="s">
        <v>9870</v>
      </c>
      <c r="B114" s="810" t="s">
        <v>9869</v>
      </c>
      <c r="C114" s="635" t="s">
        <v>89</v>
      </c>
      <c r="D114" s="627" t="s">
        <v>9858</v>
      </c>
      <c r="E114" s="767" t="s">
        <v>9870</v>
      </c>
      <c r="F114" s="758"/>
      <c r="G114" s="758">
        <v>154</v>
      </c>
      <c r="H114" s="758">
        <v>154</v>
      </c>
      <c r="I114" s="628">
        <v>0</v>
      </c>
      <c r="J114" s="628">
        <v>484.5</v>
      </c>
      <c r="K114" s="637">
        <f t="shared" si="4"/>
        <v>484.5</v>
      </c>
      <c r="L114" s="637">
        <v>686.2</v>
      </c>
      <c r="M114" s="637">
        <v>460.9</v>
      </c>
      <c r="N114" s="615"/>
    </row>
    <row r="115" spans="1:14" ht="30" customHeight="1" x14ac:dyDescent="0.25">
      <c r="A115" s="627" t="s">
        <v>9868</v>
      </c>
      <c r="B115" s="810" t="s">
        <v>9867</v>
      </c>
      <c r="C115" s="635" t="s">
        <v>207</v>
      </c>
      <c r="D115" s="627" t="s">
        <v>9864</v>
      </c>
      <c r="E115" s="767" t="s">
        <v>9868</v>
      </c>
      <c r="F115" s="758"/>
      <c r="G115" s="758">
        <v>348.86</v>
      </c>
      <c r="H115" s="758">
        <v>348.86</v>
      </c>
      <c r="I115" s="628">
        <v>0</v>
      </c>
      <c r="J115" s="628">
        <v>921.49</v>
      </c>
      <c r="K115" s="637">
        <f t="shared" si="4"/>
        <v>921.49</v>
      </c>
      <c r="L115" s="637">
        <v>827.59</v>
      </c>
      <c r="M115" s="637">
        <v>700</v>
      </c>
      <c r="N115" s="615"/>
    </row>
    <row r="116" spans="1:14" ht="30" customHeight="1" x14ac:dyDescent="0.25">
      <c r="A116" s="627" t="s">
        <v>9866</v>
      </c>
      <c r="B116" s="810" t="s">
        <v>9865</v>
      </c>
      <c r="C116" s="635" t="s">
        <v>7837</v>
      </c>
      <c r="D116" s="627" t="s">
        <v>9864</v>
      </c>
      <c r="E116" s="767" t="s">
        <v>9866</v>
      </c>
      <c r="F116" s="758">
        <v>60</v>
      </c>
      <c r="G116" s="758">
        <v>1024.96</v>
      </c>
      <c r="H116" s="758">
        <v>1084.96</v>
      </c>
      <c r="I116" s="628">
        <v>30</v>
      </c>
      <c r="J116" s="628">
        <v>1589.03</v>
      </c>
      <c r="K116" s="637">
        <f t="shared" si="4"/>
        <v>1619.03</v>
      </c>
      <c r="L116" s="637">
        <v>953.97</v>
      </c>
      <c r="M116" s="637">
        <v>1404.71</v>
      </c>
      <c r="N116" s="615"/>
    </row>
    <row r="117" spans="1:14" ht="30" customHeight="1" x14ac:dyDescent="0.25">
      <c r="A117" s="627" t="s">
        <v>9863</v>
      </c>
      <c r="B117" s="810" t="s">
        <v>9862</v>
      </c>
      <c r="C117" s="635" t="s">
        <v>9861</v>
      </c>
      <c r="D117" s="627" t="s">
        <v>9858</v>
      </c>
      <c r="E117" s="767" t="s">
        <v>9863</v>
      </c>
      <c r="F117" s="758">
        <v>130</v>
      </c>
      <c r="G117" s="758">
        <v>321.47999999999996</v>
      </c>
      <c r="H117" s="758">
        <v>451.47999999999996</v>
      </c>
      <c r="I117" s="628">
        <v>0</v>
      </c>
      <c r="J117" s="628">
        <v>910.19</v>
      </c>
      <c r="K117" s="637">
        <f t="shared" si="4"/>
        <v>910.19</v>
      </c>
      <c r="L117" s="637">
        <v>1220.81</v>
      </c>
      <c r="M117" s="637">
        <v>1358.87</v>
      </c>
      <c r="N117" s="615"/>
    </row>
    <row r="118" spans="1:14" ht="30" customHeight="1" x14ac:dyDescent="0.25">
      <c r="A118" s="627" t="s">
        <v>9860</v>
      </c>
      <c r="B118" s="810" t="s">
        <v>9859</v>
      </c>
      <c r="C118" s="635" t="s">
        <v>158</v>
      </c>
      <c r="D118" s="627" t="s">
        <v>9858</v>
      </c>
      <c r="E118" s="767"/>
      <c r="F118" s="758"/>
      <c r="G118" s="758"/>
      <c r="H118" s="758"/>
      <c r="I118" s="628">
        <v>0</v>
      </c>
      <c r="J118" s="628">
        <v>96.240000000000009</v>
      </c>
      <c r="K118" s="637">
        <f t="shared" si="4"/>
        <v>96.240000000000009</v>
      </c>
      <c r="L118" s="637">
        <v>82.12</v>
      </c>
      <c r="M118" s="637">
        <v>135</v>
      </c>
      <c r="N118" s="615"/>
    </row>
    <row r="119" spans="1:14" ht="30" customHeight="1" x14ac:dyDescent="0.25">
      <c r="A119" s="627" t="s">
        <v>9857</v>
      </c>
      <c r="B119" s="810" t="s">
        <v>9856</v>
      </c>
      <c r="C119" s="635" t="s">
        <v>839</v>
      </c>
      <c r="D119" s="627" t="s">
        <v>9855</v>
      </c>
      <c r="E119" s="767" t="s">
        <v>9857</v>
      </c>
      <c r="F119" s="758">
        <v>404</v>
      </c>
      <c r="G119" s="758"/>
      <c r="H119" s="758">
        <v>404</v>
      </c>
      <c r="I119" s="628">
        <v>58</v>
      </c>
      <c r="J119" s="628">
        <v>2712.0499999999997</v>
      </c>
      <c r="K119" s="637">
        <f t="shared" si="4"/>
        <v>2770.0499999999997</v>
      </c>
      <c r="L119" s="637">
        <v>3185.38</v>
      </c>
      <c r="M119" s="637">
        <v>3340.86</v>
      </c>
      <c r="N119" s="615"/>
    </row>
    <row r="120" spans="1:14" ht="30" customHeight="1" x14ac:dyDescent="0.25">
      <c r="A120" s="627" t="s">
        <v>9854</v>
      </c>
      <c r="B120" s="810" t="s">
        <v>9853</v>
      </c>
      <c r="C120" s="635" t="s">
        <v>8063</v>
      </c>
      <c r="D120" s="627" t="s">
        <v>9852</v>
      </c>
      <c r="E120" s="767" t="s">
        <v>9854</v>
      </c>
      <c r="F120" s="758">
        <v>295</v>
      </c>
      <c r="G120" s="758">
        <v>30</v>
      </c>
      <c r="H120" s="758">
        <v>325</v>
      </c>
      <c r="I120" s="628">
        <v>165</v>
      </c>
      <c r="J120" s="628">
        <v>2119</v>
      </c>
      <c r="K120" s="637">
        <f t="shared" si="4"/>
        <v>2284</v>
      </c>
      <c r="L120" s="637">
        <v>3075</v>
      </c>
      <c r="M120" s="637">
        <v>2189</v>
      </c>
      <c r="N120" s="615"/>
    </row>
    <row r="121" spans="1:14" ht="30" customHeight="1" x14ac:dyDescent="0.25">
      <c r="A121" s="627" t="s">
        <v>9851</v>
      </c>
      <c r="B121" s="810" t="s">
        <v>9850</v>
      </c>
      <c r="C121" s="635" t="s">
        <v>9849</v>
      </c>
      <c r="D121" s="627" t="s">
        <v>9848</v>
      </c>
      <c r="E121" s="767" t="s">
        <v>9851</v>
      </c>
      <c r="F121" s="758">
        <v>436</v>
      </c>
      <c r="G121" s="758">
        <v>553.91999999999996</v>
      </c>
      <c r="H121" s="758">
        <v>989.92</v>
      </c>
      <c r="I121" s="628">
        <v>86</v>
      </c>
      <c r="J121" s="628">
        <v>226</v>
      </c>
      <c r="K121" s="637">
        <f t="shared" si="4"/>
        <v>312</v>
      </c>
      <c r="L121" s="637">
        <v>327.52</v>
      </c>
      <c r="M121" s="637">
        <v>1032</v>
      </c>
      <c r="N121" s="615"/>
    </row>
    <row r="122" spans="1:14" ht="30" customHeight="1" x14ac:dyDescent="0.25">
      <c r="A122" s="627" t="s">
        <v>9847</v>
      </c>
      <c r="B122" s="810" t="s">
        <v>9846</v>
      </c>
      <c r="C122" s="635" t="s">
        <v>532</v>
      </c>
      <c r="D122" s="627" t="s">
        <v>9665</v>
      </c>
      <c r="E122" s="767" t="s">
        <v>9847</v>
      </c>
      <c r="F122" s="758">
        <v>321</v>
      </c>
      <c r="G122" s="758">
        <v>2607.1</v>
      </c>
      <c r="H122" s="758">
        <v>2928.1</v>
      </c>
      <c r="I122" s="628">
        <v>31</v>
      </c>
      <c r="J122" s="628">
        <v>3524.15</v>
      </c>
      <c r="K122" s="637">
        <f t="shared" si="4"/>
        <v>3555.15</v>
      </c>
      <c r="L122" s="637">
        <v>3181.64</v>
      </c>
      <c r="M122" s="637">
        <v>3465.39</v>
      </c>
      <c r="N122" s="615"/>
    </row>
    <row r="123" spans="1:14" ht="30" customHeight="1" x14ac:dyDescent="0.25">
      <c r="A123" s="627" t="s">
        <v>9845</v>
      </c>
      <c r="B123" s="810" t="s">
        <v>9844</v>
      </c>
      <c r="C123" s="635" t="s">
        <v>9843</v>
      </c>
      <c r="D123" s="627" t="s">
        <v>9842</v>
      </c>
      <c r="E123" s="767" t="s">
        <v>9845</v>
      </c>
      <c r="F123" s="758">
        <v>80</v>
      </c>
      <c r="G123" s="758">
        <v>639.33000000000004</v>
      </c>
      <c r="H123" s="758">
        <v>719.33</v>
      </c>
      <c r="I123" s="628">
        <v>0</v>
      </c>
      <c r="J123" s="628">
        <v>1725.1</v>
      </c>
      <c r="K123" s="637">
        <f t="shared" si="4"/>
        <v>1725.1</v>
      </c>
      <c r="L123" s="637">
        <v>2120.19</v>
      </c>
      <c r="M123" s="637">
        <v>1894.74</v>
      </c>
      <c r="N123" s="615"/>
    </row>
    <row r="124" spans="1:14" ht="30" customHeight="1" x14ac:dyDescent="0.25">
      <c r="A124" s="627" t="s">
        <v>9841</v>
      </c>
      <c r="B124" s="810" t="s">
        <v>9840</v>
      </c>
      <c r="C124" s="635" t="s">
        <v>1165</v>
      </c>
      <c r="D124" s="627" t="s">
        <v>9839</v>
      </c>
      <c r="E124" s="767" t="s">
        <v>9841</v>
      </c>
      <c r="F124" s="758">
        <v>200</v>
      </c>
      <c r="G124" s="758">
        <v>478.12</v>
      </c>
      <c r="H124" s="758">
        <v>678.12</v>
      </c>
      <c r="I124" s="628">
        <v>45</v>
      </c>
      <c r="J124" s="628">
        <v>1275</v>
      </c>
      <c r="K124" s="637">
        <f t="shared" si="4"/>
        <v>1320</v>
      </c>
      <c r="L124" s="637">
        <v>1367</v>
      </c>
      <c r="M124" s="637">
        <v>1263</v>
      </c>
      <c r="N124" s="615"/>
    </row>
    <row r="125" spans="1:14" ht="30" customHeight="1" x14ac:dyDescent="0.25">
      <c r="A125" s="627" t="s">
        <v>9838</v>
      </c>
      <c r="B125" s="810" t="s">
        <v>9837</v>
      </c>
      <c r="C125" s="635" t="s">
        <v>783</v>
      </c>
      <c r="D125" s="627" t="s">
        <v>9836</v>
      </c>
      <c r="E125" s="767" t="s">
        <v>9838</v>
      </c>
      <c r="F125" s="758">
        <v>550</v>
      </c>
      <c r="G125" s="758"/>
      <c r="H125" s="758">
        <v>550</v>
      </c>
      <c r="I125" s="628">
        <v>0</v>
      </c>
      <c r="J125" s="628">
        <v>2230.8399999999997</v>
      </c>
      <c r="K125" s="637">
        <f t="shared" si="4"/>
        <v>2230.8399999999997</v>
      </c>
      <c r="L125" s="637">
        <v>2261.9899999999998</v>
      </c>
      <c r="M125" s="637">
        <v>2054.2199999999998</v>
      </c>
      <c r="N125" s="615"/>
    </row>
    <row r="126" spans="1:14" ht="30" customHeight="1" x14ac:dyDescent="0.25">
      <c r="A126" s="627" t="s">
        <v>10934</v>
      </c>
      <c r="B126" s="810">
        <v>137</v>
      </c>
      <c r="C126" s="635" t="s">
        <v>3033</v>
      </c>
      <c r="D126" s="627" t="s">
        <v>10935</v>
      </c>
      <c r="E126" s="767"/>
      <c r="F126" s="758"/>
      <c r="G126" s="758"/>
      <c r="H126" s="758"/>
      <c r="I126" s="628"/>
      <c r="J126" s="628"/>
      <c r="K126" s="637"/>
      <c r="L126" s="637">
        <v>120</v>
      </c>
      <c r="M126" s="637">
        <v>640</v>
      </c>
      <c r="N126" s="615"/>
    </row>
    <row r="127" spans="1:14" ht="30" customHeight="1" x14ac:dyDescent="0.25">
      <c r="A127" s="627" t="s">
        <v>9835</v>
      </c>
      <c r="B127" s="810" t="s">
        <v>9834</v>
      </c>
      <c r="C127" s="635" t="s">
        <v>7216</v>
      </c>
      <c r="D127" s="627" t="s">
        <v>9833</v>
      </c>
      <c r="E127" s="767" t="s">
        <v>9835</v>
      </c>
      <c r="F127" s="758">
        <v>110</v>
      </c>
      <c r="G127" s="758"/>
      <c r="H127" s="758">
        <v>110</v>
      </c>
      <c r="I127" s="628">
        <v>40</v>
      </c>
      <c r="J127" s="628">
        <v>2275.65</v>
      </c>
      <c r="K127" s="637">
        <f>SUM(I127:J127)</f>
        <v>2315.65</v>
      </c>
      <c r="L127" s="637">
        <v>2105.0100000000002</v>
      </c>
      <c r="M127" s="637">
        <v>2442.8000000000002</v>
      </c>
      <c r="N127" s="615"/>
    </row>
    <row r="128" spans="1:14" ht="30" customHeight="1" x14ac:dyDescent="0.25">
      <c r="A128" s="627" t="s">
        <v>10936</v>
      </c>
      <c r="B128" s="810">
        <v>139</v>
      </c>
      <c r="C128" s="635" t="s">
        <v>7861</v>
      </c>
      <c r="D128" s="627" t="s">
        <v>10937</v>
      </c>
      <c r="E128" s="767"/>
      <c r="F128" s="758"/>
      <c r="G128" s="758"/>
      <c r="H128" s="758"/>
      <c r="I128" s="628"/>
      <c r="J128" s="628"/>
      <c r="K128" s="637"/>
      <c r="L128" s="637">
        <v>456.24</v>
      </c>
      <c r="M128" s="637">
        <v>50</v>
      </c>
      <c r="N128" s="615"/>
    </row>
    <row r="129" spans="1:14" ht="30" customHeight="1" x14ac:dyDescent="0.25">
      <c r="A129" s="627" t="s">
        <v>9832</v>
      </c>
      <c r="B129" s="810" t="s">
        <v>9831</v>
      </c>
      <c r="C129" s="635" t="s">
        <v>9830</v>
      </c>
      <c r="D129" s="627" t="s">
        <v>9777</v>
      </c>
      <c r="E129" s="767" t="s">
        <v>9832</v>
      </c>
      <c r="F129" s="758">
        <v>506.53</v>
      </c>
      <c r="G129" s="758">
        <v>235.18</v>
      </c>
      <c r="H129" s="758">
        <v>741.71</v>
      </c>
      <c r="I129" s="628">
        <v>0</v>
      </c>
      <c r="J129" s="628">
        <v>1255</v>
      </c>
      <c r="K129" s="637">
        <f t="shared" ref="K129:K134" si="5">SUM(I129:J129)</f>
        <v>1255</v>
      </c>
      <c r="L129" s="637">
        <v>1660</v>
      </c>
      <c r="M129" s="637">
        <v>1595</v>
      </c>
      <c r="N129" s="615"/>
    </row>
    <row r="130" spans="1:14" ht="30" customHeight="1" x14ac:dyDescent="0.25">
      <c r="A130" s="627" t="s">
        <v>9829</v>
      </c>
      <c r="B130" s="810" t="s">
        <v>9828</v>
      </c>
      <c r="C130" s="635" t="s">
        <v>9827</v>
      </c>
      <c r="D130" s="627" t="s">
        <v>9777</v>
      </c>
      <c r="E130" s="767" t="s">
        <v>9829</v>
      </c>
      <c r="F130" s="758">
        <v>30</v>
      </c>
      <c r="G130" s="758">
        <v>501.76</v>
      </c>
      <c r="H130" s="758">
        <v>531.76</v>
      </c>
      <c r="I130" s="628">
        <v>0</v>
      </c>
      <c r="J130" s="628">
        <v>251.02999999999997</v>
      </c>
      <c r="K130" s="637">
        <f t="shared" si="5"/>
        <v>251.02999999999997</v>
      </c>
      <c r="L130" s="637">
        <v>278.06</v>
      </c>
      <c r="M130" s="637">
        <v>289</v>
      </c>
      <c r="N130" s="615"/>
    </row>
    <row r="131" spans="1:14" ht="30" customHeight="1" x14ac:dyDescent="0.25">
      <c r="A131" s="627" t="s">
        <v>9826</v>
      </c>
      <c r="B131" s="810" t="s">
        <v>9825</v>
      </c>
      <c r="C131" s="635" t="s">
        <v>9824</v>
      </c>
      <c r="D131" s="627" t="s">
        <v>9777</v>
      </c>
      <c r="E131" s="767" t="s">
        <v>9826</v>
      </c>
      <c r="F131" s="758">
        <v>35</v>
      </c>
      <c r="G131" s="758">
        <v>768.01</v>
      </c>
      <c r="H131" s="758">
        <v>803.01</v>
      </c>
      <c r="I131" s="628">
        <v>25</v>
      </c>
      <c r="J131" s="628">
        <v>496</v>
      </c>
      <c r="K131" s="637">
        <f t="shared" si="5"/>
        <v>521</v>
      </c>
      <c r="L131" s="637">
        <v>2072</v>
      </c>
      <c r="M131" s="637">
        <v>1354</v>
      </c>
      <c r="N131" s="615"/>
    </row>
    <row r="132" spans="1:14" ht="30" customHeight="1" x14ac:dyDescent="0.25">
      <c r="A132" s="627" t="s">
        <v>9823</v>
      </c>
      <c r="B132" s="810" t="s">
        <v>9822</v>
      </c>
      <c r="C132" s="635" t="s">
        <v>1505</v>
      </c>
      <c r="D132" s="627" t="s">
        <v>9777</v>
      </c>
      <c r="E132" s="767" t="s">
        <v>9823</v>
      </c>
      <c r="F132" s="758">
        <v>223</v>
      </c>
      <c r="G132" s="758">
        <v>820</v>
      </c>
      <c r="H132" s="758">
        <v>1043</v>
      </c>
      <c r="I132" s="628">
        <v>40</v>
      </c>
      <c r="J132" s="628">
        <v>3692</v>
      </c>
      <c r="K132" s="637">
        <f t="shared" si="5"/>
        <v>3732</v>
      </c>
      <c r="L132" s="637">
        <v>4452</v>
      </c>
      <c r="M132" s="637">
        <v>3834</v>
      </c>
      <c r="N132" s="615"/>
    </row>
    <row r="133" spans="1:14" ht="30" customHeight="1" x14ac:dyDescent="0.25">
      <c r="A133" s="627" t="s">
        <v>9821</v>
      </c>
      <c r="B133" s="810" t="s">
        <v>9820</v>
      </c>
      <c r="C133" s="635" t="s">
        <v>1670</v>
      </c>
      <c r="D133" s="627" t="s">
        <v>9777</v>
      </c>
      <c r="E133" s="767" t="s">
        <v>9821</v>
      </c>
      <c r="F133" s="758">
        <v>50</v>
      </c>
      <c r="G133" s="758">
        <v>475.21000000000004</v>
      </c>
      <c r="H133" s="758">
        <v>525.21</v>
      </c>
      <c r="I133" s="628">
        <v>30</v>
      </c>
      <c r="J133" s="628">
        <v>3202.4</v>
      </c>
      <c r="K133" s="637">
        <f t="shared" si="5"/>
        <v>3232.4</v>
      </c>
      <c r="L133" s="637">
        <v>3165.95</v>
      </c>
      <c r="M133" s="637">
        <v>3290.76</v>
      </c>
      <c r="N133" s="615"/>
    </row>
    <row r="134" spans="1:14" ht="30" customHeight="1" x14ac:dyDescent="0.25">
      <c r="A134" s="627" t="s">
        <v>9819</v>
      </c>
      <c r="B134" s="810" t="s">
        <v>9818</v>
      </c>
      <c r="C134" s="635" t="s">
        <v>226</v>
      </c>
      <c r="D134" s="627" t="s">
        <v>9777</v>
      </c>
      <c r="E134" s="767" t="s">
        <v>9819</v>
      </c>
      <c r="F134" s="758">
        <v>800</v>
      </c>
      <c r="G134" s="758">
        <v>364.28999999999996</v>
      </c>
      <c r="H134" s="758">
        <v>1164.29</v>
      </c>
      <c r="I134" s="628">
        <v>210</v>
      </c>
      <c r="J134" s="628">
        <v>1364.01</v>
      </c>
      <c r="K134" s="637">
        <f t="shared" si="5"/>
        <v>1574.01</v>
      </c>
      <c r="L134" s="637">
        <v>1628.17</v>
      </c>
      <c r="M134" s="637">
        <v>611.88</v>
      </c>
      <c r="N134" s="615"/>
    </row>
    <row r="135" spans="1:14" ht="30" customHeight="1" x14ac:dyDescent="0.25">
      <c r="A135" s="627" t="s">
        <v>10938</v>
      </c>
      <c r="B135" s="810">
        <v>150</v>
      </c>
      <c r="C135" s="635" t="s">
        <v>10900</v>
      </c>
      <c r="D135" s="627" t="s">
        <v>9777</v>
      </c>
      <c r="E135" s="767"/>
      <c r="F135" s="758"/>
      <c r="G135" s="758"/>
      <c r="H135" s="758"/>
      <c r="I135" s="628"/>
      <c r="J135" s="628"/>
      <c r="K135" s="637"/>
      <c r="L135" s="637">
        <v>751.02</v>
      </c>
      <c r="M135" s="637">
        <v>801.7</v>
      </c>
      <c r="N135" s="615"/>
    </row>
    <row r="136" spans="1:14" ht="30" customHeight="1" x14ac:dyDescent="0.25">
      <c r="A136" s="627" t="s">
        <v>11354</v>
      </c>
      <c r="B136" s="810">
        <v>151</v>
      </c>
      <c r="C136" s="635" t="s">
        <v>9903</v>
      </c>
      <c r="D136" s="627" t="s">
        <v>11357</v>
      </c>
      <c r="E136" s="767" t="s">
        <v>11354</v>
      </c>
      <c r="F136" s="758">
        <v>55</v>
      </c>
      <c r="G136" s="758"/>
      <c r="H136" s="758">
        <v>55</v>
      </c>
      <c r="I136" s="628"/>
      <c r="J136" s="628"/>
      <c r="K136" s="637"/>
      <c r="L136" s="637"/>
      <c r="M136" s="637"/>
      <c r="N136" s="615"/>
    </row>
    <row r="137" spans="1:14" ht="30" customHeight="1" x14ac:dyDescent="0.25">
      <c r="A137" s="627" t="s">
        <v>9817</v>
      </c>
      <c r="B137" s="810" t="s">
        <v>9816</v>
      </c>
      <c r="C137" s="635" t="s">
        <v>9815</v>
      </c>
      <c r="D137" s="627" t="s">
        <v>9777</v>
      </c>
      <c r="E137" s="767" t="s">
        <v>9817</v>
      </c>
      <c r="F137" s="758">
        <v>10</v>
      </c>
      <c r="G137" s="758">
        <v>986</v>
      </c>
      <c r="H137" s="758">
        <v>996</v>
      </c>
      <c r="I137" s="628">
        <v>0</v>
      </c>
      <c r="J137" s="628">
        <v>1150.7</v>
      </c>
      <c r="K137" s="637">
        <f t="shared" ref="K137:K169" si="6">SUM(I137:J137)</f>
        <v>1150.7</v>
      </c>
      <c r="L137" s="637">
        <v>1435</v>
      </c>
      <c r="M137" s="637">
        <v>1501.58</v>
      </c>
      <c r="N137" s="615"/>
    </row>
    <row r="138" spans="1:14" ht="30" customHeight="1" x14ac:dyDescent="0.25">
      <c r="A138" s="627" t="s">
        <v>9814</v>
      </c>
      <c r="B138" s="810" t="s">
        <v>9813</v>
      </c>
      <c r="C138" s="635" t="s">
        <v>78</v>
      </c>
      <c r="D138" s="627" t="s">
        <v>9777</v>
      </c>
      <c r="E138" s="767" t="s">
        <v>9814</v>
      </c>
      <c r="F138" s="758">
        <v>2576</v>
      </c>
      <c r="G138" s="758">
        <v>1108.04</v>
      </c>
      <c r="H138" s="758">
        <v>3684.04</v>
      </c>
      <c r="I138" s="628">
        <v>0</v>
      </c>
      <c r="J138" s="628">
        <v>3456.33</v>
      </c>
      <c r="K138" s="637">
        <f t="shared" si="6"/>
        <v>3456.33</v>
      </c>
      <c r="L138" s="637">
        <v>3480.55</v>
      </c>
      <c r="M138" s="637">
        <v>3160.86</v>
      </c>
      <c r="N138" s="615"/>
    </row>
    <row r="139" spans="1:14" ht="30" customHeight="1" x14ac:dyDescent="0.25">
      <c r="A139" s="627" t="s">
        <v>9812</v>
      </c>
      <c r="B139" s="810" t="s">
        <v>9811</v>
      </c>
      <c r="C139" s="635" t="s">
        <v>246</v>
      </c>
      <c r="D139" s="627" t="s">
        <v>9777</v>
      </c>
      <c r="E139" s="767" t="s">
        <v>9812</v>
      </c>
      <c r="F139" s="758">
        <v>360</v>
      </c>
      <c r="G139" s="758">
        <v>68.650000000000006</v>
      </c>
      <c r="H139" s="758">
        <v>428.65</v>
      </c>
      <c r="I139" s="628">
        <v>210</v>
      </c>
      <c r="J139" s="628">
        <v>31.39</v>
      </c>
      <c r="K139" s="637">
        <f t="shared" si="6"/>
        <v>241.39</v>
      </c>
      <c r="L139" s="637">
        <v>543.59</v>
      </c>
      <c r="M139" s="637">
        <v>862.27</v>
      </c>
      <c r="N139" s="615"/>
    </row>
    <row r="140" spans="1:14" ht="30" customHeight="1" x14ac:dyDescent="0.25">
      <c r="A140" s="627" t="s">
        <v>9810</v>
      </c>
      <c r="B140" s="810" t="s">
        <v>9809</v>
      </c>
      <c r="C140" s="635" t="s">
        <v>5249</v>
      </c>
      <c r="D140" s="627" t="s">
        <v>9808</v>
      </c>
      <c r="E140" s="767" t="s">
        <v>9810</v>
      </c>
      <c r="F140" s="758">
        <v>923.95999999999992</v>
      </c>
      <c r="G140" s="758">
        <v>400.77</v>
      </c>
      <c r="H140" s="758">
        <v>1324.73</v>
      </c>
      <c r="I140" s="628">
        <v>155</v>
      </c>
      <c r="J140" s="628">
        <v>1519.3200000000002</v>
      </c>
      <c r="K140" s="637">
        <f t="shared" si="6"/>
        <v>1674.3200000000002</v>
      </c>
      <c r="L140" s="637">
        <v>1605.69</v>
      </c>
      <c r="M140" s="637">
        <v>1793.69</v>
      </c>
      <c r="N140" s="615"/>
    </row>
    <row r="141" spans="1:14" ht="30" customHeight="1" x14ac:dyDescent="0.25">
      <c r="A141" s="627" t="s">
        <v>9807</v>
      </c>
      <c r="B141" s="810" t="s">
        <v>9806</v>
      </c>
      <c r="C141" s="635" t="s">
        <v>9805</v>
      </c>
      <c r="D141" s="627" t="s">
        <v>9804</v>
      </c>
      <c r="E141" s="767" t="s">
        <v>9807</v>
      </c>
      <c r="F141" s="758">
        <v>536</v>
      </c>
      <c r="G141" s="758">
        <v>252.91999999999996</v>
      </c>
      <c r="H141" s="758">
        <v>788.92</v>
      </c>
      <c r="I141" s="628">
        <v>265</v>
      </c>
      <c r="J141" s="628">
        <v>1726.4199999999998</v>
      </c>
      <c r="K141" s="637">
        <f t="shared" si="6"/>
        <v>1991.4199999999998</v>
      </c>
      <c r="L141" s="637">
        <v>1670.01</v>
      </c>
      <c r="M141" s="637">
        <v>1734.01</v>
      </c>
      <c r="N141" s="615"/>
    </row>
    <row r="142" spans="1:14" ht="30" customHeight="1" x14ac:dyDescent="0.25">
      <c r="A142" s="627" t="s">
        <v>11355</v>
      </c>
      <c r="B142" s="810">
        <v>157</v>
      </c>
      <c r="C142" s="635" t="s">
        <v>7185</v>
      </c>
      <c r="D142" s="627" t="s">
        <v>9673</v>
      </c>
      <c r="E142" s="767" t="s">
        <v>11355</v>
      </c>
      <c r="F142" s="758">
        <v>12.63</v>
      </c>
      <c r="G142" s="758"/>
      <c r="H142" s="758">
        <v>12.63</v>
      </c>
      <c r="I142" s="628"/>
      <c r="J142" s="628"/>
      <c r="K142" s="637"/>
      <c r="L142" s="637"/>
      <c r="M142" s="637"/>
      <c r="N142" s="615"/>
    </row>
    <row r="143" spans="1:14" ht="30" customHeight="1" x14ac:dyDescent="0.25">
      <c r="A143" s="627" t="s">
        <v>9803</v>
      </c>
      <c r="B143" s="810" t="s">
        <v>9802</v>
      </c>
      <c r="C143" s="635" t="s">
        <v>5141</v>
      </c>
      <c r="D143" s="627" t="s">
        <v>9801</v>
      </c>
      <c r="E143" s="767" t="s">
        <v>9803</v>
      </c>
      <c r="F143" s="758"/>
      <c r="G143" s="758">
        <v>644.03</v>
      </c>
      <c r="H143" s="758">
        <v>644.03</v>
      </c>
      <c r="I143" s="628">
        <v>0</v>
      </c>
      <c r="J143" s="628">
        <v>1263.92</v>
      </c>
      <c r="K143" s="637">
        <f t="shared" si="6"/>
        <v>1263.92</v>
      </c>
      <c r="L143" s="637">
        <v>1569.57</v>
      </c>
      <c r="M143" s="637">
        <v>1647.81</v>
      </c>
      <c r="N143" s="615"/>
    </row>
    <row r="144" spans="1:14" ht="30" customHeight="1" x14ac:dyDescent="0.25">
      <c r="A144" s="627" t="s">
        <v>9800</v>
      </c>
      <c r="B144" s="810" t="s">
        <v>9799</v>
      </c>
      <c r="C144" s="635" t="s">
        <v>1165</v>
      </c>
      <c r="D144" s="627" t="s">
        <v>9669</v>
      </c>
      <c r="E144" s="767" t="s">
        <v>9800</v>
      </c>
      <c r="F144" s="758">
        <v>180</v>
      </c>
      <c r="G144" s="758">
        <v>117.05</v>
      </c>
      <c r="H144" s="758">
        <v>297.05</v>
      </c>
      <c r="I144" s="628">
        <v>120</v>
      </c>
      <c r="J144" s="628">
        <v>567.4</v>
      </c>
      <c r="K144" s="637">
        <f t="shared" si="6"/>
        <v>687.4</v>
      </c>
      <c r="L144" s="637">
        <v>391.38</v>
      </c>
      <c r="M144" s="637">
        <v>581.14</v>
      </c>
      <c r="N144" s="615"/>
    </row>
    <row r="145" spans="1:14" ht="30" customHeight="1" x14ac:dyDescent="0.25">
      <c r="A145" s="627" t="s">
        <v>9798</v>
      </c>
      <c r="B145" s="810" t="s">
        <v>9797</v>
      </c>
      <c r="C145" s="635" t="s">
        <v>9796</v>
      </c>
      <c r="D145" s="627" t="s">
        <v>9669</v>
      </c>
      <c r="E145" s="767" t="s">
        <v>9798</v>
      </c>
      <c r="F145" s="758">
        <v>685</v>
      </c>
      <c r="G145" s="758">
        <v>478.91</v>
      </c>
      <c r="H145" s="758">
        <v>1163.9100000000001</v>
      </c>
      <c r="I145" s="628">
        <v>55</v>
      </c>
      <c r="J145" s="628">
        <v>1040.7400000000002</v>
      </c>
      <c r="K145" s="637">
        <f t="shared" si="6"/>
        <v>1095.7400000000002</v>
      </c>
      <c r="L145" s="637">
        <v>1493.85</v>
      </c>
      <c r="M145" s="637">
        <v>1091.1199999999999</v>
      </c>
      <c r="N145" s="615"/>
    </row>
    <row r="146" spans="1:14" ht="30" customHeight="1" x14ac:dyDescent="0.25">
      <c r="A146" s="627" t="s">
        <v>9795</v>
      </c>
      <c r="B146" s="810" t="s">
        <v>9794</v>
      </c>
      <c r="C146" s="635" t="s">
        <v>231</v>
      </c>
      <c r="D146" s="627" t="s">
        <v>9669</v>
      </c>
      <c r="E146" s="767" t="s">
        <v>9795</v>
      </c>
      <c r="F146" s="758">
        <v>900</v>
      </c>
      <c r="G146" s="758">
        <v>1054</v>
      </c>
      <c r="H146" s="758">
        <v>1954</v>
      </c>
      <c r="I146" s="628">
        <v>0</v>
      </c>
      <c r="J146" s="628">
        <v>1696.18</v>
      </c>
      <c r="K146" s="637">
        <f t="shared" si="6"/>
        <v>1696.18</v>
      </c>
      <c r="L146" s="637">
        <v>1689.88</v>
      </c>
      <c r="M146" s="637">
        <v>1874.92</v>
      </c>
      <c r="N146" s="615"/>
    </row>
    <row r="147" spans="1:14" ht="30" customHeight="1" x14ac:dyDescent="0.25">
      <c r="A147" s="627" t="s">
        <v>9793</v>
      </c>
      <c r="B147" s="810" t="s">
        <v>9792</v>
      </c>
      <c r="C147" s="635" t="s">
        <v>532</v>
      </c>
      <c r="D147" s="627" t="s">
        <v>9669</v>
      </c>
      <c r="E147" s="767" t="s">
        <v>9793</v>
      </c>
      <c r="F147" s="758">
        <v>107.71000000000001</v>
      </c>
      <c r="G147" s="758">
        <v>1255.58</v>
      </c>
      <c r="H147" s="758">
        <v>1363.29</v>
      </c>
      <c r="I147" s="628">
        <v>60</v>
      </c>
      <c r="J147" s="628">
        <v>1082.3700000000001</v>
      </c>
      <c r="K147" s="637">
        <f t="shared" si="6"/>
        <v>1142.3700000000001</v>
      </c>
      <c r="L147" s="637">
        <v>1371.73</v>
      </c>
      <c r="M147" s="637">
        <v>1621.02</v>
      </c>
      <c r="N147" s="615"/>
    </row>
    <row r="148" spans="1:14" ht="30" customHeight="1" x14ac:dyDescent="0.25">
      <c r="A148" s="627" t="s">
        <v>9791</v>
      </c>
      <c r="B148" s="810" t="s">
        <v>9790</v>
      </c>
      <c r="C148" s="635" t="s">
        <v>9789</v>
      </c>
      <c r="D148" s="627" t="s">
        <v>9669</v>
      </c>
      <c r="E148" s="767" t="s">
        <v>9791</v>
      </c>
      <c r="F148" s="758">
        <v>232</v>
      </c>
      <c r="G148" s="758">
        <v>55.379999999999995</v>
      </c>
      <c r="H148" s="758">
        <v>287.38</v>
      </c>
      <c r="I148" s="628">
        <v>0</v>
      </c>
      <c r="J148" s="628">
        <v>456.13</v>
      </c>
      <c r="K148" s="637">
        <f t="shared" si="6"/>
        <v>456.13</v>
      </c>
      <c r="L148" s="637">
        <v>1320.77</v>
      </c>
      <c r="M148" s="637">
        <v>1715.73</v>
      </c>
      <c r="N148" s="615"/>
    </row>
    <row r="149" spans="1:14" ht="30" customHeight="1" x14ac:dyDescent="0.25">
      <c r="A149" s="627" t="s">
        <v>9788</v>
      </c>
      <c r="B149" s="810" t="s">
        <v>9787</v>
      </c>
      <c r="C149" s="635" t="s">
        <v>158</v>
      </c>
      <c r="D149" s="627" t="s">
        <v>9669</v>
      </c>
      <c r="E149" s="767" t="s">
        <v>9788</v>
      </c>
      <c r="F149" s="758">
        <v>820.14</v>
      </c>
      <c r="G149" s="758">
        <v>803.87</v>
      </c>
      <c r="H149" s="758">
        <v>1624.01</v>
      </c>
      <c r="I149" s="628">
        <v>350</v>
      </c>
      <c r="J149" s="628">
        <v>3298.81</v>
      </c>
      <c r="K149" s="637">
        <f t="shared" si="6"/>
        <v>3648.81</v>
      </c>
      <c r="L149" s="637">
        <v>3745.93</v>
      </c>
      <c r="M149" s="637">
        <v>3185.79</v>
      </c>
      <c r="N149" s="615"/>
    </row>
    <row r="150" spans="1:14" ht="30" customHeight="1" x14ac:dyDescent="0.25">
      <c r="A150" s="627" t="s">
        <v>9786</v>
      </c>
      <c r="B150" s="810" t="s">
        <v>9785</v>
      </c>
      <c r="C150" s="635" t="s">
        <v>556</v>
      </c>
      <c r="D150" s="627" t="s">
        <v>9669</v>
      </c>
      <c r="E150" s="767" t="s">
        <v>9786</v>
      </c>
      <c r="F150" s="758">
        <v>135</v>
      </c>
      <c r="G150" s="758">
        <v>705.88000000000011</v>
      </c>
      <c r="H150" s="758">
        <v>840.88000000000011</v>
      </c>
      <c r="I150" s="628">
        <v>95</v>
      </c>
      <c r="J150" s="628">
        <v>127.5</v>
      </c>
      <c r="K150" s="637">
        <f t="shared" si="6"/>
        <v>222.5</v>
      </c>
      <c r="L150" s="637">
        <v>1314.0700000000002</v>
      </c>
      <c r="M150" s="637">
        <v>834.56</v>
      </c>
      <c r="N150" s="615"/>
    </row>
    <row r="151" spans="1:14" ht="30" customHeight="1" x14ac:dyDescent="0.25">
      <c r="A151" s="627" t="s">
        <v>9784</v>
      </c>
      <c r="B151" s="810" t="s">
        <v>9783</v>
      </c>
      <c r="C151" s="635" t="s">
        <v>9782</v>
      </c>
      <c r="D151" s="627" t="s">
        <v>9781</v>
      </c>
      <c r="E151" s="767" t="s">
        <v>9784</v>
      </c>
      <c r="F151" s="758">
        <v>1420.6799999999998</v>
      </c>
      <c r="G151" s="758">
        <v>807.23</v>
      </c>
      <c r="H151" s="758">
        <v>2227.91</v>
      </c>
      <c r="I151" s="628">
        <v>70</v>
      </c>
      <c r="J151" s="628">
        <v>3555</v>
      </c>
      <c r="K151" s="637">
        <f t="shared" si="6"/>
        <v>3625</v>
      </c>
      <c r="L151" s="637">
        <v>4055</v>
      </c>
      <c r="M151" s="637">
        <v>3520</v>
      </c>
      <c r="N151" s="615"/>
    </row>
    <row r="152" spans="1:14" ht="30" customHeight="1" x14ac:dyDescent="0.25">
      <c r="A152" s="627" t="s">
        <v>9780</v>
      </c>
      <c r="B152" s="810" t="s">
        <v>9779</v>
      </c>
      <c r="C152" s="635" t="s">
        <v>9778</v>
      </c>
      <c r="D152" s="627" t="s">
        <v>9777</v>
      </c>
      <c r="E152" s="767" t="s">
        <v>9780</v>
      </c>
      <c r="F152" s="758"/>
      <c r="G152" s="758">
        <v>2067.5</v>
      </c>
      <c r="H152" s="758">
        <v>2067.5</v>
      </c>
      <c r="I152" s="628">
        <v>0</v>
      </c>
      <c r="J152" s="628">
        <v>2456</v>
      </c>
      <c r="K152" s="637">
        <f t="shared" si="6"/>
        <v>2456</v>
      </c>
      <c r="L152" s="637">
        <v>2201.5</v>
      </c>
      <c r="M152" s="637">
        <v>2659.13</v>
      </c>
      <c r="N152" s="615"/>
    </row>
    <row r="153" spans="1:14" ht="30" customHeight="1" x14ac:dyDescent="0.25">
      <c r="A153" s="627" t="s">
        <v>9776</v>
      </c>
      <c r="B153" s="810" t="s">
        <v>9775</v>
      </c>
      <c r="C153" s="635" t="s">
        <v>783</v>
      </c>
      <c r="D153" s="627" t="s">
        <v>9774</v>
      </c>
      <c r="E153" s="767" t="s">
        <v>9776</v>
      </c>
      <c r="F153" s="758">
        <v>160</v>
      </c>
      <c r="G153" s="758">
        <v>378.24</v>
      </c>
      <c r="H153" s="758">
        <v>538.24</v>
      </c>
      <c r="I153" s="628">
        <v>80</v>
      </c>
      <c r="J153" s="628">
        <v>731.69999999999993</v>
      </c>
      <c r="K153" s="637">
        <f t="shared" si="6"/>
        <v>811.69999999999993</v>
      </c>
      <c r="L153" s="637">
        <v>526.15</v>
      </c>
      <c r="M153" s="637">
        <v>708.81</v>
      </c>
      <c r="N153" s="615"/>
    </row>
    <row r="154" spans="1:14" ht="30" customHeight="1" x14ac:dyDescent="0.25">
      <c r="A154" s="627" t="s">
        <v>9773</v>
      </c>
      <c r="B154" s="810" t="s">
        <v>9772</v>
      </c>
      <c r="C154" s="635" t="s">
        <v>7280</v>
      </c>
      <c r="D154" s="627" t="s">
        <v>9771</v>
      </c>
      <c r="E154" s="767" t="s">
        <v>9773</v>
      </c>
      <c r="F154" s="758">
        <v>150</v>
      </c>
      <c r="G154" s="758">
        <v>242.5</v>
      </c>
      <c r="H154" s="758">
        <v>392.5</v>
      </c>
      <c r="I154" s="628">
        <v>110</v>
      </c>
      <c r="J154" s="628">
        <v>1714.6799999999996</v>
      </c>
      <c r="K154" s="637">
        <f t="shared" si="6"/>
        <v>1824.6799999999996</v>
      </c>
      <c r="L154" s="637">
        <v>1957.99</v>
      </c>
      <c r="M154" s="637">
        <v>1963.72</v>
      </c>
      <c r="N154" s="615"/>
    </row>
    <row r="155" spans="1:14" ht="30" customHeight="1" x14ac:dyDescent="0.25">
      <c r="A155" s="627" t="s">
        <v>9770</v>
      </c>
      <c r="B155" s="810" t="s">
        <v>9769</v>
      </c>
      <c r="C155" s="635" t="s">
        <v>9768</v>
      </c>
      <c r="D155" s="627" t="s">
        <v>9665</v>
      </c>
      <c r="E155" s="767" t="s">
        <v>9770</v>
      </c>
      <c r="F155" s="758">
        <v>180</v>
      </c>
      <c r="G155" s="758"/>
      <c r="H155" s="758">
        <v>180</v>
      </c>
      <c r="I155" s="628">
        <v>0</v>
      </c>
      <c r="J155" s="628">
        <v>140</v>
      </c>
      <c r="K155" s="637">
        <f t="shared" si="6"/>
        <v>140</v>
      </c>
      <c r="L155" s="637">
        <v>225</v>
      </c>
      <c r="M155" s="637">
        <v>455</v>
      </c>
      <c r="N155" s="615"/>
    </row>
    <row r="156" spans="1:14" ht="30" customHeight="1" x14ac:dyDescent="0.25">
      <c r="A156" s="627" t="s">
        <v>9767</v>
      </c>
      <c r="B156" s="810" t="s">
        <v>9766</v>
      </c>
      <c r="C156" s="635" t="s">
        <v>9765</v>
      </c>
      <c r="D156" s="627" t="s">
        <v>9665</v>
      </c>
      <c r="E156" s="767" t="s">
        <v>9767</v>
      </c>
      <c r="F156" s="758">
        <v>50</v>
      </c>
      <c r="G156" s="758"/>
      <c r="H156" s="758">
        <v>50</v>
      </c>
      <c r="I156" s="628">
        <v>0</v>
      </c>
      <c r="J156" s="628">
        <v>360</v>
      </c>
      <c r="K156" s="637">
        <f t="shared" si="6"/>
        <v>360</v>
      </c>
      <c r="L156" s="637">
        <v>70</v>
      </c>
      <c r="M156" s="637">
        <v>15</v>
      </c>
      <c r="N156" s="615"/>
    </row>
    <row r="157" spans="1:14" ht="30" customHeight="1" x14ac:dyDescent="0.25">
      <c r="A157" s="627" t="s">
        <v>9764</v>
      </c>
      <c r="B157" s="810" t="s">
        <v>9763</v>
      </c>
      <c r="C157" s="635" t="s">
        <v>3715</v>
      </c>
      <c r="D157" s="627" t="s">
        <v>9707</v>
      </c>
      <c r="E157" s="767" t="s">
        <v>9764</v>
      </c>
      <c r="F157" s="758">
        <v>55</v>
      </c>
      <c r="G157" s="758">
        <v>330</v>
      </c>
      <c r="H157" s="758">
        <v>385</v>
      </c>
      <c r="I157" s="628">
        <v>0</v>
      </c>
      <c r="J157" s="628">
        <v>1037</v>
      </c>
      <c r="K157" s="637">
        <f t="shared" si="6"/>
        <v>1037</v>
      </c>
      <c r="L157" s="637">
        <v>1951</v>
      </c>
      <c r="M157" s="637">
        <v>1329.2</v>
      </c>
      <c r="N157" s="615"/>
    </row>
    <row r="158" spans="1:14" ht="30" customHeight="1" x14ac:dyDescent="0.25">
      <c r="A158" s="627" t="s">
        <v>9762</v>
      </c>
      <c r="B158" s="810" t="s">
        <v>9761</v>
      </c>
      <c r="C158" s="635" t="s">
        <v>9760</v>
      </c>
      <c r="D158" s="627" t="s">
        <v>9665</v>
      </c>
      <c r="E158" s="767" t="s">
        <v>9762</v>
      </c>
      <c r="F158" s="758"/>
      <c r="G158" s="758">
        <v>476.59</v>
      </c>
      <c r="H158" s="758">
        <v>476.59</v>
      </c>
      <c r="I158" s="628">
        <v>0</v>
      </c>
      <c r="J158" s="628">
        <v>1134.19</v>
      </c>
      <c r="K158" s="637">
        <f t="shared" si="6"/>
        <v>1134.19</v>
      </c>
      <c r="L158" s="637">
        <v>502</v>
      </c>
      <c r="M158" s="637">
        <v>1489.3</v>
      </c>
      <c r="N158" s="615"/>
    </row>
    <row r="159" spans="1:14" ht="30" customHeight="1" x14ac:dyDescent="0.25">
      <c r="A159" s="627" t="s">
        <v>9759</v>
      </c>
      <c r="B159" s="810" t="s">
        <v>9758</v>
      </c>
      <c r="C159" s="635" t="s">
        <v>9757</v>
      </c>
      <c r="D159" s="627" t="s">
        <v>9665</v>
      </c>
      <c r="E159" s="767" t="s">
        <v>9759</v>
      </c>
      <c r="F159" s="758">
        <v>100</v>
      </c>
      <c r="G159" s="758"/>
      <c r="H159" s="758">
        <v>100</v>
      </c>
      <c r="I159" s="628">
        <v>0</v>
      </c>
      <c r="J159" s="628">
        <v>1455.7</v>
      </c>
      <c r="K159" s="637">
        <f t="shared" si="6"/>
        <v>1455.7</v>
      </c>
      <c r="L159" s="637">
        <v>1540</v>
      </c>
      <c r="M159" s="637">
        <v>1325</v>
      </c>
      <c r="N159" s="615"/>
    </row>
    <row r="160" spans="1:14" ht="30" customHeight="1" x14ac:dyDescent="0.25">
      <c r="A160" s="627" t="s">
        <v>9756</v>
      </c>
      <c r="B160" s="810" t="s">
        <v>9755</v>
      </c>
      <c r="C160" s="635" t="s">
        <v>9754</v>
      </c>
      <c r="D160" s="627" t="s">
        <v>9665</v>
      </c>
      <c r="E160" s="767" t="s">
        <v>9756</v>
      </c>
      <c r="F160" s="758">
        <v>20</v>
      </c>
      <c r="G160" s="758">
        <v>425.5</v>
      </c>
      <c r="H160" s="758">
        <v>445.5</v>
      </c>
      <c r="I160" s="628">
        <v>0</v>
      </c>
      <c r="J160" s="628">
        <v>1934.63</v>
      </c>
      <c r="K160" s="637">
        <f t="shared" si="6"/>
        <v>1934.63</v>
      </c>
      <c r="L160" s="637">
        <v>2036</v>
      </c>
      <c r="M160" s="637">
        <v>2309.98</v>
      </c>
      <c r="N160" s="615"/>
    </row>
    <row r="161" spans="1:14" ht="30" customHeight="1" x14ac:dyDescent="0.25">
      <c r="A161" s="627" t="s">
        <v>9753</v>
      </c>
      <c r="B161" s="810" t="s">
        <v>9752</v>
      </c>
      <c r="C161" s="635" t="s">
        <v>9751</v>
      </c>
      <c r="D161" s="627" t="s">
        <v>9665</v>
      </c>
      <c r="E161" s="767" t="s">
        <v>9753</v>
      </c>
      <c r="F161" s="758">
        <v>150</v>
      </c>
      <c r="G161" s="758">
        <v>147.25</v>
      </c>
      <c r="H161" s="758">
        <v>297.25</v>
      </c>
      <c r="I161" s="628">
        <v>25</v>
      </c>
      <c r="J161" s="628">
        <v>1156.92</v>
      </c>
      <c r="K161" s="637">
        <f t="shared" si="6"/>
        <v>1181.92</v>
      </c>
      <c r="L161" s="637">
        <v>1693.23</v>
      </c>
      <c r="M161" s="637">
        <v>1149.93</v>
      </c>
      <c r="N161" s="615"/>
    </row>
    <row r="162" spans="1:14" ht="30" customHeight="1" x14ac:dyDescent="0.25">
      <c r="A162" s="627" t="s">
        <v>9750</v>
      </c>
      <c r="B162" s="810" t="s">
        <v>9749</v>
      </c>
      <c r="C162" s="635" t="s">
        <v>9748</v>
      </c>
      <c r="D162" s="627" t="s">
        <v>9665</v>
      </c>
      <c r="E162" s="767" t="s">
        <v>9750</v>
      </c>
      <c r="F162" s="758"/>
      <c r="G162" s="758">
        <v>102.84</v>
      </c>
      <c r="H162" s="758">
        <v>102.84</v>
      </c>
      <c r="I162" s="628">
        <v>0</v>
      </c>
      <c r="J162" s="628">
        <v>86.8</v>
      </c>
      <c r="K162" s="637">
        <f t="shared" si="6"/>
        <v>86.8</v>
      </c>
      <c r="L162" s="637"/>
      <c r="M162" s="637"/>
      <c r="N162" s="615"/>
    </row>
    <row r="163" spans="1:14" ht="30" customHeight="1" x14ac:dyDescent="0.25">
      <c r="A163" s="627" t="s">
        <v>9747</v>
      </c>
      <c r="B163" s="810" t="s">
        <v>9746</v>
      </c>
      <c r="C163" s="635" t="s">
        <v>5552</v>
      </c>
      <c r="D163" s="627" t="s">
        <v>6201</v>
      </c>
      <c r="E163" s="767" t="s">
        <v>9747</v>
      </c>
      <c r="F163" s="758">
        <v>100</v>
      </c>
      <c r="G163" s="758">
        <v>1276.9499999999998</v>
      </c>
      <c r="H163" s="758">
        <v>1376.9499999999998</v>
      </c>
      <c r="I163" s="628">
        <v>10</v>
      </c>
      <c r="J163" s="628">
        <v>2250.8899999999994</v>
      </c>
      <c r="K163" s="637">
        <f t="shared" si="6"/>
        <v>2260.8899999999994</v>
      </c>
      <c r="L163" s="637">
        <v>2356.2399999999998</v>
      </c>
      <c r="M163" s="637">
        <v>2670.84</v>
      </c>
      <c r="N163" s="615"/>
    </row>
    <row r="164" spans="1:14" ht="30" customHeight="1" x14ac:dyDescent="0.25">
      <c r="A164" s="627" t="s">
        <v>9745</v>
      </c>
      <c r="B164" s="810" t="s">
        <v>9744</v>
      </c>
      <c r="C164" s="635" t="s">
        <v>78</v>
      </c>
      <c r="D164" s="627" t="s">
        <v>6201</v>
      </c>
      <c r="E164" s="767" t="s">
        <v>9745</v>
      </c>
      <c r="F164" s="758">
        <v>44.35</v>
      </c>
      <c r="G164" s="758">
        <v>2014.76</v>
      </c>
      <c r="H164" s="758">
        <v>2059.11</v>
      </c>
      <c r="I164" s="628">
        <v>0</v>
      </c>
      <c r="J164" s="628">
        <v>1850.5699999999997</v>
      </c>
      <c r="K164" s="637">
        <f t="shared" si="6"/>
        <v>1850.5699999999997</v>
      </c>
      <c r="L164" s="637">
        <v>2953.08</v>
      </c>
      <c r="M164" s="637">
        <v>1775.37</v>
      </c>
      <c r="N164" s="615"/>
    </row>
    <row r="165" spans="1:14" ht="30" customHeight="1" x14ac:dyDescent="0.25">
      <c r="A165" s="627" t="s">
        <v>9743</v>
      </c>
      <c r="B165" s="810" t="s">
        <v>9742</v>
      </c>
      <c r="C165" s="635" t="s">
        <v>9741</v>
      </c>
      <c r="D165" s="627" t="s">
        <v>9737</v>
      </c>
      <c r="E165" s="767" t="s">
        <v>9743</v>
      </c>
      <c r="F165" s="758">
        <v>275</v>
      </c>
      <c r="G165" s="758">
        <v>763</v>
      </c>
      <c r="H165" s="758">
        <v>1038</v>
      </c>
      <c r="I165" s="628">
        <v>120</v>
      </c>
      <c r="J165" s="628">
        <v>2403.7800000000002</v>
      </c>
      <c r="K165" s="637">
        <f t="shared" si="6"/>
        <v>2523.7800000000002</v>
      </c>
      <c r="L165" s="637">
        <v>2421.27</v>
      </c>
      <c r="M165" s="637">
        <v>2726.78</v>
      </c>
      <c r="N165" s="615"/>
    </row>
    <row r="166" spans="1:14" ht="30" customHeight="1" x14ac:dyDescent="0.25">
      <c r="A166" s="627" t="s">
        <v>9740</v>
      </c>
      <c r="B166" s="810" t="s">
        <v>9739</v>
      </c>
      <c r="C166" s="635" t="s">
        <v>9738</v>
      </c>
      <c r="D166" s="627" t="s">
        <v>9737</v>
      </c>
      <c r="E166" s="767" t="s">
        <v>9740</v>
      </c>
      <c r="F166" s="758">
        <v>12</v>
      </c>
      <c r="G166" s="758">
        <v>425</v>
      </c>
      <c r="H166" s="758">
        <v>437</v>
      </c>
      <c r="I166" s="628">
        <v>0</v>
      </c>
      <c r="J166" s="628">
        <v>937</v>
      </c>
      <c r="K166" s="637">
        <f t="shared" si="6"/>
        <v>937</v>
      </c>
      <c r="L166" s="637">
        <v>829</v>
      </c>
      <c r="M166" s="637">
        <v>1099</v>
      </c>
      <c r="N166" s="615"/>
    </row>
    <row r="167" spans="1:14" ht="30" customHeight="1" x14ac:dyDescent="0.25">
      <c r="A167" s="627" t="s">
        <v>9736</v>
      </c>
      <c r="B167" s="810" t="s">
        <v>9735</v>
      </c>
      <c r="C167" s="635" t="s">
        <v>9734</v>
      </c>
      <c r="D167" s="627" t="s">
        <v>9724</v>
      </c>
      <c r="E167" s="767"/>
      <c r="F167" s="758"/>
      <c r="G167" s="758"/>
      <c r="H167" s="758"/>
      <c r="I167" s="628">
        <v>0</v>
      </c>
      <c r="J167" s="628">
        <v>896</v>
      </c>
      <c r="K167" s="637">
        <f t="shared" si="6"/>
        <v>896</v>
      </c>
      <c r="L167" s="637">
        <v>582</v>
      </c>
      <c r="M167" s="637">
        <v>1811</v>
      </c>
      <c r="N167" s="615"/>
    </row>
    <row r="168" spans="1:14" ht="30" customHeight="1" x14ac:dyDescent="0.25">
      <c r="A168" s="627" t="s">
        <v>9733</v>
      </c>
      <c r="B168" s="810" t="s">
        <v>9732</v>
      </c>
      <c r="C168" s="635" t="s">
        <v>9731</v>
      </c>
      <c r="D168" s="627" t="s">
        <v>9724</v>
      </c>
      <c r="E168" s="767" t="s">
        <v>9733</v>
      </c>
      <c r="F168" s="758">
        <v>905</v>
      </c>
      <c r="G168" s="758">
        <v>3201.11</v>
      </c>
      <c r="H168" s="758">
        <v>4106.1100000000006</v>
      </c>
      <c r="I168" s="628">
        <v>280</v>
      </c>
      <c r="J168" s="628">
        <v>3738.32</v>
      </c>
      <c r="K168" s="637">
        <f t="shared" si="6"/>
        <v>4018.32</v>
      </c>
      <c r="L168" s="637">
        <v>2307.15</v>
      </c>
      <c r="M168" s="637">
        <v>3166.84</v>
      </c>
      <c r="N168" s="615"/>
    </row>
    <row r="169" spans="1:14" ht="30" customHeight="1" x14ac:dyDescent="0.25">
      <c r="A169" s="627" t="s">
        <v>9730</v>
      </c>
      <c r="B169" s="810" t="s">
        <v>9729</v>
      </c>
      <c r="C169" s="635" t="s">
        <v>9728</v>
      </c>
      <c r="D169" s="627" t="s">
        <v>9724</v>
      </c>
      <c r="E169" s="767" t="s">
        <v>9730</v>
      </c>
      <c r="F169" s="758"/>
      <c r="G169" s="758">
        <v>282.5</v>
      </c>
      <c r="H169" s="758">
        <v>282.5</v>
      </c>
      <c r="I169" s="628">
        <v>0</v>
      </c>
      <c r="J169" s="628">
        <v>966</v>
      </c>
      <c r="K169" s="637">
        <f t="shared" si="6"/>
        <v>966</v>
      </c>
      <c r="L169" s="637">
        <v>757</v>
      </c>
      <c r="M169" s="637">
        <v>1149.25</v>
      </c>
      <c r="N169" s="615"/>
    </row>
    <row r="170" spans="1:14" ht="30" customHeight="1" x14ac:dyDescent="0.25">
      <c r="A170" s="627" t="s">
        <v>9727</v>
      </c>
      <c r="B170" s="810" t="s">
        <v>9726</v>
      </c>
      <c r="C170" s="635" t="s">
        <v>9725</v>
      </c>
      <c r="D170" s="627" t="s">
        <v>9724</v>
      </c>
      <c r="E170" s="767" t="s">
        <v>9727</v>
      </c>
      <c r="F170" s="758"/>
      <c r="G170" s="758">
        <v>120</v>
      </c>
      <c r="H170" s="758">
        <v>120</v>
      </c>
      <c r="I170" s="628">
        <v>0</v>
      </c>
      <c r="J170" s="628">
        <v>1449.8799999999999</v>
      </c>
      <c r="K170" s="637">
        <f t="shared" ref="K170:K177" si="7">SUM(I170:J170)</f>
        <v>1449.8799999999999</v>
      </c>
      <c r="L170" s="637">
        <v>1737.31</v>
      </c>
      <c r="M170" s="637">
        <v>1983.87</v>
      </c>
      <c r="N170" s="615"/>
    </row>
    <row r="171" spans="1:14" ht="30" customHeight="1" x14ac:dyDescent="0.25">
      <c r="A171" s="627" t="s">
        <v>9723</v>
      </c>
      <c r="B171" s="810" t="s">
        <v>9722</v>
      </c>
      <c r="C171" s="635" t="s">
        <v>9721</v>
      </c>
      <c r="D171" s="627" t="s">
        <v>9707</v>
      </c>
      <c r="E171" s="767" t="s">
        <v>9723</v>
      </c>
      <c r="F171" s="758">
        <v>307</v>
      </c>
      <c r="G171" s="758">
        <v>776</v>
      </c>
      <c r="H171" s="758">
        <v>1083</v>
      </c>
      <c r="I171" s="628">
        <v>0</v>
      </c>
      <c r="J171" s="628">
        <v>3203</v>
      </c>
      <c r="K171" s="637">
        <f t="shared" si="7"/>
        <v>3203</v>
      </c>
      <c r="L171" s="637">
        <v>3428</v>
      </c>
      <c r="M171" s="637">
        <v>2923</v>
      </c>
      <c r="N171" s="615"/>
    </row>
    <row r="172" spans="1:14" ht="30" customHeight="1" x14ac:dyDescent="0.25">
      <c r="A172" s="627" t="s">
        <v>9720</v>
      </c>
      <c r="B172" s="810" t="s">
        <v>9719</v>
      </c>
      <c r="C172" s="635" t="s">
        <v>9718</v>
      </c>
      <c r="D172" s="627" t="s">
        <v>9707</v>
      </c>
      <c r="E172" s="767" t="s">
        <v>9720</v>
      </c>
      <c r="F172" s="758">
        <v>20</v>
      </c>
      <c r="G172" s="758">
        <v>2256</v>
      </c>
      <c r="H172" s="758">
        <v>2276</v>
      </c>
      <c r="I172" s="628">
        <v>0</v>
      </c>
      <c r="J172" s="628">
        <v>2879</v>
      </c>
      <c r="K172" s="637">
        <f t="shared" si="7"/>
        <v>2879</v>
      </c>
      <c r="L172" s="637">
        <v>2952</v>
      </c>
      <c r="M172" s="637">
        <v>3178</v>
      </c>
      <c r="N172" s="615"/>
    </row>
    <row r="173" spans="1:14" ht="30" customHeight="1" x14ac:dyDescent="0.25">
      <c r="A173" s="627" t="s">
        <v>9717</v>
      </c>
      <c r="B173" s="810" t="s">
        <v>9716</v>
      </c>
      <c r="C173" s="635" t="s">
        <v>9715</v>
      </c>
      <c r="D173" s="627" t="s">
        <v>9707</v>
      </c>
      <c r="E173" s="767" t="s">
        <v>9717</v>
      </c>
      <c r="F173" s="758">
        <v>75</v>
      </c>
      <c r="G173" s="758"/>
      <c r="H173" s="758">
        <v>75</v>
      </c>
      <c r="I173" s="628">
        <v>20</v>
      </c>
      <c r="J173" s="628">
        <v>1619.1799999999998</v>
      </c>
      <c r="K173" s="637">
        <f t="shared" si="7"/>
        <v>1639.1799999999998</v>
      </c>
      <c r="L173" s="637">
        <v>1590.24</v>
      </c>
      <c r="M173" s="637">
        <v>1849.27</v>
      </c>
      <c r="N173" s="615"/>
    </row>
    <row r="174" spans="1:14" ht="30" customHeight="1" x14ac:dyDescent="0.25">
      <c r="A174" s="627" t="s">
        <v>9714</v>
      </c>
      <c r="B174" s="810" t="s">
        <v>9713</v>
      </c>
      <c r="C174" s="635" t="s">
        <v>7283</v>
      </c>
      <c r="D174" s="627" t="s">
        <v>9707</v>
      </c>
      <c r="E174" s="767" t="s">
        <v>9714</v>
      </c>
      <c r="F174" s="758"/>
      <c r="G174" s="758">
        <v>112</v>
      </c>
      <c r="H174" s="758">
        <v>112</v>
      </c>
      <c r="I174" s="628">
        <v>0</v>
      </c>
      <c r="J174" s="628">
        <v>1055.55</v>
      </c>
      <c r="K174" s="637">
        <f t="shared" si="7"/>
        <v>1055.55</v>
      </c>
      <c r="L174" s="637">
        <v>1347.71</v>
      </c>
      <c r="M174" s="637">
        <v>1430.02</v>
      </c>
      <c r="N174" s="615"/>
    </row>
    <row r="175" spans="1:14" ht="30" customHeight="1" x14ac:dyDescent="0.25">
      <c r="A175" s="627" t="s">
        <v>9712</v>
      </c>
      <c r="B175" s="810" t="s">
        <v>9711</v>
      </c>
      <c r="C175" s="635" t="s">
        <v>226</v>
      </c>
      <c r="D175" s="627" t="s">
        <v>9707</v>
      </c>
      <c r="E175" s="767" t="s">
        <v>9712</v>
      </c>
      <c r="F175" s="758">
        <v>280</v>
      </c>
      <c r="G175" s="758">
        <v>159.9</v>
      </c>
      <c r="H175" s="758">
        <v>439.9</v>
      </c>
      <c r="I175" s="628">
        <v>160</v>
      </c>
      <c r="J175" s="628">
        <v>1219.1999999999998</v>
      </c>
      <c r="K175" s="637">
        <f t="shared" si="7"/>
        <v>1379.1999999999998</v>
      </c>
      <c r="L175" s="637">
        <v>1157.55</v>
      </c>
      <c r="M175" s="637">
        <v>1488.58</v>
      </c>
    </row>
    <row r="176" spans="1:14" ht="30" customHeight="1" x14ac:dyDescent="0.25">
      <c r="A176" s="627" t="s">
        <v>9710</v>
      </c>
      <c r="B176" s="810" t="s">
        <v>9709</v>
      </c>
      <c r="C176" s="635" t="s">
        <v>9708</v>
      </c>
      <c r="D176" s="627" t="s">
        <v>9707</v>
      </c>
      <c r="E176" s="767" t="s">
        <v>9710</v>
      </c>
      <c r="F176" s="758"/>
      <c r="G176" s="758">
        <v>1116.49</v>
      </c>
      <c r="H176" s="758">
        <v>1116.49</v>
      </c>
      <c r="I176" s="628">
        <v>0</v>
      </c>
      <c r="J176" s="628">
        <v>2145.5100000000002</v>
      </c>
      <c r="K176" s="637">
        <f t="shared" si="7"/>
        <v>2145.5100000000002</v>
      </c>
      <c r="L176" s="637">
        <v>2059.89</v>
      </c>
      <c r="M176" s="637">
        <v>1776.94</v>
      </c>
    </row>
    <row r="177" spans="1:13" ht="30" customHeight="1" x14ac:dyDescent="0.25">
      <c r="A177" s="627" t="s">
        <v>9706</v>
      </c>
      <c r="B177" s="810" t="s">
        <v>9705</v>
      </c>
      <c r="C177" s="635" t="s">
        <v>9704</v>
      </c>
      <c r="D177" s="627" t="s">
        <v>9703</v>
      </c>
      <c r="E177" s="767" t="s">
        <v>9706</v>
      </c>
      <c r="F177" s="758">
        <v>105</v>
      </c>
      <c r="G177" s="758">
        <v>344.2</v>
      </c>
      <c r="H177" s="758">
        <v>449.2</v>
      </c>
      <c r="I177" s="628">
        <v>5</v>
      </c>
      <c r="J177" s="628">
        <v>650</v>
      </c>
      <c r="K177" s="637">
        <f t="shared" si="7"/>
        <v>655</v>
      </c>
      <c r="L177" s="637">
        <v>844</v>
      </c>
      <c r="M177" s="637">
        <v>604</v>
      </c>
    </row>
    <row r="178" spans="1:13" ht="30" customHeight="1" x14ac:dyDescent="0.25">
      <c r="A178" s="627" t="s">
        <v>9702</v>
      </c>
      <c r="B178" s="810" t="s">
        <v>9701</v>
      </c>
      <c r="C178" s="635" t="s">
        <v>532</v>
      </c>
      <c r="D178" s="627" t="s">
        <v>9700</v>
      </c>
      <c r="E178" s="767" t="s">
        <v>9702</v>
      </c>
      <c r="F178" s="758">
        <v>85</v>
      </c>
      <c r="G178" s="758">
        <v>888.5</v>
      </c>
      <c r="H178" s="758">
        <v>973.5</v>
      </c>
      <c r="I178" s="628">
        <v>40</v>
      </c>
      <c r="J178" s="628">
        <v>1006</v>
      </c>
      <c r="K178" s="637">
        <f t="shared" ref="K178:K188" si="8">SUM(I178:J178)</f>
        <v>1046</v>
      </c>
      <c r="L178" s="637">
        <v>912.7</v>
      </c>
      <c r="M178" s="637">
        <v>1148</v>
      </c>
    </row>
    <row r="179" spans="1:13" ht="30" customHeight="1" x14ac:dyDescent="0.25">
      <c r="A179" s="627" t="s">
        <v>9699</v>
      </c>
      <c r="B179" s="810" t="s">
        <v>9698</v>
      </c>
      <c r="C179" s="635" t="s">
        <v>9697</v>
      </c>
      <c r="D179" s="627" t="s">
        <v>9683</v>
      </c>
      <c r="E179" s="767" t="s">
        <v>9699</v>
      </c>
      <c r="F179" s="758">
        <v>75</v>
      </c>
      <c r="G179" s="758"/>
      <c r="H179" s="758">
        <v>75</v>
      </c>
      <c r="I179" s="628">
        <v>85</v>
      </c>
      <c r="J179" s="628">
        <v>159.07</v>
      </c>
      <c r="K179" s="637">
        <f t="shared" si="8"/>
        <v>244.07</v>
      </c>
      <c r="L179" s="637">
        <v>918</v>
      </c>
      <c r="M179" s="637">
        <v>723.67</v>
      </c>
    </row>
    <row r="180" spans="1:13" ht="30" customHeight="1" x14ac:dyDescent="0.25">
      <c r="A180" s="627" t="s">
        <v>9696</v>
      </c>
      <c r="B180" s="810" t="s">
        <v>9695</v>
      </c>
      <c r="C180" s="635" t="s">
        <v>9694</v>
      </c>
      <c r="D180" s="627" t="s">
        <v>9683</v>
      </c>
      <c r="E180" s="767" t="s">
        <v>9696</v>
      </c>
      <c r="F180" s="758">
        <v>200</v>
      </c>
      <c r="G180" s="758"/>
      <c r="H180" s="758">
        <v>200</v>
      </c>
      <c r="I180" s="628">
        <v>125</v>
      </c>
      <c r="J180" s="628">
        <v>0</v>
      </c>
      <c r="K180" s="637">
        <f t="shared" si="8"/>
        <v>125</v>
      </c>
      <c r="L180" s="637">
        <v>479.02</v>
      </c>
      <c r="M180" s="637">
        <v>424.93</v>
      </c>
    </row>
    <row r="181" spans="1:13" ht="30" customHeight="1" x14ac:dyDescent="0.25">
      <c r="A181" s="627" t="s">
        <v>9693</v>
      </c>
      <c r="B181" s="810" t="s">
        <v>9692</v>
      </c>
      <c r="C181" s="635" t="s">
        <v>7660</v>
      </c>
      <c r="D181" s="627" t="s">
        <v>9683</v>
      </c>
      <c r="E181" s="767" t="s">
        <v>9693</v>
      </c>
      <c r="F181" s="758"/>
      <c r="G181" s="758">
        <v>399.57</v>
      </c>
      <c r="H181" s="758">
        <v>399.57</v>
      </c>
      <c r="I181" s="628">
        <v>25</v>
      </c>
      <c r="J181" s="628">
        <v>3365.0399999999995</v>
      </c>
      <c r="K181" s="637">
        <f t="shared" si="8"/>
        <v>3390.0399999999995</v>
      </c>
      <c r="L181" s="637">
        <v>3509.01</v>
      </c>
      <c r="M181" s="637">
        <v>346.9</v>
      </c>
    </row>
    <row r="182" spans="1:13" ht="30" customHeight="1" x14ac:dyDescent="0.25">
      <c r="A182" s="627" t="s">
        <v>9691</v>
      </c>
      <c r="B182" s="810" t="s">
        <v>9690</v>
      </c>
      <c r="C182" s="635" t="s">
        <v>532</v>
      </c>
      <c r="D182" s="627" t="s">
        <v>9683</v>
      </c>
      <c r="E182" s="767" t="s">
        <v>9691</v>
      </c>
      <c r="F182" s="758">
        <v>60</v>
      </c>
      <c r="G182" s="758">
        <v>104.2</v>
      </c>
      <c r="H182" s="758">
        <v>164.2</v>
      </c>
      <c r="I182" s="628">
        <v>40</v>
      </c>
      <c r="J182" s="628">
        <v>236.59</v>
      </c>
      <c r="K182" s="637">
        <f t="shared" si="8"/>
        <v>276.59000000000003</v>
      </c>
      <c r="L182" s="637">
        <v>621.58000000000004</v>
      </c>
      <c r="M182" s="637">
        <v>4285.96</v>
      </c>
    </row>
    <row r="183" spans="1:13" ht="30" customHeight="1" x14ac:dyDescent="0.25">
      <c r="A183" s="627" t="s">
        <v>9689</v>
      </c>
      <c r="B183" s="810" t="s">
        <v>9688</v>
      </c>
      <c r="C183" s="635" t="s">
        <v>158</v>
      </c>
      <c r="D183" s="627" t="s">
        <v>9683</v>
      </c>
      <c r="E183" s="767" t="s">
        <v>9689</v>
      </c>
      <c r="F183" s="758"/>
      <c r="G183" s="758">
        <v>237.5</v>
      </c>
      <c r="H183" s="758">
        <v>237.5</v>
      </c>
      <c r="I183" s="628">
        <v>0</v>
      </c>
      <c r="J183" s="628">
        <v>389.3</v>
      </c>
      <c r="K183" s="637">
        <f t="shared" si="8"/>
        <v>389.3</v>
      </c>
      <c r="L183" s="637">
        <v>212.01</v>
      </c>
      <c r="M183" s="637">
        <v>458.72</v>
      </c>
    </row>
    <row r="184" spans="1:13" ht="30" customHeight="1" x14ac:dyDescent="0.25">
      <c r="A184" s="627" t="s">
        <v>9687</v>
      </c>
      <c r="B184" s="810">
        <v>207</v>
      </c>
      <c r="C184" s="635" t="s">
        <v>11356</v>
      </c>
      <c r="D184" s="627" t="s">
        <v>9683</v>
      </c>
      <c r="E184" s="767" t="s">
        <v>9687</v>
      </c>
      <c r="F184" s="758"/>
      <c r="G184" s="758">
        <v>342.15999999999997</v>
      </c>
      <c r="H184" s="758">
        <v>342.15999999999997</v>
      </c>
      <c r="I184" s="628">
        <v>0</v>
      </c>
      <c r="J184" s="628">
        <v>283.85000000000002</v>
      </c>
      <c r="K184" s="637">
        <f t="shared" si="8"/>
        <v>283.85000000000002</v>
      </c>
      <c r="L184" s="637">
        <v>1522.98</v>
      </c>
      <c r="M184" s="637">
        <v>1959.82</v>
      </c>
    </row>
    <row r="185" spans="1:13" ht="30" customHeight="1" x14ac:dyDescent="0.25">
      <c r="A185" s="627" t="s">
        <v>9686</v>
      </c>
      <c r="B185" s="810" t="s">
        <v>9685</v>
      </c>
      <c r="C185" s="635" t="s">
        <v>9684</v>
      </c>
      <c r="D185" s="627" t="s">
        <v>9683</v>
      </c>
      <c r="E185" s="767" t="s">
        <v>9686</v>
      </c>
      <c r="F185" s="758">
        <v>220</v>
      </c>
      <c r="G185" s="758"/>
      <c r="H185" s="758">
        <v>220</v>
      </c>
      <c r="I185" s="628">
        <v>130</v>
      </c>
      <c r="J185" s="628">
        <v>50</v>
      </c>
      <c r="K185" s="637">
        <f t="shared" si="8"/>
        <v>180</v>
      </c>
      <c r="L185" s="637">
        <v>965.5</v>
      </c>
      <c r="M185" s="637">
        <v>164</v>
      </c>
    </row>
    <row r="186" spans="1:13" ht="30" customHeight="1" x14ac:dyDescent="0.25">
      <c r="A186" s="627" t="s">
        <v>9682</v>
      </c>
      <c r="B186" s="810" t="s">
        <v>9681</v>
      </c>
      <c r="C186" s="635" t="s">
        <v>9680</v>
      </c>
      <c r="D186" s="627" t="s">
        <v>9673</v>
      </c>
      <c r="E186" s="767" t="s">
        <v>9682</v>
      </c>
      <c r="F186" s="758">
        <v>45</v>
      </c>
      <c r="G186" s="758">
        <v>92</v>
      </c>
      <c r="H186" s="758">
        <v>137</v>
      </c>
      <c r="I186" s="628">
        <v>49.18</v>
      </c>
      <c r="J186" s="628">
        <v>943.22</v>
      </c>
      <c r="K186" s="637">
        <f t="shared" si="8"/>
        <v>992.4</v>
      </c>
      <c r="L186" s="637">
        <v>1083.96</v>
      </c>
      <c r="M186" s="637">
        <v>1033.98</v>
      </c>
    </row>
    <row r="187" spans="1:13" ht="30" customHeight="1" x14ac:dyDescent="0.25">
      <c r="A187" s="627" t="s">
        <v>9679</v>
      </c>
      <c r="B187" s="810" t="s">
        <v>9678</v>
      </c>
      <c r="C187" s="635" t="s">
        <v>9677</v>
      </c>
      <c r="D187" s="627" t="s">
        <v>9673</v>
      </c>
      <c r="E187" s="767" t="s">
        <v>9679</v>
      </c>
      <c r="F187" s="758">
        <v>410.21000000000004</v>
      </c>
      <c r="G187" s="758">
        <v>369.90000000000003</v>
      </c>
      <c r="H187" s="758">
        <v>780.11000000000013</v>
      </c>
      <c r="I187" s="628">
        <v>18</v>
      </c>
      <c r="J187" s="628">
        <v>1326.4699999999996</v>
      </c>
      <c r="K187" s="637">
        <f t="shared" si="8"/>
        <v>1344.4699999999996</v>
      </c>
      <c r="L187" s="637">
        <v>1094.8</v>
      </c>
      <c r="M187" s="637">
        <v>1170.23</v>
      </c>
    </row>
    <row r="188" spans="1:13" ht="30" customHeight="1" x14ac:dyDescent="0.25">
      <c r="A188" s="627" t="s">
        <v>9676</v>
      </c>
      <c r="B188" s="810" t="s">
        <v>9675</v>
      </c>
      <c r="C188" s="635" t="s">
        <v>9674</v>
      </c>
      <c r="D188" s="627" t="s">
        <v>9673</v>
      </c>
      <c r="E188" s="767" t="s">
        <v>9676</v>
      </c>
      <c r="F188" s="758">
        <v>101.5</v>
      </c>
      <c r="G188" s="758">
        <v>1293.5</v>
      </c>
      <c r="H188" s="758">
        <v>1395</v>
      </c>
      <c r="I188" s="628">
        <v>25</v>
      </c>
      <c r="J188" s="628">
        <v>2356</v>
      </c>
      <c r="K188" s="637">
        <f t="shared" si="8"/>
        <v>2381</v>
      </c>
      <c r="L188" s="637">
        <v>2418</v>
      </c>
      <c r="M188" s="637">
        <v>2497.85</v>
      </c>
    </row>
    <row r="189" spans="1:13" ht="30" customHeight="1" x14ac:dyDescent="0.25">
      <c r="A189" s="627" t="s">
        <v>10939</v>
      </c>
      <c r="B189" s="810">
        <v>178</v>
      </c>
      <c r="C189" s="635" t="s">
        <v>10940</v>
      </c>
      <c r="D189" s="627" t="s">
        <v>9665</v>
      </c>
      <c r="E189" s="767"/>
      <c r="F189" s="758"/>
      <c r="G189" s="758"/>
      <c r="H189" s="758"/>
      <c r="I189" s="628"/>
      <c r="J189" s="628"/>
      <c r="K189" s="637"/>
      <c r="L189" s="637">
        <v>207.76</v>
      </c>
      <c r="M189" s="637">
        <v>183.75</v>
      </c>
    </row>
    <row r="190" spans="1:13" ht="30" customHeight="1" x14ac:dyDescent="0.25">
      <c r="A190" s="627" t="s">
        <v>9672</v>
      </c>
      <c r="B190" s="810" t="s">
        <v>9671</v>
      </c>
      <c r="C190" s="635" t="s">
        <v>9670</v>
      </c>
      <c r="D190" s="627" t="s">
        <v>9669</v>
      </c>
      <c r="E190" s="767" t="s">
        <v>9672</v>
      </c>
      <c r="F190" s="758">
        <v>260</v>
      </c>
      <c r="G190" s="758"/>
      <c r="H190" s="758">
        <v>260</v>
      </c>
      <c r="I190" s="628">
        <v>30</v>
      </c>
      <c r="J190" s="628">
        <v>30</v>
      </c>
      <c r="K190" s="637">
        <f>SUM(I190:J190)</f>
        <v>60</v>
      </c>
      <c r="L190" s="637"/>
      <c r="M190" s="637"/>
    </row>
    <row r="191" spans="1:13" ht="30" customHeight="1" x14ac:dyDescent="0.25">
      <c r="A191" s="627" t="s">
        <v>9668</v>
      </c>
      <c r="B191" s="810" t="s">
        <v>9667</v>
      </c>
      <c r="C191" s="635" t="s">
        <v>9666</v>
      </c>
      <c r="D191" s="627" t="s">
        <v>9665</v>
      </c>
      <c r="E191" s="767" t="s">
        <v>9668</v>
      </c>
      <c r="F191" s="758">
        <v>60</v>
      </c>
      <c r="G191" s="758"/>
      <c r="H191" s="758">
        <v>60</v>
      </c>
      <c r="I191" s="628">
        <v>180</v>
      </c>
      <c r="J191" s="628">
        <v>30</v>
      </c>
      <c r="K191" s="637">
        <f>SUM(I191:J191)</f>
        <v>210</v>
      </c>
      <c r="L191" s="637">
        <v>60</v>
      </c>
      <c r="M191" s="637">
        <v>110</v>
      </c>
    </row>
    <row r="192" spans="1:13" ht="30" customHeight="1" x14ac:dyDescent="0.25">
      <c r="A192" s="627" t="s">
        <v>9664</v>
      </c>
      <c r="B192" s="810" t="s">
        <v>9663</v>
      </c>
      <c r="C192" s="635" t="s">
        <v>9662</v>
      </c>
      <c r="D192" s="627" t="s">
        <v>9661</v>
      </c>
      <c r="E192" s="767" t="s">
        <v>9664</v>
      </c>
      <c r="F192" s="758">
        <v>8149.62</v>
      </c>
      <c r="G192" s="758">
        <v>6046.9500000000007</v>
      </c>
      <c r="H192" s="758">
        <v>14196.57</v>
      </c>
      <c r="I192" s="628">
        <v>1661</v>
      </c>
      <c r="J192" s="628">
        <v>9939.2300000000032</v>
      </c>
      <c r="K192" s="637">
        <f>SUM(I192:J192)</f>
        <v>11600.230000000003</v>
      </c>
      <c r="L192" s="637">
        <v>6227.47</v>
      </c>
      <c r="M192" s="637">
        <v>3897.82</v>
      </c>
    </row>
    <row r="193" spans="1:15" ht="15.75" thickBot="1" x14ac:dyDescent="0.3">
      <c r="H193" s="608"/>
      <c r="I193" s="608"/>
      <c r="J193" s="608"/>
    </row>
    <row r="194" spans="1:15" s="74" customFormat="1" ht="83.25" customHeight="1" thickBot="1" x14ac:dyDescent="0.25">
      <c r="A194" s="854" t="s">
        <v>10987</v>
      </c>
      <c r="B194" s="855"/>
      <c r="C194" s="855"/>
      <c r="D194" s="855"/>
      <c r="E194" s="855"/>
      <c r="F194" s="855"/>
      <c r="G194" s="855"/>
      <c r="H194" s="855"/>
      <c r="I194" s="855"/>
      <c r="J194" s="855"/>
      <c r="K194" s="855"/>
      <c r="L194" s="855"/>
      <c r="M194" s="855"/>
      <c r="N194" s="855"/>
      <c r="O194" s="855"/>
    </row>
    <row r="195" spans="1:15" x14ac:dyDescent="0.25">
      <c r="H195" s="608"/>
      <c r="I195" s="608"/>
      <c r="J195" s="608"/>
    </row>
    <row r="196" spans="1:15" s="74" customFormat="1" ht="45" x14ac:dyDescent="0.2">
      <c r="A196" s="897" t="s">
        <v>10990</v>
      </c>
      <c r="B196" s="897"/>
      <c r="C196" s="764" t="s">
        <v>11008</v>
      </c>
    </row>
    <row r="197" spans="1:15" s="74" customFormat="1" ht="45" x14ac:dyDescent="0.2">
      <c r="A197" s="897" t="s">
        <v>7809</v>
      </c>
      <c r="B197" s="897"/>
      <c r="C197" s="764" t="s">
        <v>11320</v>
      </c>
    </row>
    <row r="198" spans="1:15" x14ac:dyDescent="0.25">
      <c r="E198" s="615"/>
      <c r="H198" s="608"/>
      <c r="I198" s="608"/>
      <c r="J198" s="608"/>
    </row>
    <row r="199" spans="1:15" x14ac:dyDescent="0.25">
      <c r="E199" s="615"/>
      <c r="H199" s="608"/>
      <c r="I199" s="608"/>
      <c r="J199" s="608"/>
    </row>
    <row r="200" spans="1:15" x14ac:dyDescent="0.25">
      <c r="E200" s="615"/>
      <c r="H200" s="608"/>
      <c r="I200" s="608"/>
      <c r="J200" s="608"/>
    </row>
    <row r="201" spans="1:15" x14ac:dyDescent="0.25">
      <c r="E201" s="615"/>
      <c r="H201" s="608"/>
      <c r="I201" s="608"/>
      <c r="J201" s="608"/>
    </row>
    <row r="202" spans="1:15" x14ac:dyDescent="0.25">
      <c r="E202" s="615"/>
      <c r="H202" s="608"/>
      <c r="I202" s="608"/>
      <c r="J202" s="608"/>
    </row>
    <row r="203" spans="1:15" x14ac:dyDescent="0.25">
      <c r="E203" s="615"/>
      <c r="H203" s="608"/>
      <c r="I203" s="608"/>
      <c r="J203" s="608"/>
    </row>
    <row r="204" spans="1:15" x14ac:dyDescent="0.25">
      <c r="E204" s="615"/>
      <c r="H204" s="608"/>
      <c r="I204" s="608"/>
      <c r="J204" s="608"/>
    </row>
    <row r="205" spans="1:15" x14ac:dyDescent="0.25">
      <c r="E205" s="615"/>
      <c r="H205" s="608"/>
    </row>
    <row r="208" spans="1:15" x14ac:dyDescent="0.25">
      <c r="H208" s="608"/>
    </row>
  </sheetData>
  <mergeCells count="3">
    <mergeCell ref="A194:O194"/>
    <mergeCell ref="A196:B196"/>
    <mergeCell ref="A197:B197"/>
  </mergeCells>
  <conditionalFormatting sqref="A1:A3 A5:A189 A193 A195 A198:A1048576">
    <cfRule type="duplicateValues" dxfId="52" priority="31"/>
  </conditionalFormatting>
  <conditionalFormatting sqref="A190:A192">
    <cfRule type="duplicateValues" dxfId="51" priority="3"/>
  </conditionalFormatting>
  <conditionalFormatting sqref="A194">
    <cfRule type="duplicateValues" dxfId="50" priority="2"/>
  </conditionalFormatting>
  <conditionalFormatting sqref="A196:A197">
    <cfRule type="duplicateValues" dxfId="49"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79998168889431442"/>
  </sheetPr>
  <dimension ref="A1:J1695"/>
  <sheetViews>
    <sheetView workbookViewId="0">
      <pane ySplit="3" topLeftCell="A94" activePane="bottomLeft" state="frozen"/>
      <selection pane="bottomLeft" activeCell="A100" sqref="A100:XFD100"/>
    </sheetView>
  </sheetViews>
  <sheetFormatPr defaultRowHeight="14.25" x14ac:dyDescent="0.2"/>
  <cols>
    <col min="1" max="1" width="14.42578125" style="57" bestFit="1" customWidth="1"/>
    <col min="2" max="2" width="38.85546875" style="57" customWidth="1"/>
    <col min="3" max="3" width="59.140625" style="57" bestFit="1" customWidth="1"/>
    <col min="4" max="4" width="15.140625" style="57" customWidth="1"/>
    <col min="5" max="5" width="20.7109375" style="57" customWidth="1"/>
    <col min="6" max="7" width="15.5703125" style="58" bestFit="1" customWidth="1"/>
    <col min="8" max="8" width="15.28515625" style="57" customWidth="1"/>
    <col min="9" max="9" width="31.5703125" bestFit="1" customWidth="1"/>
  </cols>
  <sheetData>
    <row r="1" spans="1:9" s="62" customFormat="1" x14ac:dyDescent="0.2">
      <c r="A1" s="60" t="s">
        <v>7262</v>
      </c>
      <c r="B1" s="60"/>
      <c r="C1" s="60"/>
      <c r="D1" s="60"/>
      <c r="E1" s="60"/>
      <c r="F1" s="61"/>
      <c r="G1" s="61"/>
      <c r="H1" s="60"/>
    </row>
    <row r="2" spans="1:9" ht="20.25" customHeight="1" x14ac:dyDescent="0.2">
      <c r="A2" s="59" t="s">
        <v>7175</v>
      </c>
      <c r="B2" s="59"/>
      <c r="C2" s="59"/>
      <c r="D2" s="59"/>
      <c r="E2" s="59"/>
      <c r="F2" s="59"/>
      <c r="G2" s="59"/>
      <c r="H2" s="37"/>
    </row>
    <row r="3" spans="1:9" ht="15.75" x14ac:dyDescent="0.2">
      <c r="A3" s="2" t="s">
        <v>1</v>
      </c>
      <c r="B3" s="2" t="s">
        <v>2</v>
      </c>
      <c r="C3" s="2" t="s">
        <v>3</v>
      </c>
      <c r="D3" s="38" t="s">
        <v>7176</v>
      </c>
      <c r="E3" s="38" t="s">
        <v>7177</v>
      </c>
      <c r="F3" s="38">
        <v>2018</v>
      </c>
      <c r="G3" s="39">
        <v>2017</v>
      </c>
      <c r="H3" s="40" t="s">
        <v>7178</v>
      </c>
      <c r="I3" s="39">
        <v>2015</v>
      </c>
    </row>
    <row r="4" spans="1:9" ht="15" x14ac:dyDescent="0.2">
      <c r="A4" s="41" t="s">
        <v>325</v>
      </c>
      <c r="B4" s="41" t="s">
        <v>7179</v>
      </c>
      <c r="C4" s="41" t="s">
        <v>7180</v>
      </c>
      <c r="D4" s="42">
        <v>375</v>
      </c>
      <c r="E4" s="42">
        <v>1105.68</v>
      </c>
      <c r="F4" s="43">
        <f>E4+D4</f>
        <v>1480.68</v>
      </c>
      <c r="G4" s="44">
        <v>1820.06</v>
      </c>
      <c r="H4" s="45">
        <v>1723.8600000000001</v>
      </c>
    </row>
    <row r="5" spans="1:9" ht="15" x14ac:dyDescent="0.2">
      <c r="A5" s="41" t="s">
        <v>333</v>
      </c>
      <c r="B5" s="41" t="s">
        <v>336</v>
      </c>
      <c r="C5" s="41" t="s">
        <v>1584</v>
      </c>
      <c r="D5" s="42">
        <v>175</v>
      </c>
      <c r="E5" s="42">
        <v>402.06</v>
      </c>
      <c r="F5" s="43">
        <f t="shared" ref="F5:F68" si="0">E5+D5</f>
        <v>577.05999999999995</v>
      </c>
      <c r="G5" s="44">
        <v>416.66999999999996</v>
      </c>
      <c r="H5" s="46">
        <v>792.16000000000008</v>
      </c>
    </row>
    <row r="6" spans="1:9" ht="15" x14ac:dyDescent="0.2">
      <c r="A6" s="41" t="s">
        <v>338</v>
      </c>
      <c r="B6" s="41" t="s">
        <v>7181</v>
      </c>
      <c r="C6" s="41" t="s">
        <v>119</v>
      </c>
      <c r="D6" s="42">
        <v>330</v>
      </c>
      <c r="E6" s="42">
        <v>1413.75</v>
      </c>
      <c r="F6" s="43">
        <f t="shared" si="0"/>
        <v>1743.75</v>
      </c>
      <c r="G6" s="44">
        <v>2312.54</v>
      </c>
      <c r="H6" s="46">
        <v>1738.94</v>
      </c>
    </row>
    <row r="7" spans="1:9" ht="15" x14ac:dyDescent="0.2">
      <c r="A7" s="41" t="s">
        <v>341</v>
      </c>
      <c r="B7" s="41" t="s">
        <v>7182</v>
      </c>
      <c r="C7" s="41" t="s">
        <v>7183</v>
      </c>
      <c r="D7" s="42">
        <f>275+40</f>
        <v>315</v>
      </c>
      <c r="E7" s="42">
        <v>423.04</v>
      </c>
      <c r="F7" s="43">
        <f t="shared" si="0"/>
        <v>738.04</v>
      </c>
      <c r="G7" s="44">
        <v>866.6</v>
      </c>
      <c r="H7" s="46">
        <v>898</v>
      </c>
    </row>
    <row r="8" spans="1:9" ht="15" x14ac:dyDescent="0.2">
      <c r="A8" s="41" t="s">
        <v>344</v>
      </c>
      <c r="B8" s="41" t="s">
        <v>7184</v>
      </c>
      <c r="C8" s="41" t="s">
        <v>7185</v>
      </c>
      <c r="D8" s="42">
        <v>60</v>
      </c>
      <c r="E8" s="42">
        <v>0</v>
      </c>
      <c r="F8" s="43">
        <f t="shared" si="0"/>
        <v>60</v>
      </c>
      <c r="G8" s="44">
        <v>70</v>
      </c>
      <c r="H8" s="46">
        <v>70</v>
      </c>
    </row>
    <row r="9" spans="1:9" ht="15" x14ac:dyDescent="0.2">
      <c r="A9" s="41" t="s">
        <v>348</v>
      </c>
      <c r="B9" s="41" t="s">
        <v>350</v>
      </c>
      <c r="C9" s="41" t="s">
        <v>1489</v>
      </c>
      <c r="D9" s="42">
        <v>132</v>
      </c>
      <c r="E9" s="42">
        <v>1541.52</v>
      </c>
      <c r="F9" s="43">
        <f t="shared" si="0"/>
        <v>1673.52</v>
      </c>
      <c r="G9" s="44">
        <v>1163.74</v>
      </c>
      <c r="H9" s="46">
        <v>1374.3600000000001</v>
      </c>
    </row>
    <row r="10" spans="1:9" ht="15" x14ac:dyDescent="0.2">
      <c r="A10" s="41" t="s">
        <v>352</v>
      </c>
      <c r="B10" s="41" t="s">
        <v>7186</v>
      </c>
      <c r="C10" s="41" t="s">
        <v>916</v>
      </c>
      <c r="D10" s="42">
        <v>570</v>
      </c>
      <c r="E10" s="42">
        <v>442.79</v>
      </c>
      <c r="F10" s="43">
        <f t="shared" si="0"/>
        <v>1012.79</v>
      </c>
      <c r="G10" s="44">
        <v>890.63</v>
      </c>
      <c r="H10" s="46">
        <v>350</v>
      </c>
    </row>
    <row r="11" spans="1:9" ht="15" x14ac:dyDescent="0.2">
      <c r="A11" s="41" t="s">
        <v>355</v>
      </c>
      <c r="B11" s="41" t="s">
        <v>358</v>
      </c>
      <c r="C11" s="41" t="s">
        <v>5138</v>
      </c>
      <c r="D11" s="42">
        <v>1146</v>
      </c>
      <c r="E11" s="42"/>
      <c r="F11" s="43">
        <f t="shared" si="0"/>
        <v>1146</v>
      </c>
      <c r="G11" s="44">
        <v>1683</v>
      </c>
      <c r="H11" s="46">
        <v>1337</v>
      </c>
    </row>
    <row r="12" spans="1:9" ht="15" x14ac:dyDescent="0.2">
      <c r="A12" s="41" t="s">
        <v>360</v>
      </c>
      <c r="B12" s="41" t="s">
        <v>363</v>
      </c>
      <c r="C12" s="41" t="s">
        <v>7187</v>
      </c>
      <c r="D12" s="42">
        <v>920</v>
      </c>
      <c r="E12" s="42">
        <v>761.64</v>
      </c>
      <c r="F12" s="43">
        <f t="shared" si="0"/>
        <v>1681.6399999999999</v>
      </c>
      <c r="G12" s="44">
        <v>1390.02</v>
      </c>
      <c r="H12" s="46">
        <v>1296.3800000000001</v>
      </c>
    </row>
    <row r="13" spans="1:9" ht="15" x14ac:dyDescent="0.2">
      <c r="A13" s="41" t="s">
        <v>364</v>
      </c>
      <c r="B13" s="41" t="s">
        <v>367</v>
      </c>
      <c r="C13" s="41" t="s">
        <v>7188</v>
      </c>
      <c r="D13" s="42">
        <v>618.95000000000005</v>
      </c>
      <c r="E13" s="42">
        <v>540.44000000000005</v>
      </c>
      <c r="F13" s="43">
        <f t="shared" si="0"/>
        <v>1159.3900000000001</v>
      </c>
      <c r="G13" s="44">
        <v>1364.32</v>
      </c>
      <c r="H13" s="46">
        <v>1418.73</v>
      </c>
    </row>
    <row r="14" spans="1:9" ht="15" x14ac:dyDescent="0.2">
      <c r="A14" s="41" t="s">
        <v>376</v>
      </c>
      <c r="B14" s="41" t="s">
        <v>7189</v>
      </c>
      <c r="C14" s="41" t="s">
        <v>378</v>
      </c>
      <c r="D14" s="42">
        <v>1135</v>
      </c>
      <c r="E14" s="42">
        <v>499.4</v>
      </c>
      <c r="F14" s="43">
        <f t="shared" si="0"/>
        <v>1634.4</v>
      </c>
      <c r="G14" s="44">
        <v>711.63</v>
      </c>
      <c r="H14" s="46">
        <v>696.12</v>
      </c>
    </row>
    <row r="15" spans="1:9" ht="15" x14ac:dyDescent="0.2">
      <c r="A15" s="41" t="s">
        <v>380</v>
      </c>
      <c r="B15" s="47" t="s">
        <v>7190</v>
      </c>
      <c r="C15" s="41" t="s">
        <v>382</v>
      </c>
      <c r="D15" s="42">
        <v>586</v>
      </c>
      <c r="E15" s="42">
        <v>794.18</v>
      </c>
      <c r="F15" s="43">
        <f t="shared" si="0"/>
        <v>1380.1799999999998</v>
      </c>
      <c r="G15" s="44">
        <v>1290.81</v>
      </c>
      <c r="H15" s="46">
        <v>1487.12</v>
      </c>
    </row>
    <row r="16" spans="1:9" ht="15" x14ac:dyDescent="0.2">
      <c r="A16" s="41" t="s">
        <v>388</v>
      </c>
      <c r="B16" s="41" t="s">
        <v>390</v>
      </c>
      <c r="C16" s="41" t="s">
        <v>1008</v>
      </c>
      <c r="D16" s="42">
        <v>0</v>
      </c>
      <c r="E16" s="42">
        <v>1056.3599999999999</v>
      </c>
      <c r="F16" s="43">
        <f t="shared" si="0"/>
        <v>1056.3599999999999</v>
      </c>
      <c r="G16" s="44">
        <v>1021.37</v>
      </c>
      <c r="H16" s="46">
        <v>809.98</v>
      </c>
    </row>
    <row r="17" spans="1:8" ht="15" x14ac:dyDescent="0.2">
      <c r="A17" s="41" t="s">
        <v>391</v>
      </c>
      <c r="B17" s="41" t="s">
        <v>390</v>
      </c>
      <c r="C17" s="41" t="s">
        <v>5610</v>
      </c>
      <c r="D17" s="42">
        <v>0</v>
      </c>
      <c r="E17" s="42">
        <v>157</v>
      </c>
      <c r="F17" s="43">
        <f t="shared" si="0"/>
        <v>157</v>
      </c>
      <c r="G17" s="44">
        <v>479</v>
      </c>
      <c r="H17" s="46">
        <v>560.13</v>
      </c>
    </row>
    <row r="18" spans="1:8" ht="15" x14ac:dyDescent="0.2">
      <c r="A18" s="41" t="s">
        <v>396</v>
      </c>
      <c r="B18" s="41" t="s">
        <v>390</v>
      </c>
      <c r="C18" s="41" t="s">
        <v>532</v>
      </c>
      <c r="D18" s="42">
        <v>100</v>
      </c>
      <c r="E18" s="42">
        <v>247.44</v>
      </c>
      <c r="F18" s="43">
        <f t="shared" si="0"/>
        <v>347.44</v>
      </c>
      <c r="G18" s="44">
        <v>310.69</v>
      </c>
      <c r="H18" s="46">
        <v>344.92</v>
      </c>
    </row>
    <row r="19" spans="1:8" ht="15" x14ac:dyDescent="0.2">
      <c r="A19" s="41" t="s">
        <v>398</v>
      </c>
      <c r="B19" s="41" t="s">
        <v>390</v>
      </c>
      <c r="C19" s="41" t="s">
        <v>896</v>
      </c>
      <c r="D19" s="42">
        <v>480</v>
      </c>
      <c r="E19" s="42">
        <v>0</v>
      </c>
      <c r="F19" s="43">
        <f t="shared" si="0"/>
        <v>480</v>
      </c>
      <c r="G19" s="44">
        <v>307.41000000000003</v>
      </c>
      <c r="H19" s="46">
        <v>262.84000000000003</v>
      </c>
    </row>
    <row r="20" spans="1:8" ht="15" x14ac:dyDescent="0.2">
      <c r="A20" s="41" t="s">
        <v>401</v>
      </c>
      <c r="B20" s="41" t="s">
        <v>390</v>
      </c>
      <c r="C20" s="41" t="s">
        <v>226</v>
      </c>
      <c r="D20" s="42">
        <v>265</v>
      </c>
      <c r="E20" s="42">
        <v>0</v>
      </c>
      <c r="F20" s="43">
        <f t="shared" si="0"/>
        <v>265</v>
      </c>
      <c r="G20" s="44">
        <v>200</v>
      </c>
      <c r="H20" s="46">
        <v>190.72</v>
      </c>
    </row>
    <row r="21" spans="1:8" ht="15" x14ac:dyDescent="0.2">
      <c r="A21" s="41" t="s">
        <v>404</v>
      </c>
      <c r="B21" s="41" t="s">
        <v>390</v>
      </c>
      <c r="C21" s="41" t="s">
        <v>453</v>
      </c>
      <c r="D21" s="42">
        <v>375.34</v>
      </c>
      <c r="E21" s="42">
        <v>0</v>
      </c>
      <c r="F21" s="43">
        <f t="shared" si="0"/>
        <v>375.34</v>
      </c>
      <c r="G21" s="44">
        <v>177</v>
      </c>
      <c r="H21" s="46">
        <v>579.69000000000005</v>
      </c>
    </row>
    <row r="22" spans="1:8" ht="15" x14ac:dyDescent="0.2">
      <c r="A22" s="41" t="s">
        <v>406</v>
      </c>
      <c r="B22" s="41" t="s">
        <v>7191</v>
      </c>
      <c r="C22" s="41" t="s">
        <v>7192</v>
      </c>
      <c r="D22" s="42">
        <v>125</v>
      </c>
      <c r="E22" s="42">
        <v>0</v>
      </c>
      <c r="F22" s="43">
        <f t="shared" si="0"/>
        <v>125</v>
      </c>
      <c r="G22" s="44">
        <v>125</v>
      </c>
      <c r="H22" s="46">
        <v>150</v>
      </c>
    </row>
    <row r="23" spans="1:8" ht="15" x14ac:dyDescent="0.2">
      <c r="A23" s="41" t="s">
        <v>410</v>
      </c>
      <c r="B23" s="41" t="s">
        <v>413</v>
      </c>
      <c r="C23" s="41" t="s">
        <v>7193</v>
      </c>
      <c r="D23" s="42">
        <v>232</v>
      </c>
      <c r="E23" s="42">
        <v>0</v>
      </c>
      <c r="F23" s="43">
        <f t="shared" si="0"/>
        <v>232</v>
      </c>
      <c r="G23" s="44">
        <v>197</v>
      </c>
      <c r="H23" s="46">
        <v>378</v>
      </c>
    </row>
    <row r="24" spans="1:8" ht="15" x14ac:dyDescent="0.2">
      <c r="A24" s="41" t="s">
        <v>414</v>
      </c>
      <c r="B24" s="41" t="s">
        <v>7194</v>
      </c>
      <c r="C24" s="41" t="s">
        <v>916</v>
      </c>
      <c r="D24" s="42">
        <v>1815.3</v>
      </c>
      <c r="E24" s="42">
        <v>0</v>
      </c>
      <c r="F24" s="43">
        <f t="shared" si="0"/>
        <v>1815.3</v>
      </c>
      <c r="G24" s="44">
        <v>1839.1000000000001</v>
      </c>
      <c r="H24" s="46">
        <v>1902.1100000000001</v>
      </c>
    </row>
    <row r="25" spans="1:8" ht="15" x14ac:dyDescent="0.2">
      <c r="A25" s="41" t="s">
        <v>419</v>
      </c>
      <c r="B25" s="41" t="s">
        <v>422</v>
      </c>
      <c r="C25" s="41" t="s">
        <v>7195</v>
      </c>
      <c r="D25" s="42">
        <v>1665.9</v>
      </c>
      <c r="E25" s="42">
        <v>0</v>
      </c>
      <c r="F25" s="43">
        <f t="shared" si="0"/>
        <v>1665.9</v>
      </c>
      <c r="G25" s="44">
        <v>1603</v>
      </c>
      <c r="H25" s="46">
        <v>968</v>
      </c>
    </row>
    <row r="26" spans="1:8" ht="15" x14ac:dyDescent="0.2">
      <c r="A26" s="41" t="s">
        <v>423</v>
      </c>
      <c r="B26" s="41" t="s">
        <v>7196</v>
      </c>
      <c r="C26" s="41" t="s">
        <v>7197</v>
      </c>
      <c r="D26" s="42">
        <v>384</v>
      </c>
      <c r="E26" s="42">
        <v>104.6</v>
      </c>
      <c r="F26" s="43">
        <f t="shared" si="0"/>
        <v>488.6</v>
      </c>
      <c r="G26" s="44">
        <v>1587.76</v>
      </c>
      <c r="H26" s="46">
        <v>602.45000000000005</v>
      </c>
    </row>
    <row r="27" spans="1:8" ht="15" x14ac:dyDescent="0.2">
      <c r="A27" s="41" t="s">
        <v>426</v>
      </c>
      <c r="B27" s="41" t="s">
        <v>429</v>
      </c>
      <c r="C27" s="41" t="s">
        <v>231</v>
      </c>
      <c r="D27" s="42">
        <v>1973.82</v>
      </c>
      <c r="E27" s="42">
        <v>0</v>
      </c>
      <c r="F27" s="43">
        <f t="shared" si="0"/>
        <v>1973.82</v>
      </c>
      <c r="G27" s="44">
        <v>1819.28</v>
      </c>
      <c r="H27" s="46">
        <v>1876.58</v>
      </c>
    </row>
    <row r="28" spans="1:8" ht="15" x14ac:dyDescent="0.2">
      <c r="A28" s="41" t="s">
        <v>430</v>
      </c>
      <c r="B28" s="41" t="s">
        <v>432</v>
      </c>
      <c r="C28" s="41" t="s">
        <v>839</v>
      </c>
      <c r="D28" s="42">
        <v>212</v>
      </c>
      <c r="E28" s="42">
        <v>1904.97</v>
      </c>
      <c r="F28" s="43">
        <f t="shared" si="0"/>
        <v>2116.9700000000003</v>
      </c>
      <c r="G28" s="44">
        <v>2482.61</v>
      </c>
      <c r="H28" s="46">
        <v>2827.87</v>
      </c>
    </row>
    <row r="29" spans="1:8" ht="15" x14ac:dyDescent="0.2">
      <c r="A29" s="41" t="s">
        <v>433</v>
      </c>
      <c r="B29" s="41" t="s">
        <v>435</v>
      </c>
      <c r="C29" s="41" t="s">
        <v>7185</v>
      </c>
      <c r="D29" s="42">
        <v>677</v>
      </c>
      <c r="E29" s="42">
        <v>787.03</v>
      </c>
      <c r="F29" s="43">
        <f t="shared" si="0"/>
        <v>1464.03</v>
      </c>
      <c r="G29" s="44">
        <v>2317.35</v>
      </c>
      <c r="H29" s="46">
        <v>2416.96</v>
      </c>
    </row>
    <row r="30" spans="1:8" ht="15" x14ac:dyDescent="0.2">
      <c r="A30" s="41" t="s">
        <v>440</v>
      </c>
      <c r="B30" s="41" t="s">
        <v>7198</v>
      </c>
      <c r="C30" s="41" t="s">
        <v>7199</v>
      </c>
      <c r="D30" s="42">
        <v>100</v>
      </c>
      <c r="E30" s="42">
        <v>0</v>
      </c>
      <c r="F30" s="43">
        <f t="shared" si="0"/>
        <v>100</v>
      </c>
      <c r="G30" s="44">
        <v>250</v>
      </c>
      <c r="H30" s="46">
        <v>0</v>
      </c>
    </row>
    <row r="31" spans="1:8" ht="15" x14ac:dyDescent="0.2">
      <c r="A31" s="41" t="s">
        <v>444</v>
      </c>
      <c r="B31" s="41" t="s">
        <v>446</v>
      </c>
      <c r="C31" s="41" t="s">
        <v>231</v>
      </c>
      <c r="D31" s="42">
        <v>1786</v>
      </c>
      <c r="E31" s="42">
        <v>284.92</v>
      </c>
      <c r="F31" s="43">
        <f t="shared" si="0"/>
        <v>2070.92</v>
      </c>
      <c r="G31" s="44">
        <v>1045.3</v>
      </c>
      <c r="H31" s="46">
        <v>805</v>
      </c>
    </row>
    <row r="32" spans="1:8" ht="15" x14ac:dyDescent="0.2">
      <c r="A32" s="41" t="s">
        <v>447</v>
      </c>
      <c r="B32" s="41" t="s">
        <v>7200</v>
      </c>
      <c r="C32" s="41" t="s">
        <v>449</v>
      </c>
      <c r="D32" s="42">
        <v>456</v>
      </c>
      <c r="E32" s="42">
        <v>1109.5899999999999</v>
      </c>
      <c r="F32" s="43">
        <f t="shared" si="0"/>
        <v>1565.59</v>
      </c>
      <c r="G32" s="44">
        <v>1263.4000000000001</v>
      </c>
      <c r="H32" s="46">
        <v>1154.5500000000002</v>
      </c>
    </row>
    <row r="33" spans="1:8" ht="15" x14ac:dyDescent="0.2">
      <c r="A33" s="41" t="s">
        <v>455</v>
      </c>
      <c r="B33" s="41" t="s">
        <v>409</v>
      </c>
      <c r="C33" s="41" t="s">
        <v>7201</v>
      </c>
      <c r="D33" s="42">
        <v>720</v>
      </c>
      <c r="E33" s="42">
        <v>1817.88</v>
      </c>
      <c r="F33" s="43">
        <f t="shared" si="0"/>
        <v>2537.88</v>
      </c>
      <c r="G33" s="44">
        <v>3208.07</v>
      </c>
      <c r="H33" s="46">
        <v>3337.94</v>
      </c>
    </row>
    <row r="34" spans="1:8" ht="15" x14ac:dyDescent="0.2">
      <c r="A34" s="41" t="s">
        <v>462</v>
      </c>
      <c r="B34" s="41" t="s">
        <v>465</v>
      </c>
      <c r="C34" s="41" t="s">
        <v>464</v>
      </c>
      <c r="D34" s="42">
        <v>292</v>
      </c>
      <c r="E34" s="42">
        <v>670.47</v>
      </c>
      <c r="F34" s="43">
        <f t="shared" si="0"/>
        <v>962.47</v>
      </c>
      <c r="G34" s="44">
        <v>1017.81</v>
      </c>
      <c r="H34" s="46">
        <v>1237.3000000000002</v>
      </c>
    </row>
    <row r="35" spans="1:8" ht="15" x14ac:dyDescent="0.2">
      <c r="A35" s="41" t="s">
        <v>466</v>
      </c>
      <c r="B35" s="41" t="s">
        <v>468</v>
      </c>
      <c r="C35" s="41" t="s">
        <v>532</v>
      </c>
      <c r="D35" s="42">
        <v>195</v>
      </c>
      <c r="E35" s="42">
        <v>1262.06</v>
      </c>
      <c r="F35" s="43">
        <f t="shared" si="0"/>
        <v>1457.06</v>
      </c>
      <c r="G35" s="44">
        <v>1621.52</v>
      </c>
      <c r="H35" s="46">
        <v>1769.65</v>
      </c>
    </row>
    <row r="36" spans="1:8" ht="15" x14ac:dyDescent="0.2">
      <c r="A36" s="47" t="s">
        <v>7202</v>
      </c>
      <c r="B36" s="48" t="s">
        <v>473</v>
      </c>
      <c r="C36" s="49" t="s">
        <v>7203</v>
      </c>
      <c r="D36" s="42">
        <f>747+265</f>
        <v>1012</v>
      </c>
      <c r="E36" s="42">
        <v>3580.18</v>
      </c>
      <c r="F36" s="43">
        <f t="shared" si="0"/>
        <v>4592.18</v>
      </c>
      <c r="G36" s="44">
        <v>6260.09</v>
      </c>
      <c r="H36" s="46">
        <v>4700.63</v>
      </c>
    </row>
    <row r="37" spans="1:8" ht="15" x14ac:dyDescent="0.2">
      <c r="A37" s="41" t="s">
        <v>480</v>
      </c>
      <c r="B37" s="41" t="s">
        <v>473</v>
      </c>
      <c r="C37" s="41" t="s">
        <v>916</v>
      </c>
      <c r="D37" s="42">
        <v>120</v>
      </c>
      <c r="E37" s="42">
        <v>1012.84</v>
      </c>
      <c r="F37" s="43">
        <f t="shared" si="0"/>
        <v>1132.8400000000001</v>
      </c>
      <c r="G37" s="44">
        <v>812.82</v>
      </c>
      <c r="H37" s="46">
        <v>1033.72</v>
      </c>
    </row>
    <row r="38" spans="1:8" ht="15" x14ac:dyDescent="0.2">
      <c r="A38" s="41" t="s">
        <v>482</v>
      </c>
      <c r="B38" s="41" t="s">
        <v>485</v>
      </c>
      <c r="C38" s="41" t="s">
        <v>2816</v>
      </c>
      <c r="D38" s="42">
        <v>692</v>
      </c>
      <c r="E38" s="42">
        <v>2071.63</v>
      </c>
      <c r="F38" s="43">
        <f t="shared" si="0"/>
        <v>2763.63</v>
      </c>
      <c r="G38" s="44">
        <v>2676.07</v>
      </c>
      <c r="H38" s="46">
        <v>2319.71</v>
      </c>
    </row>
    <row r="39" spans="1:8" ht="15" x14ac:dyDescent="0.2">
      <c r="A39" s="41" t="s">
        <v>486</v>
      </c>
      <c r="B39" s="41" t="s">
        <v>7204</v>
      </c>
      <c r="C39" s="41" t="s">
        <v>382</v>
      </c>
      <c r="D39" s="42">
        <v>560</v>
      </c>
      <c r="E39" s="42">
        <v>1257.77</v>
      </c>
      <c r="F39" s="43">
        <f t="shared" si="0"/>
        <v>1817.77</v>
      </c>
      <c r="G39" s="44">
        <v>1908.61</v>
      </c>
      <c r="H39" s="46">
        <v>1916.6200000000001</v>
      </c>
    </row>
    <row r="40" spans="1:8" ht="15" x14ac:dyDescent="0.2">
      <c r="A40" s="41" t="s">
        <v>490</v>
      </c>
      <c r="B40" s="41" t="s">
        <v>7205</v>
      </c>
      <c r="C40" s="41" t="s">
        <v>7206</v>
      </c>
      <c r="D40" s="42">
        <v>231</v>
      </c>
      <c r="E40" s="42">
        <v>1311.2</v>
      </c>
      <c r="F40" s="43">
        <f t="shared" si="0"/>
        <v>1542.2</v>
      </c>
      <c r="G40" s="44">
        <v>1442.51</v>
      </c>
      <c r="H40" s="46">
        <v>2452.1999999999998</v>
      </c>
    </row>
    <row r="41" spans="1:8" ht="15" x14ac:dyDescent="0.2">
      <c r="A41" s="41" t="s">
        <v>499</v>
      </c>
      <c r="B41" s="41" t="s">
        <v>501</v>
      </c>
      <c r="C41" s="41" t="s">
        <v>532</v>
      </c>
      <c r="D41" s="42">
        <v>1122</v>
      </c>
      <c r="E41" s="42">
        <v>3907.84</v>
      </c>
      <c r="F41" s="43">
        <f t="shared" si="0"/>
        <v>5029.84</v>
      </c>
      <c r="G41" s="44">
        <v>5366.52</v>
      </c>
      <c r="H41" s="46">
        <v>5475.34</v>
      </c>
    </row>
    <row r="42" spans="1:8" ht="15" x14ac:dyDescent="0.2">
      <c r="A42" s="41" t="s">
        <v>502</v>
      </c>
      <c r="B42" s="41" t="s">
        <v>505</v>
      </c>
      <c r="C42" s="41" t="s">
        <v>7207</v>
      </c>
      <c r="D42" s="42">
        <v>198</v>
      </c>
      <c r="E42" s="42">
        <v>1156.72</v>
      </c>
      <c r="F42" s="43">
        <f t="shared" si="0"/>
        <v>1354.72</v>
      </c>
      <c r="G42" s="44">
        <v>1353.36</v>
      </c>
      <c r="H42" s="46">
        <v>1770.6200000000001</v>
      </c>
    </row>
    <row r="43" spans="1:8" ht="15" x14ac:dyDescent="0.2">
      <c r="A43" s="41" t="s">
        <v>506</v>
      </c>
      <c r="B43" s="41" t="s">
        <v>509</v>
      </c>
      <c r="C43" s="41" t="s">
        <v>7208</v>
      </c>
      <c r="D43" s="42">
        <v>940.32</v>
      </c>
      <c r="E43" s="42">
        <v>0</v>
      </c>
      <c r="F43" s="43">
        <f t="shared" si="0"/>
        <v>940.32</v>
      </c>
      <c r="G43" s="44">
        <v>1243.0900000000001</v>
      </c>
      <c r="H43" s="46">
        <v>1030.53</v>
      </c>
    </row>
    <row r="44" spans="1:8" ht="15" x14ac:dyDescent="0.2">
      <c r="A44" s="41" t="s">
        <v>510</v>
      </c>
      <c r="B44" s="41" t="s">
        <v>513</v>
      </c>
      <c r="C44" s="41" t="s">
        <v>6542</v>
      </c>
      <c r="D44" s="42">
        <v>1247</v>
      </c>
      <c r="E44" s="42">
        <v>2645.94</v>
      </c>
      <c r="F44" s="43">
        <f t="shared" si="0"/>
        <v>3892.94</v>
      </c>
      <c r="G44" s="44">
        <v>2840.65</v>
      </c>
      <c r="H44" s="46">
        <v>2786.4300000000003</v>
      </c>
    </row>
    <row r="45" spans="1:8" ht="15" x14ac:dyDescent="0.2">
      <c r="A45" s="41" t="s">
        <v>515</v>
      </c>
      <c r="B45" s="41" t="s">
        <v>7209</v>
      </c>
      <c r="C45" s="41" t="s">
        <v>1165</v>
      </c>
      <c r="D45" s="42">
        <v>105</v>
      </c>
      <c r="E45" s="42">
        <v>559.75</v>
      </c>
      <c r="F45" s="43">
        <f t="shared" si="0"/>
        <v>664.75</v>
      </c>
      <c r="G45" s="44">
        <v>723.55</v>
      </c>
      <c r="H45" s="46">
        <v>712.52</v>
      </c>
    </row>
    <row r="46" spans="1:8" ht="15" x14ac:dyDescent="0.2">
      <c r="A46" s="41" t="s">
        <v>518</v>
      </c>
      <c r="B46" s="41" t="s">
        <v>7210</v>
      </c>
      <c r="C46" s="41" t="s">
        <v>5270</v>
      </c>
      <c r="D46" s="42">
        <v>305</v>
      </c>
      <c r="E46" s="42">
        <v>723</v>
      </c>
      <c r="F46" s="43">
        <f t="shared" si="0"/>
        <v>1028</v>
      </c>
      <c r="G46" s="44">
        <v>946</v>
      </c>
      <c r="H46" s="46">
        <v>915.5</v>
      </c>
    </row>
    <row r="47" spans="1:8" ht="15" x14ac:dyDescent="0.2">
      <c r="A47" s="41" t="s">
        <v>521</v>
      </c>
      <c r="B47" s="41" t="s">
        <v>7211</v>
      </c>
      <c r="C47" s="41" t="s">
        <v>523</v>
      </c>
      <c r="D47" s="42">
        <v>1390</v>
      </c>
      <c r="E47" s="42">
        <v>1206.33</v>
      </c>
      <c r="F47" s="43">
        <f t="shared" si="0"/>
        <v>2596.33</v>
      </c>
      <c r="G47" s="44">
        <v>2871.31</v>
      </c>
      <c r="H47" s="46">
        <v>2436.63</v>
      </c>
    </row>
    <row r="48" spans="1:8" ht="15" x14ac:dyDescent="0.2">
      <c r="A48" s="41" t="s">
        <v>525</v>
      </c>
      <c r="B48" s="41" t="s">
        <v>528</v>
      </c>
      <c r="C48" s="41" t="s">
        <v>3029</v>
      </c>
      <c r="D48" s="42">
        <v>286</v>
      </c>
      <c r="E48" s="42">
        <v>39.61</v>
      </c>
      <c r="F48" s="43">
        <f t="shared" si="0"/>
        <v>325.61</v>
      </c>
      <c r="G48" s="44">
        <v>1081</v>
      </c>
      <c r="H48" s="46">
        <v>1188.2</v>
      </c>
    </row>
    <row r="49" spans="1:8" ht="15" x14ac:dyDescent="0.2">
      <c r="A49" s="41" t="s">
        <v>536</v>
      </c>
      <c r="B49" s="41" t="s">
        <v>7212</v>
      </c>
      <c r="C49" s="41" t="s">
        <v>1047</v>
      </c>
      <c r="D49" s="42">
        <v>387</v>
      </c>
      <c r="E49" s="42">
        <v>663.96</v>
      </c>
      <c r="F49" s="43">
        <f t="shared" si="0"/>
        <v>1050.96</v>
      </c>
      <c r="G49" s="44">
        <v>1184.1799999999998</v>
      </c>
      <c r="H49" s="46">
        <v>1907</v>
      </c>
    </row>
    <row r="50" spans="1:8" ht="15" x14ac:dyDescent="0.2">
      <c r="A50" s="41" t="s">
        <v>539</v>
      </c>
      <c r="B50" s="41" t="s">
        <v>443</v>
      </c>
      <c r="C50" s="41" t="s">
        <v>532</v>
      </c>
      <c r="D50" s="42">
        <v>390</v>
      </c>
      <c r="E50" s="42">
        <v>638.29</v>
      </c>
      <c r="F50" s="43">
        <f t="shared" si="0"/>
        <v>1028.29</v>
      </c>
      <c r="G50" s="44">
        <v>1110.78</v>
      </c>
      <c r="H50" s="46">
        <v>1184.5700000000002</v>
      </c>
    </row>
    <row r="51" spans="1:8" ht="15" x14ac:dyDescent="0.2">
      <c r="A51" s="41" t="s">
        <v>541</v>
      </c>
      <c r="B51" s="41" t="s">
        <v>443</v>
      </c>
      <c r="C51" s="41" t="s">
        <v>226</v>
      </c>
      <c r="D51" s="42">
        <v>406.18</v>
      </c>
      <c r="E51" s="42">
        <v>491.96</v>
      </c>
      <c r="F51" s="43">
        <f t="shared" si="0"/>
        <v>898.14</v>
      </c>
      <c r="G51" s="44">
        <v>1064.29</v>
      </c>
      <c r="H51" s="46">
        <v>1200.3499999999999</v>
      </c>
    </row>
    <row r="52" spans="1:8" ht="15" x14ac:dyDescent="0.2">
      <c r="A52" s="41" t="s">
        <v>543</v>
      </c>
      <c r="B52" s="41" t="s">
        <v>545</v>
      </c>
      <c r="C52" s="41" t="s">
        <v>7193</v>
      </c>
      <c r="D52" s="42">
        <v>390</v>
      </c>
      <c r="E52" s="42">
        <v>1227.73</v>
      </c>
      <c r="F52" s="43">
        <f t="shared" si="0"/>
        <v>1617.73</v>
      </c>
      <c r="G52" s="44">
        <v>1458.08</v>
      </c>
      <c r="H52" s="46">
        <v>1242.28</v>
      </c>
    </row>
    <row r="53" spans="1:8" ht="15" x14ac:dyDescent="0.2">
      <c r="A53" s="41" t="s">
        <v>546</v>
      </c>
      <c r="B53" s="41" t="s">
        <v>7213</v>
      </c>
      <c r="C53" s="41" t="s">
        <v>7214</v>
      </c>
      <c r="D53" s="42">
        <v>40</v>
      </c>
      <c r="E53" s="42">
        <v>383.98</v>
      </c>
      <c r="F53" s="43">
        <f t="shared" si="0"/>
        <v>423.98</v>
      </c>
      <c r="G53" s="44">
        <v>581.32000000000005</v>
      </c>
      <c r="H53" s="46">
        <v>434.27</v>
      </c>
    </row>
    <row r="54" spans="1:8" ht="15" x14ac:dyDescent="0.2">
      <c r="A54" s="41" t="s">
        <v>550</v>
      </c>
      <c r="B54" s="41" t="s">
        <v>552</v>
      </c>
      <c r="C54" s="41" t="s">
        <v>1203</v>
      </c>
      <c r="D54" s="42">
        <v>236</v>
      </c>
      <c r="E54" s="42">
        <v>296</v>
      </c>
      <c r="F54" s="43">
        <f t="shared" si="0"/>
        <v>532</v>
      </c>
      <c r="G54" s="44">
        <v>850</v>
      </c>
      <c r="H54" s="46">
        <v>1191.0900000000001</v>
      </c>
    </row>
    <row r="55" spans="1:8" ht="15" x14ac:dyDescent="0.2">
      <c r="A55" s="41" t="s">
        <v>558</v>
      </c>
      <c r="B55" s="41" t="s">
        <v>561</v>
      </c>
      <c r="C55" s="41" t="s">
        <v>560</v>
      </c>
      <c r="D55" s="42">
        <v>100</v>
      </c>
      <c r="E55" s="42">
        <v>0</v>
      </c>
      <c r="F55" s="43">
        <f t="shared" si="0"/>
        <v>100</v>
      </c>
      <c r="G55" s="44">
        <v>120</v>
      </c>
      <c r="H55" s="46">
        <v>120</v>
      </c>
    </row>
    <row r="56" spans="1:8" ht="15" x14ac:dyDescent="0.2">
      <c r="A56" s="41" t="s">
        <v>562</v>
      </c>
      <c r="B56" s="41" t="s">
        <v>565</v>
      </c>
      <c r="C56" s="41" t="s">
        <v>2667</v>
      </c>
      <c r="D56" s="42">
        <v>250</v>
      </c>
      <c r="E56" s="42">
        <v>5123.33</v>
      </c>
      <c r="F56" s="43">
        <f t="shared" si="0"/>
        <v>5373.33</v>
      </c>
      <c r="G56" s="44">
        <v>6487.84</v>
      </c>
      <c r="H56" s="46">
        <v>6406.26</v>
      </c>
    </row>
    <row r="57" spans="1:8" ht="15" x14ac:dyDescent="0.2">
      <c r="A57" s="41" t="s">
        <v>566</v>
      </c>
      <c r="B57" s="41" t="s">
        <v>7215</v>
      </c>
      <c r="C57" s="41" t="s">
        <v>568</v>
      </c>
      <c r="D57" s="42">
        <v>753.31</v>
      </c>
      <c r="E57" s="42">
        <v>0</v>
      </c>
      <c r="F57" s="43">
        <f t="shared" si="0"/>
        <v>753.31</v>
      </c>
      <c r="G57" s="44">
        <v>794.37</v>
      </c>
      <c r="H57" s="46">
        <v>593.54999999999995</v>
      </c>
    </row>
    <row r="58" spans="1:8" ht="15" x14ac:dyDescent="0.2">
      <c r="A58" s="41" t="s">
        <v>571</v>
      </c>
      <c r="B58" s="41" t="s">
        <v>573</v>
      </c>
      <c r="C58" s="41" t="s">
        <v>7216</v>
      </c>
      <c r="D58" s="42">
        <v>250</v>
      </c>
      <c r="E58" s="42">
        <v>181.75</v>
      </c>
      <c r="F58" s="43">
        <f t="shared" si="0"/>
        <v>431.75</v>
      </c>
      <c r="G58" s="44">
        <v>175.54000000000002</v>
      </c>
      <c r="H58" s="46">
        <v>300.70000000000005</v>
      </c>
    </row>
    <row r="59" spans="1:8" ht="15" x14ac:dyDescent="0.2">
      <c r="A59" s="41" t="s">
        <v>577</v>
      </c>
      <c r="B59" s="41" t="s">
        <v>7217</v>
      </c>
      <c r="C59" s="41" t="s">
        <v>1871</v>
      </c>
      <c r="D59" s="42">
        <v>720</v>
      </c>
      <c r="E59" s="42">
        <v>2185.61</v>
      </c>
      <c r="F59" s="43">
        <f t="shared" si="0"/>
        <v>2905.61</v>
      </c>
      <c r="G59" s="44">
        <v>3504.27</v>
      </c>
      <c r="H59" s="46">
        <v>4605.21</v>
      </c>
    </row>
    <row r="60" spans="1:8" ht="15" x14ac:dyDescent="0.2">
      <c r="A60" s="41" t="s">
        <v>581</v>
      </c>
      <c r="B60" s="41" t="s">
        <v>7218</v>
      </c>
      <c r="C60" s="41" t="s">
        <v>3659</v>
      </c>
      <c r="D60" s="42">
        <v>170</v>
      </c>
      <c r="E60" s="42">
        <v>0</v>
      </c>
      <c r="F60" s="43">
        <f t="shared" si="0"/>
        <v>170</v>
      </c>
      <c r="G60" s="44">
        <v>160</v>
      </c>
      <c r="H60" s="46">
        <v>170</v>
      </c>
    </row>
    <row r="61" spans="1:8" ht="15" x14ac:dyDescent="0.2">
      <c r="A61" s="41" t="s">
        <v>585</v>
      </c>
      <c r="B61" s="41" t="s">
        <v>7219</v>
      </c>
      <c r="C61" s="41" t="s">
        <v>7220</v>
      </c>
      <c r="D61" s="42">
        <v>495</v>
      </c>
      <c r="E61" s="42">
        <v>1145.3699999999999</v>
      </c>
      <c r="F61" s="43">
        <f t="shared" si="0"/>
        <v>1640.37</v>
      </c>
      <c r="G61" s="44">
        <v>1025.73</v>
      </c>
      <c r="H61" s="46">
        <v>866.81000000000006</v>
      </c>
    </row>
    <row r="62" spans="1:8" ht="15" x14ac:dyDescent="0.2">
      <c r="A62" s="41" t="s">
        <v>588</v>
      </c>
      <c r="B62" s="41" t="s">
        <v>590</v>
      </c>
      <c r="C62" s="41" t="s">
        <v>1047</v>
      </c>
      <c r="D62" s="42">
        <v>335.16</v>
      </c>
      <c r="E62" s="42">
        <v>989.32</v>
      </c>
      <c r="F62" s="43">
        <f t="shared" si="0"/>
        <v>1324.48</v>
      </c>
      <c r="G62" s="44">
        <v>1339.93</v>
      </c>
      <c r="H62" s="46">
        <v>1134.01</v>
      </c>
    </row>
    <row r="63" spans="1:8" ht="15" x14ac:dyDescent="0.2">
      <c r="A63" s="41" t="s">
        <v>591</v>
      </c>
      <c r="B63" s="41" t="s">
        <v>667</v>
      </c>
      <c r="C63" s="41" t="s">
        <v>164</v>
      </c>
      <c r="D63" s="42">
        <v>2101.1</v>
      </c>
      <c r="E63" s="42">
        <v>0</v>
      </c>
      <c r="F63" s="43">
        <f t="shared" si="0"/>
        <v>2101.1</v>
      </c>
      <c r="G63" s="44">
        <v>1599.19</v>
      </c>
      <c r="H63" s="46">
        <v>1837.49</v>
      </c>
    </row>
    <row r="64" spans="1:8" ht="15" x14ac:dyDescent="0.2">
      <c r="A64" s="41" t="s">
        <v>594</v>
      </c>
      <c r="B64" s="41" t="s">
        <v>596</v>
      </c>
      <c r="C64" s="41" t="s">
        <v>231</v>
      </c>
      <c r="D64" s="42">
        <v>519</v>
      </c>
      <c r="E64" s="42">
        <v>245.27</v>
      </c>
      <c r="F64" s="43">
        <f t="shared" si="0"/>
        <v>764.27</v>
      </c>
      <c r="G64" s="44">
        <v>702.62</v>
      </c>
      <c r="H64" s="46">
        <v>1406.49</v>
      </c>
    </row>
    <row r="65" spans="1:8" ht="15" x14ac:dyDescent="0.2">
      <c r="A65" s="41" t="s">
        <v>597</v>
      </c>
      <c r="B65" s="41" t="s">
        <v>596</v>
      </c>
      <c r="C65" s="41" t="s">
        <v>1065</v>
      </c>
      <c r="D65" s="42">
        <v>500</v>
      </c>
      <c r="E65" s="42">
        <v>497.01</v>
      </c>
      <c r="F65" s="43">
        <f t="shared" si="0"/>
        <v>997.01</v>
      </c>
      <c r="G65" s="44">
        <v>1220.28</v>
      </c>
      <c r="H65" s="46">
        <v>1073.53</v>
      </c>
    </row>
    <row r="66" spans="1:8" ht="15" x14ac:dyDescent="0.2">
      <c r="A66" s="50" t="s">
        <v>600</v>
      </c>
      <c r="B66" s="41" t="s">
        <v>596</v>
      </c>
      <c r="C66" s="41" t="s">
        <v>2900</v>
      </c>
      <c r="D66" s="42">
        <v>120</v>
      </c>
      <c r="E66" s="42">
        <v>567.55999999999995</v>
      </c>
      <c r="F66" s="43">
        <f t="shared" si="0"/>
        <v>687.56</v>
      </c>
      <c r="G66" s="44">
        <v>975</v>
      </c>
      <c r="H66" s="46">
        <v>755</v>
      </c>
    </row>
    <row r="67" spans="1:8" ht="15" x14ac:dyDescent="0.2">
      <c r="A67" s="41" t="s">
        <v>603</v>
      </c>
      <c r="B67" s="41" t="s">
        <v>7221</v>
      </c>
      <c r="C67" s="41" t="s">
        <v>605</v>
      </c>
      <c r="D67" s="42">
        <v>515</v>
      </c>
      <c r="E67" s="42">
        <v>540</v>
      </c>
      <c r="F67" s="43">
        <f t="shared" si="0"/>
        <v>1055</v>
      </c>
      <c r="G67" s="44">
        <v>1165.3899999999999</v>
      </c>
      <c r="H67" s="46">
        <v>867.9</v>
      </c>
    </row>
    <row r="68" spans="1:8" ht="15" x14ac:dyDescent="0.2">
      <c r="A68" s="41" t="s">
        <v>610</v>
      </c>
      <c r="B68" s="41" t="s">
        <v>7222</v>
      </c>
      <c r="C68" s="41" t="s">
        <v>3880</v>
      </c>
      <c r="D68" s="42">
        <v>940</v>
      </c>
      <c r="E68" s="42">
        <v>1253</v>
      </c>
      <c r="F68" s="43">
        <f t="shared" si="0"/>
        <v>2193</v>
      </c>
      <c r="G68" s="44">
        <v>1617.3</v>
      </c>
      <c r="H68" s="46">
        <v>650</v>
      </c>
    </row>
    <row r="69" spans="1:8" ht="15" x14ac:dyDescent="0.2">
      <c r="A69" s="41" t="s">
        <v>7223</v>
      </c>
      <c r="B69" s="41" t="s">
        <v>7224</v>
      </c>
      <c r="C69" s="41" t="s">
        <v>7225</v>
      </c>
      <c r="D69" s="42">
        <f>445+225</f>
        <v>670</v>
      </c>
      <c r="E69" s="42">
        <v>368.31</v>
      </c>
      <c r="F69" s="43">
        <f t="shared" ref="F69:F117" si="1">E69+D69</f>
        <v>1038.31</v>
      </c>
      <c r="G69" s="44">
        <v>1070.3800000000001</v>
      </c>
      <c r="H69" s="46">
        <v>831.42000000000007</v>
      </c>
    </row>
    <row r="70" spans="1:8" ht="15" x14ac:dyDescent="0.2">
      <c r="A70" s="41" t="s">
        <v>618</v>
      </c>
      <c r="B70" s="41" t="s">
        <v>7226</v>
      </c>
      <c r="C70" s="41" t="s">
        <v>620</v>
      </c>
      <c r="D70" s="42">
        <v>147</v>
      </c>
      <c r="E70" s="42">
        <v>2359.6999999999998</v>
      </c>
      <c r="F70" s="43">
        <f t="shared" si="1"/>
        <v>2506.6999999999998</v>
      </c>
      <c r="G70" s="44">
        <v>2534.7399999999998</v>
      </c>
      <c r="H70" s="46">
        <v>2667</v>
      </c>
    </row>
    <row r="71" spans="1:8" ht="15" x14ac:dyDescent="0.2">
      <c r="A71" s="41" t="s">
        <v>621</v>
      </c>
      <c r="B71" s="41" t="s">
        <v>489</v>
      </c>
      <c r="C71" s="41" t="s">
        <v>2816</v>
      </c>
      <c r="D71" s="42">
        <v>885</v>
      </c>
      <c r="E71" s="42">
        <v>513.76</v>
      </c>
      <c r="F71" s="43">
        <f t="shared" si="1"/>
        <v>1398.76</v>
      </c>
      <c r="G71" s="44">
        <v>1622.4299999999998</v>
      </c>
      <c r="H71" s="46">
        <v>1372.2</v>
      </c>
    </row>
    <row r="72" spans="1:8" ht="15" x14ac:dyDescent="0.2">
      <c r="A72" s="41" t="s">
        <v>623</v>
      </c>
      <c r="B72" s="41" t="s">
        <v>626</v>
      </c>
      <c r="C72" s="41" t="s">
        <v>7227</v>
      </c>
      <c r="D72" s="42">
        <v>325</v>
      </c>
      <c r="E72" s="42">
        <v>1082.82</v>
      </c>
      <c r="F72" s="43">
        <f t="shared" si="1"/>
        <v>1407.82</v>
      </c>
      <c r="G72" s="44">
        <v>1711.27</v>
      </c>
      <c r="H72" s="46">
        <v>1715.13</v>
      </c>
    </row>
    <row r="73" spans="1:8" ht="15" x14ac:dyDescent="0.2">
      <c r="A73" s="41" t="s">
        <v>628</v>
      </c>
      <c r="B73" s="41" t="s">
        <v>631</v>
      </c>
      <c r="C73" s="41" t="s">
        <v>6487</v>
      </c>
      <c r="D73" s="42">
        <v>150</v>
      </c>
      <c r="E73" s="42">
        <v>530.74</v>
      </c>
      <c r="F73" s="43">
        <f t="shared" si="1"/>
        <v>680.74</v>
      </c>
      <c r="G73" s="44">
        <v>952.65</v>
      </c>
      <c r="H73" s="46">
        <v>611</v>
      </c>
    </row>
    <row r="74" spans="1:8" ht="15" x14ac:dyDescent="0.2">
      <c r="A74" s="41" t="s">
        <v>632</v>
      </c>
      <c r="B74" s="41" t="s">
        <v>340</v>
      </c>
      <c r="C74" s="41" t="s">
        <v>7228</v>
      </c>
      <c r="D74" s="42">
        <v>260</v>
      </c>
      <c r="E74" s="42">
        <v>440.47</v>
      </c>
      <c r="F74" s="43">
        <f t="shared" si="1"/>
        <v>700.47</v>
      </c>
      <c r="G74" s="44">
        <v>621.72</v>
      </c>
      <c r="H74" s="46">
        <v>583.91000000000008</v>
      </c>
    </row>
    <row r="75" spans="1:8" ht="15" x14ac:dyDescent="0.2">
      <c r="A75" s="41" t="s">
        <v>635</v>
      </c>
      <c r="B75" s="41" t="s">
        <v>637</v>
      </c>
      <c r="C75" s="41" t="s">
        <v>78</v>
      </c>
      <c r="D75" s="42">
        <v>910.77</v>
      </c>
      <c r="E75" s="42">
        <v>0</v>
      </c>
      <c r="F75" s="43">
        <f t="shared" si="1"/>
        <v>910.77</v>
      </c>
      <c r="G75" s="44">
        <v>447.2</v>
      </c>
      <c r="H75" s="46">
        <v>547</v>
      </c>
    </row>
    <row r="76" spans="1:8" ht="15" x14ac:dyDescent="0.2">
      <c r="A76" s="41" t="s">
        <v>638</v>
      </c>
      <c r="B76" s="41" t="s">
        <v>7229</v>
      </c>
      <c r="C76" s="41" t="s">
        <v>5069</v>
      </c>
      <c r="D76" s="42">
        <v>631.53</v>
      </c>
      <c r="E76" s="42">
        <v>70.09</v>
      </c>
      <c r="F76" s="43">
        <f t="shared" si="1"/>
        <v>701.62</v>
      </c>
      <c r="G76" s="44">
        <v>640.69000000000005</v>
      </c>
      <c r="H76" s="46">
        <v>935.41000000000008</v>
      </c>
    </row>
    <row r="77" spans="1:8" ht="15" x14ac:dyDescent="0.2">
      <c r="A77" s="48" t="s">
        <v>7230</v>
      </c>
      <c r="B77" s="41" t="s">
        <v>7231</v>
      </c>
      <c r="C77" s="41" t="s">
        <v>7232</v>
      </c>
      <c r="D77" s="42">
        <f>1173.96+1297.4</f>
        <v>2471.36</v>
      </c>
      <c r="E77" s="42">
        <v>0</v>
      </c>
      <c r="F77" s="43">
        <f t="shared" si="1"/>
        <v>2471.36</v>
      </c>
      <c r="G77" s="44">
        <v>2590.75</v>
      </c>
      <c r="H77" s="46">
        <v>2228.08</v>
      </c>
    </row>
    <row r="78" spans="1:8" ht="15" x14ac:dyDescent="0.2">
      <c r="A78" s="41" t="s">
        <v>646</v>
      </c>
      <c r="B78" s="41" t="s">
        <v>649</v>
      </c>
      <c r="C78" s="41" t="s">
        <v>648</v>
      </c>
      <c r="D78" s="42">
        <v>168</v>
      </c>
      <c r="E78" s="42">
        <v>923.8</v>
      </c>
      <c r="F78" s="43">
        <f t="shared" si="1"/>
        <v>1091.8</v>
      </c>
      <c r="G78" s="44">
        <v>978</v>
      </c>
      <c r="H78" s="46">
        <v>1052.2</v>
      </c>
    </row>
    <row r="79" spans="1:8" ht="15" x14ac:dyDescent="0.2">
      <c r="A79" s="41" t="s">
        <v>650</v>
      </c>
      <c r="B79" s="41" t="s">
        <v>7233</v>
      </c>
      <c r="C79" s="41" t="s">
        <v>5806</v>
      </c>
      <c r="D79" s="42">
        <v>1394.42</v>
      </c>
      <c r="E79" s="42">
        <v>420.48</v>
      </c>
      <c r="F79" s="43">
        <f t="shared" si="1"/>
        <v>1814.9</v>
      </c>
      <c r="G79" s="44">
        <v>1533.81</v>
      </c>
      <c r="H79" s="46">
        <v>4034.86</v>
      </c>
    </row>
    <row r="80" spans="1:8" ht="15" x14ac:dyDescent="0.2">
      <c r="A80" s="41" t="s">
        <v>654</v>
      </c>
      <c r="B80" s="41" t="s">
        <v>7234</v>
      </c>
      <c r="C80" s="41" t="s">
        <v>1284</v>
      </c>
      <c r="D80" s="42">
        <v>45</v>
      </c>
      <c r="E80" s="42">
        <v>188.33</v>
      </c>
      <c r="F80" s="43">
        <f t="shared" si="1"/>
        <v>233.33</v>
      </c>
      <c r="G80" s="44">
        <v>179.99</v>
      </c>
      <c r="H80" s="46">
        <v>220.35</v>
      </c>
    </row>
    <row r="81" spans="1:8" ht="15" x14ac:dyDescent="0.2">
      <c r="A81" s="41" t="s">
        <v>657</v>
      </c>
      <c r="B81" s="41" t="s">
        <v>7235</v>
      </c>
      <c r="C81" s="41" t="s">
        <v>659</v>
      </c>
      <c r="D81" s="42">
        <v>240</v>
      </c>
      <c r="E81" s="42">
        <v>301.8</v>
      </c>
      <c r="F81" s="43">
        <f t="shared" si="1"/>
        <v>541.79999999999995</v>
      </c>
      <c r="G81" s="44">
        <v>608.27</v>
      </c>
      <c r="H81" s="46">
        <v>616.45000000000005</v>
      </c>
    </row>
    <row r="82" spans="1:8" ht="15" x14ac:dyDescent="0.2">
      <c r="A82" s="41" t="s">
        <v>661</v>
      </c>
      <c r="B82" s="41" t="s">
        <v>7236</v>
      </c>
      <c r="C82" s="41" t="s">
        <v>1871</v>
      </c>
      <c r="D82" s="42">
        <v>256</v>
      </c>
      <c r="E82" s="42">
        <v>0</v>
      </c>
      <c r="F82" s="43">
        <f t="shared" si="1"/>
        <v>256</v>
      </c>
      <c r="G82" s="44">
        <v>361</v>
      </c>
      <c r="H82" s="46">
        <v>721</v>
      </c>
    </row>
    <row r="83" spans="1:8" ht="15" x14ac:dyDescent="0.2">
      <c r="A83" s="41" t="s">
        <v>668</v>
      </c>
      <c r="B83" s="41" t="s">
        <v>671</v>
      </c>
      <c r="C83" s="41" t="s">
        <v>670</v>
      </c>
      <c r="D83" s="42">
        <v>165</v>
      </c>
      <c r="E83" s="42">
        <v>1328.34</v>
      </c>
      <c r="F83" s="43">
        <f t="shared" si="1"/>
        <v>1493.34</v>
      </c>
      <c r="G83" s="44">
        <v>1795.37</v>
      </c>
      <c r="H83" s="46">
        <v>1283.71</v>
      </c>
    </row>
    <row r="84" spans="1:8" ht="15" x14ac:dyDescent="0.2">
      <c r="A84" s="41" t="s">
        <v>672</v>
      </c>
      <c r="B84" s="51" t="s">
        <v>7237</v>
      </c>
      <c r="C84" s="51" t="s">
        <v>7238</v>
      </c>
      <c r="D84" s="42">
        <v>715</v>
      </c>
      <c r="E84" s="42">
        <v>396.75</v>
      </c>
      <c r="F84" s="43">
        <f t="shared" si="1"/>
        <v>1111.75</v>
      </c>
      <c r="G84" s="44">
        <v>2046.5</v>
      </c>
      <c r="H84" s="46">
        <v>2110</v>
      </c>
    </row>
    <row r="85" spans="1:8" ht="15" x14ac:dyDescent="0.2">
      <c r="A85" s="41" t="s">
        <v>679</v>
      </c>
      <c r="B85" s="41" t="s">
        <v>681</v>
      </c>
      <c r="C85" s="41" t="s">
        <v>2900</v>
      </c>
      <c r="D85" s="42">
        <v>200</v>
      </c>
      <c r="E85" s="42">
        <v>293.3</v>
      </c>
      <c r="F85" s="43">
        <f t="shared" si="1"/>
        <v>493.3</v>
      </c>
      <c r="G85" s="44">
        <v>526.03</v>
      </c>
      <c r="H85" s="46">
        <v>360.65999999999997</v>
      </c>
    </row>
    <row r="86" spans="1:8" ht="15" x14ac:dyDescent="0.2">
      <c r="A86" s="41" t="s">
        <v>682</v>
      </c>
      <c r="B86" s="41" t="s">
        <v>7239</v>
      </c>
      <c r="C86" s="41" t="s">
        <v>72</v>
      </c>
      <c r="D86" s="42">
        <v>70</v>
      </c>
      <c r="E86" s="42">
        <v>2036.06</v>
      </c>
      <c r="F86" s="43">
        <f t="shared" si="1"/>
        <v>2106.06</v>
      </c>
      <c r="G86" s="44">
        <v>1933.73</v>
      </c>
      <c r="H86" s="46">
        <v>2519.71</v>
      </c>
    </row>
    <row r="87" spans="1:8" ht="15" x14ac:dyDescent="0.2">
      <c r="A87" s="41" t="s">
        <v>684</v>
      </c>
      <c r="B87" s="47" t="s">
        <v>687</v>
      </c>
      <c r="C87" s="41" t="s">
        <v>378</v>
      </c>
      <c r="D87" s="42">
        <v>0</v>
      </c>
      <c r="E87" s="42">
        <v>0</v>
      </c>
      <c r="F87" s="43">
        <f t="shared" si="1"/>
        <v>0</v>
      </c>
      <c r="G87" s="44">
        <v>180</v>
      </c>
      <c r="H87" s="46">
        <v>180</v>
      </c>
    </row>
    <row r="88" spans="1:8" ht="15" x14ac:dyDescent="0.2">
      <c r="A88" s="41" t="s">
        <v>695</v>
      </c>
      <c r="B88" s="41" t="s">
        <v>698</v>
      </c>
      <c r="C88" s="41" t="s">
        <v>697</v>
      </c>
      <c r="D88" s="42">
        <v>529</v>
      </c>
      <c r="E88" s="42">
        <v>247.51</v>
      </c>
      <c r="F88" s="43">
        <f t="shared" si="1"/>
        <v>776.51</v>
      </c>
      <c r="G88" s="44">
        <v>776.8</v>
      </c>
      <c r="H88" s="46">
        <v>880.53</v>
      </c>
    </row>
    <row r="89" spans="1:8" ht="15" x14ac:dyDescent="0.2">
      <c r="A89" s="41" t="s">
        <v>699</v>
      </c>
      <c r="B89" s="41" t="s">
        <v>7240</v>
      </c>
      <c r="C89" s="41" t="s">
        <v>701</v>
      </c>
      <c r="D89" s="42">
        <v>100</v>
      </c>
      <c r="E89" s="42">
        <v>997.5</v>
      </c>
      <c r="F89" s="43">
        <f t="shared" si="1"/>
        <v>1097.5</v>
      </c>
      <c r="G89" s="44">
        <v>1193.3200000000002</v>
      </c>
      <c r="H89" s="46">
        <v>1628.52</v>
      </c>
    </row>
    <row r="90" spans="1:8" ht="15" x14ac:dyDescent="0.2">
      <c r="A90" s="41" t="s">
        <v>703</v>
      </c>
      <c r="B90" s="41" t="s">
        <v>706</v>
      </c>
      <c r="C90" s="41" t="s">
        <v>532</v>
      </c>
      <c r="D90" s="42">
        <v>185</v>
      </c>
      <c r="E90" s="42">
        <v>510</v>
      </c>
      <c r="F90" s="43">
        <f t="shared" si="1"/>
        <v>695</v>
      </c>
      <c r="G90" s="44">
        <v>780</v>
      </c>
      <c r="H90" s="46">
        <v>752</v>
      </c>
    </row>
    <row r="91" spans="1:8" ht="15" x14ac:dyDescent="0.2">
      <c r="A91" s="41" t="s">
        <v>707</v>
      </c>
      <c r="B91" s="41" t="s">
        <v>660</v>
      </c>
      <c r="C91" s="41" t="s">
        <v>1409</v>
      </c>
      <c r="D91" s="42">
        <v>130</v>
      </c>
      <c r="E91" s="42">
        <v>0</v>
      </c>
      <c r="F91" s="43">
        <f t="shared" si="1"/>
        <v>130</v>
      </c>
      <c r="G91" s="44">
        <v>152</v>
      </c>
      <c r="H91" s="46">
        <v>249.34</v>
      </c>
    </row>
    <row r="92" spans="1:8" ht="15" x14ac:dyDescent="0.2">
      <c r="A92" s="41" t="s">
        <v>711</v>
      </c>
      <c r="B92" s="41" t="s">
        <v>7241</v>
      </c>
      <c r="C92" s="41" t="s">
        <v>713</v>
      </c>
      <c r="D92" s="42">
        <v>334</v>
      </c>
      <c r="E92" s="42">
        <v>0</v>
      </c>
      <c r="F92" s="43">
        <f t="shared" si="1"/>
        <v>334</v>
      </c>
      <c r="G92" s="44">
        <v>330</v>
      </c>
      <c r="H92" s="46">
        <v>140</v>
      </c>
    </row>
    <row r="93" spans="1:8" ht="15" x14ac:dyDescent="0.2">
      <c r="A93" s="41" t="s">
        <v>715</v>
      </c>
      <c r="B93" s="41" t="s">
        <v>717</v>
      </c>
      <c r="C93" s="41" t="s">
        <v>453</v>
      </c>
      <c r="D93" s="42">
        <v>1250.9100000000001</v>
      </c>
      <c r="E93" s="42">
        <v>0</v>
      </c>
      <c r="F93" s="43">
        <f t="shared" si="1"/>
        <v>1250.9100000000001</v>
      </c>
      <c r="G93" s="44">
        <v>1631.93</v>
      </c>
      <c r="H93" s="46">
        <v>1608.4099999999999</v>
      </c>
    </row>
    <row r="94" spans="1:8" ht="15" x14ac:dyDescent="0.2">
      <c r="A94" s="41" t="s">
        <v>718</v>
      </c>
      <c r="B94" s="41" t="s">
        <v>721</v>
      </c>
      <c r="C94" s="41" t="s">
        <v>7242</v>
      </c>
      <c r="D94" s="42">
        <v>165.51</v>
      </c>
      <c r="E94" s="42">
        <v>0</v>
      </c>
      <c r="F94" s="43">
        <f t="shared" si="1"/>
        <v>165.51</v>
      </c>
      <c r="G94" s="44">
        <v>452.03000000000003</v>
      </c>
      <c r="H94" s="46">
        <v>680.18000000000006</v>
      </c>
    </row>
    <row r="95" spans="1:8" ht="15" x14ac:dyDescent="0.2">
      <c r="A95" s="41" t="s">
        <v>722</v>
      </c>
      <c r="B95" s="41" t="s">
        <v>7243</v>
      </c>
      <c r="C95" s="41" t="s">
        <v>1065</v>
      </c>
      <c r="D95" s="42">
        <v>0</v>
      </c>
      <c r="E95" s="42">
        <v>489.49</v>
      </c>
      <c r="F95" s="43">
        <f t="shared" si="1"/>
        <v>489.49</v>
      </c>
      <c r="G95" s="44">
        <v>485.3</v>
      </c>
      <c r="H95" s="46">
        <v>640.77</v>
      </c>
    </row>
    <row r="96" spans="1:8" ht="15" x14ac:dyDescent="0.2">
      <c r="A96" s="41" t="s">
        <v>725</v>
      </c>
      <c r="B96" s="41" t="s">
        <v>7244</v>
      </c>
      <c r="C96" s="41" t="s">
        <v>727</v>
      </c>
      <c r="D96" s="42">
        <v>690</v>
      </c>
      <c r="E96" s="42">
        <v>1373.02</v>
      </c>
      <c r="F96" s="43">
        <f t="shared" si="1"/>
        <v>2063.02</v>
      </c>
      <c r="G96" s="44">
        <v>2183.8900000000003</v>
      </c>
      <c r="H96" s="46">
        <v>2233.23</v>
      </c>
    </row>
    <row r="97" spans="1:8" ht="15" x14ac:dyDescent="0.2">
      <c r="A97" s="50" t="s">
        <v>7245</v>
      </c>
      <c r="B97" s="41" t="s">
        <v>7246</v>
      </c>
      <c r="C97" s="41" t="s">
        <v>7247</v>
      </c>
      <c r="D97" s="42">
        <v>501</v>
      </c>
      <c r="E97" s="42">
        <v>1490.51</v>
      </c>
      <c r="F97" s="43">
        <f t="shared" si="1"/>
        <v>1991.51</v>
      </c>
      <c r="G97" s="44">
        <v>2051.96</v>
      </c>
      <c r="H97" s="46">
        <v>1842.44</v>
      </c>
    </row>
    <row r="98" spans="1:8" ht="15" x14ac:dyDescent="0.2">
      <c r="A98" s="41" t="s">
        <v>738</v>
      </c>
      <c r="B98" s="41" t="s">
        <v>7248</v>
      </c>
      <c r="C98" s="41" t="s">
        <v>740</v>
      </c>
      <c r="D98" s="42">
        <v>135</v>
      </c>
      <c r="E98" s="42">
        <v>245.48</v>
      </c>
      <c r="F98" s="43">
        <f t="shared" si="1"/>
        <v>380.48</v>
      </c>
      <c r="G98" s="44">
        <v>457.82</v>
      </c>
      <c r="H98" s="46">
        <v>314.07</v>
      </c>
    </row>
    <row r="99" spans="1:8" ht="15" x14ac:dyDescent="0.2">
      <c r="A99" s="41" t="s">
        <v>741</v>
      </c>
      <c r="B99" s="41" t="s">
        <v>7249</v>
      </c>
      <c r="C99" s="41" t="s">
        <v>743</v>
      </c>
      <c r="D99" s="42">
        <v>30</v>
      </c>
      <c r="E99" s="42">
        <v>348.52</v>
      </c>
      <c r="F99" s="43">
        <f t="shared" si="1"/>
        <v>378.52</v>
      </c>
      <c r="G99" s="44">
        <v>855.09</v>
      </c>
      <c r="H99" s="46">
        <v>1064.7</v>
      </c>
    </row>
    <row r="100" spans="1:8" ht="15" x14ac:dyDescent="0.2">
      <c r="A100" s="41" t="s">
        <v>745</v>
      </c>
      <c r="B100" s="41" t="s">
        <v>7250</v>
      </c>
      <c r="C100" s="41" t="s">
        <v>747</v>
      </c>
      <c r="D100" s="42">
        <v>848</v>
      </c>
      <c r="E100" s="42">
        <v>1502.99</v>
      </c>
      <c r="F100" s="43">
        <f t="shared" si="1"/>
        <v>2350.9899999999998</v>
      </c>
      <c r="G100" s="44">
        <v>1810.62</v>
      </c>
      <c r="H100" s="46">
        <v>1931.75</v>
      </c>
    </row>
    <row r="101" spans="1:8" ht="15" x14ac:dyDescent="0.2">
      <c r="A101" s="41" t="s">
        <v>749</v>
      </c>
      <c r="B101" s="41" t="s">
        <v>7251</v>
      </c>
      <c r="C101" s="41" t="s">
        <v>72</v>
      </c>
      <c r="D101" s="42">
        <v>75</v>
      </c>
      <c r="E101" s="42">
        <v>255</v>
      </c>
      <c r="F101" s="43">
        <f t="shared" si="1"/>
        <v>330</v>
      </c>
      <c r="G101" s="44">
        <v>344.2</v>
      </c>
      <c r="H101" s="46">
        <v>337.46</v>
      </c>
    </row>
    <row r="102" spans="1:8" ht="15" x14ac:dyDescent="0.2">
      <c r="A102" s="41" t="s">
        <v>753</v>
      </c>
      <c r="B102" s="41" t="s">
        <v>756</v>
      </c>
      <c r="C102" s="41" t="s">
        <v>164</v>
      </c>
      <c r="D102" s="42">
        <v>280</v>
      </c>
      <c r="E102" s="42">
        <v>2395.11</v>
      </c>
      <c r="F102" s="43">
        <f t="shared" si="1"/>
        <v>2675.11</v>
      </c>
      <c r="G102" s="44">
        <v>2125.9499999999998</v>
      </c>
      <c r="H102" s="46">
        <v>2211.08</v>
      </c>
    </row>
    <row r="103" spans="1:8" ht="15" x14ac:dyDescent="0.2">
      <c r="A103" s="41" t="s">
        <v>758</v>
      </c>
      <c r="B103" s="41" t="s">
        <v>7252</v>
      </c>
      <c r="C103" s="41" t="s">
        <v>1203</v>
      </c>
      <c r="D103" s="42">
        <v>804</v>
      </c>
      <c r="E103" s="42">
        <v>1558.93</v>
      </c>
      <c r="F103" s="43">
        <f t="shared" si="1"/>
        <v>2362.9300000000003</v>
      </c>
      <c r="G103" s="44">
        <v>2411.7200000000003</v>
      </c>
      <c r="H103" s="46">
        <v>2354.04</v>
      </c>
    </row>
    <row r="104" spans="1:8" ht="15" x14ac:dyDescent="0.2">
      <c r="A104" s="41" t="s">
        <v>7253</v>
      </c>
      <c r="B104" s="41" t="s">
        <v>7254</v>
      </c>
      <c r="C104" s="41" t="s">
        <v>764</v>
      </c>
      <c r="D104" s="42">
        <v>216</v>
      </c>
      <c r="E104" s="42">
        <v>1145.67</v>
      </c>
      <c r="F104" s="43">
        <f t="shared" si="1"/>
        <v>1361.67</v>
      </c>
      <c r="G104" s="44">
        <v>1561.01</v>
      </c>
      <c r="H104" s="46">
        <v>1429</v>
      </c>
    </row>
    <row r="105" spans="1:8" ht="15" x14ac:dyDescent="0.2">
      <c r="A105" s="41" t="s">
        <v>765</v>
      </c>
      <c r="B105" s="41" t="s">
        <v>7255</v>
      </c>
      <c r="C105" s="47" t="s">
        <v>1284</v>
      </c>
      <c r="D105" s="42">
        <v>211</v>
      </c>
      <c r="E105" s="42">
        <v>666.75</v>
      </c>
      <c r="F105" s="43">
        <f t="shared" si="1"/>
        <v>877.75</v>
      </c>
      <c r="G105" s="44">
        <v>1130.0700000000002</v>
      </c>
      <c r="H105" s="46">
        <v>1096.78</v>
      </c>
    </row>
    <row r="106" spans="1:8" ht="15" x14ac:dyDescent="0.2">
      <c r="A106" s="41" t="s">
        <v>773</v>
      </c>
      <c r="B106" s="41" t="s">
        <v>776</v>
      </c>
      <c r="C106" s="41" t="s">
        <v>7256</v>
      </c>
      <c r="D106" s="42">
        <v>1399.95</v>
      </c>
      <c r="E106" s="42">
        <v>345</v>
      </c>
      <c r="F106" s="43">
        <f t="shared" si="1"/>
        <v>1744.95</v>
      </c>
      <c r="G106" s="44">
        <v>2099</v>
      </c>
      <c r="H106" s="46">
        <v>2231</v>
      </c>
    </row>
    <row r="107" spans="1:8" ht="15" x14ac:dyDescent="0.2">
      <c r="A107" s="41" t="s">
        <v>777</v>
      </c>
      <c r="B107" s="41" t="s">
        <v>780</v>
      </c>
      <c r="C107" s="41" t="s">
        <v>5371</v>
      </c>
      <c r="D107" s="42">
        <v>826.29</v>
      </c>
      <c r="E107" s="42">
        <v>1103.54</v>
      </c>
      <c r="F107" s="43">
        <f t="shared" si="1"/>
        <v>1929.83</v>
      </c>
      <c r="G107" s="44">
        <v>1466.29</v>
      </c>
      <c r="H107" s="46">
        <v>1231.8499999999999</v>
      </c>
    </row>
    <row r="108" spans="1:8" ht="15" x14ac:dyDescent="0.2">
      <c r="A108" s="41" t="s">
        <v>781</v>
      </c>
      <c r="B108" s="41" t="s">
        <v>784</v>
      </c>
      <c r="C108" s="41" t="s">
        <v>783</v>
      </c>
      <c r="D108" s="42">
        <v>1210</v>
      </c>
      <c r="E108" s="42">
        <v>2176.7399999999998</v>
      </c>
      <c r="F108" s="43">
        <f t="shared" si="1"/>
        <v>3386.74</v>
      </c>
      <c r="G108" s="44">
        <v>3306.9</v>
      </c>
      <c r="H108" s="46">
        <v>3500.67</v>
      </c>
    </row>
    <row r="109" spans="1:8" ht="15" x14ac:dyDescent="0.2">
      <c r="A109" s="41" t="s">
        <v>786</v>
      </c>
      <c r="B109" s="41" t="s">
        <v>789</v>
      </c>
      <c r="C109" s="41" t="s">
        <v>788</v>
      </c>
      <c r="D109" s="42">
        <v>260</v>
      </c>
      <c r="E109" s="42">
        <v>860.03</v>
      </c>
      <c r="F109" s="43">
        <f t="shared" si="1"/>
        <v>1120.03</v>
      </c>
      <c r="G109" s="44">
        <v>1296.21</v>
      </c>
      <c r="H109" s="46">
        <v>1394.28</v>
      </c>
    </row>
    <row r="110" spans="1:8" ht="15" x14ac:dyDescent="0.2">
      <c r="A110" s="41" t="s">
        <v>790</v>
      </c>
      <c r="B110" s="41" t="s">
        <v>793</v>
      </c>
      <c r="C110" s="41" t="s">
        <v>792</v>
      </c>
      <c r="D110" s="42">
        <v>4142.8900000000003</v>
      </c>
      <c r="E110" s="42">
        <v>2822</v>
      </c>
      <c r="F110" s="43">
        <f t="shared" si="1"/>
        <v>6964.89</v>
      </c>
      <c r="G110" s="44">
        <v>6525</v>
      </c>
      <c r="H110" s="46">
        <v>6633</v>
      </c>
    </row>
    <row r="111" spans="1:8" ht="15" x14ac:dyDescent="0.2">
      <c r="A111" s="41" t="s">
        <v>794</v>
      </c>
      <c r="B111" s="41" t="s">
        <v>613</v>
      </c>
      <c r="C111" s="41" t="s">
        <v>2759</v>
      </c>
      <c r="D111" s="42">
        <v>2318.63</v>
      </c>
      <c r="E111" s="42">
        <v>7009.41</v>
      </c>
      <c r="F111" s="43">
        <f t="shared" si="1"/>
        <v>9328.0400000000009</v>
      </c>
      <c r="G111" s="44">
        <v>9898.98</v>
      </c>
      <c r="H111" s="46">
        <v>7967.68</v>
      </c>
    </row>
    <row r="112" spans="1:8" ht="15" x14ac:dyDescent="0.2">
      <c r="A112" s="41" t="s">
        <v>799</v>
      </c>
      <c r="B112" s="41" t="s">
        <v>7257</v>
      </c>
      <c r="C112" s="41" t="s">
        <v>158</v>
      </c>
      <c r="D112" s="42">
        <v>155</v>
      </c>
      <c r="E112" s="42">
        <v>480</v>
      </c>
      <c r="F112" s="43">
        <f t="shared" si="1"/>
        <v>635</v>
      </c>
      <c r="G112" s="44">
        <v>546.5</v>
      </c>
      <c r="H112" s="46">
        <v>506</v>
      </c>
    </row>
    <row r="113" spans="1:8" ht="15" x14ac:dyDescent="0.2">
      <c r="A113" s="41" t="s">
        <v>802</v>
      </c>
      <c r="B113" s="41" t="s">
        <v>7258</v>
      </c>
      <c r="C113" s="41" t="s">
        <v>783</v>
      </c>
      <c r="D113" s="42">
        <v>75</v>
      </c>
      <c r="E113" s="42">
        <v>0</v>
      </c>
      <c r="F113" s="43">
        <f t="shared" si="1"/>
        <v>75</v>
      </c>
      <c r="G113" s="44">
        <v>205</v>
      </c>
      <c r="H113" s="46">
        <v>25</v>
      </c>
    </row>
    <row r="114" spans="1:8" ht="15" x14ac:dyDescent="0.2">
      <c r="A114" s="41" t="s">
        <v>807</v>
      </c>
      <c r="B114" s="41" t="s">
        <v>538</v>
      </c>
      <c r="C114" s="41" t="s">
        <v>1004</v>
      </c>
      <c r="D114" s="42">
        <v>540</v>
      </c>
      <c r="E114" s="42">
        <v>0</v>
      </c>
      <c r="F114" s="43">
        <f t="shared" si="1"/>
        <v>540</v>
      </c>
      <c r="G114" s="44">
        <v>780</v>
      </c>
      <c r="H114" s="46">
        <v>655</v>
      </c>
    </row>
    <row r="115" spans="1:8" ht="15" x14ac:dyDescent="0.2">
      <c r="A115" s="41" t="s">
        <v>814</v>
      </c>
      <c r="B115" s="41" t="s">
        <v>538</v>
      </c>
      <c r="C115" s="41" t="s">
        <v>1489</v>
      </c>
      <c r="D115" s="42">
        <v>295</v>
      </c>
      <c r="E115" s="42">
        <v>280.36</v>
      </c>
      <c r="F115" s="43">
        <f t="shared" si="1"/>
        <v>575.36</v>
      </c>
      <c r="G115" s="44">
        <v>579</v>
      </c>
      <c r="H115" s="46">
        <v>529</v>
      </c>
    </row>
    <row r="116" spans="1:8" ht="15" x14ac:dyDescent="0.2">
      <c r="A116" s="48" t="s">
        <v>7259</v>
      </c>
      <c r="B116" s="48" t="s">
        <v>7260</v>
      </c>
      <c r="C116" s="48" t="s">
        <v>7261</v>
      </c>
      <c r="D116" s="42">
        <f>361+280</f>
        <v>641</v>
      </c>
      <c r="E116" s="42">
        <v>300</v>
      </c>
      <c r="F116" s="43">
        <f t="shared" si="1"/>
        <v>941</v>
      </c>
      <c r="G116" s="44">
        <v>1001.5699999999999</v>
      </c>
      <c r="H116" s="46">
        <v>180.76</v>
      </c>
    </row>
    <row r="117" spans="1:8" ht="15.75" x14ac:dyDescent="0.2">
      <c r="A117" s="52" t="s">
        <v>307</v>
      </c>
      <c r="B117" s="52"/>
      <c r="C117" s="52"/>
      <c r="D117" s="53">
        <f t="shared" ref="D117:E117" si="2">SUM(D4:D116)</f>
        <v>64095.639999999992</v>
      </c>
      <c r="E117" s="53">
        <f t="shared" si="2"/>
        <v>93088.080000000016</v>
      </c>
      <c r="F117" s="54">
        <f t="shared" si="1"/>
        <v>157183.72</v>
      </c>
      <c r="G117" s="55">
        <v>164287.07</v>
      </c>
      <c r="H117" s="56">
        <v>162881.15000000005</v>
      </c>
    </row>
    <row r="118" spans="1:8" s="62" customFormat="1" x14ac:dyDescent="0.2">
      <c r="A118" s="60" t="s">
        <v>7262</v>
      </c>
      <c r="B118" s="60"/>
      <c r="C118" s="60"/>
      <c r="D118" s="60"/>
      <c r="E118" s="60"/>
      <c r="F118" s="61"/>
      <c r="G118" s="61"/>
      <c r="H118" s="60"/>
    </row>
    <row r="119" spans="1:8" ht="20.25" x14ac:dyDescent="0.2">
      <c r="A119" s="246" t="s">
        <v>7263</v>
      </c>
      <c r="B119" s="246"/>
      <c r="C119" s="246"/>
      <c r="D119" s="246"/>
      <c r="E119" s="246"/>
      <c r="F119" s="247"/>
    </row>
    <row r="120" spans="1:8" ht="15.75" x14ac:dyDescent="0.2">
      <c r="A120" s="65" t="s">
        <v>1</v>
      </c>
      <c r="B120" s="65" t="s">
        <v>2</v>
      </c>
      <c r="C120" s="65" t="s">
        <v>3</v>
      </c>
      <c r="D120" s="66" t="s">
        <v>4</v>
      </c>
      <c r="E120" s="66" t="s">
        <v>7264</v>
      </c>
      <c r="F120" s="66">
        <v>2018</v>
      </c>
    </row>
    <row r="121" spans="1:8" ht="15" x14ac:dyDescent="0.2">
      <c r="A121" s="75" t="s">
        <v>829</v>
      </c>
      <c r="B121" s="75" t="s">
        <v>7265</v>
      </c>
      <c r="C121" s="75" t="s">
        <v>5141</v>
      </c>
      <c r="D121" s="76">
        <v>635.09</v>
      </c>
      <c r="E121" s="76">
        <v>0</v>
      </c>
      <c r="F121" s="77">
        <f>D121+E121</f>
        <v>635.09</v>
      </c>
    </row>
    <row r="122" spans="1:8" ht="15" x14ac:dyDescent="0.2">
      <c r="A122" s="75" t="s">
        <v>833</v>
      </c>
      <c r="B122" s="75" t="s">
        <v>836</v>
      </c>
      <c r="C122" s="75" t="s">
        <v>1634</v>
      </c>
      <c r="D122" s="76">
        <v>696</v>
      </c>
      <c r="E122" s="76">
        <v>10150</v>
      </c>
      <c r="F122" s="77">
        <f t="shared" ref="F122:F185" si="3">D122+E122</f>
        <v>10846</v>
      </c>
    </row>
    <row r="123" spans="1:8" ht="15" x14ac:dyDescent="0.2">
      <c r="A123" s="75" t="s">
        <v>837</v>
      </c>
      <c r="B123" s="78" t="s">
        <v>7266</v>
      </c>
      <c r="C123" s="75" t="s">
        <v>7267</v>
      </c>
      <c r="D123" s="76">
        <v>30</v>
      </c>
      <c r="E123" s="76">
        <v>161.88</v>
      </c>
      <c r="F123" s="77">
        <f t="shared" si="3"/>
        <v>191.88</v>
      </c>
    </row>
    <row r="124" spans="1:8" ht="15" x14ac:dyDescent="0.2">
      <c r="A124" s="75" t="s">
        <v>841</v>
      </c>
      <c r="B124" s="75" t="s">
        <v>843</v>
      </c>
      <c r="C124" s="75" t="s">
        <v>246</v>
      </c>
      <c r="D124" s="76">
        <v>30</v>
      </c>
      <c r="E124" s="76">
        <v>462.67</v>
      </c>
      <c r="F124" s="77">
        <f t="shared" si="3"/>
        <v>492.67</v>
      </c>
    </row>
    <row r="125" spans="1:8" ht="15" x14ac:dyDescent="0.2">
      <c r="A125" s="75" t="s">
        <v>844</v>
      </c>
      <c r="B125" s="75" t="s">
        <v>847</v>
      </c>
      <c r="C125" s="75" t="s">
        <v>846</v>
      </c>
      <c r="D125" s="76">
        <v>224</v>
      </c>
      <c r="E125" s="76">
        <v>112.93</v>
      </c>
      <c r="F125" s="77">
        <f t="shared" si="3"/>
        <v>336.93</v>
      </c>
    </row>
    <row r="126" spans="1:8" ht="15" x14ac:dyDescent="0.2">
      <c r="A126" s="78" t="s">
        <v>848</v>
      </c>
      <c r="B126" s="78" t="s">
        <v>851</v>
      </c>
      <c r="C126" s="78" t="s">
        <v>7268</v>
      </c>
      <c r="D126" s="76">
        <v>139.57</v>
      </c>
      <c r="E126" s="76">
        <v>0</v>
      </c>
      <c r="F126" s="77">
        <f t="shared" si="3"/>
        <v>139.57</v>
      </c>
    </row>
    <row r="127" spans="1:8" ht="15" x14ac:dyDescent="0.2">
      <c r="A127" s="75" t="s">
        <v>852</v>
      </c>
      <c r="B127" s="75" t="s">
        <v>854</v>
      </c>
      <c r="C127" s="75" t="s">
        <v>1065</v>
      </c>
      <c r="D127" s="76">
        <v>10</v>
      </c>
      <c r="E127" s="76">
        <v>630.53</v>
      </c>
      <c r="F127" s="77">
        <f t="shared" si="3"/>
        <v>640.53</v>
      </c>
    </row>
    <row r="128" spans="1:8" ht="15" x14ac:dyDescent="0.2">
      <c r="A128" s="75" t="s">
        <v>855</v>
      </c>
      <c r="B128" s="75" t="s">
        <v>858</v>
      </c>
      <c r="C128" s="75" t="s">
        <v>5667</v>
      </c>
      <c r="D128" s="76">
        <v>170</v>
      </c>
      <c r="E128" s="76">
        <v>943.81</v>
      </c>
      <c r="F128" s="77">
        <f t="shared" si="3"/>
        <v>1113.81</v>
      </c>
    </row>
    <row r="129" spans="1:6" ht="15" x14ac:dyDescent="0.2">
      <c r="A129" s="75" t="s">
        <v>859</v>
      </c>
      <c r="B129" s="75" t="s">
        <v>864</v>
      </c>
      <c r="C129" s="75" t="s">
        <v>7269</v>
      </c>
      <c r="D129" s="76">
        <v>555</v>
      </c>
      <c r="E129" s="76">
        <v>1280.45</v>
      </c>
      <c r="F129" s="77">
        <f t="shared" si="3"/>
        <v>1835.45</v>
      </c>
    </row>
    <row r="130" spans="1:6" ht="15" x14ac:dyDescent="0.2">
      <c r="A130" s="75" t="s">
        <v>862</v>
      </c>
      <c r="B130" s="75" t="s">
        <v>864</v>
      </c>
      <c r="C130" s="75" t="s">
        <v>7193</v>
      </c>
      <c r="D130" s="76">
        <v>82.89</v>
      </c>
      <c r="E130" s="76">
        <v>287.7</v>
      </c>
      <c r="F130" s="77">
        <f t="shared" si="3"/>
        <v>370.59</v>
      </c>
    </row>
    <row r="131" spans="1:6" ht="15" x14ac:dyDescent="0.2">
      <c r="A131" s="75" t="s">
        <v>865</v>
      </c>
      <c r="B131" s="75" t="s">
        <v>868</v>
      </c>
      <c r="C131" s="75" t="s">
        <v>7270</v>
      </c>
      <c r="D131" s="76">
        <v>0</v>
      </c>
      <c r="E131" s="76">
        <v>802.13</v>
      </c>
      <c r="F131" s="77">
        <f t="shared" si="3"/>
        <v>802.13</v>
      </c>
    </row>
    <row r="132" spans="1:6" ht="15" x14ac:dyDescent="0.2">
      <c r="A132" s="75" t="s">
        <v>870</v>
      </c>
      <c r="B132" s="75" t="s">
        <v>7271</v>
      </c>
      <c r="C132" s="75" t="s">
        <v>7267</v>
      </c>
      <c r="D132" s="76">
        <v>145.80000000000001</v>
      </c>
      <c r="E132" s="76">
        <v>0</v>
      </c>
      <c r="F132" s="77">
        <f t="shared" si="3"/>
        <v>145.80000000000001</v>
      </c>
    </row>
    <row r="133" spans="1:6" ht="15" x14ac:dyDescent="0.2">
      <c r="A133" s="75" t="s">
        <v>873</v>
      </c>
      <c r="B133" s="75" t="s">
        <v>7272</v>
      </c>
      <c r="C133" s="75" t="s">
        <v>158</v>
      </c>
      <c r="D133" s="76">
        <v>0</v>
      </c>
      <c r="E133" s="76">
        <v>0</v>
      </c>
      <c r="F133" s="77">
        <f t="shared" si="3"/>
        <v>0</v>
      </c>
    </row>
    <row r="134" spans="1:6" ht="15" x14ac:dyDescent="0.2">
      <c r="A134" s="75" t="s">
        <v>876</v>
      </c>
      <c r="B134" s="75" t="s">
        <v>879</v>
      </c>
      <c r="C134" s="75" t="s">
        <v>4227</v>
      </c>
      <c r="D134" s="76">
        <v>6795.29</v>
      </c>
      <c r="E134" s="76">
        <v>0</v>
      </c>
      <c r="F134" s="77">
        <f t="shared" si="3"/>
        <v>6795.29</v>
      </c>
    </row>
    <row r="135" spans="1:6" ht="15" x14ac:dyDescent="0.2">
      <c r="A135" s="75" t="s">
        <v>880</v>
      </c>
      <c r="B135" s="75" t="s">
        <v>883</v>
      </c>
      <c r="C135" s="75" t="s">
        <v>7273</v>
      </c>
      <c r="D135" s="76">
        <v>238</v>
      </c>
      <c r="E135" s="76">
        <v>5160.4799999999996</v>
      </c>
      <c r="F135" s="77">
        <f t="shared" si="3"/>
        <v>5398.48</v>
      </c>
    </row>
    <row r="136" spans="1:6" ht="15" x14ac:dyDescent="0.2">
      <c r="A136" s="75" t="s">
        <v>885</v>
      </c>
      <c r="B136" s="75" t="s">
        <v>888</v>
      </c>
      <c r="C136" s="75" t="s">
        <v>1724</v>
      </c>
      <c r="D136" s="76">
        <v>0</v>
      </c>
      <c r="E136" s="76">
        <v>1935</v>
      </c>
      <c r="F136" s="77">
        <f t="shared" si="3"/>
        <v>1935</v>
      </c>
    </row>
    <row r="137" spans="1:6" ht="15" x14ac:dyDescent="0.2">
      <c r="A137" s="75" t="s">
        <v>890</v>
      </c>
      <c r="B137" s="75" t="s">
        <v>893</v>
      </c>
      <c r="C137" s="75" t="s">
        <v>7274</v>
      </c>
      <c r="D137" s="76">
        <v>525</v>
      </c>
      <c r="E137" s="76">
        <v>936.45</v>
      </c>
      <c r="F137" s="77">
        <f t="shared" si="3"/>
        <v>1461.45</v>
      </c>
    </row>
    <row r="138" spans="1:6" ht="15" x14ac:dyDescent="0.2">
      <c r="A138" s="75" t="s">
        <v>894</v>
      </c>
      <c r="B138" s="75" t="s">
        <v>7275</v>
      </c>
      <c r="C138" s="75" t="s">
        <v>5152</v>
      </c>
      <c r="D138" s="76">
        <v>55</v>
      </c>
      <c r="E138" s="76">
        <v>0</v>
      </c>
      <c r="F138" s="77">
        <f t="shared" si="3"/>
        <v>55</v>
      </c>
    </row>
    <row r="139" spans="1:6" ht="15" x14ac:dyDescent="0.2">
      <c r="A139" s="75" t="s">
        <v>898</v>
      </c>
      <c r="B139" s="75" t="s">
        <v>897</v>
      </c>
      <c r="C139" s="75" t="s">
        <v>1484</v>
      </c>
      <c r="D139" s="76">
        <v>30</v>
      </c>
      <c r="E139" s="76">
        <v>806.23</v>
      </c>
      <c r="F139" s="77">
        <f t="shared" si="3"/>
        <v>836.23</v>
      </c>
    </row>
    <row r="140" spans="1:6" ht="15" x14ac:dyDescent="0.2">
      <c r="A140" s="75" t="s">
        <v>902</v>
      </c>
      <c r="B140" s="75" t="s">
        <v>7276</v>
      </c>
      <c r="C140" s="75" t="s">
        <v>226</v>
      </c>
      <c r="D140" s="76">
        <v>110</v>
      </c>
      <c r="E140" s="76">
        <v>0</v>
      </c>
      <c r="F140" s="77">
        <f t="shared" si="3"/>
        <v>110</v>
      </c>
    </row>
    <row r="141" spans="1:6" ht="15" x14ac:dyDescent="0.2">
      <c r="A141" s="75" t="s">
        <v>905</v>
      </c>
      <c r="B141" s="75" t="s">
        <v>907</v>
      </c>
      <c r="C141" s="75" t="s">
        <v>2759</v>
      </c>
      <c r="D141" s="76">
        <v>359.86</v>
      </c>
      <c r="E141" s="76">
        <v>3529.6</v>
      </c>
      <c r="F141" s="77">
        <f t="shared" si="3"/>
        <v>3889.46</v>
      </c>
    </row>
    <row r="142" spans="1:6" ht="15" x14ac:dyDescent="0.2">
      <c r="A142" s="75" t="s">
        <v>908</v>
      </c>
      <c r="B142" s="75" t="s">
        <v>911</v>
      </c>
      <c r="C142" s="75" t="s">
        <v>7277</v>
      </c>
      <c r="D142" s="76">
        <v>583.05999999999995</v>
      </c>
      <c r="E142" s="76">
        <v>3230</v>
      </c>
      <c r="F142" s="77">
        <f t="shared" si="3"/>
        <v>3813.06</v>
      </c>
    </row>
    <row r="143" spans="1:6" ht="15" x14ac:dyDescent="0.2">
      <c r="A143" s="75" t="s">
        <v>912</v>
      </c>
      <c r="B143" s="75" t="s">
        <v>911</v>
      </c>
      <c r="C143" s="75" t="s">
        <v>2667</v>
      </c>
      <c r="D143" s="76">
        <v>195.75</v>
      </c>
      <c r="E143" s="76">
        <v>369.47</v>
      </c>
      <c r="F143" s="77">
        <f t="shared" si="3"/>
        <v>565.22</v>
      </c>
    </row>
    <row r="144" spans="1:6" ht="15" x14ac:dyDescent="0.2">
      <c r="A144" s="75" t="s">
        <v>914</v>
      </c>
      <c r="B144" s="75" t="s">
        <v>917</v>
      </c>
      <c r="C144" s="75" t="s">
        <v>7278</v>
      </c>
      <c r="D144" s="76">
        <v>385</v>
      </c>
      <c r="E144" s="76">
        <v>698.7</v>
      </c>
      <c r="F144" s="77">
        <f t="shared" si="3"/>
        <v>1083.7</v>
      </c>
    </row>
    <row r="145" spans="1:6" ht="15" x14ac:dyDescent="0.2">
      <c r="A145" s="75" t="s">
        <v>918</v>
      </c>
      <c r="B145" s="75" t="s">
        <v>920</v>
      </c>
      <c r="C145" s="75" t="s">
        <v>127</v>
      </c>
      <c r="D145" s="76">
        <v>1616</v>
      </c>
      <c r="E145" s="76">
        <v>1760</v>
      </c>
      <c r="F145" s="77">
        <f t="shared" si="3"/>
        <v>3376</v>
      </c>
    </row>
    <row r="146" spans="1:6" ht="15" x14ac:dyDescent="0.2">
      <c r="A146" s="78" t="s">
        <v>924</v>
      </c>
      <c r="B146" s="78" t="s">
        <v>926</v>
      </c>
      <c r="C146" s="78" t="s">
        <v>7279</v>
      </c>
      <c r="D146" s="76">
        <v>34.549999999999997</v>
      </c>
      <c r="E146" s="76">
        <v>0</v>
      </c>
      <c r="F146" s="77">
        <f t="shared" si="3"/>
        <v>34.549999999999997</v>
      </c>
    </row>
    <row r="147" spans="1:6" ht="15" x14ac:dyDescent="0.2">
      <c r="A147" s="75" t="s">
        <v>927</v>
      </c>
      <c r="B147" s="75" t="s">
        <v>930</v>
      </c>
      <c r="C147" s="75" t="s">
        <v>929</v>
      </c>
      <c r="D147" s="76">
        <v>179</v>
      </c>
      <c r="E147" s="76">
        <v>873.41</v>
      </c>
      <c r="F147" s="77">
        <f t="shared" si="3"/>
        <v>1052.4099999999999</v>
      </c>
    </row>
    <row r="148" spans="1:6" ht="15" x14ac:dyDescent="0.2">
      <c r="A148" s="75" t="s">
        <v>932</v>
      </c>
      <c r="B148" s="75" t="s">
        <v>935</v>
      </c>
      <c r="C148" s="75" t="s">
        <v>7280</v>
      </c>
      <c r="D148" s="76">
        <v>90</v>
      </c>
      <c r="E148" s="76">
        <v>0</v>
      </c>
      <c r="F148" s="77">
        <f t="shared" si="3"/>
        <v>90</v>
      </c>
    </row>
    <row r="149" spans="1:6" ht="15" x14ac:dyDescent="0.2">
      <c r="A149" s="75" t="s">
        <v>936</v>
      </c>
      <c r="B149" s="75" t="s">
        <v>939</v>
      </c>
      <c r="C149" s="75" t="s">
        <v>938</v>
      </c>
      <c r="D149" s="76">
        <v>215</v>
      </c>
      <c r="E149" s="76">
        <v>662</v>
      </c>
      <c r="F149" s="77">
        <f t="shared" si="3"/>
        <v>877</v>
      </c>
    </row>
    <row r="150" spans="1:6" ht="15" x14ac:dyDescent="0.2">
      <c r="A150" s="75" t="s">
        <v>940</v>
      </c>
      <c r="B150" s="75" t="s">
        <v>943</v>
      </c>
      <c r="C150" s="75" t="s">
        <v>942</v>
      </c>
      <c r="D150" s="76">
        <v>40</v>
      </c>
      <c r="E150" s="76">
        <v>1252</v>
      </c>
      <c r="F150" s="77">
        <f t="shared" si="3"/>
        <v>1292</v>
      </c>
    </row>
    <row r="151" spans="1:6" ht="15" x14ac:dyDescent="0.2">
      <c r="A151" s="75" t="s">
        <v>944</v>
      </c>
      <c r="B151" s="75" t="s">
        <v>946</v>
      </c>
      <c r="C151" s="75" t="s">
        <v>740</v>
      </c>
      <c r="D151" s="76">
        <v>0</v>
      </c>
      <c r="E151" s="76">
        <v>1912.14</v>
      </c>
      <c r="F151" s="77">
        <f t="shared" si="3"/>
        <v>1912.14</v>
      </c>
    </row>
    <row r="152" spans="1:6" ht="15" x14ac:dyDescent="0.2">
      <c r="A152" s="75" t="s">
        <v>948</v>
      </c>
      <c r="B152" s="75" t="s">
        <v>951</v>
      </c>
      <c r="C152" s="75" t="s">
        <v>7281</v>
      </c>
      <c r="D152" s="76">
        <v>50</v>
      </c>
      <c r="E152" s="76">
        <v>993.98</v>
      </c>
      <c r="F152" s="77">
        <f t="shared" si="3"/>
        <v>1043.98</v>
      </c>
    </row>
    <row r="153" spans="1:6" ht="15" x14ac:dyDescent="0.2">
      <c r="A153" s="75" t="s">
        <v>953</v>
      </c>
      <c r="B153" s="75" t="s">
        <v>956</v>
      </c>
      <c r="C153" s="75" t="s">
        <v>955</v>
      </c>
      <c r="D153" s="76">
        <v>535.79</v>
      </c>
      <c r="E153" s="76">
        <v>0</v>
      </c>
      <c r="F153" s="77">
        <f t="shared" si="3"/>
        <v>535.79</v>
      </c>
    </row>
    <row r="154" spans="1:6" ht="15" x14ac:dyDescent="0.2">
      <c r="A154" s="75" t="s">
        <v>957</v>
      </c>
      <c r="B154" s="75" t="s">
        <v>960</v>
      </c>
      <c r="C154" s="75" t="s">
        <v>7282</v>
      </c>
      <c r="D154" s="76">
        <v>539.86</v>
      </c>
      <c r="E154" s="76">
        <v>4051.47</v>
      </c>
      <c r="F154" s="77">
        <f t="shared" si="3"/>
        <v>4591.33</v>
      </c>
    </row>
    <row r="155" spans="1:6" ht="15" x14ac:dyDescent="0.2">
      <c r="A155" s="75" t="s">
        <v>961</v>
      </c>
      <c r="B155" s="75" t="s">
        <v>963</v>
      </c>
      <c r="C155" s="75" t="s">
        <v>453</v>
      </c>
      <c r="D155" s="76">
        <v>79</v>
      </c>
      <c r="E155" s="76">
        <v>1172.6300000000001</v>
      </c>
      <c r="F155" s="77">
        <f t="shared" si="3"/>
        <v>1251.6300000000001</v>
      </c>
    </row>
    <row r="156" spans="1:6" ht="15" x14ac:dyDescent="0.2">
      <c r="A156" s="75" t="s">
        <v>965</v>
      </c>
      <c r="B156" s="75" t="s">
        <v>967</v>
      </c>
      <c r="C156" s="75" t="s">
        <v>1165</v>
      </c>
      <c r="D156" s="76">
        <v>70</v>
      </c>
      <c r="E156" s="76">
        <v>5818.77</v>
      </c>
      <c r="F156" s="77">
        <f t="shared" si="3"/>
        <v>5888.77</v>
      </c>
    </row>
    <row r="157" spans="1:6" ht="15" x14ac:dyDescent="0.2">
      <c r="A157" s="75" t="s">
        <v>968</v>
      </c>
      <c r="B157" s="75" t="s">
        <v>970</v>
      </c>
      <c r="C157" s="75" t="s">
        <v>1047</v>
      </c>
      <c r="D157" s="76">
        <v>366.16</v>
      </c>
      <c r="E157" s="76">
        <v>0</v>
      </c>
      <c r="F157" s="77">
        <f t="shared" si="3"/>
        <v>366.16</v>
      </c>
    </row>
    <row r="158" spans="1:6" ht="15" x14ac:dyDescent="0.2">
      <c r="A158" s="75" t="s">
        <v>972</v>
      </c>
      <c r="B158" s="75" t="s">
        <v>974</v>
      </c>
      <c r="C158" s="75" t="s">
        <v>7216</v>
      </c>
      <c r="D158" s="76">
        <v>430.89</v>
      </c>
      <c r="E158" s="76">
        <v>6033.05</v>
      </c>
      <c r="F158" s="77">
        <f t="shared" si="3"/>
        <v>6463.9400000000005</v>
      </c>
    </row>
    <row r="159" spans="1:6" ht="15" x14ac:dyDescent="0.2">
      <c r="A159" s="75" t="s">
        <v>975</v>
      </c>
      <c r="B159" s="75" t="s">
        <v>978</v>
      </c>
      <c r="C159" s="75" t="s">
        <v>783</v>
      </c>
      <c r="D159" s="76">
        <v>0</v>
      </c>
      <c r="E159" s="76">
        <v>753.65</v>
      </c>
      <c r="F159" s="77">
        <f t="shared" si="3"/>
        <v>753.65</v>
      </c>
    </row>
    <row r="160" spans="1:6" ht="15" x14ac:dyDescent="0.2">
      <c r="A160" s="75" t="s">
        <v>979</v>
      </c>
      <c r="B160" s="75" t="s">
        <v>982</v>
      </c>
      <c r="C160" s="75" t="s">
        <v>7283</v>
      </c>
      <c r="D160" s="76">
        <v>0</v>
      </c>
      <c r="E160" s="76">
        <v>1109.76</v>
      </c>
      <c r="F160" s="77">
        <f t="shared" si="3"/>
        <v>1109.76</v>
      </c>
    </row>
    <row r="161" spans="1:6" ht="15" x14ac:dyDescent="0.2">
      <c r="A161" s="75" t="s">
        <v>983</v>
      </c>
      <c r="B161" s="75" t="s">
        <v>986</v>
      </c>
      <c r="C161" s="75" t="s">
        <v>7284</v>
      </c>
      <c r="D161" s="76">
        <v>40</v>
      </c>
      <c r="E161" s="76">
        <v>707.97</v>
      </c>
      <c r="F161" s="77">
        <f t="shared" si="3"/>
        <v>747.97</v>
      </c>
    </row>
    <row r="162" spans="1:6" ht="15" x14ac:dyDescent="0.2">
      <c r="A162" s="75" t="s">
        <v>987</v>
      </c>
      <c r="B162" s="75" t="s">
        <v>990</v>
      </c>
      <c r="C162" s="75" t="s">
        <v>2578</v>
      </c>
      <c r="D162" s="76">
        <v>325</v>
      </c>
      <c r="E162" s="76">
        <v>3206.45</v>
      </c>
      <c r="F162" s="77">
        <f t="shared" si="3"/>
        <v>3531.45</v>
      </c>
    </row>
    <row r="163" spans="1:6" ht="15" x14ac:dyDescent="0.2">
      <c r="A163" s="75" t="s">
        <v>992</v>
      </c>
      <c r="B163" s="75" t="s">
        <v>994</v>
      </c>
      <c r="C163" s="75" t="s">
        <v>1203</v>
      </c>
      <c r="D163" s="76">
        <v>80</v>
      </c>
      <c r="E163" s="76">
        <v>3020.07</v>
      </c>
      <c r="F163" s="77">
        <f t="shared" si="3"/>
        <v>3100.07</v>
      </c>
    </row>
    <row r="164" spans="1:6" ht="15" x14ac:dyDescent="0.2">
      <c r="A164" s="75" t="s">
        <v>995</v>
      </c>
      <c r="B164" s="75" t="s">
        <v>7285</v>
      </c>
      <c r="C164" s="75" t="s">
        <v>7286</v>
      </c>
      <c r="D164" s="76">
        <v>40</v>
      </c>
      <c r="E164" s="76">
        <v>0</v>
      </c>
      <c r="F164" s="77">
        <f t="shared" si="3"/>
        <v>40</v>
      </c>
    </row>
    <row r="165" spans="1:6" ht="15" x14ac:dyDescent="0.2">
      <c r="A165" s="75" t="s">
        <v>1002</v>
      </c>
      <c r="B165" s="75" t="s">
        <v>1005</v>
      </c>
      <c r="C165" s="75" t="s">
        <v>1004</v>
      </c>
      <c r="D165" s="76">
        <v>550</v>
      </c>
      <c r="E165" s="76">
        <v>1071.9100000000001</v>
      </c>
      <c r="F165" s="77">
        <f t="shared" si="3"/>
        <v>1621.91</v>
      </c>
    </row>
    <row r="166" spans="1:6" ht="15" x14ac:dyDescent="0.2">
      <c r="A166" s="75" t="s">
        <v>1006</v>
      </c>
      <c r="B166" s="79" t="s">
        <v>30</v>
      </c>
      <c r="C166" s="79" t="s">
        <v>1008</v>
      </c>
      <c r="D166" s="76">
        <v>252.16</v>
      </c>
      <c r="E166" s="76">
        <v>364.18</v>
      </c>
      <c r="F166" s="77">
        <f t="shared" si="3"/>
        <v>616.34</v>
      </c>
    </row>
    <row r="167" spans="1:6" ht="15" x14ac:dyDescent="0.2">
      <c r="A167" s="75" t="s">
        <v>1013</v>
      </c>
      <c r="B167" s="75" t="s">
        <v>1016</v>
      </c>
      <c r="C167" s="75" t="s">
        <v>5211</v>
      </c>
      <c r="D167" s="76">
        <v>65</v>
      </c>
      <c r="E167" s="76">
        <v>160</v>
      </c>
      <c r="F167" s="77">
        <f t="shared" si="3"/>
        <v>225</v>
      </c>
    </row>
    <row r="168" spans="1:6" ht="15" x14ac:dyDescent="0.2">
      <c r="A168" s="75" t="s">
        <v>1017</v>
      </c>
      <c r="B168" s="75" t="s">
        <v>1019</v>
      </c>
      <c r="C168" s="75" t="s">
        <v>896</v>
      </c>
      <c r="D168" s="76">
        <v>256.19</v>
      </c>
      <c r="E168" s="76">
        <v>0</v>
      </c>
      <c r="F168" s="77">
        <f t="shared" si="3"/>
        <v>256.19</v>
      </c>
    </row>
    <row r="169" spans="1:6" ht="15" x14ac:dyDescent="0.2">
      <c r="A169" s="75" t="s">
        <v>1020</v>
      </c>
      <c r="B169" s="75" t="s">
        <v>1022</v>
      </c>
      <c r="C169" s="75" t="s">
        <v>164</v>
      </c>
      <c r="D169" s="76">
        <v>140</v>
      </c>
      <c r="E169" s="76">
        <v>1309.01</v>
      </c>
      <c r="F169" s="77">
        <f t="shared" si="3"/>
        <v>1449.01</v>
      </c>
    </row>
    <row r="170" spans="1:6" ht="15" x14ac:dyDescent="0.2">
      <c r="A170" s="75" t="s">
        <v>1024</v>
      </c>
      <c r="B170" s="75" t="s">
        <v>1022</v>
      </c>
      <c r="C170" s="75" t="s">
        <v>1026</v>
      </c>
      <c r="D170" s="76">
        <v>442</v>
      </c>
      <c r="E170" s="76">
        <v>740.83</v>
      </c>
      <c r="F170" s="77">
        <f t="shared" si="3"/>
        <v>1182.83</v>
      </c>
    </row>
    <row r="171" spans="1:6" ht="15" x14ac:dyDescent="0.2">
      <c r="A171" s="75" t="s">
        <v>1030</v>
      </c>
      <c r="B171" s="75" t="s">
        <v>1033</v>
      </c>
      <c r="C171" s="75" t="s">
        <v>1032</v>
      </c>
      <c r="D171" s="76">
        <v>280</v>
      </c>
      <c r="E171" s="76">
        <v>100.9</v>
      </c>
      <c r="F171" s="77">
        <f t="shared" si="3"/>
        <v>380.9</v>
      </c>
    </row>
    <row r="172" spans="1:6" ht="15" x14ac:dyDescent="0.2">
      <c r="A172" s="75" t="s">
        <v>1034</v>
      </c>
      <c r="B172" s="75" t="s">
        <v>1037</v>
      </c>
      <c r="C172" s="75" t="s">
        <v>7287</v>
      </c>
      <c r="D172" s="76">
        <v>695</v>
      </c>
      <c r="E172" s="76">
        <v>1761</v>
      </c>
      <c r="F172" s="77">
        <f t="shared" si="3"/>
        <v>2456</v>
      </c>
    </row>
    <row r="173" spans="1:6" ht="15" x14ac:dyDescent="0.2">
      <c r="A173" s="75" t="s">
        <v>1039</v>
      </c>
      <c r="B173" s="75" t="s">
        <v>1041</v>
      </c>
      <c r="C173" s="75" t="s">
        <v>896</v>
      </c>
      <c r="D173" s="76">
        <v>445</v>
      </c>
      <c r="E173" s="76">
        <v>927</v>
      </c>
      <c r="F173" s="77">
        <f t="shared" si="3"/>
        <v>1372</v>
      </c>
    </row>
    <row r="174" spans="1:6" ht="15" x14ac:dyDescent="0.2">
      <c r="A174" s="75" t="s">
        <v>1042</v>
      </c>
      <c r="B174" s="75" t="s">
        <v>1044</v>
      </c>
      <c r="C174" s="75" t="s">
        <v>297</v>
      </c>
      <c r="D174" s="76">
        <v>80</v>
      </c>
      <c r="E174" s="76">
        <v>1000.64</v>
      </c>
      <c r="F174" s="77">
        <f t="shared" si="3"/>
        <v>1080.6399999999999</v>
      </c>
    </row>
    <row r="175" spans="1:6" ht="15" x14ac:dyDescent="0.2">
      <c r="A175" s="75" t="s">
        <v>1045</v>
      </c>
      <c r="B175" s="75" t="s">
        <v>1048</v>
      </c>
      <c r="C175" s="75" t="s">
        <v>1047</v>
      </c>
      <c r="D175" s="76">
        <v>30</v>
      </c>
      <c r="E175" s="76">
        <v>1800</v>
      </c>
      <c r="F175" s="77">
        <f t="shared" si="3"/>
        <v>1830</v>
      </c>
    </row>
    <row r="176" spans="1:6" ht="15" x14ac:dyDescent="0.2">
      <c r="A176" s="78" t="s">
        <v>1049</v>
      </c>
      <c r="B176" s="78" t="s">
        <v>7288</v>
      </c>
      <c r="C176" s="78" t="s">
        <v>7289</v>
      </c>
      <c r="D176" s="76">
        <v>0</v>
      </c>
      <c r="E176" s="76">
        <v>0</v>
      </c>
      <c r="F176" s="77">
        <f t="shared" si="3"/>
        <v>0</v>
      </c>
    </row>
    <row r="177" spans="1:6" ht="15" x14ac:dyDescent="0.2">
      <c r="A177" s="75" t="s">
        <v>1052</v>
      </c>
      <c r="B177" s="75" t="s">
        <v>1055</v>
      </c>
      <c r="C177" s="75" t="s">
        <v>1371</v>
      </c>
      <c r="D177" s="76">
        <v>30</v>
      </c>
      <c r="E177" s="76">
        <v>2044.58</v>
      </c>
      <c r="F177" s="77">
        <f t="shared" si="3"/>
        <v>2074.58</v>
      </c>
    </row>
    <row r="178" spans="1:6" ht="15" x14ac:dyDescent="0.2">
      <c r="A178" s="75" t="s">
        <v>7290</v>
      </c>
      <c r="B178" s="75" t="s">
        <v>7291</v>
      </c>
      <c r="C178" s="75" t="s">
        <v>7292</v>
      </c>
      <c r="D178" s="76">
        <f>30+145</f>
        <v>175</v>
      </c>
      <c r="E178" s="76">
        <v>0</v>
      </c>
      <c r="F178" s="77">
        <f t="shared" si="3"/>
        <v>175</v>
      </c>
    </row>
    <row r="179" spans="1:6" ht="15" x14ac:dyDescent="0.2">
      <c r="A179" s="75" t="s">
        <v>1063</v>
      </c>
      <c r="B179" s="75" t="s">
        <v>1066</v>
      </c>
      <c r="C179" s="75" t="s">
        <v>1065</v>
      </c>
      <c r="D179" s="76">
        <v>0</v>
      </c>
      <c r="E179" s="76">
        <v>654.37</v>
      </c>
      <c r="F179" s="77">
        <f t="shared" si="3"/>
        <v>654.37</v>
      </c>
    </row>
    <row r="180" spans="1:6" ht="15" x14ac:dyDescent="0.2">
      <c r="A180" s="75" t="s">
        <v>1067</v>
      </c>
      <c r="B180" s="75" t="s">
        <v>1069</v>
      </c>
      <c r="C180" s="75" t="s">
        <v>226</v>
      </c>
      <c r="D180" s="76">
        <v>25</v>
      </c>
      <c r="E180" s="76">
        <v>882.2</v>
      </c>
      <c r="F180" s="77">
        <f t="shared" si="3"/>
        <v>907.2</v>
      </c>
    </row>
    <row r="181" spans="1:6" ht="15" x14ac:dyDescent="0.2">
      <c r="A181" s="75" t="s">
        <v>1071</v>
      </c>
      <c r="B181" s="75" t="s">
        <v>1073</v>
      </c>
      <c r="C181" s="75" t="s">
        <v>226</v>
      </c>
      <c r="D181" s="76">
        <v>0</v>
      </c>
      <c r="E181" s="76">
        <v>468.56</v>
      </c>
      <c r="F181" s="77">
        <f t="shared" si="3"/>
        <v>468.56</v>
      </c>
    </row>
    <row r="182" spans="1:6" ht="15" x14ac:dyDescent="0.2">
      <c r="A182" s="75" t="s">
        <v>1074</v>
      </c>
      <c r="B182" s="75" t="s">
        <v>1077</v>
      </c>
      <c r="C182" s="75" t="s">
        <v>1076</v>
      </c>
      <c r="D182" s="76">
        <v>170</v>
      </c>
      <c r="E182" s="76">
        <v>929.58</v>
      </c>
      <c r="F182" s="77">
        <f t="shared" si="3"/>
        <v>1099.58</v>
      </c>
    </row>
    <row r="183" spans="1:6" ht="15" x14ac:dyDescent="0.2">
      <c r="A183" s="75" t="s">
        <v>1078</v>
      </c>
      <c r="B183" s="75" t="s">
        <v>1080</v>
      </c>
      <c r="C183" s="75" t="s">
        <v>1065</v>
      </c>
      <c r="D183" s="76">
        <v>928</v>
      </c>
      <c r="E183" s="76">
        <v>2432.04</v>
      </c>
      <c r="F183" s="77">
        <f t="shared" si="3"/>
        <v>3360.04</v>
      </c>
    </row>
    <row r="184" spans="1:6" ht="15" x14ac:dyDescent="0.2">
      <c r="A184" s="75" t="s">
        <v>1082</v>
      </c>
      <c r="B184" s="75" t="s">
        <v>1084</v>
      </c>
      <c r="C184" s="75" t="s">
        <v>2896</v>
      </c>
      <c r="D184" s="76">
        <v>60</v>
      </c>
      <c r="E184" s="76">
        <v>802.87</v>
      </c>
      <c r="F184" s="77">
        <f t="shared" si="3"/>
        <v>862.87</v>
      </c>
    </row>
    <row r="185" spans="1:6" ht="15" x14ac:dyDescent="0.2">
      <c r="A185" s="75" t="s">
        <v>1085</v>
      </c>
      <c r="B185" s="75" t="s">
        <v>1088</v>
      </c>
      <c r="C185" s="75" t="s">
        <v>1087</v>
      </c>
      <c r="D185" s="76">
        <v>340</v>
      </c>
      <c r="E185" s="76">
        <v>339.87</v>
      </c>
      <c r="F185" s="77">
        <f t="shared" si="3"/>
        <v>679.87</v>
      </c>
    </row>
    <row r="186" spans="1:6" ht="15" x14ac:dyDescent="0.2">
      <c r="A186" s="75" t="s">
        <v>1089</v>
      </c>
      <c r="B186" s="75" t="s">
        <v>1092</v>
      </c>
      <c r="C186" s="75" t="s">
        <v>7293</v>
      </c>
      <c r="D186" s="76">
        <v>260</v>
      </c>
      <c r="E186" s="76">
        <v>1232.23</v>
      </c>
      <c r="F186" s="77">
        <f t="shared" ref="F186:F249" si="4">D186+E186</f>
        <v>1492.23</v>
      </c>
    </row>
    <row r="187" spans="1:6" ht="15" x14ac:dyDescent="0.2">
      <c r="A187" s="75" t="s">
        <v>1094</v>
      </c>
      <c r="B187" s="75" t="s">
        <v>1097</v>
      </c>
      <c r="C187" s="75" t="s">
        <v>1096</v>
      </c>
      <c r="D187" s="76">
        <v>48</v>
      </c>
      <c r="E187" s="76">
        <v>2625.6</v>
      </c>
      <c r="F187" s="77">
        <f t="shared" si="4"/>
        <v>2673.6</v>
      </c>
    </row>
    <row r="188" spans="1:6" ht="15" x14ac:dyDescent="0.2">
      <c r="A188" s="75" t="s">
        <v>1098</v>
      </c>
      <c r="B188" s="75" t="s">
        <v>1100</v>
      </c>
      <c r="C188" s="75" t="s">
        <v>532</v>
      </c>
      <c r="D188" s="76">
        <v>150</v>
      </c>
      <c r="E188" s="76">
        <v>2051</v>
      </c>
      <c r="F188" s="77">
        <f t="shared" si="4"/>
        <v>2201</v>
      </c>
    </row>
    <row r="189" spans="1:6" ht="15" x14ac:dyDescent="0.2">
      <c r="A189" s="75" t="s">
        <v>1105</v>
      </c>
      <c r="B189" s="78" t="s">
        <v>1108</v>
      </c>
      <c r="C189" s="78" t="s">
        <v>7294</v>
      </c>
      <c r="D189" s="76">
        <v>849.99</v>
      </c>
      <c r="E189" s="76">
        <v>0</v>
      </c>
      <c r="F189" s="77">
        <f t="shared" si="4"/>
        <v>849.99</v>
      </c>
    </row>
    <row r="190" spans="1:6" ht="15" x14ac:dyDescent="0.2">
      <c r="A190" s="75" t="s">
        <v>1109</v>
      </c>
      <c r="B190" s="75" t="s">
        <v>1112</v>
      </c>
      <c r="C190" s="75" t="s">
        <v>7295</v>
      </c>
      <c r="D190" s="76">
        <v>180</v>
      </c>
      <c r="E190" s="76">
        <v>2770</v>
      </c>
      <c r="F190" s="77">
        <f t="shared" si="4"/>
        <v>2950</v>
      </c>
    </row>
    <row r="191" spans="1:6" ht="15" x14ac:dyDescent="0.2">
      <c r="A191" s="75" t="s">
        <v>1113</v>
      </c>
      <c r="B191" s="75" t="s">
        <v>7296</v>
      </c>
      <c r="C191" s="75" t="s">
        <v>7297</v>
      </c>
      <c r="D191" s="76">
        <v>337.32</v>
      </c>
      <c r="E191" s="76">
        <v>0</v>
      </c>
      <c r="F191" s="77">
        <f t="shared" si="4"/>
        <v>337.32</v>
      </c>
    </row>
    <row r="192" spans="1:6" ht="15" x14ac:dyDescent="0.2">
      <c r="A192" s="75" t="s">
        <v>1122</v>
      </c>
      <c r="B192" s="75" t="s">
        <v>1124</v>
      </c>
      <c r="C192" s="75" t="s">
        <v>532</v>
      </c>
      <c r="D192" s="76">
        <v>204</v>
      </c>
      <c r="E192" s="76">
        <v>1228.7</v>
      </c>
      <c r="F192" s="77">
        <f t="shared" si="4"/>
        <v>1432.7</v>
      </c>
    </row>
    <row r="193" spans="1:6" ht="15" x14ac:dyDescent="0.2">
      <c r="A193" s="75" t="s">
        <v>7298</v>
      </c>
      <c r="B193" s="75" t="s">
        <v>7299</v>
      </c>
      <c r="C193" s="75" t="s">
        <v>7300</v>
      </c>
      <c r="D193" s="76">
        <v>50</v>
      </c>
      <c r="E193" s="76">
        <v>1112.0899999999999</v>
      </c>
      <c r="F193" s="77">
        <f t="shared" si="4"/>
        <v>1162.0899999999999</v>
      </c>
    </row>
    <row r="194" spans="1:6" ht="15" x14ac:dyDescent="0.2">
      <c r="A194" s="75" t="s">
        <v>1130</v>
      </c>
      <c r="B194" s="75" t="s">
        <v>1132</v>
      </c>
      <c r="C194" s="75" t="s">
        <v>164</v>
      </c>
      <c r="D194" s="76">
        <v>20</v>
      </c>
      <c r="E194" s="76">
        <v>267.2</v>
      </c>
      <c r="F194" s="77">
        <f t="shared" si="4"/>
        <v>287.2</v>
      </c>
    </row>
    <row r="195" spans="1:6" ht="15" x14ac:dyDescent="0.2">
      <c r="A195" s="75" t="s">
        <v>1134</v>
      </c>
      <c r="B195" s="75" t="s">
        <v>1116</v>
      </c>
      <c r="C195" s="75" t="s">
        <v>1371</v>
      </c>
      <c r="D195" s="76">
        <v>25</v>
      </c>
      <c r="E195" s="76">
        <v>598.21</v>
      </c>
      <c r="F195" s="77">
        <f t="shared" si="4"/>
        <v>623.21</v>
      </c>
    </row>
    <row r="196" spans="1:6" ht="15" x14ac:dyDescent="0.2">
      <c r="A196" s="75" t="s">
        <v>7301</v>
      </c>
      <c r="B196" s="75" t="s">
        <v>7302</v>
      </c>
      <c r="C196" s="80" t="s">
        <v>7303</v>
      </c>
      <c r="D196" s="76">
        <v>560</v>
      </c>
      <c r="E196" s="76">
        <v>647.23</v>
      </c>
      <c r="F196" s="77">
        <f t="shared" si="4"/>
        <v>1207.23</v>
      </c>
    </row>
    <row r="197" spans="1:6" ht="15" x14ac:dyDescent="0.2">
      <c r="A197" s="75" t="s">
        <v>1141</v>
      </c>
      <c r="B197" s="75" t="s">
        <v>1144</v>
      </c>
      <c r="C197" s="75" t="s">
        <v>1762</v>
      </c>
      <c r="D197" s="76">
        <v>329.89</v>
      </c>
      <c r="E197" s="76">
        <v>819.74</v>
      </c>
      <c r="F197" s="77">
        <f t="shared" si="4"/>
        <v>1149.6300000000001</v>
      </c>
    </row>
    <row r="198" spans="1:6" ht="15" x14ac:dyDescent="0.2">
      <c r="A198" s="75" t="s">
        <v>1146</v>
      </c>
      <c r="B198" s="75" t="s">
        <v>1149</v>
      </c>
      <c r="C198" s="75" t="s">
        <v>5452</v>
      </c>
      <c r="D198" s="76">
        <v>65</v>
      </c>
      <c r="E198" s="76">
        <v>1053</v>
      </c>
      <c r="F198" s="77">
        <f t="shared" si="4"/>
        <v>1118</v>
      </c>
    </row>
    <row r="199" spans="1:6" ht="15" x14ac:dyDescent="0.2">
      <c r="A199" s="75" t="s">
        <v>1150</v>
      </c>
      <c r="B199" s="75" t="s">
        <v>1153</v>
      </c>
      <c r="C199" s="75" t="s">
        <v>1867</v>
      </c>
      <c r="D199" s="76">
        <v>260</v>
      </c>
      <c r="E199" s="76">
        <f>2680.82-236</f>
        <v>2444.8200000000002</v>
      </c>
      <c r="F199" s="77">
        <f t="shared" si="4"/>
        <v>2704.82</v>
      </c>
    </row>
    <row r="200" spans="1:6" ht="15" x14ac:dyDescent="0.2">
      <c r="A200" s="75" t="s">
        <v>1155</v>
      </c>
      <c r="B200" s="75" t="s">
        <v>1153</v>
      </c>
      <c r="C200" s="75" t="s">
        <v>1157</v>
      </c>
      <c r="D200" s="76">
        <v>390</v>
      </c>
      <c r="E200" s="76">
        <v>0</v>
      </c>
      <c r="F200" s="77">
        <f t="shared" si="4"/>
        <v>390</v>
      </c>
    </row>
    <row r="201" spans="1:6" ht="15" x14ac:dyDescent="0.2">
      <c r="A201" s="75" t="s">
        <v>1161</v>
      </c>
      <c r="B201" s="75" t="s">
        <v>1153</v>
      </c>
      <c r="C201" s="75" t="s">
        <v>7216</v>
      </c>
      <c r="D201" s="76">
        <v>150</v>
      </c>
      <c r="E201" s="76">
        <v>1319.53</v>
      </c>
      <c r="F201" s="77">
        <f t="shared" si="4"/>
        <v>1469.53</v>
      </c>
    </row>
    <row r="202" spans="1:6" ht="15" x14ac:dyDescent="0.2">
      <c r="A202" s="75" t="s">
        <v>1163</v>
      </c>
      <c r="B202" s="75" t="s">
        <v>1153</v>
      </c>
      <c r="C202" s="75" t="s">
        <v>1165</v>
      </c>
      <c r="D202" s="76">
        <v>180</v>
      </c>
      <c r="E202" s="76">
        <v>1390</v>
      </c>
      <c r="F202" s="77">
        <f t="shared" si="4"/>
        <v>1570</v>
      </c>
    </row>
    <row r="203" spans="1:6" ht="15" x14ac:dyDescent="0.2">
      <c r="A203" s="75" t="s">
        <v>1166</v>
      </c>
      <c r="B203" s="75" t="s">
        <v>1153</v>
      </c>
      <c r="C203" s="75" t="s">
        <v>7304</v>
      </c>
      <c r="D203" s="76">
        <v>0</v>
      </c>
      <c r="E203" s="76">
        <v>2000</v>
      </c>
      <c r="F203" s="77">
        <f t="shared" si="4"/>
        <v>2000</v>
      </c>
    </row>
    <row r="204" spans="1:6" ht="15" x14ac:dyDescent="0.2">
      <c r="A204" s="75" t="s">
        <v>1168</v>
      </c>
      <c r="B204" s="75" t="s">
        <v>1153</v>
      </c>
      <c r="C204" s="75" t="s">
        <v>231</v>
      </c>
      <c r="D204" s="76">
        <v>235</v>
      </c>
      <c r="E204" s="76">
        <v>0</v>
      </c>
      <c r="F204" s="77">
        <f t="shared" si="4"/>
        <v>235</v>
      </c>
    </row>
    <row r="205" spans="1:6" ht="15" x14ac:dyDescent="0.2">
      <c r="A205" s="75" t="s">
        <v>1170</v>
      </c>
      <c r="B205" s="75" t="s">
        <v>1153</v>
      </c>
      <c r="C205" s="75" t="s">
        <v>839</v>
      </c>
      <c r="D205" s="76">
        <v>276</v>
      </c>
      <c r="E205" s="76">
        <v>554.15</v>
      </c>
      <c r="F205" s="77">
        <f t="shared" si="4"/>
        <v>830.15</v>
      </c>
    </row>
    <row r="206" spans="1:6" ht="15" x14ac:dyDescent="0.2">
      <c r="A206" s="75" t="s">
        <v>1172</v>
      </c>
      <c r="B206" s="75" t="s">
        <v>1153</v>
      </c>
      <c r="C206" s="75" t="s">
        <v>5249</v>
      </c>
      <c r="D206" s="76">
        <v>191</v>
      </c>
      <c r="E206" s="76">
        <v>1105</v>
      </c>
      <c r="F206" s="77">
        <f t="shared" si="4"/>
        <v>1296</v>
      </c>
    </row>
    <row r="207" spans="1:6" ht="15" x14ac:dyDescent="0.2">
      <c r="A207" s="75" t="s">
        <v>1175</v>
      </c>
      <c r="B207" s="75" t="s">
        <v>1153</v>
      </c>
      <c r="C207" s="75" t="s">
        <v>2578</v>
      </c>
      <c r="D207" s="76">
        <v>220</v>
      </c>
      <c r="E207" s="76">
        <v>625.59</v>
      </c>
      <c r="F207" s="77">
        <f t="shared" si="4"/>
        <v>845.59</v>
      </c>
    </row>
    <row r="208" spans="1:6" ht="15" x14ac:dyDescent="0.2">
      <c r="A208" s="75" t="s">
        <v>1178</v>
      </c>
      <c r="B208" s="75" t="s">
        <v>1153</v>
      </c>
      <c r="C208" s="75" t="s">
        <v>270</v>
      </c>
      <c r="D208" s="76">
        <v>220</v>
      </c>
      <c r="E208" s="76">
        <v>699.08</v>
      </c>
      <c r="F208" s="77">
        <f t="shared" si="4"/>
        <v>919.08</v>
      </c>
    </row>
    <row r="209" spans="1:6" ht="15" x14ac:dyDescent="0.2">
      <c r="A209" s="75" t="s">
        <v>1181</v>
      </c>
      <c r="B209" s="75" t="s">
        <v>1153</v>
      </c>
      <c r="C209" s="75" t="s">
        <v>1026</v>
      </c>
      <c r="D209" s="76">
        <v>50</v>
      </c>
      <c r="E209" s="76">
        <v>612.48</v>
      </c>
      <c r="F209" s="77">
        <f t="shared" si="4"/>
        <v>662.48</v>
      </c>
    </row>
    <row r="210" spans="1:6" ht="15" x14ac:dyDescent="0.2">
      <c r="A210" s="75" t="s">
        <v>1184</v>
      </c>
      <c r="B210" s="75" t="s">
        <v>1153</v>
      </c>
      <c r="C210" s="75" t="s">
        <v>1186</v>
      </c>
      <c r="D210" s="76">
        <v>400.78</v>
      </c>
      <c r="E210" s="76">
        <v>0</v>
      </c>
      <c r="F210" s="77">
        <f t="shared" si="4"/>
        <v>400.78</v>
      </c>
    </row>
    <row r="211" spans="1:6" ht="15" x14ac:dyDescent="0.2">
      <c r="A211" s="75" t="s">
        <v>1188</v>
      </c>
      <c r="B211" s="75" t="s">
        <v>1153</v>
      </c>
      <c r="C211" s="75" t="s">
        <v>7305</v>
      </c>
      <c r="D211" s="76">
        <v>170</v>
      </c>
      <c r="E211" s="76">
        <v>949.46</v>
      </c>
      <c r="F211" s="77">
        <f t="shared" si="4"/>
        <v>1119.46</v>
      </c>
    </row>
    <row r="212" spans="1:6" ht="15" x14ac:dyDescent="0.2">
      <c r="A212" s="75" t="s">
        <v>1191</v>
      </c>
      <c r="B212" s="75" t="s">
        <v>1153</v>
      </c>
      <c r="C212" s="75" t="s">
        <v>158</v>
      </c>
      <c r="D212" s="76">
        <v>110</v>
      </c>
      <c r="E212" s="76">
        <v>1405</v>
      </c>
      <c r="F212" s="77">
        <f t="shared" si="4"/>
        <v>1515</v>
      </c>
    </row>
    <row r="213" spans="1:6" ht="15" x14ac:dyDescent="0.2">
      <c r="A213" s="75" t="s">
        <v>1196</v>
      </c>
      <c r="B213" s="75" t="s">
        <v>1153</v>
      </c>
      <c r="C213" s="75" t="s">
        <v>453</v>
      </c>
      <c r="D213" s="76">
        <v>175</v>
      </c>
      <c r="E213" s="76">
        <v>2674.77</v>
      </c>
      <c r="F213" s="77">
        <f t="shared" si="4"/>
        <v>2849.77</v>
      </c>
    </row>
    <row r="214" spans="1:6" ht="15" x14ac:dyDescent="0.2">
      <c r="A214" s="75" t="s">
        <v>1201</v>
      </c>
      <c r="B214" s="75" t="s">
        <v>1204</v>
      </c>
      <c r="C214" s="75" t="s">
        <v>1203</v>
      </c>
      <c r="D214" s="76">
        <v>0</v>
      </c>
      <c r="E214" s="76">
        <v>719.31</v>
      </c>
      <c r="F214" s="77">
        <f t="shared" si="4"/>
        <v>719.31</v>
      </c>
    </row>
    <row r="215" spans="1:6" ht="15" x14ac:dyDescent="0.2">
      <c r="A215" s="75" t="s">
        <v>1205</v>
      </c>
      <c r="B215" s="75" t="s">
        <v>1207</v>
      </c>
      <c r="C215" s="75" t="s">
        <v>532</v>
      </c>
      <c r="D215" s="76">
        <v>10</v>
      </c>
      <c r="E215" s="76">
        <v>720</v>
      </c>
      <c r="F215" s="77">
        <f t="shared" si="4"/>
        <v>730</v>
      </c>
    </row>
    <row r="216" spans="1:6" ht="15" x14ac:dyDescent="0.2">
      <c r="A216" s="75" t="s">
        <v>1208</v>
      </c>
      <c r="B216" s="75" t="s">
        <v>1211</v>
      </c>
      <c r="C216" s="75" t="s">
        <v>1210</v>
      </c>
      <c r="D216" s="76">
        <v>35</v>
      </c>
      <c r="E216" s="76">
        <v>491.23</v>
      </c>
      <c r="F216" s="77">
        <f t="shared" si="4"/>
        <v>526.23</v>
      </c>
    </row>
    <row r="217" spans="1:6" ht="15" x14ac:dyDescent="0.2">
      <c r="A217" s="79" t="s">
        <v>1216</v>
      </c>
      <c r="B217" s="79" t="s">
        <v>1219</v>
      </c>
      <c r="C217" s="79" t="s">
        <v>1218</v>
      </c>
      <c r="D217" s="76">
        <v>378</v>
      </c>
      <c r="E217" s="76">
        <v>2242.0500000000002</v>
      </c>
      <c r="F217" s="77">
        <f t="shared" si="4"/>
        <v>2620.0500000000002</v>
      </c>
    </row>
    <row r="218" spans="1:6" ht="15" x14ac:dyDescent="0.2">
      <c r="A218" s="75" t="s">
        <v>1224</v>
      </c>
      <c r="B218" s="75" t="s">
        <v>1227</v>
      </c>
      <c r="C218" s="75" t="s">
        <v>1226</v>
      </c>
      <c r="D218" s="76">
        <v>25</v>
      </c>
      <c r="E218" s="76">
        <v>941.49</v>
      </c>
      <c r="F218" s="77">
        <f t="shared" si="4"/>
        <v>966.49</v>
      </c>
    </row>
    <row r="219" spans="1:6" ht="15" x14ac:dyDescent="0.2">
      <c r="A219" s="75" t="s">
        <v>1228</v>
      </c>
      <c r="B219" s="75" t="s">
        <v>1231</v>
      </c>
      <c r="C219" s="75" t="s">
        <v>1230</v>
      </c>
      <c r="D219" s="76">
        <v>185</v>
      </c>
      <c r="E219" s="76">
        <v>643.4</v>
      </c>
      <c r="F219" s="77">
        <f t="shared" si="4"/>
        <v>828.4</v>
      </c>
    </row>
    <row r="220" spans="1:6" ht="15" x14ac:dyDescent="0.2">
      <c r="A220" s="75" t="s">
        <v>1232</v>
      </c>
      <c r="B220" s="75" t="s">
        <v>1234</v>
      </c>
      <c r="C220" s="75" t="s">
        <v>231</v>
      </c>
      <c r="D220" s="76">
        <v>55</v>
      </c>
      <c r="E220" s="76">
        <v>254.12</v>
      </c>
      <c r="F220" s="77">
        <f t="shared" si="4"/>
        <v>309.12</v>
      </c>
    </row>
    <row r="221" spans="1:6" ht="15" x14ac:dyDescent="0.2">
      <c r="A221" s="75" t="s">
        <v>1235</v>
      </c>
      <c r="B221" s="75" t="s">
        <v>1238</v>
      </c>
      <c r="C221" s="75" t="s">
        <v>7306</v>
      </c>
      <c r="D221" s="76">
        <v>190</v>
      </c>
      <c r="E221" s="76">
        <v>776</v>
      </c>
      <c r="F221" s="77">
        <f t="shared" si="4"/>
        <v>966</v>
      </c>
    </row>
    <row r="222" spans="1:6" ht="15" x14ac:dyDescent="0.2">
      <c r="A222" s="75" t="s">
        <v>1239</v>
      </c>
      <c r="B222" s="75" t="s">
        <v>1241</v>
      </c>
      <c r="C222" s="75" t="s">
        <v>1065</v>
      </c>
      <c r="D222" s="76">
        <v>300.72000000000003</v>
      </c>
      <c r="E222" s="76">
        <v>0</v>
      </c>
      <c r="F222" s="77">
        <f t="shared" si="4"/>
        <v>300.72000000000003</v>
      </c>
    </row>
    <row r="223" spans="1:6" ht="15" x14ac:dyDescent="0.2">
      <c r="A223" s="75" t="s">
        <v>1242</v>
      </c>
      <c r="B223" s="75" t="s">
        <v>1245</v>
      </c>
      <c r="C223" s="75" t="s">
        <v>1244</v>
      </c>
      <c r="D223" s="76">
        <v>10</v>
      </c>
      <c r="E223" s="76">
        <v>152.47999999999999</v>
      </c>
      <c r="F223" s="77">
        <f t="shared" si="4"/>
        <v>162.47999999999999</v>
      </c>
    </row>
    <row r="224" spans="1:6" ht="15" x14ac:dyDescent="0.2">
      <c r="A224" s="75" t="s">
        <v>1246</v>
      </c>
      <c r="B224" s="75" t="s">
        <v>1248</v>
      </c>
      <c r="C224" s="75" t="s">
        <v>7278</v>
      </c>
      <c r="D224" s="76">
        <v>0</v>
      </c>
      <c r="E224" s="76">
        <v>372.18</v>
      </c>
      <c r="F224" s="77">
        <f t="shared" si="4"/>
        <v>372.18</v>
      </c>
    </row>
    <row r="225" spans="1:6" ht="15" x14ac:dyDescent="0.2">
      <c r="A225" s="75" t="s">
        <v>1249</v>
      </c>
      <c r="B225" s="75" t="s">
        <v>1252</v>
      </c>
      <c r="C225" s="75" t="s">
        <v>7207</v>
      </c>
      <c r="D225" s="76">
        <f>56.63+12.5</f>
        <v>69.13</v>
      </c>
      <c r="E225" s="76">
        <v>1355.77</v>
      </c>
      <c r="F225" s="77">
        <f t="shared" si="4"/>
        <v>1424.9</v>
      </c>
    </row>
    <row r="226" spans="1:6" ht="15" x14ac:dyDescent="0.2">
      <c r="A226" s="75" t="s">
        <v>1253</v>
      </c>
      <c r="B226" s="75" t="s">
        <v>1256</v>
      </c>
      <c r="C226" s="75" t="s">
        <v>1255</v>
      </c>
      <c r="D226" s="76">
        <v>440.76</v>
      </c>
      <c r="E226" s="76">
        <v>270.32</v>
      </c>
      <c r="F226" s="77">
        <f t="shared" si="4"/>
        <v>711.07999999999993</v>
      </c>
    </row>
    <row r="227" spans="1:6" ht="15" x14ac:dyDescent="0.2">
      <c r="A227" s="75" t="s">
        <v>1257</v>
      </c>
      <c r="B227" s="75" t="s">
        <v>7307</v>
      </c>
      <c r="C227" s="75" t="s">
        <v>3463</v>
      </c>
      <c r="D227" s="76">
        <v>420</v>
      </c>
      <c r="E227" s="76">
        <v>1669.85</v>
      </c>
      <c r="F227" s="77">
        <f t="shared" si="4"/>
        <v>2089.85</v>
      </c>
    </row>
    <row r="228" spans="1:6" ht="15" x14ac:dyDescent="0.2">
      <c r="A228" s="75" t="s">
        <v>1260</v>
      </c>
      <c r="B228" s="75" t="s">
        <v>1263</v>
      </c>
      <c r="C228" s="75" t="s">
        <v>7308</v>
      </c>
      <c r="D228" s="76">
        <v>226</v>
      </c>
      <c r="E228" s="76">
        <v>798.24</v>
      </c>
      <c r="F228" s="77">
        <f t="shared" si="4"/>
        <v>1024.24</v>
      </c>
    </row>
    <row r="229" spans="1:6" ht="15" x14ac:dyDescent="0.2">
      <c r="A229" s="75" t="s">
        <v>1264</v>
      </c>
      <c r="B229" s="75" t="s">
        <v>1267</v>
      </c>
      <c r="C229" s="75" t="s">
        <v>7309</v>
      </c>
      <c r="D229" s="76">
        <v>450</v>
      </c>
      <c r="E229" s="76">
        <v>817</v>
      </c>
      <c r="F229" s="77">
        <f t="shared" si="4"/>
        <v>1267</v>
      </c>
    </row>
    <row r="230" spans="1:6" ht="15" x14ac:dyDescent="0.2">
      <c r="A230" s="75" t="s">
        <v>1268</v>
      </c>
      <c r="B230" s="75" t="s">
        <v>1270</v>
      </c>
      <c r="C230" s="75" t="s">
        <v>7310</v>
      </c>
      <c r="D230" s="76">
        <v>216.75</v>
      </c>
      <c r="E230" s="76">
        <v>314.45</v>
      </c>
      <c r="F230" s="77">
        <f t="shared" si="4"/>
        <v>531.20000000000005</v>
      </c>
    </row>
    <row r="231" spans="1:6" ht="15" x14ac:dyDescent="0.2">
      <c r="A231" s="75" t="s">
        <v>1271</v>
      </c>
      <c r="B231" s="75" t="s">
        <v>1274</v>
      </c>
      <c r="C231" s="75" t="s">
        <v>1273</v>
      </c>
      <c r="D231" s="76">
        <v>129</v>
      </c>
      <c r="E231" s="76">
        <v>358.38</v>
      </c>
      <c r="F231" s="77">
        <f t="shared" si="4"/>
        <v>487.38</v>
      </c>
    </row>
    <row r="232" spans="1:6" ht="15" x14ac:dyDescent="0.2">
      <c r="A232" s="75" t="s">
        <v>1275</v>
      </c>
      <c r="B232" s="78" t="s">
        <v>1278</v>
      </c>
      <c r="C232" s="78" t="s">
        <v>7311</v>
      </c>
      <c r="D232" s="76">
        <v>20</v>
      </c>
      <c r="E232" s="76">
        <v>0</v>
      </c>
      <c r="F232" s="77">
        <f t="shared" si="4"/>
        <v>20</v>
      </c>
    </row>
    <row r="233" spans="1:6" ht="15" x14ac:dyDescent="0.2">
      <c r="A233" s="75" t="s">
        <v>1279</v>
      </c>
      <c r="B233" s="78" t="s">
        <v>1281</v>
      </c>
      <c r="C233" s="78" t="s">
        <v>1203</v>
      </c>
      <c r="D233" s="76">
        <v>0</v>
      </c>
      <c r="E233" s="76">
        <v>0</v>
      </c>
      <c r="F233" s="77">
        <f t="shared" si="4"/>
        <v>0</v>
      </c>
    </row>
    <row r="234" spans="1:6" ht="15" x14ac:dyDescent="0.2">
      <c r="A234" s="75" t="s">
        <v>1282</v>
      </c>
      <c r="B234" s="75" t="s">
        <v>1285</v>
      </c>
      <c r="C234" s="75" t="s">
        <v>1284</v>
      </c>
      <c r="D234" s="76">
        <v>475</v>
      </c>
      <c r="E234" s="76">
        <v>0</v>
      </c>
      <c r="F234" s="77">
        <f t="shared" si="4"/>
        <v>475</v>
      </c>
    </row>
    <row r="235" spans="1:6" ht="15" x14ac:dyDescent="0.2">
      <c r="A235" s="75" t="s">
        <v>1286</v>
      </c>
      <c r="B235" s="75" t="s">
        <v>7312</v>
      </c>
      <c r="C235" s="75" t="s">
        <v>1288</v>
      </c>
      <c r="D235" s="76">
        <v>30</v>
      </c>
      <c r="E235" s="76">
        <v>0</v>
      </c>
      <c r="F235" s="77">
        <f t="shared" si="4"/>
        <v>30</v>
      </c>
    </row>
    <row r="236" spans="1:6" ht="15" x14ac:dyDescent="0.2">
      <c r="A236" s="75" t="s">
        <v>1293</v>
      </c>
      <c r="B236" s="75" t="s">
        <v>1292</v>
      </c>
      <c r="C236" s="75" t="s">
        <v>896</v>
      </c>
      <c r="D236" s="76">
        <v>516</v>
      </c>
      <c r="E236" s="76">
        <v>1053.3900000000001</v>
      </c>
      <c r="F236" s="77">
        <f t="shared" si="4"/>
        <v>1569.39</v>
      </c>
    </row>
    <row r="237" spans="1:6" ht="15" x14ac:dyDescent="0.2">
      <c r="A237" s="75" t="s">
        <v>1296</v>
      </c>
      <c r="B237" s="75" t="s">
        <v>1263</v>
      </c>
      <c r="C237" s="75" t="s">
        <v>5371</v>
      </c>
      <c r="D237" s="76">
        <v>65</v>
      </c>
      <c r="E237" s="76">
        <v>3041.08</v>
      </c>
      <c r="F237" s="77">
        <f t="shared" si="4"/>
        <v>3106.08</v>
      </c>
    </row>
    <row r="238" spans="1:6" ht="15" x14ac:dyDescent="0.2">
      <c r="A238" s="75" t="s">
        <v>1302</v>
      </c>
      <c r="B238" s="75" t="s">
        <v>7313</v>
      </c>
      <c r="C238" s="78" t="s">
        <v>7314</v>
      </c>
      <c r="D238" s="76">
        <v>250</v>
      </c>
      <c r="E238" s="76">
        <v>1052.18</v>
      </c>
      <c r="F238" s="77">
        <f t="shared" si="4"/>
        <v>1302.18</v>
      </c>
    </row>
    <row r="239" spans="1:6" ht="15" x14ac:dyDescent="0.2">
      <c r="A239" s="75" t="s">
        <v>1310</v>
      </c>
      <c r="B239" s="75" t="s">
        <v>1313</v>
      </c>
      <c r="C239" s="75" t="s">
        <v>1312</v>
      </c>
      <c r="D239" s="76">
        <v>305</v>
      </c>
      <c r="E239" s="76">
        <v>761.59</v>
      </c>
      <c r="F239" s="77">
        <f t="shared" si="4"/>
        <v>1066.5900000000001</v>
      </c>
    </row>
    <row r="240" spans="1:6" ht="15" x14ac:dyDescent="0.2">
      <c r="A240" s="75" t="s">
        <v>1314</v>
      </c>
      <c r="B240" s="75" t="s">
        <v>1316</v>
      </c>
      <c r="C240" s="75" t="s">
        <v>7315</v>
      </c>
      <c r="D240" s="76">
        <v>100</v>
      </c>
      <c r="E240" s="76">
        <v>983.2</v>
      </c>
      <c r="F240" s="77">
        <f t="shared" si="4"/>
        <v>1083.2</v>
      </c>
    </row>
    <row r="241" spans="1:6" ht="15" x14ac:dyDescent="0.2">
      <c r="A241" s="75" t="s">
        <v>1323</v>
      </c>
      <c r="B241" s="75" t="s">
        <v>1326</v>
      </c>
      <c r="C241" s="75" t="s">
        <v>7316</v>
      </c>
      <c r="D241" s="76">
        <v>0</v>
      </c>
      <c r="E241" s="76">
        <v>692.32</v>
      </c>
      <c r="F241" s="77">
        <f t="shared" si="4"/>
        <v>692.32</v>
      </c>
    </row>
    <row r="242" spans="1:6" ht="15" x14ac:dyDescent="0.2">
      <c r="A242" s="75" t="s">
        <v>1331</v>
      </c>
      <c r="B242" s="75" t="s">
        <v>1333</v>
      </c>
      <c r="C242" s="75" t="s">
        <v>7317</v>
      </c>
      <c r="D242" s="76">
        <v>159</v>
      </c>
      <c r="E242" s="76">
        <v>892.89</v>
      </c>
      <c r="F242" s="77">
        <f t="shared" si="4"/>
        <v>1051.8899999999999</v>
      </c>
    </row>
    <row r="243" spans="1:6" ht="15" x14ac:dyDescent="0.2">
      <c r="A243" s="75" t="s">
        <v>1335</v>
      </c>
      <c r="B243" s="75" t="s">
        <v>1338</v>
      </c>
      <c r="C243" s="75" t="s">
        <v>382</v>
      </c>
      <c r="D243" s="76">
        <v>180</v>
      </c>
      <c r="E243" s="76">
        <v>0</v>
      </c>
      <c r="F243" s="77">
        <f t="shared" si="4"/>
        <v>180</v>
      </c>
    </row>
    <row r="244" spans="1:6" ht="15" x14ac:dyDescent="0.2">
      <c r="A244" s="75" t="s">
        <v>1339</v>
      </c>
      <c r="B244" s="75" t="s">
        <v>1342</v>
      </c>
      <c r="C244" s="75" t="s">
        <v>1341</v>
      </c>
      <c r="D244" s="76">
        <v>1871</v>
      </c>
      <c r="E244" s="76">
        <v>0</v>
      </c>
      <c r="F244" s="77">
        <f t="shared" si="4"/>
        <v>1871</v>
      </c>
    </row>
    <row r="245" spans="1:6" ht="15" x14ac:dyDescent="0.2">
      <c r="A245" s="75" t="s">
        <v>1343</v>
      </c>
      <c r="B245" s="75" t="s">
        <v>1345</v>
      </c>
      <c r="C245" s="75" t="s">
        <v>7318</v>
      </c>
      <c r="D245" s="76">
        <f>90+100</f>
        <v>190</v>
      </c>
      <c r="E245" s="76">
        <v>1050.5</v>
      </c>
      <c r="F245" s="77">
        <f t="shared" si="4"/>
        <v>1240.5</v>
      </c>
    </row>
    <row r="246" spans="1:6" ht="15" x14ac:dyDescent="0.2">
      <c r="A246" s="75" t="s">
        <v>1347</v>
      </c>
      <c r="B246" s="75" t="s">
        <v>1350</v>
      </c>
      <c r="C246" s="75" t="s">
        <v>7319</v>
      </c>
      <c r="D246" s="76">
        <v>719</v>
      </c>
      <c r="E246" s="76">
        <v>2042.31</v>
      </c>
      <c r="F246" s="77">
        <f t="shared" si="4"/>
        <v>2761.31</v>
      </c>
    </row>
    <row r="247" spans="1:6" ht="15" x14ac:dyDescent="0.2">
      <c r="A247" s="75" t="s">
        <v>1353</v>
      </c>
      <c r="B247" s="75" t="s">
        <v>1356</v>
      </c>
      <c r="C247" s="75" t="s">
        <v>1355</v>
      </c>
      <c r="D247" s="76">
        <v>43</v>
      </c>
      <c r="E247" s="76">
        <v>206.51</v>
      </c>
      <c r="F247" s="77">
        <f t="shared" si="4"/>
        <v>249.51</v>
      </c>
    </row>
    <row r="248" spans="1:6" ht="15" x14ac:dyDescent="0.2">
      <c r="A248" s="75" t="s">
        <v>1357</v>
      </c>
      <c r="B248" s="75" t="s">
        <v>7320</v>
      </c>
      <c r="C248" s="75" t="s">
        <v>7321</v>
      </c>
      <c r="D248" s="76">
        <v>230</v>
      </c>
      <c r="E248" s="76">
        <v>120.17</v>
      </c>
      <c r="F248" s="77">
        <f t="shared" si="4"/>
        <v>350.17</v>
      </c>
    </row>
    <row r="249" spans="1:6" ht="15" x14ac:dyDescent="0.2">
      <c r="A249" s="75" t="s">
        <v>1360</v>
      </c>
      <c r="B249" s="75" t="s">
        <v>1363</v>
      </c>
      <c r="C249" s="75" t="s">
        <v>7322</v>
      </c>
      <c r="D249" s="76">
        <v>0</v>
      </c>
      <c r="E249" s="76">
        <v>839.86</v>
      </c>
      <c r="F249" s="77">
        <f t="shared" si="4"/>
        <v>839.86</v>
      </c>
    </row>
    <row r="250" spans="1:6" ht="15" x14ac:dyDescent="0.2">
      <c r="A250" s="75" t="s">
        <v>1364</v>
      </c>
      <c r="B250" s="75" t="s">
        <v>1367</v>
      </c>
      <c r="C250" s="75" t="s">
        <v>1366</v>
      </c>
      <c r="D250" s="76">
        <v>90</v>
      </c>
      <c r="E250" s="76">
        <v>98.63</v>
      </c>
      <c r="F250" s="77">
        <f t="shared" ref="F250:F314" si="5">D250+E250</f>
        <v>188.63</v>
      </c>
    </row>
    <row r="251" spans="1:6" ht="15" x14ac:dyDescent="0.2">
      <c r="A251" s="75" t="s">
        <v>1369</v>
      </c>
      <c r="B251" s="75" t="s">
        <v>7323</v>
      </c>
      <c r="C251" s="75" t="s">
        <v>1371</v>
      </c>
      <c r="D251" s="76">
        <v>325</v>
      </c>
      <c r="E251" s="76">
        <v>932.52</v>
      </c>
      <c r="F251" s="77">
        <f t="shared" si="5"/>
        <v>1257.52</v>
      </c>
    </row>
    <row r="252" spans="1:6" ht="15" x14ac:dyDescent="0.2">
      <c r="A252" s="75" t="s">
        <v>1374</v>
      </c>
      <c r="B252" s="75" t="s">
        <v>1377</v>
      </c>
      <c r="C252" s="75" t="s">
        <v>1376</v>
      </c>
      <c r="D252" s="76">
        <v>323</v>
      </c>
      <c r="E252" s="76">
        <v>1026.99</v>
      </c>
      <c r="F252" s="77">
        <f t="shared" si="5"/>
        <v>1349.99</v>
      </c>
    </row>
    <row r="253" spans="1:6" ht="15" x14ac:dyDescent="0.2">
      <c r="A253" s="75" t="s">
        <v>1378</v>
      </c>
      <c r="B253" s="75" t="s">
        <v>7324</v>
      </c>
      <c r="C253" s="75" t="s">
        <v>7325</v>
      </c>
      <c r="D253" s="76">
        <v>56</v>
      </c>
      <c r="E253" s="76">
        <v>892.53</v>
      </c>
      <c r="F253" s="77">
        <f t="shared" si="5"/>
        <v>948.53</v>
      </c>
    </row>
    <row r="254" spans="1:6" ht="15" x14ac:dyDescent="0.2">
      <c r="A254" s="75" t="s">
        <v>1388</v>
      </c>
      <c r="B254" s="75" t="s">
        <v>1391</v>
      </c>
      <c r="C254" s="75" t="s">
        <v>7326</v>
      </c>
      <c r="D254" s="76">
        <v>120</v>
      </c>
      <c r="E254" s="76">
        <v>722.42</v>
      </c>
      <c r="F254" s="77">
        <f t="shared" si="5"/>
        <v>842.42</v>
      </c>
    </row>
    <row r="255" spans="1:6" ht="15" x14ac:dyDescent="0.2">
      <c r="A255" s="75" t="s">
        <v>1392</v>
      </c>
      <c r="B255" s="75" t="s">
        <v>1394</v>
      </c>
      <c r="C255" s="75" t="s">
        <v>7216</v>
      </c>
      <c r="D255" s="76">
        <v>60</v>
      </c>
      <c r="E255" s="76">
        <v>0</v>
      </c>
      <c r="F255" s="77">
        <f t="shared" si="5"/>
        <v>60</v>
      </c>
    </row>
    <row r="256" spans="1:6" ht="15" x14ac:dyDescent="0.2">
      <c r="A256" s="75" t="s">
        <v>1399</v>
      </c>
      <c r="B256" s="75" t="s">
        <v>1394</v>
      </c>
      <c r="C256" s="75" t="s">
        <v>783</v>
      </c>
      <c r="D256" s="76">
        <v>20</v>
      </c>
      <c r="E256" s="76">
        <v>1045.17</v>
      </c>
      <c r="F256" s="77">
        <f t="shared" si="5"/>
        <v>1065.17</v>
      </c>
    </row>
    <row r="257" spans="1:6" ht="15" x14ac:dyDescent="0.2">
      <c r="A257" s="75" t="s">
        <v>1401</v>
      </c>
      <c r="B257" s="75" t="s">
        <v>1394</v>
      </c>
      <c r="C257" s="75" t="s">
        <v>231</v>
      </c>
      <c r="D257" s="76">
        <v>56</v>
      </c>
      <c r="E257" s="76">
        <v>440.23</v>
      </c>
      <c r="F257" s="77">
        <f t="shared" si="5"/>
        <v>496.23</v>
      </c>
    </row>
    <row r="258" spans="1:6" ht="15" x14ac:dyDescent="0.2">
      <c r="A258" s="75" t="s">
        <v>1404</v>
      </c>
      <c r="B258" s="75" t="s">
        <v>1394</v>
      </c>
      <c r="C258" s="75" t="s">
        <v>7327</v>
      </c>
      <c r="D258" s="76">
        <v>630</v>
      </c>
      <c r="E258" s="76">
        <v>163.69999999999999</v>
      </c>
      <c r="F258" s="77">
        <f t="shared" si="5"/>
        <v>793.7</v>
      </c>
    </row>
    <row r="259" spans="1:6" ht="15" x14ac:dyDescent="0.2">
      <c r="A259" s="75" t="s">
        <v>1407</v>
      </c>
      <c r="B259" s="75" t="s">
        <v>1394</v>
      </c>
      <c r="C259" s="75" t="s">
        <v>1409</v>
      </c>
      <c r="D259" s="76">
        <v>150</v>
      </c>
      <c r="E259" s="76">
        <v>0</v>
      </c>
      <c r="F259" s="77">
        <f t="shared" si="5"/>
        <v>150</v>
      </c>
    </row>
    <row r="260" spans="1:6" ht="15" x14ac:dyDescent="0.2">
      <c r="A260" s="75" t="s">
        <v>1410</v>
      </c>
      <c r="B260" s="75" t="s">
        <v>1394</v>
      </c>
      <c r="C260" s="75" t="s">
        <v>1412</v>
      </c>
      <c r="D260" s="76">
        <v>5</v>
      </c>
      <c r="E260" s="76">
        <v>511.12</v>
      </c>
      <c r="F260" s="77">
        <f t="shared" si="5"/>
        <v>516.12</v>
      </c>
    </row>
    <row r="261" spans="1:6" ht="15" x14ac:dyDescent="0.2">
      <c r="A261" s="75" t="s">
        <v>1413</v>
      </c>
      <c r="B261" s="75" t="s">
        <v>7328</v>
      </c>
      <c r="C261" s="75" t="s">
        <v>7329</v>
      </c>
      <c r="D261" s="76">
        <v>10</v>
      </c>
      <c r="E261" s="76">
        <v>0</v>
      </c>
      <c r="F261" s="77">
        <f t="shared" si="5"/>
        <v>10</v>
      </c>
    </row>
    <row r="262" spans="1:6" ht="15" x14ac:dyDescent="0.2">
      <c r="A262" s="75" t="s">
        <v>1416</v>
      </c>
      <c r="B262" s="75" t="s">
        <v>1394</v>
      </c>
      <c r="C262" s="75" t="s">
        <v>1418</v>
      </c>
      <c r="D262" s="76">
        <v>1095</v>
      </c>
      <c r="E262" s="76">
        <v>0</v>
      </c>
      <c r="F262" s="77">
        <f t="shared" si="5"/>
        <v>1095</v>
      </c>
    </row>
    <row r="263" spans="1:6" ht="15" x14ac:dyDescent="0.2">
      <c r="A263" s="75" t="s">
        <v>1419</v>
      </c>
      <c r="B263" s="75" t="s">
        <v>1422</v>
      </c>
      <c r="C263" s="75" t="s">
        <v>1421</v>
      </c>
      <c r="D263" s="76">
        <v>0</v>
      </c>
      <c r="E263" s="76">
        <v>1462.02</v>
      </c>
      <c r="F263" s="77">
        <f t="shared" si="5"/>
        <v>1462.02</v>
      </c>
    </row>
    <row r="264" spans="1:6" ht="15" x14ac:dyDescent="0.2">
      <c r="A264" s="75" t="s">
        <v>1423</v>
      </c>
      <c r="B264" s="75" t="s">
        <v>1426</v>
      </c>
      <c r="C264" s="75" t="s">
        <v>3222</v>
      </c>
      <c r="D264" s="76">
        <v>415</v>
      </c>
      <c r="E264" s="76">
        <v>190</v>
      </c>
      <c r="F264" s="77">
        <f t="shared" si="5"/>
        <v>605</v>
      </c>
    </row>
    <row r="265" spans="1:6" ht="15" x14ac:dyDescent="0.2">
      <c r="A265" s="75" t="s">
        <v>1437</v>
      </c>
      <c r="B265" s="75" t="s">
        <v>1439</v>
      </c>
      <c r="C265" s="75" t="s">
        <v>1047</v>
      </c>
      <c r="D265" s="76">
        <v>180</v>
      </c>
      <c r="E265" s="76">
        <v>1451.5</v>
      </c>
      <c r="F265" s="77">
        <f t="shared" si="5"/>
        <v>1631.5</v>
      </c>
    </row>
    <row r="266" spans="1:6" ht="15" x14ac:dyDescent="0.2">
      <c r="A266" s="75" t="s">
        <v>1440</v>
      </c>
      <c r="B266" s="75" t="s">
        <v>1439</v>
      </c>
      <c r="C266" s="75" t="s">
        <v>231</v>
      </c>
      <c r="D266" s="76">
        <v>65</v>
      </c>
      <c r="E266" s="76">
        <v>421.64</v>
      </c>
      <c r="F266" s="77">
        <f t="shared" si="5"/>
        <v>486.64</v>
      </c>
    </row>
    <row r="267" spans="1:6" ht="15" x14ac:dyDescent="0.2">
      <c r="A267" s="75" t="s">
        <v>1443</v>
      </c>
      <c r="B267" s="75" t="s">
        <v>1439</v>
      </c>
      <c r="C267" s="75" t="s">
        <v>7330</v>
      </c>
      <c r="D267" s="76">
        <v>165</v>
      </c>
      <c r="E267" s="76">
        <f>3303.45-74</f>
        <v>3229.45</v>
      </c>
      <c r="F267" s="77">
        <f t="shared" si="5"/>
        <v>3394.45</v>
      </c>
    </row>
    <row r="268" spans="1:6" ht="15" x14ac:dyDescent="0.2">
      <c r="A268" s="75" t="s">
        <v>1447</v>
      </c>
      <c r="B268" s="75" t="s">
        <v>1450</v>
      </c>
      <c r="C268" s="75" t="s">
        <v>1449</v>
      </c>
      <c r="D268" s="76">
        <v>0</v>
      </c>
      <c r="E268" s="76">
        <v>1000.15</v>
      </c>
      <c r="F268" s="77">
        <f t="shared" si="5"/>
        <v>1000.15</v>
      </c>
    </row>
    <row r="269" spans="1:6" ht="15" x14ac:dyDescent="0.2">
      <c r="A269" s="75" t="s">
        <v>1452</v>
      </c>
      <c r="B269" s="75" t="s">
        <v>1455</v>
      </c>
      <c r="C269" s="75" t="s">
        <v>1454</v>
      </c>
      <c r="D269" s="76">
        <v>23</v>
      </c>
      <c r="E269" s="76">
        <v>1100</v>
      </c>
      <c r="F269" s="77">
        <f t="shared" si="5"/>
        <v>1123</v>
      </c>
    </row>
    <row r="270" spans="1:6" ht="15" x14ac:dyDescent="0.2">
      <c r="A270" s="75" t="s">
        <v>1456</v>
      </c>
      <c r="B270" s="75" t="s">
        <v>1458</v>
      </c>
      <c r="C270" s="75" t="s">
        <v>7315</v>
      </c>
      <c r="D270" s="76">
        <v>0</v>
      </c>
      <c r="E270" s="76">
        <v>547.29999999999995</v>
      </c>
      <c r="F270" s="77">
        <f t="shared" si="5"/>
        <v>547.29999999999995</v>
      </c>
    </row>
    <row r="271" spans="1:6" ht="15" x14ac:dyDescent="0.2">
      <c r="A271" s="75" t="s">
        <v>1460</v>
      </c>
      <c r="B271" s="75" t="s">
        <v>7331</v>
      </c>
      <c r="C271" s="75" t="s">
        <v>942</v>
      </c>
      <c r="D271" s="76">
        <v>195</v>
      </c>
      <c r="E271" s="76">
        <v>472.19</v>
      </c>
      <c r="F271" s="77">
        <f t="shared" si="5"/>
        <v>667.19</v>
      </c>
    </row>
    <row r="272" spans="1:6" ht="15" x14ac:dyDescent="0.2">
      <c r="A272" s="75" t="s">
        <v>1467</v>
      </c>
      <c r="B272" s="75" t="s">
        <v>1470</v>
      </c>
      <c r="C272" s="75" t="s">
        <v>7332</v>
      </c>
      <c r="D272" s="76">
        <v>180</v>
      </c>
      <c r="E272" s="76">
        <v>1800.2</v>
      </c>
      <c r="F272" s="77">
        <f t="shared" si="5"/>
        <v>1980.2</v>
      </c>
    </row>
    <row r="273" spans="1:6" ht="15" x14ac:dyDescent="0.2">
      <c r="A273" s="75" t="s">
        <v>1472</v>
      </c>
      <c r="B273" s="75" t="s">
        <v>1474</v>
      </c>
      <c r="C273" s="75" t="s">
        <v>231</v>
      </c>
      <c r="D273" s="76">
        <v>60</v>
      </c>
      <c r="E273" s="76">
        <v>112.59</v>
      </c>
      <c r="F273" s="77">
        <f t="shared" si="5"/>
        <v>172.59</v>
      </c>
    </row>
    <row r="274" spans="1:6" ht="15" x14ac:dyDescent="0.2">
      <c r="A274" s="78" t="s">
        <v>1475</v>
      </c>
      <c r="B274" s="78" t="s">
        <v>1478</v>
      </c>
      <c r="C274" s="78" t="s">
        <v>7333</v>
      </c>
      <c r="D274" s="76">
        <v>0</v>
      </c>
      <c r="E274" s="76">
        <v>0</v>
      </c>
      <c r="F274" s="77">
        <f t="shared" si="5"/>
        <v>0</v>
      </c>
    </row>
    <row r="275" spans="1:6" ht="15" x14ac:dyDescent="0.2">
      <c r="A275" s="75" t="s">
        <v>1482</v>
      </c>
      <c r="B275" s="75" t="s">
        <v>1485</v>
      </c>
      <c r="C275" s="75" t="s">
        <v>7334</v>
      </c>
      <c r="D275" s="76">
        <v>525</v>
      </c>
      <c r="E275" s="76">
        <v>5210.8599999999997</v>
      </c>
      <c r="F275" s="77">
        <f t="shared" si="5"/>
        <v>5735.86</v>
      </c>
    </row>
    <row r="276" spans="1:6" ht="15" x14ac:dyDescent="0.2">
      <c r="A276" s="75" t="s">
        <v>1487</v>
      </c>
      <c r="B276" s="75" t="s">
        <v>1490</v>
      </c>
      <c r="C276" s="75" t="s">
        <v>1489</v>
      </c>
      <c r="D276" s="76">
        <v>632</v>
      </c>
      <c r="E276" s="76">
        <v>693.51</v>
      </c>
      <c r="F276" s="77">
        <f t="shared" si="5"/>
        <v>1325.51</v>
      </c>
    </row>
    <row r="277" spans="1:6" ht="15" x14ac:dyDescent="0.2">
      <c r="A277" s="75" t="s">
        <v>1492</v>
      </c>
      <c r="B277" s="75" t="s">
        <v>1495</v>
      </c>
      <c r="C277" s="75" t="s">
        <v>7335</v>
      </c>
      <c r="D277" s="76">
        <v>120</v>
      </c>
      <c r="E277" s="76">
        <v>469.05</v>
      </c>
      <c r="F277" s="77">
        <f t="shared" si="5"/>
        <v>589.04999999999995</v>
      </c>
    </row>
    <row r="278" spans="1:6" ht="15" x14ac:dyDescent="0.2">
      <c r="A278" s="75" t="s">
        <v>1499</v>
      </c>
      <c r="B278" s="75" t="s">
        <v>1501</v>
      </c>
      <c r="C278" s="75" t="s">
        <v>7336</v>
      </c>
      <c r="D278" s="76">
        <v>80</v>
      </c>
      <c r="E278" s="76">
        <v>1360.21</v>
      </c>
      <c r="F278" s="77">
        <f t="shared" si="5"/>
        <v>1440.21</v>
      </c>
    </row>
    <row r="279" spans="1:6" ht="15" x14ac:dyDescent="0.2">
      <c r="A279" s="75" t="s">
        <v>1503</v>
      </c>
      <c r="B279" s="75" t="s">
        <v>1501</v>
      </c>
      <c r="C279" s="75" t="s">
        <v>7337</v>
      </c>
      <c r="D279" s="76">
        <v>434</v>
      </c>
      <c r="E279" s="76">
        <v>1373.76</v>
      </c>
      <c r="F279" s="77">
        <f t="shared" si="5"/>
        <v>1807.76</v>
      </c>
    </row>
    <row r="280" spans="1:6" ht="15" x14ac:dyDescent="0.2">
      <c r="A280" s="75" t="s">
        <v>1506</v>
      </c>
      <c r="B280" s="75" t="s">
        <v>1501</v>
      </c>
      <c r="C280" s="75" t="s">
        <v>158</v>
      </c>
      <c r="D280" s="76">
        <v>85</v>
      </c>
      <c r="E280" s="76">
        <v>600.17999999999995</v>
      </c>
      <c r="F280" s="77">
        <f t="shared" si="5"/>
        <v>685.18</v>
      </c>
    </row>
    <row r="281" spans="1:6" ht="15" x14ac:dyDescent="0.2">
      <c r="A281" s="75" t="s">
        <v>1509</v>
      </c>
      <c r="B281" s="75" t="s">
        <v>1512</v>
      </c>
      <c r="C281" s="75" t="s">
        <v>7338</v>
      </c>
      <c r="D281" s="76">
        <v>864</v>
      </c>
      <c r="E281" s="76">
        <v>712</v>
      </c>
      <c r="F281" s="77">
        <f t="shared" si="5"/>
        <v>1576</v>
      </c>
    </row>
    <row r="282" spans="1:6" ht="15" x14ac:dyDescent="0.2">
      <c r="A282" s="75" t="s">
        <v>1513</v>
      </c>
      <c r="B282" s="75" t="s">
        <v>1523</v>
      </c>
      <c r="C282" s="75" t="s">
        <v>1515</v>
      </c>
      <c r="D282" s="76">
        <v>100</v>
      </c>
      <c r="E282" s="76">
        <v>327.58</v>
      </c>
      <c r="F282" s="77">
        <f t="shared" si="5"/>
        <v>427.58</v>
      </c>
    </row>
    <row r="283" spans="1:6" ht="15" x14ac:dyDescent="0.2">
      <c r="A283" s="75" t="s">
        <v>1517</v>
      </c>
      <c r="B283" s="75" t="s">
        <v>1512</v>
      </c>
      <c r="C283" s="75" t="s">
        <v>1519</v>
      </c>
      <c r="D283" s="76">
        <v>35</v>
      </c>
      <c r="E283" s="76">
        <v>1774.5</v>
      </c>
      <c r="F283" s="77">
        <f t="shared" si="5"/>
        <v>1809.5</v>
      </c>
    </row>
    <row r="284" spans="1:6" ht="15" x14ac:dyDescent="0.2">
      <c r="A284" s="75" t="s">
        <v>1520</v>
      </c>
      <c r="B284" s="75" t="s">
        <v>1523</v>
      </c>
      <c r="C284" s="75" t="s">
        <v>1522</v>
      </c>
      <c r="D284" s="76">
        <v>0</v>
      </c>
      <c r="E284" s="76">
        <v>57.9</v>
      </c>
      <c r="F284" s="77">
        <f t="shared" si="5"/>
        <v>57.9</v>
      </c>
    </row>
    <row r="285" spans="1:6" ht="15" x14ac:dyDescent="0.2">
      <c r="A285" s="75" t="s">
        <v>1525</v>
      </c>
      <c r="B285" s="75" t="s">
        <v>1523</v>
      </c>
      <c r="C285" s="75" t="s">
        <v>7339</v>
      </c>
      <c r="D285" s="76">
        <v>43</v>
      </c>
      <c r="E285" s="76">
        <v>1059.1400000000001</v>
      </c>
      <c r="F285" s="77">
        <f t="shared" si="5"/>
        <v>1102.1400000000001</v>
      </c>
    </row>
    <row r="286" spans="1:6" ht="15" x14ac:dyDescent="0.2">
      <c r="A286" s="75" t="s">
        <v>1528</v>
      </c>
      <c r="B286" s="75" t="s">
        <v>1523</v>
      </c>
      <c r="C286" s="75" t="s">
        <v>1065</v>
      </c>
      <c r="D286" s="76">
        <v>0</v>
      </c>
      <c r="E286" s="76">
        <v>289.89</v>
      </c>
      <c r="F286" s="77">
        <f t="shared" si="5"/>
        <v>289.89</v>
      </c>
    </row>
    <row r="287" spans="1:6" ht="15" x14ac:dyDescent="0.2">
      <c r="A287" s="75" t="s">
        <v>1532</v>
      </c>
      <c r="B287" s="75" t="s">
        <v>1523</v>
      </c>
      <c r="C287" s="75" t="s">
        <v>1032</v>
      </c>
      <c r="D287" s="76">
        <v>105.29</v>
      </c>
      <c r="E287" s="76">
        <v>558.74</v>
      </c>
      <c r="F287" s="77">
        <f t="shared" si="5"/>
        <v>664.03</v>
      </c>
    </row>
    <row r="288" spans="1:6" ht="15" x14ac:dyDescent="0.2">
      <c r="A288" s="75" t="s">
        <v>1534</v>
      </c>
      <c r="B288" s="75" t="s">
        <v>1523</v>
      </c>
      <c r="C288" s="75" t="s">
        <v>7340</v>
      </c>
      <c r="D288" s="76">
        <v>370</v>
      </c>
      <c r="E288" s="76">
        <v>554.87</v>
      </c>
      <c r="F288" s="77">
        <f t="shared" si="5"/>
        <v>924.87</v>
      </c>
    </row>
    <row r="289" spans="1:6" ht="15" x14ac:dyDescent="0.2">
      <c r="A289" s="75" t="s">
        <v>1538</v>
      </c>
      <c r="B289" s="75" t="s">
        <v>1523</v>
      </c>
      <c r="C289" s="75" t="s">
        <v>231</v>
      </c>
      <c r="D289" s="76">
        <v>5</v>
      </c>
      <c r="E289" s="76">
        <v>873.47</v>
      </c>
      <c r="F289" s="77">
        <f t="shared" si="5"/>
        <v>878.47</v>
      </c>
    </row>
    <row r="290" spans="1:6" ht="15" x14ac:dyDescent="0.2">
      <c r="A290" s="75" t="s">
        <v>1541</v>
      </c>
      <c r="B290" s="75" t="s">
        <v>1512</v>
      </c>
      <c r="C290" s="75" t="s">
        <v>476</v>
      </c>
      <c r="D290" s="76">
        <v>30</v>
      </c>
      <c r="E290" s="76">
        <v>1010.65</v>
      </c>
      <c r="F290" s="77">
        <f t="shared" si="5"/>
        <v>1040.6500000000001</v>
      </c>
    </row>
    <row r="291" spans="1:6" ht="15" x14ac:dyDescent="0.2">
      <c r="A291" s="75" t="s">
        <v>1544</v>
      </c>
      <c r="B291" s="75" t="s">
        <v>7341</v>
      </c>
      <c r="C291" s="75" t="s">
        <v>7342</v>
      </c>
      <c r="D291" s="76">
        <v>50</v>
      </c>
      <c r="E291" s="76">
        <v>1409.42</v>
      </c>
      <c r="F291" s="77">
        <f t="shared" si="5"/>
        <v>1459.42</v>
      </c>
    </row>
    <row r="292" spans="1:6" ht="15" x14ac:dyDescent="0.2">
      <c r="A292" s="75" t="s">
        <v>1552</v>
      </c>
      <c r="B292" s="75" t="s">
        <v>1512</v>
      </c>
      <c r="C292" s="75" t="s">
        <v>226</v>
      </c>
      <c r="D292" s="76">
        <v>15</v>
      </c>
      <c r="E292" s="76">
        <v>387.58</v>
      </c>
      <c r="F292" s="77">
        <f t="shared" si="5"/>
        <v>402.58</v>
      </c>
    </row>
    <row r="293" spans="1:6" ht="15" x14ac:dyDescent="0.2">
      <c r="A293" s="75" t="s">
        <v>1555</v>
      </c>
      <c r="B293" s="75" t="s">
        <v>1523</v>
      </c>
      <c r="C293" s="75" t="s">
        <v>934</v>
      </c>
      <c r="D293" s="76">
        <v>412.08</v>
      </c>
      <c r="E293" s="76">
        <v>1204.47</v>
      </c>
      <c r="F293" s="77">
        <f t="shared" si="5"/>
        <v>1616.55</v>
      </c>
    </row>
    <row r="294" spans="1:6" ht="15" x14ac:dyDescent="0.2">
      <c r="A294" s="75" t="s">
        <v>1558</v>
      </c>
      <c r="B294" s="75" t="s">
        <v>1523</v>
      </c>
      <c r="C294" s="75" t="s">
        <v>231</v>
      </c>
      <c r="D294" s="76">
        <v>25</v>
      </c>
      <c r="E294" s="76">
        <v>773.1</v>
      </c>
      <c r="F294" s="77">
        <f t="shared" si="5"/>
        <v>798.1</v>
      </c>
    </row>
    <row r="295" spans="1:6" ht="15" x14ac:dyDescent="0.2">
      <c r="A295" s="75" t="s">
        <v>1564</v>
      </c>
      <c r="B295" s="75" t="s">
        <v>1567</v>
      </c>
      <c r="C295" s="75" t="s">
        <v>1566</v>
      </c>
      <c r="D295" s="76">
        <v>20</v>
      </c>
      <c r="E295" s="76">
        <v>1510.49</v>
      </c>
      <c r="F295" s="77">
        <f t="shared" si="5"/>
        <v>1530.49</v>
      </c>
    </row>
    <row r="296" spans="1:6" ht="15" x14ac:dyDescent="0.2">
      <c r="A296" s="75" t="s">
        <v>1573</v>
      </c>
      <c r="B296" s="75" t="s">
        <v>1576</v>
      </c>
      <c r="C296" s="75" t="s">
        <v>7343</v>
      </c>
      <c r="D296" s="76">
        <v>1111</v>
      </c>
      <c r="E296" s="76">
        <v>4001.56</v>
      </c>
      <c r="F296" s="77">
        <f t="shared" si="5"/>
        <v>5112.5599999999995</v>
      </c>
    </row>
    <row r="297" spans="1:6" ht="15" x14ac:dyDescent="0.2">
      <c r="A297" s="75" t="s">
        <v>1577</v>
      </c>
      <c r="B297" s="75" t="s">
        <v>7344</v>
      </c>
      <c r="C297" s="75" t="s">
        <v>1579</v>
      </c>
      <c r="D297" s="76">
        <v>270</v>
      </c>
      <c r="E297" s="76">
        <v>724.32</v>
      </c>
      <c r="F297" s="77">
        <f t="shared" si="5"/>
        <v>994.32</v>
      </c>
    </row>
    <row r="298" spans="1:6" ht="15" x14ac:dyDescent="0.2">
      <c r="A298" s="75" t="s">
        <v>1586</v>
      </c>
      <c r="B298" s="75" t="s">
        <v>1589</v>
      </c>
      <c r="C298" s="75" t="s">
        <v>7345</v>
      </c>
      <c r="D298" s="76">
        <v>908</v>
      </c>
      <c r="E298" s="76">
        <v>2483.6999999999998</v>
      </c>
      <c r="F298" s="77">
        <f t="shared" si="5"/>
        <v>3391.7</v>
      </c>
    </row>
    <row r="299" spans="1:6" ht="15" x14ac:dyDescent="0.2">
      <c r="A299" s="75" t="s">
        <v>1594</v>
      </c>
      <c r="B299" s="75" t="s">
        <v>1596</v>
      </c>
      <c r="C299" s="75" t="s">
        <v>7336</v>
      </c>
      <c r="D299" s="76">
        <v>185</v>
      </c>
      <c r="E299" s="76">
        <v>1617.47</v>
      </c>
      <c r="F299" s="77">
        <f t="shared" si="5"/>
        <v>1802.47</v>
      </c>
    </row>
    <row r="300" spans="1:6" ht="15" x14ac:dyDescent="0.2">
      <c r="A300" s="75" t="s">
        <v>1597</v>
      </c>
      <c r="B300" s="75" t="s">
        <v>1599</v>
      </c>
      <c r="C300" s="75" t="s">
        <v>7318</v>
      </c>
      <c r="D300" s="76">
        <v>45</v>
      </c>
      <c r="E300" s="76">
        <v>649.85</v>
      </c>
      <c r="F300" s="77">
        <f t="shared" si="5"/>
        <v>694.85</v>
      </c>
    </row>
    <row r="301" spans="1:6" ht="15" x14ac:dyDescent="0.2">
      <c r="A301" s="75" t="s">
        <v>1600</v>
      </c>
      <c r="B301" s="75" t="s">
        <v>1602</v>
      </c>
      <c r="C301" s="75" t="s">
        <v>1054</v>
      </c>
      <c r="D301" s="76">
        <v>305</v>
      </c>
      <c r="E301" s="76">
        <v>4705.78</v>
      </c>
      <c r="F301" s="77">
        <f t="shared" si="5"/>
        <v>5010.78</v>
      </c>
    </row>
    <row r="302" spans="1:6" ht="15" x14ac:dyDescent="0.2">
      <c r="A302" s="75" t="s">
        <v>1604</v>
      </c>
      <c r="B302" s="75" t="s">
        <v>1602</v>
      </c>
      <c r="C302" s="75" t="s">
        <v>7346</v>
      </c>
      <c r="D302" s="76">
        <v>50</v>
      </c>
      <c r="E302" s="76">
        <v>2038.85</v>
      </c>
      <c r="F302" s="77">
        <f t="shared" si="5"/>
        <v>2088.85</v>
      </c>
    </row>
    <row r="303" spans="1:6" ht="15" x14ac:dyDescent="0.2">
      <c r="A303" s="75" t="s">
        <v>1608</v>
      </c>
      <c r="B303" s="75" t="s">
        <v>1602</v>
      </c>
      <c r="C303" s="75" t="s">
        <v>231</v>
      </c>
      <c r="D303" s="76">
        <v>75</v>
      </c>
      <c r="E303" s="76">
        <v>1086.3399999999999</v>
      </c>
      <c r="F303" s="77">
        <f t="shared" si="5"/>
        <v>1161.3399999999999</v>
      </c>
    </row>
    <row r="304" spans="1:6" ht="15" x14ac:dyDescent="0.2">
      <c r="A304" s="75" t="s">
        <v>1610</v>
      </c>
      <c r="B304" s="75" t="s">
        <v>1602</v>
      </c>
      <c r="C304" s="75" t="s">
        <v>7347</v>
      </c>
      <c r="D304" s="76">
        <v>201</v>
      </c>
      <c r="E304" s="76">
        <v>693.1</v>
      </c>
      <c r="F304" s="77">
        <f t="shared" si="5"/>
        <v>894.1</v>
      </c>
    </row>
    <row r="305" spans="1:6" ht="15" x14ac:dyDescent="0.2">
      <c r="A305" s="75" t="s">
        <v>1613</v>
      </c>
      <c r="B305" s="75" t="s">
        <v>1615</v>
      </c>
      <c r="C305" s="75" t="s">
        <v>127</v>
      </c>
      <c r="D305" s="76">
        <v>150</v>
      </c>
      <c r="E305" s="76">
        <v>495.75</v>
      </c>
      <c r="F305" s="77">
        <f t="shared" si="5"/>
        <v>645.75</v>
      </c>
    </row>
    <row r="306" spans="1:6" ht="15" x14ac:dyDescent="0.2">
      <c r="A306" s="75" t="s">
        <v>1616</v>
      </c>
      <c r="B306" s="75" t="s">
        <v>1618</v>
      </c>
      <c r="C306" s="75" t="s">
        <v>1008</v>
      </c>
      <c r="D306" s="76">
        <v>190</v>
      </c>
      <c r="E306" s="76">
        <v>1295</v>
      </c>
      <c r="F306" s="77">
        <f t="shared" si="5"/>
        <v>1485</v>
      </c>
    </row>
    <row r="307" spans="1:6" ht="15" x14ac:dyDescent="0.2">
      <c r="A307" s="75" t="s">
        <v>1619</v>
      </c>
      <c r="B307" s="75" t="s">
        <v>7348</v>
      </c>
      <c r="C307" s="75" t="s">
        <v>231</v>
      </c>
      <c r="D307" s="76">
        <v>0</v>
      </c>
      <c r="E307" s="76">
        <v>374.54</v>
      </c>
      <c r="F307" s="77">
        <f t="shared" si="5"/>
        <v>374.54</v>
      </c>
    </row>
    <row r="308" spans="1:6" ht="15" x14ac:dyDescent="0.2">
      <c r="A308" s="75" t="s">
        <v>1625</v>
      </c>
      <c r="B308" s="75" t="s">
        <v>1628</v>
      </c>
      <c r="C308" s="75" t="s">
        <v>1627</v>
      </c>
      <c r="D308" s="76">
        <v>0</v>
      </c>
      <c r="E308" s="76">
        <v>215.29</v>
      </c>
      <c r="F308" s="77">
        <f t="shared" si="5"/>
        <v>215.29</v>
      </c>
    </row>
    <row r="309" spans="1:6" ht="15" x14ac:dyDescent="0.2">
      <c r="A309" s="75" t="s">
        <v>1629</v>
      </c>
      <c r="B309" s="75" t="s">
        <v>1631</v>
      </c>
      <c r="C309" s="75" t="s">
        <v>1366</v>
      </c>
      <c r="D309" s="76">
        <v>340</v>
      </c>
      <c r="E309" s="76">
        <v>724.24</v>
      </c>
      <c r="F309" s="77">
        <f t="shared" si="5"/>
        <v>1064.24</v>
      </c>
    </row>
    <row r="310" spans="1:6" ht="15" x14ac:dyDescent="0.2">
      <c r="A310" s="75" t="s">
        <v>1632</v>
      </c>
      <c r="B310" s="75" t="s">
        <v>1635</v>
      </c>
      <c r="C310" s="75" t="s">
        <v>1634</v>
      </c>
      <c r="D310" s="76">
        <v>80</v>
      </c>
      <c r="E310" s="76">
        <v>641.54999999999995</v>
      </c>
      <c r="F310" s="77">
        <f t="shared" si="5"/>
        <v>721.55</v>
      </c>
    </row>
    <row r="311" spans="1:6" ht="15" x14ac:dyDescent="0.2">
      <c r="A311" s="75" t="s">
        <v>1636</v>
      </c>
      <c r="B311" s="75" t="s">
        <v>1638</v>
      </c>
      <c r="C311" s="75" t="s">
        <v>532</v>
      </c>
      <c r="D311" s="76">
        <v>50</v>
      </c>
      <c r="E311" s="76">
        <v>588.71</v>
      </c>
      <c r="F311" s="77">
        <f t="shared" si="5"/>
        <v>638.71</v>
      </c>
    </row>
    <row r="312" spans="1:6" ht="15" x14ac:dyDescent="0.2">
      <c r="A312" s="75" t="s">
        <v>1644</v>
      </c>
      <c r="B312" s="75" t="s">
        <v>1646</v>
      </c>
      <c r="C312" s="75" t="s">
        <v>7318</v>
      </c>
      <c r="D312" s="76">
        <v>352</v>
      </c>
      <c r="E312" s="76">
        <v>860.38</v>
      </c>
      <c r="F312" s="77">
        <f t="shared" si="5"/>
        <v>1212.3800000000001</v>
      </c>
    </row>
    <row r="313" spans="1:6" ht="15" x14ac:dyDescent="0.2">
      <c r="A313" s="75" t="s">
        <v>1651</v>
      </c>
      <c r="B313" s="75" t="s">
        <v>1653</v>
      </c>
      <c r="C313" s="75" t="s">
        <v>7318</v>
      </c>
      <c r="D313" s="76">
        <v>200</v>
      </c>
      <c r="E313" s="76">
        <v>1566.26</v>
      </c>
      <c r="F313" s="77">
        <f t="shared" si="5"/>
        <v>1766.26</v>
      </c>
    </row>
    <row r="314" spans="1:6" ht="15" x14ac:dyDescent="0.2">
      <c r="A314" s="75" t="s">
        <v>1654</v>
      </c>
      <c r="B314" s="75" t="s">
        <v>1653</v>
      </c>
      <c r="C314" s="75" t="s">
        <v>3516</v>
      </c>
      <c r="D314" s="76">
        <v>155</v>
      </c>
      <c r="E314" s="76">
        <v>866.84</v>
      </c>
      <c r="F314" s="77">
        <f t="shared" si="5"/>
        <v>1021.84</v>
      </c>
    </row>
    <row r="315" spans="1:6" ht="15" x14ac:dyDescent="0.2">
      <c r="A315" s="75" t="s">
        <v>1656</v>
      </c>
      <c r="B315" s="75" t="s">
        <v>1653</v>
      </c>
      <c r="C315" s="75" t="s">
        <v>3295</v>
      </c>
      <c r="D315" s="76">
        <v>55</v>
      </c>
      <c r="E315" s="76">
        <v>289.58</v>
      </c>
      <c r="F315" s="77">
        <f t="shared" ref="F315:F347" si="6">D315+E315</f>
        <v>344.58</v>
      </c>
    </row>
    <row r="316" spans="1:6" ht="15" x14ac:dyDescent="0.2">
      <c r="A316" s="75" t="s">
        <v>1658</v>
      </c>
      <c r="B316" s="75" t="s">
        <v>1660</v>
      </c>
      <c r="C316" s="75" t="s">
        <v>7336</v>
      </c>
      <c r="D316" s="76">
        <v>25</v>
      </c>
      <c r="E316" s="76">
        <v>238.5</v>
      </c>
      <c r="F316" s="77">
        <f t="shared" si="6"/>
        <v>263.5</v>
      </c>
    </row>
    <row r="317" spans="1:6" ht="15" x14ac:dyDescent="0.2">
      <c r="A317" s="75" t="s">
        <v>1664</v>
      </c>
      <c r="B317" s="75" t="s">
        <v>1667</v>
      </c>
      <c r="C317" s="75" t="s">
        <v>7349</v>
      </c>
      <c r="D317" s="76">
        <v>170</v>
      </c>
      <c r="E317" s="76">
        <v>0</v>
      </c>
      <c r="F317" s="77">
        <f t="shared" si="6"/>
        <v>170</v>
      </c>
    </row>
    <row r="318" spans="1:6" ht="15" x14ac:dyDescent="0.2">
      <c r="A318" s="75" t="s">
        <v>1668</v>
      </c>
      <c r="B318" s="75" t="s">
        <v>1671</v>
      </c>
      <c r="C318" s="75" t="s">
        <v>7350</v>
      </c>
      <c r="D318" s="76">
        <v>181</v>
      </c>
      <c r="E318" s="76">
        <v>1218.0999999999999</v>
      </c>
      <c r="F318" s="77">
        <f t="shared" si="6"/>
        <v>1399.1</v>
      </c>
    </row>
    <row r="319" spans="1:6" ht="15" x14ac:dyDescent="0.2">
      <c r="A319" s="78" t="s">
        <v>1673</v>
      </c>
      <c r="B319" s="78" t="s">
        <v>1676</v>
      </c>
      <c r="C319" s="78" t="s">
        <v>7351</v>
      </c>
      <c r="D319" s="76">
        <v>0</v>
      </c>
      <c r="E319" s="76">
        <v>0</v>
      </c>
      <c r="F319" s="77">
        <f t="shared" si="6"/>
        <v>0</v>
      </c>
    </row>
    <row r="320" spans="1:6" ht="15" x14ac:dyDescent="0.2">
      <c r="A320" s="75" t="s">
        <v>1681</v>
      </c>
      <c r="B320" s="75" t="s">
        <v>1684</v>
      </c>
      <c r="C320" s="75" t="s">
        <v>1683</v>
      </c>
      <c r="D320" s="76">
        <v>0</v>
      </c>
      <c r="E320" s="76">
        <v>399.71</v>
      </c>
      <c r="F320" s="77">
        <f t="shared" si="6"/>
        <v>399.71</v>
      </c>
    </row>
    <row r="321" spans="1:6" ht="15" x14ac:dyDescent="0.2">
      <c r="A321" s="75" t="s">
        <v>1686</v>
      </c>
      <c r="B321" s="75" t="s">
        <v>1689</v>
      </c>
      <c r="C321" s="75" t="s">
        <v>7352</v>
      </c>
      <c r="D321" s="76">
        <v>0</v>
      </c>
      <c r="E321" s="76">
        <v>1013.07</v>
      </c>
      <c r="F321" s="77">
        <f t="shared" si="6"/>
        <v>1013.07</v>
      </c>
    </row>
    <row r="322" spans="1:6" ht="15" x14ac:dyDescent="0.2">
      <c r="A322" s="75" t="s">
        <v>1690</v>
      </c>
      <c r="B322" s="75" t="s">
        <v>1689</v>
      </c>
      <c r="C322" s="75" t="s">
        <v>7353</v>
      </c>
      <c r="D322" s="76">
        <v>30</v>
      </c>
      <c r="E322" s="76">
        <v>1200</v>
      </c>
      <c r="F322" s="77">
        <f t="shared" si="6"/>
        <v>1230</v>
      </c>
    </row>
    <row r="323" spans="1:6" ht="15" x14ac:dyDescent="0.2">
      <c r="A323" s="75" t="s">
        <v>1694</v>
      </c>
      <c r="B323" s="75" t="s">
        <v>1697</v>
      </c>
      <c r="C323" s="75" t="s">
        <v>1696</v>
      </c>
      <c r="D323" s="76">
        <v>200</v>
      </c>
      <c r="E323" s="76">
        <v>3054.32</v>
      </c>
      <c r="F323" s="77">
        <f t="shared" si="6"/>
        <v>3254.32</v>
      </c>
    </row>
    <row r="324" spans="1:6" ht="15" x14ac:dyDescent="0.2">
      <c r="A324" s="75" t="s">
        <v>1699</v>
      </c>
      <c r="B324" s="75" t="s">
        <v>1701</v>
      </c>
      <c r="C324" s="75" t="s">
        <v>1366</v>
      </c>
      <c r="D324" s="76">
        <v>444</v>
      </c>
      <c r="E324" s="76">
        <v>672.72</v>
      </c>
      <c r="F324" s="77">
        <f t="shared" si="6"/>
        <v>1116.72</v>
      </c>
    </row>
    <row r="325" spans="1:6" ht="15" x14ac:dyDescent="0.2">
      <c r="A325" s="75" t="s">
        <v>1702</v>
      </c>
      <c r="B325" s="75" t="s">
        <v>1704</v>
      </c>
      <c r="C325" s="78" t="s">
        <v>7354</v>
      </c>
      <c r="D325" s="76">
        <v>73</v>
      </c>
      <c r="E325" s="76">
        <v>1035</v>
      </c>
      <c r="F325" s="77">
        <f t="shared" si="6"/>
        <v>1108</v>
      </c>
    </row>
    <row r="326" spans="1:6" ht="15" x14ac:dyDescent="0.2">
      <c r="A326" s="75" t="s">
        <v>1705</v>
      </c>
      <c r="B326" s="75" t="s">
        <v>1708</v>
      </c>
      <c r="C326" s="75" t="s">
        <v>7355</v>
      </c>
      <c r="D326" s="76">
        <v>150</v>
      </c>
      <c r="E326" s="76">
        <v>1253.0899999999999</v>
      </c>
      <c r="F326" s="77">
        <f t="shared" si="6"/>
        <v>1403.09</v>
      </c>
    </row>
    <row r="327" spans="1:6" ht="15" x14ac:dyDescent="0.2">
      <c r="A327" s="75" t="s">
        <v>1709</v>
      </c>
      <c r="B327" s="75" t="s">
        <v>1711</v>
      </c>
      <c r="C327" s="75" t="s">
        <v>7321</v>
      </c>
      <c r="D327" s="76">
        <v>25</v>
      </c>
      <c r="E327" s="76">
        <v>0</v>
      </c>
      <c r="F327" s="77">
        <f t="shared" si="6"/>
        <v>25</v>
      </c>
    </row>
    <row r="328" spans="1:6" ht="15" x14ac:dyDescent="0.2">
      <c r="A328" s="75" t="s">
        <v>1712</v>
      </c>
      <c r="B328" s="75" t="s">
        <v>1714</v>
      </c>
      <c r="C328" s="75" t="s">
        <v>7216</v>
      </c>
      <c r="D328" s="76">
        <v>277.35000000000002</v>
      </c>
      <c r="E328" s="76">
        <v>0</v>
      </c>
      <c r="F328" s="77">
        <f t="shared" si="6"/>
        <v>277.35000000000002</v>
      </c>
    </row>
    <row r="329" spans="1:6" ht="15" x14ac:dyDescent="0.2">
      <c r="A329" s="75" t="s">
        <v>1715</v>
      </c>
      <c r="B329" s="75" t="s">
        <v>1714</v>
      </c>
      <c r="C329" s="75" t="s">
        <v>1032</v>
      </c>
      <c r="D329" s="76">
        <v>90</v>
      </c>
      <c r="E329" s="76">
        <v>3567.42</v>
      </c>
      <c r="F329" s="77">
        <f>D329+E329</f>
        <v>3657.42</v>
      </c>
    </row>
    <row r="330" spans="1:6" ht="15" x14ac:dyDescent="0.2">
      <c r="A330" s="75" t="s">
        <v>1718</v>
      </c>
      <c r="B330" s="75" t="s">
        <v>1714</v>
      </c>
      <c r="C330" s="75" t="s">
        <v>1409</v>
      </c>
      <c r="D330" s="76">
        <v>800</v>
      </c>
      <c r="E330" s="74">
        <v>0</v>
      </c>
      <c r="F330" s="77">
        <f>D330+E330</f>
        <v>800</v>
      </c>
    </row>
    <row r="331" spans="1:6" ht="15" x14ac:dyDescent="0.2">
      <c r="A331" s="75" t="s">
        <v>1720</v>
      </c>
      <c r="B331" s="75" t="s">
        <v>1714</v>
      </c>
      <c r="C331" s="75" t="s">
        <v>1366</v>
      </c>
      <c r="D331" s="76">
        <v>25</v>
      </c>
      <c r="E331" s="76">
        <v>820.45</v>
      </c>
      <c r="F331" s="77">
        <f t="shared" si="6"/>
        <v>845.45</v>
      </c>
    </row>
    <row r="332" spans="1:6" ht="15" x14ac:dyDescent="0.2">
      <c r="A332" s="75" t="s">
        <v>1722</v>
      </c>
      <c r="B332" s="75" t="s">
        <v>1714</v>
      </c>
      <c r="C332" s="75" t="s">
        <v>1724</v>
      </c>
      <c r="D332" s="76">
        <v>532</v>
      </c>
      <c r="E332" s="76">
        <v>646.19000000000005</v>
      </c>
      <c r="F332" s="77">
        <f t="shared" si="6"/>
        <v>1178.19</v>
      </c>
    </row>
    <row r="333" spans="1:6" ht="15" x14ac:dyDescent="0.2">
      <c r="A333" s="75" t="s">
        <v>1725</v>
      </c>
      <c r="B333" s="75" t="s">
        <v>1714</v>
      </c>
      <c r="C333" s="75" t="s">
        <v>7356</v>
      </c>
      <c r="D333" s="76">
        <v>520</v>
      </c>
      <c r="E333" s="76">
        <v>1964.04</v>
      </c>
      <c r="F333" s="77">
        <f t="shared" si="6"/>
        <v>2484.04</v>
      </c>
    </row>
    <row r="334" spans="1:6" ht="15" x14ac:dyDescent="0.2">
      <c r="A334" s="75" t="s">
        <v>1727</v>
      </c>
      <c r="B334" s="78" t="s">
        <v>1714</v>
      </c>
      <c r="C334" s="78" t="s">
        <v>7357</v>
      </c>
      <c r="D334" s="76">
        <v>0</v>
      </c>
      <c r="E334" s="76">
        <v>239.11</v>
      </c>
      <c r="F334" s="77">
        <f t="shared" si="6"/>
        <v>239.11</v>
      </c>
    </row>
    <row r="335" spans="1:6" ht="15" x14ac:dyDescent="0.2">
      <c r="A335" s="75" t="s">
        <v>1729</v>
      </c>
      <c r="B335" s="75" t="s">
        <v>1714</v>
      </c>
      <c r="C335" s="75" t="s">
        <v>942</v>
      </c>
      <c r="D335" s="76">
        <v>266.51</v>
      </c>
      <c r="E335" s="76">
        <v>317</v>
      </c>
      <c r="F335" s="77">
        <f t="shared" si="6"/>
        <v>583.51</v>
      </c>
    </row>
    <row r="336" spans="1:6" ht="15" x14ac:dyDescent="0.2">
      <c r="A336" s="75" t="s">
        <v>1732</v>
      </c>
      <c r="B336" s="75" t="s">
        <v>1714</v>
      </c>
      <c r="C336" s="75" t="s">
        <v>7358</v>
      </c>
      <c r="D336" s="76">
        <v>0</v>
      </c>
      <c r="E336" s="76">
        <v>474.23</v>
      </c>
      <c r="F336" s="77">
        <f t="shared" si="6"/>
        <v>474.23</v>
      </c>
    </row>
    <row r="337" spans="1:10" ht="15" x14ac:dyDescent="0.2">
      <c r="A337" s="75" t="s">
        <v>1735</v>
      </c>
      <c r="B337" s="75" t="s">
        <v>1714</v>
      </c>
      <c r="C337" s="75" t="s">
        <v>3295</v>
      </c>
      <c r="D337" s="76">
        <v>251</v>
      </c>
      <c r="E337" s="76">
        <v>0</v>
      </c>
      <c r="F337" s="77">
        <f t="shared" si="6"/>
        <v>251</v>
      </c>
    </row>
    <row r="338" spans="1:10" ht="15" x14ac:dyDescent="0.2">
      <c r="A338" s="75" t="s">
        <v>1738</v>
      </c>
      <c r="B338" s="75" t="s">
        <v>1740</v>
      </c>
      <c r="C338" s="75" t="s">
        <v>2896</v>
      </c>
      <c r="D338" s="76">
        <v>70</v>
      </c>
      <c r="E338" s="76">
        <v>1220.1099999999999</v>
      </c>
      <c r="F338" s="77">
        <f t="shared" si="6"/>
        <v>1290.1099999999999</v>
      </c>
    </row>
    <row r="339" spans="1:10" ht="15" x14ac:dyDescent="0.2">
      <c r="A339" s="75" t="s">
        <v>1741</v>
      </c>
      <c r="B339" s="75" t="s">
        <v>1744</v>
      </c>
      <c r="C339" s="75" t="s">
        <v>1743</v>
      </c>
      <c r="D339" s="76">
        <v>0</v>
      </c>
      <c r="E339" s="76">
        <v>721.25</v>
      </c>
      <c r="F339" s="77">
        <f t="shared" si="6"/>
        <v>721.25</v>
      </c>
    </row>
    <row r="340" spans="1:10" ht="15" x14ac:dyDescent="0.2">
      <c r="A340" s="75" t="s">
        <v>1749</v>
      </c>
      <c r="B340" s="75" t="s">
        <v>1752</v>
      </c>
      <c r="C340" s="75" t="s">
        <v>1751</v>
      </c>
      <c r="D340" s="76">
        <v>235</v>
      </c>
      <c r="E340" s="76">
        <v>639.54</v>
      </c>
      <c r="F340" s="77">
        <f t="shared" si="6"/>
        <v>874.54</v>
      </c>
    </row>
    <row r="341" spans="1:10" ht="15" x14ac:dyDescent="0.2">
      <c r="A341" s="75" t="s">
        <v>1753</v>
      </c>
      <c r="B341" s="75" t="s">
        <v>1752</v>
      </c>
      <c r="C341" s="75" t="s">
        <v>7359</v>
      </c>
      <c r="D341" s="76">
        <v>1051</v>
      </c>
      <c r="E341" s="76">
        <v>2059.34</v>
      </c>
      <c r="F341" s="77">
        <f t="shared" si="6"/>
        <v>3110.34</v>
      </c>
    </row>
    <row r="342" spans="1:10" ht="15" x14ac:dyDescent="0.2">
      <c r="A342" s="75" t="s">
        <v>1755</v>
      </c>
      <c r="B342" s="75" t="s">
        <v>1752</v>
      </c>
      <c r="C342" s="75" t="s">
        <v>1366</v>
      </c>
      <c r="D342" s="76">
        <v>984.24</v>
      </c>
      <c r="E342" s="76">
        <v>0</v>
      </c>
      <c r="F342" s="77">
        <f t="shared" si="6"/>
        <v>984.24</v>
      </c>
    </row>
    <row r="343" spans="1:10" ht="15" x14ac:dyDescent="0.2">
      <c r="A343" s="75" t="s">
        <v>1757</v>
      </c>
      <c r="B343" s="78" t="s">
        <v>1759</v>
      </c>
      <c r="C343" s="75"/>
      <c r="D343" s="76">
        <v>0</v>
      </c>
      <c r="E343" s="76">
        <v>0</v>
      </c>
      <c r="F343" s="77">
        <f t="shared" si="6"/>
        <v>0</v>
      </c>
    </row>
    <row r="344" spans="1:10" ht="15" x14ac:dyDescent="0.2">
      <c r="A344" s="75" t="s">
        <v>1760</v>
      </c>
      <c r="B344" s="75" t="s">
        <v>7360</v>
      </c>
      <c r="C344" s="75" t="s">
        <v>1762</v>
      </c>
      <c r="D344" s="76">
        <v>0</v>
      </c>
      <c r="E344" s="76">
        <v>109.81</v>
      </c>
      <c r="F344" s="77">
        <f t="shared" si="6"/>
        <v>109.81</v>
      </c>
    </row>
    <row r="345" spans="1:10" ht="15" x14ac:dyDescent="0.2">
      <c r="A345" s="75" t="s">
        <v>1768</v>
      </c>
      <c r="B345" s="75" t="s">
        <v>7361</v>
      </c>
      <c r="C345" s="75" t="s">
        <v>1770</v>
      </c>
      <c r="D345" s="76">
        <v>0</v>
      </c>
      <c r="E345" s="76">
        <v>209.07</v>
      </c>
      <c r="F345" s="77">
        <f t="shared" si="6"/>
        <v>209.07</v>
      </c>
    </row>
    <row r="346" spans="1:10" ht="15" x14ac:dyDescent="0.2">
      <c r="A346" s="78" t="s">
        <v>7362</v>
      </c>
      <c r="B346" s="75" t="s">
        <v>7261</v>
      </c>
      <c r="C346" s="81" t="s">
        <v>7363</v>
      </c>
      <c r="D346" s="76">
        <f>1005+100+252+5452.23+5</f>
        <v>6814.23</v>
      </c>
      <c r="E346" s="76">
        <f>60+36.6</f>
        <v>96.6</v>
      </c>
      <c r="F346" s="77">
        <f t="shared" si="6"/>
        <v>6910.83</v>
      </c>
    </row>
    <row r="347" spans="1:10" ht="15.75" x14ac:dyDescent="0.2">
      <c r="A347" s="82" t="s">
        <v>307</v>
      </c>
      <c r="B347" s="82"/>
      <c r="C347" s="82"/>
      <c r="D347" s="83">
        <f>SUM(D121:D346)</f>
        <v>62199.95</v>
      </c>
      <c r="E347" s="83">
        <f>SUM(E121:E346)</f>
        <v>227351.57000000007</v>
      </c>
      <c r="F347" s="84">
        <f t="shared" si="6"/>
        <v>289551.52000000008</v>
      </c>
    </row>
    <row r="348" spans="1:10" s="62" customFormat="1" ht="15" thickBot="1" x14ac:dyDescent="0.25">
      <c r="A348" s="60" t="s">
        <v>7262</v>
      </c>
      <c r="B348" s="60"/>
      <c r="C348" s="60"/>
      <c r="D348" s="60"/>
      <c r="E348" s="60"/>
      <c r="F348" s="61"/>
      <c r="G348" s="61"/>
      <c r="H348" s="60"/>
    </row>
    <row r="349" spans="1:10" ht="21" thickBot="1" x14ac:dyDescent="0.25">
      <c r="A349" s="243" t="s">
        <v>7464</v>
      </c>
      <c r="B349" s="244"/>
      <c r="C349" s="244"/>
      <c r="D349" s="244"/>
      <c r="E349" s="244"/>
      <c r="F349" s="244"/>
      <c r="G349" s="244"/>
      <c r="H349" s="244"/>
      <c r="I349" s="245"/>
      <c r="J349" s="86"/>
    </row>
    <row r="350" spans="1:10" ht="15.75" x14ac:dyDescent="0.2">
      <c r="A350" s="106" t="s">
        <v>1</v>
      </c>
      <c r="B350" s="106" t="s">
        <v>7465</v>
      </c>
      <c r="C350" s="106" t="s">
        <v>3</v>
      </c>
      <c r="D350" s="107" t="s">
        <v>4</v>
      </c>
      <c r="E350" s="107" t="s">
        <v>7466</v>
      </c>
      <c r="F350" s="108">
        <v>2018</v>
      </c>
      <c r="G350" s="108">
        <v>2017</v>
      </c>
      <c r="H350" s="107">
        <v>2016</v>
      </c>
      <c r="J350" s="86"/>
    </row>
    <row r="351" spans="1:10" ht="15" x14ac:dyDescent="0.2">
      <c r="A351" s="109" t="s">
        <v>1777</v>
      </c>
      <c r="B351" s="109" t="s">
        <v>7467</v>
      </c>
      <c r="C351" s="109" t="s">
        <v>7468</v>
      </c>
      <c r="D351" s="110">
        <v>537</v>
      </c>
      <c r="E351" s="110">
        <v>1830.17</v>
      </c>
      <c r="F351" s="8">
        <f t="shared" ref="F351:F379" si="7">D351+E351</f>
        <v>2367.17</v>
      </c>
      <c r="G351" s="111">
        <v>1096.83</v>
      </c>
      <c r="H351" s="112">
        <v>1899</v>
      </c>
      <c r="J351" s="86"/>
    </row>
    <row r="352" spans="1:10" ht="15" x14ac:dyDescent="0.2">
      <c r="A352" s="109" t="s">
        <v>1781</v>
      </c>
      <c r="B352" s="109" t="s">
        <v>7470</v>
      </c>
      <c r="C352" s="109" t="s">
        <v>1349</v>
      </c>
      <c r="D352" s="110">
        <v>80</v>
      </c>
      <c r="E352" s="110">
        <v>185.29</v>
      </c>
      <c r="F352" s="8">
        <f t="shared" si="7"/>
        <v>265.28999999999996</v>
      </c>
      <c r="G352" s="111">
        <v>486</v>
      </c>
      <c r="H352" s="112">
        <v>212.91</v>
      </c>
      <c r="J352" s="86"/>
    </row>
    <row r="353" spans="1:10" ht="15" x14ac:dyDescent="0.2">
      <c r="A353" s="109" t="s">
        <v>1784</v>
      </c>
      <c r="B353" s="109" t="s">
        <v>1787</v>
      </c>
      <c r="C353" s="109" t="s">
        <v>7471</v>
      </c>
      <c r="D353" s="110">
        <v>309</v>
      </c>
      <c r="E353" s="110">
        <v>843.7</v>
      </c>
      <c r="F353" s="8">
        <f t="shared" si="7"/>
        <v>1152.7</v>
      </c>
      <c r="G353" s="111">
        <v>1437.9</v>
      </c>
      <c r="H353" s="112">
        <v>1659.31</v>
      </c>
      <c r="J353" s="86"/>
    </row>
    <row r="354" spans="1:10" ht="15" x14ac:dyDescent="0.2">
      <c r="A354" s="109" t="s">
        <v>1788</v>
      </c>
      <c r="B354" s="109" t="s">
        <v>1787</v>
      </c>
      <c r="C354" s="109" t="s">
        <v>453</v>
      </c>
      <c r="D354" s="110">
        <v>501.38</v>
      </c>
      <c r="E354" s="110">
        <v>0</v>
      </c>
      <c r="F354" s="8">
        <f t="shared" si="7"/>
        <v>501.38</v>
      </c>
      <c r="G354" s="111">
        <v>664</v>
      </c>
      <c r="H354" s="112">
        <v>172.55</v>
      </c>
      <c r="J354" s="86"/>
    </row>
    <row r="355" spans="1:10" ht="15" x14ac:dyDescent="0.2">
      <c r="A355" s="109" t="s">
        <v>1794</v>
      </c>
      <c r="B355" s="109" t="s">
        <v>7472</v>
      </c>
      <c r="C355" s="109" t="s">
        <v>1546</v>
      </c>
      <c r="D355" s="110">
        <v>994</v>
      </c>
      <c r="E355" s="110">
        <v>3774</v>
      </c>
      <c r="F355" s="8">
        <f t="shared" si="7"/>
        <v>4768</v>
      </c>
      <c r="G355" s="111">
        <v>4342.7800000000007</v>
      </c>
      <c r="H355" s="112">
        <v>3924.64</v>
      </c>
      <c r="J355" s="86"/>
    </row>
    <row r="356" spans="1:10" ht="15" x14ac:dyDescent="0.2">
      <c r="A356" s="109" t="s">
        <v>1799</v>
      </c>
      <c r="B356" s="109" t="s">
        <v>1802</v>
      </c>
      <c r="C356" s="109" t="s">
        <v>7473</v>
      </c>
      <c r="D356" s="110">
        <v>180</v>
      </c>
      <c r="E356" s="110">
        <v>800</v>
      </c>
      <c r="F356" s="8">
        <f t="shared" si="7"/>
        <v>980</v>
      </c>
      <c r="G356" s="111">
        <v>565</v>
      </c>
      <c r="H356" s="112">
        <v>582.19000000000005</v>
      </c>
      <c r="J356" s="86"/>
    </row>
    <row r="357" spans="1:10" ht="15" x14ac:dyDescent="0.2">
      <c r="A357" s="109" t="s">
        <v>1803</v>
      </c>
      <c r="B357" s="109" t="s">
        <v>1802</v>
      </c>
      <c r="C357" s="109" t="s">
        <v>2347</v>
      </c>
      <c r="D357" s="110">
        <v>79</v>
      </c>
      <c r="E357" s="110">
        <v>559.30999999999995</v>
      </c>
      <c r="F357" s="8">
        <f t="shared" si="7"/>
        <v>638.30999999999995</v>
      </c>
      <c r="G357" s="111">
        <v>750.02</v>
      </c>
      <c r="H357" s="112">
        <v>564</v>
      </c>
      <c r="J357" s="86"/>
    </row>
    <row r="358" spans="1:10" ht="15" x14ac:dyDescent="0.2">
      <c r="A358" s="109" t="s">
        <v>1807</v>
      </c>
      <c r="B358" s="109" t="s">
        <v>7474</v>
      </c>
      <c r="C358" s="109" t="s">
        <v>7475</v>
      </c>
      <c r="D358" s="110">
        <v>60</v>
      </c>
      <c r="E358" s="110">
        <v>400.6</v>
      </c>
      <c r="F358" s="8">
        <f t="shared" si="7"/>
        <v>460.6</v>
      </c>
      <c r="G358" s="111">
        <v>389.58</v>
      </c>
      <c r="H358" s="112">
        <v>10</v>
      </c>
      <c r="J358" s="86"/>
    </row>
    <row r="359" spans="1:10" ht="15" x14ac:dyDescent="0.2">
      <c r="A359" s="109" t="s">
        <v>1811</v>
      </c>
      <c r="B359" s="109" t="s">
        <v>1813</v>
      </c>
      <c r="C359" s="109" t="s">
        <v>1165</v>
      </c>
      <c r="D359" s="110">
        <v>471</v>
      </c>
      <c r="E359" s="110">
        <v>43.83</v>
      </c>
      <c r="F359" s="8">
        <f t="shared" si="7"/>
        <v>514.83000000000004</v>
      </c>
      <c r="G359" s="111">
        <v>664</v>
      </c>
      <c r="H359" s="112">
        <v>461</v>
      </c>
      <c r="J359" s="86"/>
    </row>
    <row r="360" spans="1:10" ht="15" x14ac:dyDescent="0.2">
      <c r="A360" s="109" t="s">
        <v>1817</v>
      </c>
      <c r="B360" s="109" t="s">
        <v>1820</v>
      </c>
      <c r="C360" s="109" t="s">
        <v>7476</v>
      </c>
      <c r="D360" s="110">
        <v>434</v>
      </c>
      <c r="E360" s="110">
        <v>2134.7199999999998</v>
      </c>
      <c r="F360" s="8">
        <f t="shared" si="7"/>
        <v>2568.7199999999998</v>
      </c>
      <c r="G360" s="111">
        <v>2702</v>
      </c>
      <c r="H360" s="112">
        <v>2859.5</v>
      </c>
      <c r="J360" s="86"/>
    </row>
    <row r="361" spans="1:10" ht="15" x14ac:dyDescent="0.2">
      <c r="A361" s="109" t="s">
        <v>1821</v>
      </c>
      <c r="B361" s="109" t="s">
        <v>1824</v>
      </c>
      <c r="C361" s="109" t="s">
        <v>1823</v>
      </c>
      <c r="D361" s="110">
        <v>50</v>
      </c>
      <c r="E361" s="110">
        <v>724.37</v>
      </c>
      <c r="F361" s="8">
        <f t="shared" si="7"/>
        <v>774.37</v>
      </c>
      <c r="G361" s="111">
        <v>986.81</v>
      </c>
      <c r="H361" s="112">
        <v>1137.48</v>
      </c>
      <c r="J361" s="86"/>
    </row>
    <row r="362" spans="1:10" ht="15" x14ac:dyDescent="0.2">
      <c r="A362" s="109" t="s">
        <v>7477</v>
      </c>
      <c r="B362" s="109" t="s">
        <v>7478</v>
      </c>
      <c r="C362" s="109" t="s">
        <v>7479</v>
      </c>
      <c r="D362" s="110">
        <v>219</v>
      </c>
      <c r="E362" s="110">
        <v>100.18</v>
      </c>
      <c r="F362" s="8">
        <f t="shared" si="7"/>
        <v>319.18</v>
      </c>
      <c r="G362" s="111">
        <v>563.1</v>
      </c>
      <c r="H362" s="112">
        <v>204</v>
      </c>
      <c r="J362" s="86"/>
    </row>
    <row r="363" spans="1:10" ht="15" x14ac:dyDescent="0.2">
      <c r="A363" s="109" t="s">
        <v>1825</v>
      </c>
      <c r="B363" s="109" t="s">
        <v>7480</v>
      </c>
      <c r="C363" s="109" t="s">
        <v>5390</v>
      </c>
      <c r="D363" s="110">
        <v>42</v>
      </c>
      <c r="E363" s="110">
        <v>1580</v>
      </c>
      <c r="F363" s="8">
        <f t="shared" si="7"/>
        <v>1622</v>
      </c>
      <c r="G363" s="111">
        <v>1771.35</v>
      </c>
      <c r="H363" s="112">
        <v>1477.22</v>
      </c>
      <c r="J363" s="86"/>
    </row>
    <row r="364" spans="1:10" ht="15" x14ac:dyDescent="0.2">
      <c r="A364" s="109" t="s">
        <v>1829</v>
      </c>
      <c r="B364" s="109" t="s">
        <v>1836</v>
      </c>
      <c r="C364" s="109" t="s">
        <v>7481</v>
      </c>
      <c r="D364" s="110">
        <v>632.53</v>
      </c>
      <c r="E364" s="110">
        <v>0</v>
      </c>
      <c r="F364" s="8">
        <f t="shared" si="7"/>
        <v>632.53</v>
      </c>
      <c r="G364" s="111">
        <v>601</v>
      </c>
      <c r="H364" s="112">
        <v>774.46</v>
      </c>
      <c r="J364" s="86"/>
    </row>
    <row r="365" spans="1:10" ht="15" x14ac:dyDescent="0.2">
      <c r="A365" s="109" t="s">
        <v>1837</v>
      </c>
      <c r="B365" s="109" t="s">
        <v>1840</v>
      </c>
      <c r="C365" s="109" t="s">
        <v>7482</v>
      </c>
      <c r="D365" s="110">
        <v>93</v>
      </c>
      <c r="E365" s="110">
        <v>0</v>
      </c>
      <c r="F365" s="8">
        <f t="shared" si="7"/>
        <v>93</v>
      </c>
      <c r="G365" s="111">
        <v>1619</v>
      </c>
      <c r="H365" s="112">
        <v>878.1</v>
      </c>
      <c r="J365" s="86"/>
    </row>
    <row r="366" spans="1:10" ht="15" x14ac:dyDescent="0.2">
      <c r="A366" s="109" t="s">
        <v>1841</v>
      </c>
      <c r="B366" s="109" t="s">
        <v>7483</v>
      </c>
      <c r="C366" s="109" t="s">
        <v>3774</v>
      </c>
      <c r="D366" s="110">
        <v>470</v>
      </c>
      <c r="E366" s="110">
        <v>0</v>
      </c>
      <c r="F366" s="8">
        <f t="shared" si="7"/>
        <v>470</v>
      </c>
      <c r="G366" s="111">
        <v>783.63</v>
      </c>
      <c r="H366" s="112">
        <v>295</v>
      </c>
      <c r="J366" s="86"/>
    </row>
    <row r="367" spans="1:10" ht="15" x14ac:dyDescent="0.2">
      <c r="A367" s="109" t="s">
        <v>1846</v>
      </c>
      <c r="B367" s="109" t="s">
        <v>1852</v>
      </c>
      <c r="C367" s="109" t="s">
        <v>4774</v>
      </c>
      <c r="D367" s="110">
        <v>310</v>
      </c>
      <c r="E367" s="110">
        <v>1231.67</v>
      </c>
      <c r="F367" s="8">
        <f t="shared" si="7"/>
        <v>1541.67</v>
      </c>
      <c r="G367" s="111">
        <v>1811.82</v>
      </c>
      <c r="H367" s="112">
        <v>2350.15</v>
      </c>
      <c r="J367" s="86"/>
    </row>
    <row r="368" spans="1:10" ht="15" x14ac:dyDescent="0.2">
      <c r="A368" s="109" t="s">
        <v>1849</v>
      </c>
      <c r="B368" s="109" t="s">
        <v>1852</v>
      </c>
      <c r="C368" s="109" t="s">
        <v>6378</v>
      </c>
      <c r="D368" s="110">
        <v>330</v>
      </c>
      <c r="E368" s="110">
        <v>999</v>
      </c>
      <c r="F368" s="8">
        <f t="shared" si="7"/>
        <v>1329</v>
      </c>
      <c r="G368" s="111">
        <v>1656</v>
      </c>
      <c r="H368" s="112">
        <v>1970.28</v>
      </c>
      <c r="J368" s="86"/>
    </row>
    <row r="369" spans="1:10" ht="15" x14ac:dyDescent="0.2">
      <c r="A369" s="109" t="s">
        <v>1854</v>
      </c>
      <c r="B369" s="109" t="s">
        <v>1852</v>
      </c>
      <c r="C369" s="109" t="s">
        <v>7207</v>
      </c>
      <c r="D369" s="110">
        <v>90</v>
      </c>
      <c r="E369" s="110">
        <v>306.7</v>
      </c>
      <c r="F369" s="8">
        <f t="shared" si="7"/>
        <v>396.7</v>
      </c>
      <c r="G369" s="111">
        <v>482.59</v>
      </c>
      <c r="H369" s="112">
        <v>592.77</v>
      </c>
      <c r="J369" s="86"/>
    </row>
    <row r="370" spans="1:10" ht="15" x14ac:dyDescent="0.2">
      <c r="A370" s="109" t="s">
        <v>1858</v>
      </c>
      <c r="B370" s="109" t="s">
        <v>7484</v>
      </c>
      <c r="C370" s="109" t="s">
        <v>7485</v>
      </c>
      <c r="D370" s="110">
        <v>450</v>
      </c>
      <c r="E370" s="110">
        <v>850.38</v>
      </c>
      <c r="F370" s="8">
        <f t="shared" si="7"/>
        <v>1300.3800000000001</v>
      </c>
      <c r="G370" s="111">
        <v>1156.3600000000001</v>
      </c>
      <c r="H370" s="112">
        <v>1182</v>
      </c>
      <c r="J370" s="86"/>
    </row>
    <row r="371" spans="1:10" ht="15" x14ac:dyDescent="0.2">
      <c r="A371" s="109" t="s">
        <v>1861</v>
      </c>
      <c r="B371" s="109" t="s">
        <v>1864</v>
      </c>
      <c r="C371" s="109" t="s">
        <v>7486</v>
      </c>
      <c r="D371" s="110">
        <v>180</v>
      </c>
      <c r="E371" s="110">
        <v>2158.54</v>
      </c>
      <c r="F371" s="8">
        <f t="shared" si="7"/>
        <v>2338.54</v>
      </c>
      <c r="G371" s="111">
        <v>1932.05</v>
      </c>
      <c r="H371" s="112">
        <v>736.34</v>
      </c>
      <c r="J371" s="86"/>
    </row>
    <row r="372" spans="1:10" ht="15" x14ac:dyDescent="0.2">
      <c r="A372" s="113" t="s">
        <v>1865</v>
      </c>
      <c r="B372" s="113" t="s">
        <v>7487</v>
      </c>
      <c r="C372" s="113" t="s">
        <v>1867</v>
      </c>
      <c r="D372" s="114"/>
      <c r="E372" s="114">
        <v>0</v>
      </c>
      <c r="F372" s="115">
        <f t="shared" si="7"/>
        <v>0</v>
      </c>
      <c r="G372" s="116">
        <v>0</v>
      </c>
      <c r="H372" s="117">
        <v>1120.4000000000001</v>
      </c>
      <c r="J372" s="86"/>
    </row>
    <row r="373" spans="1:10" ht="15" x14ac:dyDescent="0.2">
      <c r="A373" s="109" t="s">
        <v>1873</v>
      </c>
      <c r="B373" s="109" t="s">
        <v>7488</v>
      </c>
      <c r="C373" s="109" t="s">
        <v>7489</v>
      </c>
      <c r="D373" s="110">
        <v>75</v>
      </c>
      <c r="E373" s="110">
        <v>0</v>
      </c>
      <c r="F373" s="8">
        <f t="shared" si="7"/>
        <v>75</v>
      </c>
      <c r="G373" s="111">
        <v>25</v>
      </c>
      <c r="H373" s="112">
        <v>25</v>
      </c>
      <c r="J373" s="86"/>
    </row>
    <row r="374" spans="1:10" ht="15" x14ac:dyDescent="0.2">
      <c r="A374" s="109" t="s">
        <v>1876</v>
      </c>
      <c r="B374" s="109" t="s">
        <v>1879</v>
      </c>
      <c r="C374" s="109" t="s">
        <v>7490</v>
      </c>
      <c r="D374" s="110">
        <v>1005</v>
      </c>
      <c r="E374" s="110">
        <v>1352.15</v>
      </c>
      <c r="F374" s="8">
        <f t="shared" si="7"/>
        <v>2357.15</v>
      </c>
      <c r="G374" s="111">
        <v>2074.5299999999997</v>
      </c>
      <c r="H374" s="112">
        <v>1863.1599999999999</v>
      </c>
      <c r="J374" s="86"/>
    </row>
    <row r="375" spans="1:10" ht="15" x14ac:dyDescent="0.2">
      <c r="A375" s="109" t="s">
        <v>1889</v>
      </c>
      <c r="B375" s="109" t="s">
        <v>7491</v>
      </c>
      <c r="C375" s="109" t="s">
        <v>7216</v>
      </c>
      <c r="D375" s="110">
        <v>45</v>
      </c>
      <c r="E375" s="110">
        <v>1262.6400000000001</v>
      </c>
      <c r="F375" s="8">
        <f t="shared" si="7"/>
        <v>1307.6400000000001</v>
      </c>
      <c r="G375" s="111">
        <v>1344</v>
      </c>
      <c r="H375" s="112">
        <v>1541.16</v>
      </c>
      <c r="J375" s="86"/>
    </row>
    <row r="376" spans="1:10" ht="15" x14ac:dyDescent="0.2">
      <c r="A376" s="109" t="s">
        <v>1892</v>
      </c>
      <c r="B376" s="109" t="s">
        <v>7492</v>
      </c>
      <c r="C376" s="109" t="s">
        <v>839</v>
      </c>
      <c r="D376" s="110">
        <v>123.67</v>
      </c>
      <c r="E376" s="110">
        <v>201.95</v>
      </c>
      <c r="F376" s="8">
        <f t="shared" si="7"/>
        <v>325.62</v>
      </c>
      <c r="G376" s="111">
        <v>327.25</v>
      </c>
      <c r="H376" s="112">
        <v>579.07000000000005</v>
      </c>
      <c r="J376" s="86"/>
    </row>
    <row r="377" spans="1:10" ht="15" x14ac:dyDescent="0.2">
      <c r="A377" s="109" t="s">
        <v>1898</v>
      </c>
      <c r="B377" s="109" t="s">
        <v>1810</v>
      </c>
      <c r="C377" s="109" t="s">
        <v>1065</v>
      </c>
      <c r="D377" s="110">
        <v>35</v>
      </c>
      <c r="E377" s="110">
        <v>0</v>
      </c>
      <c r="F377" s="8">
        <f t="shared" si="7"/>
        <v>35</v>
      </c>
      <c r="G377" s="111">
        <v>299</v>
      </c>
      <c r="H377" s="112">
        <v>35</v>
      </c>
      <c r="J377" s="86"/>
    </row>
    <row r="378" spans="1:10" ht="15" x14ac:dyDescent="0.2">
      <c r="A378" s="109" t="s">
        <v>1900</v>
      </c>
      <c r="B378" s="109" t="s">
        <v>1810</v>
      </c>
      <c r="C378" s="109" t="s">
        <v>1165</v>
      </c>
      <c r="D378" s="110">
        <v>415</v>
      </c>
      <c r="E378" s="110">
        <v>1200</v>
      </c>
      <c r="F378" s="8">
        <f t="shared" si="7"/>
        <v>1615</v>
      </c>
      <c r="G378" s="111">
        <v>1795</v>
      </c>
      <c r="H378" s="112">
        <v>1770</v>
      </c>
      <c r="J378" s="86"/>
    </row>
    <row r="379" spans="1:10" ht="15" x14ac:dyDescent="0.2">
      <c r="A379" s="109" t="s">
        <v>1902</v>
      </c>
      <c r="B379" s="109" t="s">
        <v>7493</v>
      </c>
      <c r="C379" s="109" t="s">
        <v>7494</v>
      </c>
      <c r="D379" s="110">
        <v>180</v>
      </c>
      <c r="E379" s="110">
        <v>0</v>
      </c>
      <c r="F379" s="8">
        <f t="shared" si="7"/>
        <v>180</v>
      </c>
      <c r="G379" s="111">
        <v>370</v>
      </c>
      <c r="H379" s="112">
        <v>200</v>
      </c>
      <c r="J379" s="86"/>
    </row>
    <row r="380" spans="1:10" ht="15" x14ac:dyDescent="0.2">
      <c r="A380" s="109" t="s">
        <v>7495</v>
      </c>
      <c r="B380" s="109"/>
      <c r="C380" s="109"/>
      <c r="D380" s="110">
        <v>60</v>
      </c>
      <c r="E380" s="110"/>
      <c r="F380" s="8"/>
      <c r="G380" s="111"/>
      <c r="H380" s="112">
        <v>60</v>
      </c>
      <c r="J380" s="86"/>
    </row>
    <row r="381" spans="1:10" ht="15" x14ac:dyDescent="0.2">
      <c r="A381" s="109" t="s">
        <v>1913</v>
      </c>
      <c r="B381" s="109" t="s">
        <v>1921</v>
      </c>
      <c r="C381" s="109" t="s">
        <v>7496</v>
      </c>
      <c r="D381" s="110">
        <v>86</v>
      </c>
      <c r="E381" s="110">
        <v>744.04</v>
      </c>
      <c r="F381" s="8">
        <f t="shared" ref="F381:F444" si="8">D381+E381</f>
        <v>830.04</v>
      </c>
      <c r="G381" s="111">
        <v>895.66</v>
      </c>
      <c r="H381" s="112">
        <v>725.95</v>
      </c>
      <c r="J381" s="86"/>
    </row>
    <row r="382" spans="1:10" ht="15" x14ac:dyDescent="0.2">
      <c r="A382" s="109" t="s">
        <v>1922</v>
      </c>
      <c r="B382" s="109" t="s">
        <v>7497</v>
      </c>
      <c r="C382" s="109" t="s">
        <v>7356</v>
      </c>
      <c r="D382" s="110">
        <v>475.97</v>
      </c>
      <c r="E382" s="110">
        <v>0</v>
      </c>
      <c r="F382" s="8">
        <f t="shared" si="8"/>
        <v>475.97</v>
      </c>
      <c r="G382" s="111">
        <v>399</v>
      </c>
      <c r="H382" s="112">
        <v>298.39999999999998</v>
      </c>
      <c r="J382" s="86"/>
    </row>
    <row r="383" spans="1:10" ht="15" x14ac:dyDescent="0.2">
      <c r="A383" s="109" t="s">
        <v>1927</v>
      </c>
      <c r="B383" s="109" t="s">
        <v>4018</v>
      </c>
      <c r="C383" s="109" t="s">
        <v>7498</v>
      </c>
      <c r="D383" s="110">
        <v>290</v>
      </c>
      <c r="E383" s="110">
        <v>2011.99</v>
      </c>
      <c r="F383" s="8">
        <f t="shared" si="8"/>
        <v>2301.9899999999998</v>
      </c>
      <c r="G383" s="111">
        <v>1918.7</v>
      </c>
      <c r="H383" s="112">
        <v>1697.9</v>
      </c>
      <c r="J383" s="86"/>
    </row>
    <row r="384" spans="1:10" ht="15" x14ac:dyDescent="0.2">
      <c r="A384" s="109" t="s">
        <v>1930</v>
      </c>
      <c r="B384" s="109" t="s">
        <v>7499</v>
      </c>
      <c r="C384" s="109" t="s">
        <v>7500</v>
      </c>
      <c r="D384" s="110">
        <v>530</v>
      </c>
      <c r="E384" s="110">
        <v>0</v>
      </c>
      <c r="F384" s="8">
        <f t="shared" si="8"/>
        <v>530</v>
      </c>
      <c r="G384" s="111">
        <v>576</v>
      </c>
      <c r="H384" s="112">
        <v>435</v>
      </c>
      <c r="J384" s="86"/>
    </row>
    <row r="385" spans="1:10" ht="15" x14ac:dyDescent="0.2">
      <c r="A385" s="109" t="s">
        <v>1934</v>
      </c>
      <c r="B385" s="109" t="s">
        <v>7501</v>
      </c>
      <c r="C385" s="109" t="s">
        <v>4227</v>
      </c>
      <c r="D385" s="110">
        <v>105</v>
      </c>
      <c r="E385" s="110">
        <v>1137.21</v>
      </c>
      <c r="F385" s="8">
        <f t="shared" si="8"/>
        <v>1242.21</v>
      </c>
      <c r="G385" s="111">
        <v>1100.99</v>
      </c>
      <c r="H385" s="112">
        <v>1152.18</v>
      </c>
      <c r="J385" s="86"/>
    </row>
    <row r="386" spans="1:10" ht="15" x14ac:dyDescent="0.2">
      <c r="A386" s="109" t="s">
        <v>1937</v>
      </c>
      <c r="B386" s="109" t="s">
        <v>1942</v>
      </c>
      <c r="C386" s="109" t="s">
        <v>1409</v>
      </c>
      <c r="D386" s="110">
        <v>248.9</v>
      </c>
      <c r="E386" s="110">
        <v>2719.52</v>
      </c>
      <c r="F386" s="8">
        <f t="shared" si="8"/>
        <v>2968.42</v>
      </c>
      <c r="G386" s="111">
        <v>1000</v>
      </c>
      <c r="H386" s="112">
        <v>1422.23</v>
      </c>
      <c r="J386" s="86"/>
    </row>
    <row r="387" spans="1:10" ht="15" x14ac:dyDescent="0.2">
      <c r="A387" s="109" t="s">
        <v>1943</v>
      </c>
      <c r="B387" s="109" t="s">
        <v>1946</v>
      </c>
      <c r="C387" s="109" t="s">
        <v>7502</v>
      </c>
      <c r="D387" s="110">
        <v>605.58000000000004</v>
      </c>
      <c r="E387" s="110">
        <v>493.97</v>
      </c>
      <c r="F387" s="8">
        <f t="shared" si="8"/>
        <v>1099.5500000000002</v>
      </c>
      <c r="G387" s="111">
        <v>1104.5</v>
      </c>
      <c r="H387" s="112">
        <v>1006.79</v>
      </c>
      <c r="J387" s="86"/>
    </row>
    <row r="388" spans="1:10" ht="15" x14ac:dyDescent="0.2">
      <c r="A388" s="109" t="s">
        <v>1947</v>
      </c>
      <c r="B388" s="109" t="s">
        <v>7503</v>
      </c>
      <c r="C388" s="109" t="s">
        <v>7504</v>
      </c>
      <c r="D388" s="110">
        <v>331</v>
      </c>
      <c r="E388" s="110">
        <v>2424.7800000000002</v>
      </c>
      <c r="F388" s="8">
        <f t="shared" si="8"/>
        <v>2755.78</v>
      </c>
      <c r="G388" s="111">
        <v>2732.03</v>
      </c>
      <c r="H388" s="112">
        <v>1757.69</v>
      </c>
      <c r="J388" s="86"/>
    </row>
    <row r="389" spans="1:10" ht="15" x14ac:dyDescent="0.2">
      <c r="A389" s="109" t="s">
        <v>1953</v>
      </c>
      <c r="B389" s="109" t="s">
        <v>1955</v>
      </c>
      <c r="C389" s="109" t="s">
        <v>7505</v>
      </c>
      <c r="D389" s="110">
        <v>737</v>
      </c>
      <c r="E389" s="110">
        <v>2552.5</v>
      </c>
      <c r="F389" s="8">
        <f t="shared" si="8"/>
        <v>3289.5</v>
      </c>
      <c r="G389" s="111">
        <v>3170</v>
      </c>
      <c r="H389" s="112">
        <v>3008</v>
      </c>
      <c r="J389" s="86"/>
    </row>
    <row r="390" spans="1:10" ht="15" x14ac:dyDescent="0.2">
      <c r="A390" s="109" t="s">
        <v>1959</v>
      </c>
      <c r="B390" s="109" t="s">
        <v>7506</v>
      </c>
      <c r="C390" s="109" t="s">
        <v>7507</v>
      </c>
      <c r="D390" s="110">
        <v>561</v>
      </c>
      <c r="E390" s="110">
        <v>0</v>
      </c>
      <c r="F390" s="8">
        <f t="shared" si="8"/>
        <v>561</v>
      </c>
      <c r="G390" s="111">
        <v>335</v>
      </c>
      <c r="H390" s="112">
        <v>355</v>
      </c>
      <c r="J390" s="86"/>
    </row>
    <row r="391" spans="1:10" ht="15" x14ac:dyDescent="0.2">
      <c r="A391" s="109" t="s">
        <v>1965</v>
      </c>
      <c r="B391" s="109" t="s">
        <v>7508</v>
      </c>
      <c r="C391" s="109" t="s">
        <v>7509</v>
      </c>
      <c r="D391" s="110">
        <v>796.77</v>
      </c>
      <c r="E391" s="110">
        <v>0</v>
      </c>
      <c r="F391" s="8">
        <f t="shared" si="8"/>
        <v>796.77</v>
      </c>
      <c r="G391" s="111">
        <v>185</v>
      </c>
      <c r="H391" s="112">
        <v>971.58</v>
      </c>
      <c r="J391" s="86"/>
    </row>
    <row r="392" spans="1:10" ht="15" x14ac:dyDescent="0.2">
      <c r="A392" s="109" t="s">
        <v>1974</v>
      </c>
      <c r="B392" s="109" t="s">
        <v>7510</v>
      </c>
      <c r="C392" s="109" t="s">
        <v>7511</v>
      </c>
      <c r="D392" s="110">
        <v>100</v>
      </c>
      <c r="E392" s="110">
        <v>492.81</v>
      </c>
      <c r="F392" s="8">
        <f t="shared" si="8"/>
        <v>592.80999999999995</v>
      </c>
      <c r="G392" s="111">
        <v>1118.24</v>
      </c>
      <c r="H392" s="112">
        <v>925.56000000000006</v>
      </c>
      <c r="J392" s="86"/>
    </row>
    <row r="393" spans="1:10" ht="15" x14ac:dyDescent="0.2">
      <c r="A393" s="109" t="s">
        <v>1978</v>
      </c>
      <c r="B393" s="109" t="s">
        <v>1981</v>
      </c>
      <c r="C393" s="109" t="s">
        <v>7315</v>
      </c>
      <c r="D393" s="110">
        <v>376.84</v>
      </c>
      <c r="E393" s="110">
        <v>0</v>
      </c>
      <c r="F393" s="8">
        <f t="shared" si="8"/>
        <v>376.84</v>
      </c>
      <c r="G393" s="111">
        <v>0</v>
      </c>
      <c r="H393" s="112">
        <v>293.43</v>
      </c>
      <c r="J393" s="86"/>
    </row>
    <row r="394" spans="1:10" ht="15" x14ac:dyDescent="0.2">
      <c r="A394" s="109" t="s">
        <v>1985</v>
      </c>
      <c r="B394" s="109" t="s">
        <v>1988</v>
      </c>
      <c r="C394" s="109" t="s">
        <v>7512</v>
      </c>
      <c r="D394" s="110">
        <v>110</v>
      </c>
      <c r="E394" s="110">
        <v>0</v>
      </c>
      <c r="F394" s="8">
        <f t="shared" si="8"/>
        <v>110</v>
      </c>
      <c r="G394" s="111">
        <v>228</v>
      </c>
      <c r="H394" s="112">
        <v>80</v>
      </c>
      <c r="J394" s="86"/>
    </row>
    <row r="395" spans="1:10" ht="15" x14ac:dyDescent="0.2">
      <c r="A395" s="109" t="s">
        <v>1992</v>
      </c>
      <c r="B395" s="109" t="s">
        <v>1988</v>
      </c>
      <c r="C395" s="109" t="s">
        <v>7513</v>
      </c>
      <c r="D395" s="110">
        <v>0</v>
      </c>
      <c r="E395" s="110">
        <v>516.94000000000005</v>
      </c>
      <c r="F395" s="8">
        <f t="shared" si="8"/>
        <v>516.94000000000005</v>
      </c>
      <c r="G395" s="111">
        <v>529.79</v>
      </c>
      <c r="H395" s="112">
        <v>856.82</v>
      </c>
      <c r="J395" s="86"/>
    </row>
    <row r="396" spans="1:10" ht="15" x14ac:dyDescent="0.2">
      <c r="A396" s="109" t="s">
        <v>1996</v>
      </c>
      <c r="B396" s="109" t="s">
        <v>1988</v>
      </c>
      <c r="C396" s="109" t="s">
        <v>7514</v>
      </c>
      <c r="D396" s="110">
        <v>325</v>
      </c>
      <c r="E396" s="110">
        <v>0</v>
      </c>
      <c r="F396" s="8">
        <f t="shared" si="8"/>
        <v>325</v>
      </c>
      <c r="G396" s="111">
        <v>390</v>
      </c>
      <c r="H396" s="112">
        <v>325</v>
      </c>
      <c r="J396" s="86"/>
    </row>
    <row r="397" spans="1:10" ht="15" x14ac:dyDescent="0.2">
      <c r="A397" s="109" t="s">
        <v>2002</v>
      </c>
      <c r="B397" s="109" t="s">
        <v>7515</v>
      </c>
      <c r="C397" s="109" t="s">
        <v>2828</v>
      </c>
      <c r="D397" s="110">
        <v>20</v>
      </c>
      <c r="E397" s="110">
        <v>321</v>
      </c>
      <c r="F397" s="8">
        <f t="shared" si="8"/>
        <v>341</v>
      </c>
      <c r="G397" s="111">
        <v>40</v>
      </c>
      <c r="H397" s="112">
        <v>243</v>
      </c>
      <c r="J397" s="86"/>
    </row>
    <row r="398" spans="1:10" ht="15" x14ac:dyDescent="0.2">
      <c r="A398" s="109" t="s">
        <v>2006</v>
      </c>
      <c r="B398" s="109" t="s">
        <v>7515</v>
      </c>
      <c r="C398" s="109" t="s">
        <v>7516</v>
      </c>
      <c r="D398" s="110">
        <v>42</v>
      </c>
      <c r="E398" s="110">
        <v>0</v>
      </c>
      <c r="F398" s="8">
        <f t="shared" si="8"/>
        <v>42</v>
      </c>
      <c r="G398" s="111">
        <v>45</v>
      </c>
      <c r="H398" s="112">
        <v>242.05</v>
      </c>
      <c r="J398" s="86"/>
    </row>
    <row r="399" spans="1:10" ht="15" x14ac:dyDescent="0.2">
      <c r="A399" s="109" t="s">
        <v>2009</v>
      </c>
      <c r="B399" s="109" t="s">
        <v>7517</v>
      </c>
      <c r="C399" s="109" t="s">
        <v>523</v>
      </c>
      <c r="D399" s="110">
        <v>160</v>
      </c>
      <c r="E399" s="110">
        <v>786.6</v>
      </c>
      <c r="F399" s="8">
        <f t="shared" si="8"/>
        <v>946.6</v>
      </c>
      <c r="G399" s="111">
        <v>1265.08</v>
      </c>
      <c r="H399" s="112">
        <v>986.01</v>
      </c>
      <c r="J399" s="86"/>
    </row>
    <row r="400" spans="1:10" ht="15" x14ac:dyDescent="0.2">
      <c r="A400" s="109" t="s">
        <v>2014</v>
      </c>
      <c r="B400" s="109" t="s">
        <v>2017</v>
      </c>
      <c r="C400" s="109" t="s">
        <v>7518</v>
      </c>
      <c r="D400" s="110">
        <v>380</v>
      </c>
      <c r="E400" s="110">
        <v>648.85</v>
      </c>
      <c r="F400" s="8">
        <f t="shared" si="8"/>
        <v>1028.8499999999999</v>
      </c>
      <c r="G400" s="111">
        <v>925.85</v>
      </c>
      <c r="H400" s="112">
        <v>2028.67</v>
      </c>
      <c r="J400" s="86"/>
    </row>
    <row r="401" spans="1:10" ht="15" x14ac:dyDescent="0.2">
      <c r="A401" s="109" t="s">
        <v>2018</v>
      </c>
      <c r="B401" s="109" t="s">
        <v>2017</v>
      </c>
      <c r="C401" s="109" t="s">
        <v>1047</v>
      </c>
      <c r="D401" s="110">
        <v>125</v>
      </c>
      <c r="E401" s="110">
        <v>611.23</v>
      </c>
      <c r="F401" s="8">
        <f t="shared" si="8"/>
        <v>736.23</v>
      </c>
      <c r="G401" s="111">
        <v>711.82</v>
      </c>
      <c r="H401" s="112">
        <v>679.75</v>
      </c>
      <c r="J401" s="86"/>
    </row>
    <row r="402" spans="1:10" ht="15" x14ac:dyDescent="0.2">
      <c r="A402" s="109" t="s">
        <v>2020</v>
      </c>
      <c r="B402" s="109" t="s">
        <v>7519</v>
      </c>
      <c r="C402" s="109" t="s">
        <v>7520</v>
      </c>
      <c r="D402" s="110">
        <v>135</v>
      </c>
      <c r="E402" s="110">
        <v>312.39999999999998</v>
      </c>
      <c r="F402" s="8">
        <f t="shared" si="8"/>
        <v>447.4</v>
      </c>
      <c r="G402" s="111">
        <v>459.72</v>
      </c>
      <c r="H402" s="112">
        <v>378.23</v>
      </c>
      <c r="J402" s="86"/>
    </row>
    <row r="403" spans="1:10" ht="15" x14ac:dyDescent="0.2">
      <c r="A403" s="109" t="s">
        <v>2022</v>
      </c>
      <c r="B403" s="109" t="s">
        <v>1875</v>
      </c>
      <c r="C403" s="109" t="s">
        <v>942</v>
      </c>
      <c r="D403" s="110">
        <v>1764.06</v>
      </c>
      <c r="E403" s="110">
        <v>0</v>
      </c>
      <c r="F403" s="8">
        <f t="shared" si="8"/>
        <v>1764.06</v>
      </c>
      <c r="G403" s="111">
        <v>2023</v>
      </c>
      <c r="H403" s="112">
        <v>2161</v>
      </c>
      <c r="J403" s="86"/>
    </row>
    <row r="404" spans="1:10" ht="15" x14ac:dyDescent="0.2">
      <c r="A404" s="109" t="s">
        <v>2024</v>
      </c>
      <c r="B404" s="109" t="s">
        <v>1875</v>
      </c>
      <c r="C404" s="109" t="s">
        <v>1008</v>
      </c>
      <c r="D404" s="110">
        <v>20</v>
      </c>
      <c r="E404" s="110">
        <v>0</v>
      </c>
      <c r="F404" s="8">
        <f t="shared" si="8"/>
        <v>20</v>
      </c>
      <c r="G404" s="111">
        <v>20</v>
      </c>
      <c r="H404" s="112">
        <v>20</v>
      </c>
      <c r="J404" s="86"/>
    </row>
    <row r="405" spans="1:10" ht="15" x14ac:dyDescent="0.2">
      <c r="A405" s="109" t="s">
        <v>2027</v>
      </c>
      <c r="B405" s="109" t="s">
        <v>1875</v>
      </c>
      <c r="C405" s="109" t="s">
        <v>7521</v>
      </c>
      <c r="D405" s="110">
        <v>140</v>
      </c>
      <c r="E405" s="110">
        <v>1172.9100000000001</v>
      </c>
      <c r="F405" s="8">
        <f t="shared" si="8"/>
        <v>1312.91</v>
      </c>
      <c r="G405" s="111">
        <v>1451.47</v>
      </c>
      <c r="H405" s="112">
        <v>2069.71</v>
      </c>
      <c r="J405" s="86"/>
    </row>
    <row r="406" spans="1:10" ht="15" x14ac:dyDescent="0.2">
      <c r="A406" s="109" t="s">
        <v>2030</v>
      </c>
      <c r="B406" s="109" t="s">
        <v>7522</v>
      </c>
      <c r="C406" s="109" t="s">
        <v>7523</v>
      </c>
      <c r="D406" s="110">
        <v>0</v>
      </c>
      <c r="E406" s="110">
        <v>331.82</v>
      </c>
      <c r="F406" s="8">
        <f t="shared" si="8"/>
        <v>331.82</v>
      </c>
      <c r="G406" s="111">
        <v>902.34</v>
      </c>
      <c r="H406" s="112">
        <v>560.57999999999993</v>
      </c>
      <c r="J406" s="86"/>
    </row>
    <row r="407" spans="1:10" ht="15" x14ac:dyDescent="0.2">
      <c r="A407" s="109" t="s">
        <v>2034</v>
      </c>
      <c r="B407" s="109" t="s">
        <v>7524</v>
      </c>
      <c r="C407" s="109" t="s">
        <v>7525</v>
      </c>
      <c r="D407" s="110">
        <v>20</v>
      </c>
      <c r="E407" s="110">
        <v>50.28</v>
      </c>
      <c r="F407" s="8">
        <f t="shared" si="8"/>
        <v>70.28</v>
      </c>
      <c r="G407" s="111">
        <v>691.44</v>
      </c>
      <c r="H407" s="112">
        <v>30.08</v>
      </c>
      <c r="J407" s="86"/>
    </row>
    <row r="408" spans="1:10" ht="15" x14ac:dyDescent="0.2">
      <c r="A408" s="109" t="s">
        <v>2040</v>
      </c>
      <c r="B408" s="109" t="s">
        <v>7526</v>
      </c>
      <c r="C408" s="109" t="s">
        <v>7527</v>
      </c>
      <c r="D408" s="110">
        <v>345</v>
      </c>
      <c r="E408" s="110">
        <v>1035.1300000000001</v>
      </c>
      <c r="F408" s="8">
        <f t="shared" si="8"/>
        <v>1380.13</v>
      </c>
      <c r="G408" s="111">
        <v>563.80999999999995</v>
      </c>
      <c r="H408" s="112">
        <v>548.84</v>
      </c>
      <c r="J408" s="86"/>
    </row>
    <row r="409" spans="1:10" ht="15" x14ac:dyDescent="0.2">
      <c r="A409" s="109" t="s">
        <v>2044</v>
      </c>
      <c r="B409" s="109" t="s">
        <v>7528</v>
      </c>
      <c r="C409" s="109" t="s">
        <v>7529</v>
      </c>
      <c r="D409" s="110">
        <v>1818</v>
      </c>
      <c r="E409" s="110">
        <v>1513.26</v>
      </c>
      <c r="F409" s="8">
        <f t="shared" si="8"/>
        <v>3331.26</v>
      </c>
      <c r="G409" s="111">
        <v>2807</v>
      </c>
      <c r="H409" s="112">
        <v>2391</v>
      </c>
      <c r="J409" s="86"/>
    </row>
    <row r="410" spans="1:10" ht="15" x14ac:dyDescent="0.2">
      <c r="A410" s="109" t="s">
        <v>2048</v>
      </c>
      <c r="B410" s="109" t="s">
        <v>7530</v>
      </c>
      <c r="C410" s="109" t="s">
        <v>7527</v>
      </c>
      <c r="D410" s="110">
        <v>1685</v>
      </c>
      <c r="E410" s="110">
        <v>2221.17</v>
      </c>
      <c r="F410" s="8">
        <f t="shared" si="8"/>
        <v>3906.17</v>
      </c>
      <c r="G410" s="111">
        <v>3573.76</v>
      </c>
      <c r="H410" s="112">
        <v>1551.97</v>
      </c>
      <c r="J410" s="86"/>
    </row>
    <row r="411" spans="1:10" ht="15" x14ac:dyDescent="0.2">
      <c r="A411" s="109" t="s">
        <v>2050</v>
      </c>
      <c r="B411" s="109" t="s">
        <v>7531</v>
      </c>
      <c r="C411" s="109" t="s">
        <v>1366</v>
      </c>
      <c r="D411" s="110">
        <v>295</v>
      </c>
      <c r="E411" s="110">
        <v>0</v>
      </c>
      <c r="F411" s="8">
        <f t="shared" si="8"/>
        <v>295</v>
      </c>
      <c r="G411" s="111">
        <v>85</v>
      </c>
      <c r="H411" s="112">
        <v>5</v>
      </c>
      <c r="J411" s="86"/>
    </row>
    <row r="412" spans="1:10" ht="15" x14ac:dyDescent="0.2">
      <c r="A412" s="109" t="s">
        <v>2052</v>
      </c>
      <c r="B412" s="109" t="s">
        <v>2055</v>
      </c>
      <c r="C412" s="109" t="s">
        <v>7532</v>
      </c>
      <c r="D412" s="110">
        <v>380</v>
      </c>
      <c r="E412" s="110">
        <v>1086.48</v>
      </c>
      <c r="F412" s="8">
        <f t="shared" si="8"/>
        <v>1466.48</v>
      </c>
      <c r="G412" s="111">
        <v>667.5</v>
      </c>
      <c r="H412" s="112">
        <v>454.76</v>
      </c>
      <c r="J412" s="86"/>
    </row>
    <row r="413" spans="1:10" ht="15" x14ac:dyDescent="0.2">
      <c r="A413" s="109" t="s">
        <v>2056</v>
      </c>
      <c r="B413" s="109" t="s">
        <v>1828</v>
      </c>
      <c r="C413" s="109" t="s">
        <v>7533</v>
      </c>
      <c r="D413" s="110">
        <v>544.6</v>
      </c>
      <c r="E413" s="110">
        <v>0</v>
      </c>
      <c r="F413" s="8">
        <f t="shared" si="8"/>
        <v>544.6</v>
      </c>
      <c r="G413" s="111">
        <v>262</v>
      </c>
      <c r="H413" s="112">
        <v>388.51</v>
      </c>
      <c r="J413" s="86"/>
    </row>
    <row r="414" spans="1:10" ht="15" x14ac:dyDescent="0.2">
      <c r="A414" s="109" t="s">
        <v>2059</v>
      </c>
      <c r="B414" s="109" t="s">
        <v>7534</v>
      </c>
      <c r="C414" s="109" t="s">
        <v>7535</v>
      </c>
      <c r="D414" s="110">
        <v>508.95</v>
      </c>
      <c r="E414" s="110">
        <v>0</v>
      </c>
      <c r="F414" s="8">
        <f t="shared" si="8"/>
        <v>508.95</v>
      </c>
      <c r="G414" s="111">
        <v>423</v>
      </c>
      <c r="H414" s="112">
        <v>1019.37</v>
      </c>
      <c r="J414" s="86"/>
    </row>
    <row r="415" spans="1:10" ht="15" x14ac:dyDescent="0.2">
      <c r="A415" s="109" t="s">
        <v>2062</v>
      </c>
      <c r="B415" s="109" t="s">
        <v>7536</v>
      </c>
      <c r="C415" s="109" t="s">
        <v>7280</v>
      </c>
      <c r="D415" s="110">
        <v>125</v>
      </c>
      <c r="E415" s="110">
        <v>527.09</v>
      </c>
      <c r="F415" s="8">
        <f t="shared" si="8"/>
        <v>652.09</v>
      </c>
      <c r="G415" s="111">
        <v>100</v>
      </c>
      <c r="H415" s="112">
        <v>60</v>
      </c>
      <c r="J415" s="86"/>
    </row>
    <row r="416" spans="1:10" ht="15" x14ac:dyDescent="0.2">
      <c r="A416" s="109" t="s">
        <v>2065</v>
      </c>
      <c r="B416" s="109" t="s">
        <v>2068</v>
      </c>
      <c r="C416" s="109" t="s">
        <v>3187</v>
      </c>
      <c r="D416" s="110">
        <v>92</v>
      </c>
      <c r="E416" s="110">
        <v>320</v>
      </c>
      <c r="F416" s="8">
        <f t="shared" si="8"/>
        <v>412</v>
      </c>
      <c r="G416" s="111">
        <v>662</v>
      </c>
      <c r="H416" s="112">
        <v>799</v>
      </c>
      <c r="J416" s="86"/>
    </row>
    <row r="417" spans="1:10" ht="15" x14ac:dyDescent="0.2">
      <c r="A417" s="109" t="s">
        <v>2069</v>
      </c>
      <c r="B417" s="109" t="s">
        <v>7537</v>
      </c>
      <c r="C417" s="109" t="s">
        <v>2578</v>
      </c>
      <c r="D417" s="110">
        <v>35</v>
      </c>
      <c r="E417" s="110">
        <v>312.64</v>
      </c>
      <c r="F417" s="8">
        <f t="shared" si="8"/>
        <v>347.64</v>
      </c>
      <c r="G417" s="111">
        <v>457.48</v>
      </c>
      <c r="H417" s="112">
        <v>482.65000000000003</v>
      </c>
      <c r="J417" s="86"/>
    </row>
    <row r="418" spans="1:10" ht="15" x14ac:dyDescent="0.2">
      <c r="A418" s="109" t="s">
        <v>2073</v>
      </c>
      <c r="B418" s="109" t="s">
        <v>2076</v>
      </c>
      <c r="C418" s="109" t="s">
        <v>7538</v>
      </c>
      <c r="D418" s="110">
        <v>40</v>
      </c>
      <c r="E418" s="110">
        <v>1208.01</v>
      </c>
      <c r="F418" s="8">
        <f t="shared" si="8"/>
        <v>1248.01</v>
      </c>
      <c r="G418" s="111">
        <v>2445.73</v>
      </c>
      <c r="H418" s="112">
        <v>1036.26</v>
      </c>
      <c r="J418" s="86"/>
    </row>
    <row r="419" spans="1:10" ht="15" x14ac:dyDescent="0.2">
      <c r="A419" s="109" t="s">
        <v>2078</v>
      </c>
      <c r="B419" s="109" t="s">
        <v>2080</v>
      </c>
      <c r="C419" s="109" t="s">
        <v>7539</v>
      </c>
      <c r="D419" s="110">
        <v>276.05</v>
      </c>
      <c r="E419" s="110">
        <v>2639.15</v>
      </c>
      <c r="F419" s="8">
        <f t="shared" si="8"/>
        <v>2915.2000000000003</v>
      </c>
      <c r="G419" s="111">
        <v>3244.62</v>
      </c>
      <c r="H419" s="112">
        <v>3514.0000000000005</v>
      </c>
      <c r="J419" s="86"/>
    </row>
    <row r="420" spans="1:10" ht="15" x14ac:dyDescent="0.2">
      <c r="A420" s="109" t="s">
        <v>2082</v>
      </c>
      <c r="B420" s="109" t="s">
        <v>2085</v>
      </c>
      <c r="C420" s="109" t="s">
        <v>934</v>
      </c>
      <c r="D420" s="110">
        <v>45</v>
      </c>
      <c r="E420" s="110">
        <v>927.03</v>
      </c>
      <c r="F420" s="8">
        <f t="shared" si="8"/>
        <v>972.03</v>
      </c>
      <c r="G420" s="111">
        <v>405.13</v>
      </c>
      <c r="H420" s="112">
        <v>693.5</v>
      </c>
      <c r="J420" s="86"/>
    </row>
    <row r="421" spans="1:10" ht="15" x14ac:dyDescent="0.2">
      <c r="A421" s="109" t="s">
        <v>2089</v>
      </c>
      <c r="B421" s="109" t="s">
        <v>1844</v>
      </c>
      <c r="C421" s="109" t="s">
        <v>72</v>
      </c>
      <c r="D421" s="110">
        <v>1156.76</v>
      </c>
      <c r="E421" s="110">
        <v>0</v>
      </c>
      <c r="F421" s="8">
        <f t="shared" si="8"/>
        <v>1156.76</v>
      </c>
      <c r="G421" s="111">
        <v>1239</v>
      </c>
      <c r="H421" s="112">
        <v>711.46</v>
      </c>
      <c r="J421" s="86"/>
    </row>
    <row r="422" spans="1:10" ht="15" x14ac:dyDescent="0.2">
      <c r="A422" s="109" t="s">
        <v>2091</v>
      </c>
      <c r="B422" s="109" t="s">
        <v>2094</v>
      </c>
      <c r="C422" s="109" t="s">
        <v>7540</v>
      </c>
      <c r="D422" s="110">
        <v>854</v>
      </c>
      <c r="E422" s="110">
        <v>334.5</v>
      </c>
      <c r="F422" s="8">
        <f t="shared" si="8"/>
        <v>1188.5</v>
      </c>
      <c r="G422" s="111">
        <v>1042.77</v>
      </c>
      <c r="H422" s="112">
        <v>742.39</v>
      </c>
      <c r="J422" s="86"/>
    </row>
    <row r="423" spans="1:10" ht="15" x14ac:dyDescent="0.2">
      <c r="A423" s="109" t="s">
        <v>2095</v>
      </c>
      <c r="B423" s="109" t="s">
        <v>7541</v>
      </c>
      <c r="C423" s="109" t="s">
        <v>7542</v>
      </c>
      <c r="D423" s="110">
        <v>481.51</v>
      </c>
      <c r="E423" s="110">
        <v>2870.71</v>
      </c>
      <c r="F423" s="8">
        <f t="shared" si="8"/>
        <v>3352.2200000000003</v>
      </c>
      <c r="G423" s="111">
        <v>2817.11</v>
      </c>
      <c r="H423" s="112">
        <v>2747.06</v>
      </c>
      <c r="J423" s="86"/>
    </row>
    <row r="424" spans="1:10" ht="15" x14ac:dyDescent="0.2">
      <c r="A424" s="109" t="s">
        <v>2102</v>
      </c>
      <c r="B424" s="109" t="s">
        <v>7543</v>
      </c>
      <c r="C424" s="109" t="s">
        <v>231</v>
      </c>
      <c r="D424" s="110">
        <v>27</v>
      </c>
      <c r="E424" s="110">
        <v>0</v>
      </c>
      <c r="F424" s="8">
        <f t="shared" si="8"/>
        <v>27</v>
      </c>
      <c r="G424" s="111">
        <v>197.45</v>
      </c>
      <c r="H424" s="112">
        <v>290.83000000000004</v>
      </c>
      <c r="J424" s="86"/>
    </row>
    <row r="425" spans="1:10" ht="15" x14ac:dyDescent="0.2">
      <c r="A425" s="109" t="s">
        <v>2105</v>
      </c>
      <c r="B425" s="109" t="s">
        <v>7544</v>
      </c>
      <c r="C425" s="109" t="s">
        <v>7545</v>
      </c>
      <c r="D425" s="110">
        <v>140</v>
      </c>
      <c r="E425" s="110">
        <v>123.96</v>
      </c>
      <c r="F425" s="8">
        <f t="shared" si="8"/>
        <v>263.95999999999998</v>
      </c>
      <c r="G425" s="111">
        <v>290.66999999999996</v>
      </c>
      <c r="H425" s="112">
        <v>359.62</v>
      </c>
      <c r="J425" s="86"/>
    </row>
    <row r="426" spans="1:10" ht="15" x14ac:dyDescent="0.2">
      <c r="A426" s="109" t="s">
        <v>2108</v>
      </c>
      <c r="B426" s="109" t="s">
        <v>7546</v>
      </c>
      <c r="C426" s="109" t="s">
        <v>3238</v>
      </c>
      <c r="D426" s="110">
        <v>150</v>
      </c>
      <c r="E426" s="110">
        <v>203.1</v>
      </c>
      <c r="F426" s="8">
        <f t="shared" si="8"/>
        <v>353.1</v>
      </c>
      <c r="G426" s="111">
        <v>794</v>
      </c>
      <c r="H426" s="112">
        <v>1019.47</v>
      </c>
      <c r="J426" s="86"/>
    </row>
    <row r="427" spans="1:10" ht="15" x14ac:dyDescent="0.2">
      <c r="A427" s="109" t="s">
        <v>2111</v>
      </c>
      <c r="B427" s="109" t="s">
        <v>2113</v>
      </c>
      <c r="C427" s="109" t="s">
        <v>7280</v>
      </c>
      <c r="D427" s="110">
        <v>185</v>
      </c>
      <c r="E427" s="110">
        <v>222.92</v>
      </c>
      <c r="F427" s="8">
        <f t="shared" si="8"/>
        <v>407.91999999999996</v>
      </c>
      <c r="G427" s="111">
        <v>372.37</v>
      </c>
      <c r="H427" s="112">
        <v>304.36</v>
      </c>
      <c r="J427" s="86"/>
    </row>
    <row r="428" spans="1:10" ht="15" x14ac:dyDescent="0.2">
      <c r="A428" s="109" t="s">
        <v>2114</v>
      </c>
      <c r="B428" s="109" t="s">
        <v>7547</v>
      </c>
      <c r="C428" s="109" t="s">
        <v>3238</v>
      </c>
      <c r="D428" s="110">
        <v>0</v>
      </c>
      <c r="E428" s="110">
        <v>221.45</v>
      </c>
      <c r="F428" s="8">
        <f t="shared" si="8"/>
        <v>221.45</v>
      </c>
      <c r="G428" s="111">
        <v>337.15</v>
      </c>
      <c r="H428" s="112">
        <v>410.31</v>
      </c>
      <c r="J428" s="86"/>
    </row>
    <row r="429" spans="1:10" ht="15" x14ac:dyDescent="0.2">
      <c r="A429" s="109" t="s">
        <v>2116</v>
      </c>
      <c r="B429" s="109" t="s">
        <v>7548</v>
      </c>
      <c r="C429" s="109" t="s">
        <v>896</v>
      </c>
      <c r="D429" s="110">
        <v>650</v>
      </c>
      <c r="E429" s="110">
        <v>0</v>
      </c>
      <c r="F429" s="8">
        <f t="shared" si="8"/>
        <v>650</v>
      </c>
      <c r="G429" s="111">
        <v>80</v>
      </c>
      <c r="H429" s="112">
        <v>0</v>
      </c>
      <c r="J429" s="86"/>
    </row>
    <row r="430" spans="1:10" ht="15" x14ac:dyDescent="0.2">
      <c r="A430" s="109" t="s">
        <v>2118</v>
      </c>
      <c r="B430" s="109" t="s">
        <v>7549</v>
      </c>
      <c r="C430" s="109" t="s">
        <v>7550</v>
      </c>
      <c r="D430" s="110">
        <v>15</v>
      </c>
      <c r="E430" s="110">
        <v>757.1</v>
      </c>
      <c r="F430" s="8">
        <f t="shared" si="8"/>
        <v>772.1</v>
      </c>
      <c r="G430" s="111">
        <v>706.61</v>
      </c>
      <c r="H430" s="112">
        <v>957.84</v>
      </c>
      <c r="J430" s="86"/>
    </row>
    <row r="431" spans="1:10" ht="15" x14ac:dyDescent="0.2">
      <c r="A431" s="109" t="s">
        <v>2122</v>
      </c>
      <c r="B431" s="109" t="s">
        <v>2124</v>
      </c>
      <c r="C431" s="109" t="s">
        <v>532</v>
      </c>
      <c r="D431" s="110">
        <v>227</v>
      </c>
      <c r="E431" s="110">
        <v>0</v>
      </c>
      <c r="F431" s="8">
        <f t="shared" si="8"/>
        <v>227</v>
      </c>
      <c r="G431" s="111">
        <v>1212.2</v>
      </c>
      <c r="H431" s="112">
        <v>363.53</v>
      </c>
      <c r="J431" s="86"/>
    </row>
    <row r="432" spans="1:10" ht="15" x14ac:dyDescent="0.2">
      <c r="A432" s="109" t="s">
        <v>2128</v>
      </c>
      <c r="B432" s="109" t="s">
        <v>7551</v>
      </c>
      <c r="C432" s="109" t="s">
        <v>7540</v>
      </c>
      <c r="D432" s="110">
        <v>182.85</v>
      </c>
      <c r="E432" s="110">
        <v>0</v>
      </c>
      <c r="F432" s="8">
        <f t="shared" si="8"/>
        <v>182.85</v>
      </c>
      <c r="G432" s="111">
        <v>145</v>
      </c>
      <c r="H432" s="112">
        <v>201.25</v>
      </c>
      <c r="J432" s="86"/>
    </row>
    <row r="433" spans="1:10" ht="15" x14ac:dyDescent="0.2">
      <c r="A433" s="109" t="s">
        <v>2130</v>
      </c>
      <c r="B433" s="109" t="s">
        <v>7552</v>
      </c>
      <c r="C433" s="109" t="s">
        <v>7553</v>
      </c>
      <c r="D433" s="110">
        <v>293.24</v>
      </c>
      <c r="E433" s="110">
        <v>0</v>
      </c>
      <c r="F433" s="8">
        <f t="shared" si="8"/>
        <v>293.24</v>
      </c>
      <c r="G433" s="111">
        <v>171</v>
      </c>
      <c r="H433" s="112">
        <v>181</v>
      </c>
      <c r="J433" s="86"/>
    </row>
    <row r="434" spans="1:10" ht="15" x14ac:dyDescent="0.2">
      <c r="A434" s="109" t="s">
        <v>2137</v>
      </c>
      <c r="B434" s="109" t="s">
        <v>7554</v>
      </c>
      <c r="C434" s="109" t="s">
        <v>7555</v>
      </c>
      <c r="D434" s="110">
        <v>641.91</v>
      </c>
      <c r="E434" s="110">
        <v>0</v>
      </c>
      <c r="F434" s="8">
        <f t="shared" si="8"/>
        <v>641.91</v>
      </c>
      <c r="G434" s="111">
        <v>1129.94</v>
      </c>
      <c r="H434" s="112">
        <v>1064.96</v>
      </c>
      <c r="J434" s="86"/>
    </row>
    <row r="435" spans="1:10" ht="15" x14ac:dyDescent="0.2">
      <c r="A435" s="109" t="s">
        <v>2140</v>
      </c>
      <c r="B435" s="109" t="s">
        <v>7554</v>
      </c>
      <c r="C435" s="109" t="s">
        <v>7556</v>
      </c>
      <c r="D435" s="110">
        <v>390</v>
      </c>
      <c r="E435" s="110">
        <v>660.84</v>
      </c>
      <c r="F435" s="8">
        <f t="shared" si="8"/>
        <v>1050.8400000000001</v>
      </c>
      <c r="G435" s="111">
        <v>1601.33</v>
      </c>
      <c r="H435" s="112">
        <v>1244.3399999999999</v>
      </c>
      <c r="J435" s="86"/>
    </row>
    <row r="436" spans="1:10" ht="15" x14ac:dyDescent="0.2">
      <c r="A436" s="109" t="s">
        <v>2143</v>
      </c>
      <c r="B436" s="109" t="s">
        <v>7484</v>
      </c>
      <c r="C436" s="109" t="s">
        <v>916</v>
      </c>
      <c r="D436" s="110">
        <v>205</v>
      </c>
      <c r="E436" s="110">
        <v>429.94</v>
      </c>
      <c r="F436" s="8">
        <f t="shared" si="8"/>
        <v>634.94000000000005</v>
      </c>
      <c r="G436" s="111">
        <v>844.14</v>
      </c>
      <c r="H436" s="112">
        <v>1203.46</v>
      </c>
      <c r="J436" s="86"/>
    </row>
    <row r="437" spans="1:10" ht="15" x14ac:dyDescent="0.2">
      <c r="A437" s="109" t="s">
        <v>2145</v>
      </c>
      <c r="B437" s="109" t="s">
        <v>7557</v>
      </c>
      <c r="C437" s="109" t="s">
        <v>7317</v>
      </c>
      <c r="D437" s="110">
        <v>1240</v>
      </c>
      <c r="E437" s="110">
        <v>0</v>
      </c>
      <c r="F437" s="8">
        <f t="shared" si="8"/>
        <v>1240</v>
      </c>
      <c r="G437" s="111">
        <v>1697.65</v>
      </c>
      <c r="H437" s="112">
        <v>1373.62</v>
      </c>
      <c r="J437" s="86"/>
    </row>
    <row r="438" spans="1:10" ht="15" x14ac:dyDescent="0.2">
      <c r="A438" s="109" t="s">
        <v>2148</v>
      </c>
      <c r="B438" s="109" t="s">
        <v>1667</v>
      </c>
      <c r="C438" s="109" t="s">
        <v>7558</v>
      </c>
      <c r="D438" s="110">
        <v>30</v>
      </c>
      <c r="E438" s="110">
        <v>0</v>
      </c>
      <c r="F438" s="8">
        <f t="shared" si="8"/>
        <v>30</v>
      </c>
      <c r="G438" s="111">
        <v>30</v>
      </c>
      <c r="H438" s="112">
        <v>30</v>
      </c>
      <c r="J438" s="86"/>
    </row>
    <row r="439" spans="1:10" ht="15" x14ac:dyDescent="0.2">
      <c r="A439" s="109" t="s">
        <v>2151</v>
      </c>
      <c r="B439" s="109" t="s">
        <v>2154</v>
      </c>
      <c r="C439" s="109" t="s">
        <v>7559</v>
      </c>
      <c r="D439" s="110">
        <v>75</v>
      </c>
      <c r="E439" s="110">
        <v>252.07</v>
      </c>
      <c r="F439" s="8">
        <f t="shared" si="8"/>
        <v>327.07</v>
      </c>
      <c r="G439" s="111">
        <v>718.41</v>
      </c>
      <c r="H439" s="112">
        <v>232.36</v>
      </c>
      <c r="J439" s="86"/>
    </row>
    <row r="440" spans="1:10" ht="15" x14ac:dyDescent="0.2">
      <c r="A440" s="109" t="s">
        <v>2155</v>
      </c>
      <c r="B440" s="109" t="s">
        <v>2158</v>
      </c>
      <c r="C440" s="109" t="s">
        <v>4017</v>
      </c>
      <c r="D440" s="110">
        <v>281</v>
      </c>
      <c r="E440" s="110">
        <v>906.41</v>
      </c>
      <c r="F440" s="8">
        <f t="shared" si="8"/>
        <v>1187.4099999999999</v>
      </c>
      <c r="G440" s="111">
        <v>1342.35</v>
      </c>
      <c r="H440" s="112">
        <v>1608.6100000000001</v>
      </c>
      <c r="J440" s="86"/>
    </row>
    <row r="441" spans="1:10" ht="15" x14ac:dyDescent="0.2">
      <c r="A441" s="109" t="s">
        <v>2159</v>
      </c>
      <c r="B441" s="109" t="s">
        <v>2166</v>
      </c>
      <c r="C441" s="109" t="s">
        <v>7560</v>
      </c>
      <c r="D441" s="110">
        <v>469</v>
      </c>
      <c r="E441" s="110">
        <v>1987</v>
      </c>
      <c r="F441" s="8">
        <f t="shared" si="8"/>
        <v>2456</v>
      </c>
      <c r="G441" s="111">
        <v>314</v>
      </c>
      <c r="H441" s="112">
        <v>374</v>
      </c>
      <c r="J441" s="86"/>
    </row>
    <row r="442" spans="1:10" ht="15" x14ac:dyDescent="0.2">
      <c r="A442" s="109" t="s">
        <v>2167</v>
      </c>
      <c r="B442" s="109" t="s">
        <v>2169</v>
      </c>
      <c r="C442" s="109" t="s">
        <v>78</v>
      </c>
      <c r="D442" s="110">
        <v>200</v>
      </c>
      <c r="E442" s="110">
        <v>0</v>
      </c>
      <c r="F442" s="8">
        <f t="shared" si="8"/>
        <v>200</v>
      </c>
      <c r="G442" s="111">
        <v>276</v>
      </c>
      <c r="H442" s="112">
        <v>340</v>
      </c>
      <c r="J442" s="86"/>
    </row>
    <row r="443" spans="1:10" ht="15" x14ac:dyDescent="0.2">
      <c r="A443" s="109" t="s">
        <v>2174</v>
      </c>
      <c r="B443" s="109" t="s">
        <v>7561</v>
      </c>
      <c r="C443" s="109" t="s">
        <v>1160</v>
      </c>
      <c r="D443" s="110">
        <v>60</v>
      </c>
      <c r="E443" s="110">
        <v>0</v>
      </c>
      <c r="F443" s="8">
        <f t="shared" si="8"/>
        <v>60</v>
      </c>
      <c r="G443" s="111">
        <v>84.5</v>
      </c>
      <c r="H443" s="112">
        <v>150</v>
      </c>
      <c r="J443" s="86"/>
    </row>
    <row r="444" spans="1:10" ht="15" x14ac:dyDescent="0.2">
      <c r="A444" s="109" t="s">
        <v>2188</v>
      </c>
      <c r="B444" s="109" t="s">
        <v>7261</v>
      </c>
      <c r="C444" s="109" t="s">
        <v>7261</v>
      </c>
      <c r="D444" s="110">
        <f>30+70+243</f>
        <v>343</v>
      </c>
      <c r="E444" s="110">
        <v>0</v>
      </c>
      <c r="F444" s="8">
        <f t="shared" si="8"/>
        <v>343</v>
      </c>
      <c r="G444" s="9">
        <v>775</v>
      </c>
      <c r="H444" s="118">
        <v>1155</v>
      </c>
      <c r="J444" s="86"/>
    </row>
    <row r="445" spans="1:10" ht="18" x14ac:dyDescent="0.2">
      <c r="A445" s="120" t="s">
        <v>307</v>
      </c>
      <c r="B445" s="121"/>
      <c r="C445" s="121"/>
      <c r="D445" s="122">
        <f>SUM(D351:D444)</f>
        <v>31422.569999999996</v>
      </c>
      <c r="E445" s="122">
        <f>SUM(E350:E444)</f>
        <v>60628.01</v>
      </c>
      <c r="F445" s="123">
        <f>D445+E445</f>
        <v>92050.58</v>
      </c>
      <c r="G445" s="124">
        <v>90864.41</v>
      </c>
      <c r="H445" s="125">
        <f>SUM(H351:H444)</f>
        <v>85857.630000000034</v>
      </c>
      <c r="J445" s="86"/>
    </row>
    <row r="446" spans="1:10" s="62" customFormat="1" x14ac:dyDescent="0.2">
      <c r="A446" s="60" t="s">
        <v>7262</v>
      </c>
      <c r="B446" s="60"/>
      <c r="C446" s="60"/>
      <c r="D446" s="60"/>
      <c r="E446" s="60"/>
      <c r="F446" s="61"/>
      <c r="G446" s="61"/>
      <c r="H446" s="60"/>
    </row>
    <row r="447" spans="1:10" ht="20.25" x14ac:dyDescent="0.2">
      <c r="A447" s="248" t="s">
        <v>7364</v>
      </c>
      <c r="B447" s="248"/>
      <c r="C447" s="248"/>
      <c r="D447" s="248"/>
      <c r="E447" s="248"/>
      <c r="F447" s="248"/>
      <c r="G447" s="248"/>
      <c r="H447" s="86"/>
    </row>
    <row r="448" spans="1:10" ht="15.75" x14ac:dyDescent="0.2">
      <c r="A448" s="87" t="s">
        <v>1</v>
      </c>
      <c r="B448" s="87" t="s">
        <v>2</v>
      </c>
      <c r="C448" s="87" t="s">
        <v>3</v>
      </c>
      <c r="D448" s="87" t="s">
        <v>4</v>
      </c>
      <c r="E448" s="87" t="s">
        <v>5</v>
      </c>
      <c r="F448" s="87">
        <v>2018</v>
      </c>
      <c r="G448" s="87">
        <v>2017</v>
      </c>
      <c r="H448" s="88" t="s">
        <v>7365</v>
      </c>
    </row>
    <row r="449" spans="1:8" ht="15" x14ac:dyDescent="0.2">
      <c r="A449" s="89" t="s">
        <v>2192</v>
      </c>
      <c r="B449" s="89" t="s">
        <v>2195</v>
      </c>
      <c r="C449" s="89" t="s">
        <v>2194</v>
      </c>
      <c r="D449" s="89">
        <v>965.52</v>
      </c>
      <c r="E449" s="89">
        <v>0</v>
      </c>
      <c r="F449" s="90">
        <f>D449+E449</f>
        <v>965.52</v>
      </c>
      <c r="G449" s="91">
        <v>912</v>
      </c>
      <c r="H449" s="92">
        <v>893.67</v>
      </c>
    </row>
    <row r="450" spans="1:8" ht="15" x14ac:dyDescent="0.2">
      <c r="A450" s="89" t="s">
        <v>2196</v>
      </c>
      <c r="B450" s="89" t="s">
        <v>2195</v>
      </c>
      <c r="C450" s="89" t="s">
        <v>7366</v>
      </c>
      <c r="D450" s="89">
        <v>165</v>
      </c>
      <c r="E450" s="89">
        <v>615</v>
      </c>
      <c r="F450" s="90">
        <f t="shared" ref="F450:F513" si="9">D450+E450</f>
        <v>780</v>
      </c>
      <c r="G450" s="91">
        <v>856</v>
      </c>
      <c r="H450" s="92">
        <v>870</v>
      </c>
    </row>
    <row r="451" spans="1:8" ht="15" x14ac:dyDescent="0.2">
      <c r="A451" s="89" t="s">
        <v>2199</v>
      </c>
      <c r="B451" s="89" t="s">
        <v>2195</v>
      </c>
      <c r="C451" s="89" t="s">
        <v>231</v>
      </c>
      <c r="D451" s="89">
        <v>50</v>
      </c>
      <c r="E451" s="89"/>
      <c r="F451" s="90">
        <f t="shared" si="9"/>
        <v>50</v>
      </c>
      <c r="G451" s="91">
        <v>0</v>
      </c>
      <c r="H451" s="92">
        <v>50</v>
      </c>
    </row>
    <row r="452" spans="1:8" ht="15" x14ac:dyDescent="0.2">
      <c r="A452" s="89" t="s">
        <v>2201</v>
      </c>
      <c r="B452" s="89" t="s">
        <v>2195</v>
      </c>
      <c r="C452" s="89" t="s">
        <v>1203</v>
      </c>
      <c r="D452" s="89">
        <v>0</v>
      </c>
      <c r="E452" s="89">
        <v>295.88</v>
      </c>
      <c r="F452" s="90">
        <f t="shared" si="9"/>
        <v>295.88</v>
      </c>
      <c r="G452" s="91">
        <v>478.75</v>
      </c>
      <c r="H452" s="92">
        <v>841.4</v>
      </c>
    </row>
    <row r="453" spans="1:8" ht="15" x14ac:dyDescent="0.2">
      <c r="A453" s="89" t="s">
        <v>2204</v>
      </c>
      <c r="B453" s="89" t="s">
        <v>2195</v>
      </c>
      <c r="C453" s="89" t="s">
        <v>916</v>
      </c>
      <c r="D453" s="89">
        <v>610</v>
      </c>
      <c r="E453" s="89">
        <v>3952.08</v>
      </c>
      <c r="F453" s="90">
        <f t="shared" si="9"/>
        <v>4562.08</v>
      </c>
      <c r="G453" s="91">
        <v>4433.0200000000004</v>
      </c>
      <c r="H453" s="92">
        <v>4939.4800000000005</v>
      </c>
    </row>
    <row r="454" spans="1:8" ht="15" x14ac:dyDescent="0.2">
      <c r="A454" s="89" t="s">
        <v>2208</v>
      </c>
      <c r="B454" s="89" t="s">
        <v>2195</v>
      </c>
      <c r="C454" s="89" t="s">
        <v>1004</v>
      </c>
      <c r="D454" s="89">
        <v>793</v>
      </c>
      <c r="E454" s="89">
        <v>1775</v>
      </c>
      <c r="F454" s="90">
        <f t="shared" si="9"/>
        <v>2568</v>
      </c>
      <c r="G454" s="91">
        <v>1990</v>
      </c>
      <c r="H454" s="92">
        <v>2479</v>
      </c>
    </row>
    <row r="455" spans="1:8" ht="15" x14ac:dyDescent="0.2">
      <c r="A455" s="89" t="s">
        <v>2211</v>
      </c>
      <c r="B455" s="89" t="s">
        <v>2195</v>
      </c>
      <c r="C455" s="89" t="s">
        <v>1165</v>
      </c>
      <c r="D455" s="89">
        <v>360</v>
      </c>
      <c r="E455" s="89">
        <v>1052</v>
      </c>
      <c r="F455" s="90">
        <f t="shared" si="9"/>
        <v>1412</v>
      </c>
      <c r="G455" s="91">
        <v>1487.09</v>
      </c>
      <c r="H455" s="92">
        <v>1907.8</v>
      </c>
    </row>
    <row r="456" spans="1:8" ht="15" x14ac:dyDescent="0.2">
      <c r="A456" s="89" t="s">
        <v>2215</v>
      </c>
      <c r="B456" s="89" t="s">
        <v>2195</v>
      </c>
      <c r="C456" s="89" t="s">
        <v>2217</v>
      </c>
      <c r="D456" s="89">
        <v>120</v>
      </c>
      <c r="E456" s="89">
        <v>1372.5</v>
      </c>
      <c r="F456" s="90">
        <f t="shared" si="9"/>
        <v>1492.5</v>
      </c>
      <c r="G456" s="91">
        <v>1620.93</v>
      </c>
      <c r="H456" s="92">
        <v>1836</v>
      </c>
    </row>
    <row r="457" spans="1:8" ht="15" x14ac:dyDescent="0.2">
      <c r="A457" s="89" t="s">
        <v>2218</v>
      </c>
      <c r="B457" s="89" t="s">
        <v>2195</v>
      </c>
      <c r="C457" s="89" t="s">
        <v>7367</v>
      </c>
      <c r="D457" s="89">
        <v>669</v>
      </c>
      <c r="E457" s="89"/>
      <c r="F457" s="90">
        <f t="shared" si="9"/>
        <v>669</v>
      </c>
      <c r="G457" s="91">
        <v>2093.34</v>
      </c>
      <c r="H457" s="92">
        <v>3447.4</v>
      </c>
    </row>
    <row r="458" spans="1:8" ht="15" x14ac:dyDescent="0.2">
      <c r="A458" s="89" t="s">
        <v>2224</v>
      </c>
      <c r="B458" s="89" t="s">
        <v>2195</v>
      </c>
      <c r="C458" s="89" t="s">
        <v>7368</v>
      </c>
      <c r="D458" s="89">
        <v>269</v>
      </c>
      <c r="E458" s="89">
        <v>2610</v>
      </c>
      <c r="F458" s="90">
        <f t="shared" si="9"/>
        <v>2879</v>
      </c>
      <c r="G458" s="91">
        <v>2819</v>
      </c>
      <c r="H458" s="92">
        <v>2968</v>
      </c>
    </row>
    <row r="459" spans="1:8" ht="15" x14ac:dyDescent="0.2">
      <c r="A459" s="89" t="s">
        <v>2227</v>
      </c>
      <c r="B459" s="89" t="s">
        <v>2195</v>
      </c>
      <c r="C459" s="89" t="s">
        <v>5145</v>
      </c>
      <c r="D459" s="89">
        <v>80</v>
      </c>
      <c r="E459" s="89"/>
      <c r="F459" s="90">
        <f t="shared" si="9"/>
        <v>80</v>
      </c>
      <c r="G459" s="91">
        <v>105</v>
      </c>
      <c r="H459" s="92">
        <v>235.72</v>
      </c>
    </row>
    <row r="460" spans="1:8" ht="15" x14ac:dyDescent="0.2">
      <c r="A460" s="89" t="s">
        <v>2230</v>
      </c>
      <c r="B460" s="89" t="s">
        <v>2195</v>
      </c>
      <c r="C460" s="89" t="s">
        <v>5390</v>
      </c>
      <c r="D460" s="89">
        <v>119.75</v>
      </c>
      <c r="E460" s="89"/>
      <c r="F460" s="90">
        <f t="shared" si="9"/>
        <v>119.75</v>
      </c>
      <c r="G460" s="91">
        <v>170</v>
      </c>
      <c r="H460" s="92">
        <v>220</v>
      </c>
    </row>
    <row r="461" spans="1:8" ht="15" x14ac:dyDescent="0.2">
      <c r="A461" s="89" t="s">
        <v>2233</v>
      </c>
      <c r="B461" s="89" t="s">
        <v>2195</v>
      </c>
      <c r="C461" s="89" t="s">
        <v>7369</v>
      </c>
      <c r="D461" s="89">
        <v>520</v>
      </c>
      <c r="E461" s="89">
        <v>784</v>
      </c>
      <c r="F461" s="90">
        <f t="shared" si="9"/>
        <v>1304</v>
      </c>
      <c r="G461" s="91">
        <v>1941</v>
      </c>
      <c r="H461" s="92">
        <v>1327</v>
      </c>
    </row>
    <row r="462" spans="1:8" ht="15" x14ac:dyDescent="0.2">
      <c r="A462" s="89" t="s">
        <v>2237</v>
      </c>
      <c r="B462" s="89" t="s">
        <v>2195</v>
      </c>
      <c r="C462" s="89" t="s">
        <v>7370</v>
      </c>
      <c r="D462" s="89">
        <v>383</v>
      </c>
      <c r="E462" s="89">
        <v>630</v>
      </c>
      <c r="F462" s="90">
        <f t="shared" si="9"/>
        <v>1013</v>
      </c>
      <c r="G462" s="91">
        <v>1413</v>
      </c>
      <c r="H462" s="92">
        <v>1544.3899999999999</v>
      </c>
    </row>
    <row r="463" spans="1:8" ht="15" x14ac:dyDescent="0.2">
      <c r="A463" s="89" t="s">
        <v>2241</v>
      </c>
      <c r="B463" s="89" t="s">
        <v>2195</v>
      </c>
      <c r="C463" s="89" t="s">
        <v>532</v>
      </c>
      <c r="D463" s="89">
        <v>285</v>
      </c>
      <c r="E463" s="89">
        <v>1033.06</v>
      </c>
      <c r="F463" s="90">
        <f t="shared" si="9"/>
        <v>1318.06</v>
      </c>
      <c r="G463" s="91">
        <v>1172.6100000000001</v>
      </c>
      <c r="H463" s="92">
        <v>1299.4000000000001</v>
      </c>
    </row>
    <row r="464" spans="1:8" ht="15" x14ac:dyDescent="0.2">
      <c r="A464" s="89" t="s">
        <v>2244</v>
      </c>
      <c r="B464" s="89" t="s">
        <v>2195</v>
      </c>
      <c r="C464" s="89" t="s">
        <v>158</v>
      </c>
      <c r="D464" s="89">
        <v>220</v>
      </c>
      <c r="E464" s="89">
        <v>2070.59</v>
      </c>
      <c r="F464" s="90">
        <f t="shared" si="9"/>
        <v>2290.59</v>
      </c>
      <c r="G464" s="91">
        <v>2088.6800000000003</v>
      </c>
      <c r="H464" s="92">
        <v>2206.92</v>
      </c>
    </row>
    <row r="465" spans="1:8" ht="15" x14ac:dyDescent="0.2">
      <c r="A465" s="89" t="s">
        <v>2246</v>
      </c>
      <c r="B465" s="89" t="s">
        <v>2195</v>
      </c>
      <c r="C465" s="89" t="s">
        <v>1065</v>
      </c>
      <c r="D465" s="89">
        <v>285</v>
      </c>
      <c r="E465" s="89">
        <v>2765.75</v>
      </c>
      <c r="F465" s="90">
        <f t="shared" si="9"/>
        <v>3050.75</v>
      </c>
      <c r="G465" s="91">
        <v>3315.5</v>
      </c>
      <c r="H465" s="92">
        <v>3321</v>
      </c>
    </row>
    <row r="466" spans="1:8" ht="15" x14ac:dyDescent="0.2">
      <c r="A466" s="89" t="s">
        <v>2249</v>
      </c>
      <c r="B466" s="89" t="s">
        <v>2195</v>
      </c>
      <c r="C466" s="89" t="s">
        <v>7371</v>
      </c>
      <c r="D466" s="89">
        <v>850</v>
      </c>
      <c r="E466" s="89">
        <v>1711.86</v>
      </c>
      <c r="F466" s="90">
        <f t="shared" si="9"/>
        <v>2561.8599999999997</v>
      </c>
      <c r="G466" s="91">
        <v>3554.74</v>
      </c>
      <c r="H466" s="92">
        <v>3737.54</v>
      </c>
    </row>
    <row r="467" spans="1:8" ht="15" x14ac:dyDescent="0.2">
      <c r="A467" s="89" t="s">
        <v>2252</v>
      </c>
      <c r="B467" s="89" t="s">
        <v>2195</v>
      </c>
      <c r="C467" s="89" t="s">
        <v>7372</v>
      </c>
      <c r="D467" s="89">
        <v>582.5</v>
      </c>
      <c r="E467" s="89">
        <v>945</v>
      </c>
      <c r="F467" s="90">
        <f t="shared" si="9"/>
        <v>1527.5</v>
      </c>
      <c r="G467" s="91">
        <v>1257.6399999999999</v>
      </c>
      <c r="H467" s="92">
        <v>1383</v>
      </c>
    </row>
    <row r="468" spans="1:8" ht="15" x14ac:dyDescent="0.2">
      <c r="A468" s="89" t="s">
        <v>2255</v>
      </c>
      <c r="B468" s="89" t="s">
        <v>7373</v>
      </c>
      <c r="C468" s="89" t="s">
        <v>146</v>
      </c>
      <c r="D468" s="89">
        <v>828</v>
      </c>
      <c r="E468" s="89">
        <v>0</v>
      </c>
      <c r="F468" s="90">
        <f t="shared" si="9"/>
        <v>828</v>
      </c>
      <c r="G468" s="91">
        <v>751</v>
      </c>
      <c r="H468" s="92">
        <v>802</v>
      </c>
    </row>
    <row r="469" spans="1:8" ht="15" x14ac:dyDescent="0.2">
      <c r="A469" s="89" t="s">
        <v>2263</v>
      </c>
      <c r="B469" s="89" t="s">
        <v>7374</v>
      </c>
      <c r="C469" s="89" t="s">
        <v>6440</v>
      </c>
      <c r="D469" s="89">
        <v>435</v>
      </c>
      <c r="E469" s="89">
        <v>1174.8399999999999</v>
      </c>
      <c r="F469" s="90">
        <f t="shared" si="9"/>
        <v>1609.84</v>
      </c>
      <c r="G469" s="91">
        <v>1936.35</v>
      </c>
      <c r="H469" s="92">
        <v>1546.22</v>
      </c>
    </row>
    <row r="470" spans="1:8" ht="15" x14ac:dyDescent="0.2">
      <c r="A470" s="89" t="s">
        <v>2272</v>
      </c>
      <c r="B470" s="89" t="s">
        <v>7375</v>
      </c>
      <c r="C470" s="89" t="s">
        <v>7376</v>
      </c>
      <c r="D470" s="89">
        <v>181</v>
      </c>
      <c r="E470" s="89">
        <v>1042.8900000000001</v>
      </c>
      <c r="F470" s="90">
        <f t="shared" si="9"/>
        <v>1223.8900000000001</v>
      </c>
      <c r="G470" s="91">
        <v>1137.5999999999999</v>
      </c>
      <c r="H470" s="92">
        <v>856.11</v>
      </c>
    </row>
    <row r="471" spans="1:8" ht="15" x14ac:dyDescent="0.2">
      <c r="A471" s="89" t="s">
        <v>7377</v>
      </c>
      <c r="B471" s="89" t="s">
        <v>7378</v>
      </c>
      <c r="C471" s="89" t="s">
        <v>7379</v>
      </c>
      <c r="D471" s="89">
        <f>741.55+20</f>
        <v>761.55</v>
      </c>
      <c r="E471" s="89"/>
      <c r="F471" s="90">
        <f t="shared" si="9"/>
        <v>761.55</v>
      </c>
      <c r="G471" s="91">
        <v>996</v>
      </c>
      <c r="H471" s="92">
        <v>678.51</v>
      </c>
    </row>
    <row r="472" spans="1:8" ht="15" x14ac:dyDescent="0.2">
      <c r="A472" s="89" t="s">
        <v>2280</v>
      </c>
      <c r="B472" s="89" t="s">
        <v>2282</v>
      </c>
      <c r="C472" s="89" t="s">
        <v>1065</v>
      </c>
      <c r="D472" s="89">
        <v>5</v>
      </c>
      <c r="E472" s="89">
        <v>637.79</v>
      </c>
      <c r="F472" s="90">
        <f t="shared" si="9"/>
        <v>642.79</v>
      </c>
      <c r="G472" s="91">
        <v>658.34</v>
      </c>
      <c r="H472" s="92">
        <v>353.40000000000003</v>
      </c>
    </row>
    <row r="473" spans="1:8" ht="15" x14ac:dyDescent="0.2">
      <c r="A473" s="89" t="s">
        <v>2284</v>
      </c>
      <c r="B473" s="89" t="s">
        <v>2287</v>
      </c>
      <c r="C473" s="89" t="s">
        <v>3187</v>
      </c>
      <c r="D473" s="89">
        <v>492</v>
      </c>
      <c r="E473" s="89">
        <v>2266.6799999999998</v>
      </c>
      <c r="F473" s="90">
        <f t="shared" si="9"/>
        <v>2758.68</v>
      </c>
      <c r="G473" s="91">
        <v>2894.24</v>
      </c>
      <c r="H473" s="92">
        <v>3145.4700000000003</v>
      </c>
    </row>
    <row r="474" spans="1:8" ht="15" x14ac:dyDescent="0.2">
      <c r="A474" s="89" t="s">
        <v>2288</v>
      </c>
      <c r="B474" s="89" t="s">
        <v>7380</v>
      </c>
      <c r="C474" s="89" t="s">
        <v>2290</v>
      </c>
      <c r="D474" s="89">
        <v>123</v>
      </c>
      <c r="E474" s="89">
        <v>714.88</v>
      </c>
      <c r="F474" s="90">
        <f t="shared" si="9"/>
        <v>837.88</v>
      </c>
      <c r="G474" s="91">
        <v>977.82</v>
      </c>
      <c r="H474" s="92">
        <v>1047.0999999999999</v>
      </c>
    </row>
    <row r="475" spans="1:8" ht="15" x14ac:dyDescent="0.2">
      <c r="A475" s="89" t="s">
        <v>2292</v>
      </c>
      <c r="B475" s="89" t="s">
        <v>2275</v>
      </c>
      <c r="C475" s="89" t="s">
        <v>226</v>
      </c>
      <c r="D475" s="89">
        <v>130</v>
      </c>
      <c r="E475" s="89"/>
      <c r="F475" s="90">
        <f t="shared" si="9"/>
        <v>130</v>
      </c>
      <c r="G475" s="91">
        <v>987.01</v>
      </c>
      <c r="H475" s="92">
        <v>941.48</v>
      </c>
    </row>
    <row r="476" spans="1:8" ht="15" x14ac:dyDescent="0.2">
      <c r="A476" s="89" t="s">
        <v>2294</v>
      </c>
      <c r="B476" s="89" t="s">
        <v>2296</v>
      </c>
      <c r="C476" s="89" t="s">
        <v>532</v>
      </c>
      <c r="D476" s="89">
        <v>100</v>
      </c>
      <c r="E476" s="89">
        <v>356</v>
      </c>
      <c r="F476" s="93">
        <f t="shared" si="9"/>
        <v>456</v>
      </c>
      <c r="G476" s="91">
        <v>294.43</v>
      </c>
      <c r="H476" s="92">
        <v>415.23</v>
      </c>
    </row>
    <row r="477" spans="1:8" ht="15" x14ac:dyDescent="0.2">
      <c r="A477" s="89" t="s">
        <v>2302</v>
      </c>
      <c r="B477" s="89" t="s">
        <v>7381</v>
      </c>
      <c r="C477" s="89" t="s">
        <v>7382</v>
      </c>
      <c r="D477" s="89">
        <v>136</v>
      </c>
      <c r="E477" s="89">
        <v>1107.3599999999999</v>
      </c>
      <c r="F477" s="90">
        <f t="shared" si="9"/>
        <v>1243.3599999999999</v>
      </c>
      <c r="G477" s="91">
        <v>1368.56</v>
      </c>
      <c r="H477" s="92">
        <v>1381.39</v>
      </c>
    </row>
    <row r="478" spans="1:8" ht="15" x14ac:dyDescent="0.2">
      <c r="A478" s="89" t="s">
        <v>2305</v>
      </c>
      <c r="B478" s="89" t="s">
        <v>2307</v>
      </c>
      <c r="C478" s="89" t="s">
        <v>3187</v>
      </c>
      <c r="D478" s="89">
        <v>128</v>
      </c>
      <c r="E478" s="89">
        <v>1292.3800000000001</v>
      </c>
      <c r="F478" s="90">
        <f t="shared" si="9"/>
        <v>1420.38</v>
      </c>
      <c r="G478" s="91">
        <v>1559.51</v>
      </c>
      <c r="H478" s="92">
        <v>1463.73</v>
      </c>
    </row>
    <row r="479" spans="1:8" ht="15" x14ac:dyDescent="0.2">
      <c r="A479" s="89" t="s">
        <v>2308</v>
      </c>
      <c r="B479" s="89" t="s">
        <v>2311</v>
      </c>
      <c r="C479" s="89" t="s">
        <v>226</v>
      </c>
      <c r="D479" s="89">
        <v>128</v>
      </c>
      <c r="E479" s="89">
        <v>193.97</v>
      </c>
      <c r="F479" s="90">
        <f t="shared" si="9"/>
        <v>321.97000000000003</v>
      </c>
      <c r="G479" s="91">
        <v>471.1</v>
      </c>
      <c r="H479" s="92">
        <v>271.25</v>
      </c>
    </row>
    <row r="480" spans="1:8" ht="15" x14ac:dyDescent="0.2">
      <c r="A480" s="89" t="s">
        <v>2312</v>
      </c>
      <c r="B480" s="89" t="s">
        <v>2315</v>
      </c>
      <c r="C480" s="89" t="s">
        <v>2667</v>
      </c>
      <c r="D480" s="89">
        <v>255</v>
      </c>
      <c r="E480" s="89">
        <v>283.61</v>
      </c>
      <c r="F480" s="90">
        <f t="shared" si="9"/>
        <v>538.61</v>
      </c>
      <c r="G480" s="91">
        <v>1098.0700000000002</v>
      </c>
      <c r="H480" s="92">
        <v>1281.06</v>
      </c>
    </row>
    <row r="481" spans="1:8" ht="15" x14ac:dyDescent="0.2">
      <c r="A481" s="89" t="s">
        <v>2316</v>
      </c>
      <c r="B481" s="89" t="s">
        <v>2319</v>
      </c>
      <c r="C481" s="89" t="s">
        <v>1376</v>
      </c>
      <c r="D481" s="89">
        <v>336</v>
      </c>
      <c r="E481" s="89">
        <v>2285</v>
      </c>
      <c r="F481" s="90">
        <f t="shared" si="9"/>
        <v>2621</v>
      </c>
      <c r="G481" s="91">
        <v>2233</v>
      </c>
      <c r="H481" s="92">
        <v>2268</v>
      </c>
    </row>
    <row r="482" spans="1:8" ht="15" x14ac:dyDescent="0.2">
      <c r="A482" s="89" t="s">
        <v>2320</v>
      </c>
      <c r="B482" s="89" t="s">
        <v>7383</v>
      </c>
      <c r="C482" s="89" t="s">
        <v>89</v>
      </c>
      <c r="D482" s="89">
        <v>130</v>
      </c>
      <c r="E482" s="89">
        <v>825</v>
      </c>
      <c r="F482" s="90">
        <f t="shared" si="9"/>
        <v>955</v>
      </c>
      <c r="G482" s="91">
        <v>1087</v>
      </c>
      <c r="H482" s="92">
        <v>1216.67</v>
      </c>
    </row>
    <row r="483" spans="1:8" ht="15" x14ac:dyDescent="0.2">
      <c r="A483" s="89" t="s">
        <v>2323</v>
      </c>
      <c r="B483" s="89" t="s">
        <v>7384</v>
      </c>
      <c r="C483" s="89" t="s">
        <v>7385</v>
      </c>
      <c r="D483" s="89">
        <v>25</v>
      </c>
      <c r="E483" s="89"/>
      <c r="F483" s="90">
        <f t="shared" si="9"/>
        <v>25</v>
      </c>
      <c r="G483" s="91">
        <v>0</v>
      </c>
      <c r="H483" s="92">
        <v>25</v>
      </c>
    </row>
    <row r="484" spans="1:8" ht="15" x14ac:dyDescent="0.2">
      <c r="A484" s="89" t="s">
        <v>2328</v>
      </c>
      <c r="B484" s="89" t="s">
        <v>7386</v>
      </c>
      <c r="C484" s="89" t="s">
        <v>7387</v>
      </c>
      <c r="D484" s="89">
        <v>28</v>
      </c>
      <c r="E484" s="89">
        <v>1101.01</v>
      </c>
      <c r="F484" s="90">
        <f t="shared" si="9"/>
        <v>1129.01</v>
      </c>
      <c r="G484" s="91">
        <v>1055</v>
      </c>
      <c r="H484" s="92">
        <v>1086.5</v>
      </c>
    </row>
    <row r="485" spans="1:8" ht="15" x14ac:dyDescent="0.2">
      <c r="A485" s="89" t="s">
        <v>2332</v>
      </c>
      <c r="B485" s="89" t="s">
        <v>2301</v>
      </c>
      <c r="C485" s="89" t="s">
        <v>1871</v>
      </c>
      <c r="D485" s="89">
        <v>153</v>
      </c>
      <c r="E485" s="89">
        <v>707</v>
      </c>
      <c r="F485" s="90">
        <f t="shared" si="9"/>
        <v>860</v>
      </c>
      <c r="G485" s="91">
        <v>735</v>
      </c>
      <c r="H485" s="92">
        <v>1011</v>
      </c>
    </row>
    <row r="486" spans="1:8" ht="15" x14ac:dyDescent="0.2">
      <c r="A486" s="89" t="s">
        <v>2335</v>
      </c>
      <c r="B486" s="89" t="s">
        <v>2291</v>
      </c>
      <c r="C486" s="89" t="s">
        <v>1386</v>
      </c>
      <c r="D486" s="89">
        <v>705</v>
      </c>
      <c r="E486" s="89">
        <v>882.81</v>
      </c>
      <c r="F486" s="90">
        <f t="shared" si="9"/>
        <v>1587.81</v>
      </c>
      <c r="G486" s="91">
        <v>1838.82</v>
      </c>
      <c r="H486" s="92">
        <v>1338.19</v>
      </c>
    </row>
    <row r="487" spans="1:8" ht="15" x14ac:dyDescent="0.2">
      <c r="A487" s="89" t="s">
        <v>2337</v>
      </c>
      <c r="B487" s="89" t="s">
        <v>2291</v>
      </c>
      <c r="C487" s="89" t="s">
        <v>7388</v>
      </c>
      <c r="D487" s="89">
        <v>100</v>
      </c>
      <c r="E487" s="89">
        <v>681.7</v>
      </c>
      <c r="F487" s="90">
        <f t="shared" si="9"/>
        <v>781.7</v>
      </c>
      <c r="G487" s="91">
        <v>1640.47</v>
      </c>
      <c r="H487" s="92">
        <v>1954.5</v>
      </c>
    </row>
    <row r="488" spans="1:8" ht="15" x14ac:dyDescent="0.2">
      <c r="A488" s="89" t="s">
        <v>2345</v>
      </c>
      <c r="B488" s="89" t="s">
        <v>2348</v>
      </c>
      <c r="C488" s="89" t="s">
        <v>2347</v>
      </c>
      <c r="D488" s="89">
        <v>200</v>
      </c>
      <c r="E488" s="89">
        <v>342.64</v>
      </c>
      <c r="F488" s="90">
        <f t="shared" si="9"/>
        <v>542.64</v>
      </c>
      <c r="G488" s="91">
        <v>699.22</v>
      </c>
      <c r="H488" s="92">
        <v>738.55000000000007</v>
      </c>
    </row>
    <row r="489" spans="1:8" ht="15" x14ac:dyDescent="0.2">
      <c r="A489" s="89" t="s">
        <v>2349</v>
      </c>
      <c r="B489" s="89" t="s">
        <v>2352</v>
      </c>
      <c r="C489" s="89" t="s">
        <v>7389</v>
      </c>
      <c r="D489" s="89">
        <v>830</v>
      </c>
      <c r="E489" s="89">
        <v>1394.93</v>
      </c>
      <c r="F489" s="93">
        <f t="shared" si="9"/>
        <v>2224.9300000000003</v>
      </c>
      <c r="G489" s="91">
        <v>1728</v>
      </c>
      <c r="H489" s="92">
        <v>1485</v>
      </c>
    </row>
    <row r="490" spans="1:8" ht="15" x14ac:dyDescent="0.2">
      <c r="A490" s="89" t="s">
        <v>2353</v>
      </c>
      <c r="B490" s="89" t="s">
        <v>2356</v>
      </c>
      <c r="C490" s="89" t="s">
        <v>7390</v>
      </c>
      <c r="D490" s="89">
        <v>3735.7</v>
      </c>
      <c r="E490" s="89">
        <v>239</v>
      </c>
      <c r="F490" s="90">
        <f t="shared" si="9"/>
        <v>3974.7</v>
      </c>
      <c r="G490" s="91">
        <v>4205.83</v>
      </c>
      <c r="H490" s="92">
        <v>764.32</v>
      </c>
    </row>
    <row r="491" spans="1:8" ht="15" x14ac:dyDescent="0.2">
      <c r="A491" s="89" t="s">
        <v>2357</v>
      </c>
      <c r="B491" s="89" t="s">
        <v>2360</v>
      </c>
      <c r="C491" s="89" t="s">
        <v>7391</v>
      </c>
      <c r="D491" s="89">
        <v>196</v>
      </c>
      <c r="E491" s="89">
        <v>2110.11</v>
      </c>
      <c r="F491" s="90">
        <f t="shared" si="9"/>
        <v>2306.11</v>
      </c>
      <c r="G491" s="91">
        <v>2296.31</v>
      </c>
      <c r="H491" s="92">
        <v>2747.15</v>
      </c>
    </row>
    <row r="492" spans="1:8" ht="15" x14ac:dyDescent="0.2">
      <c r="A492" s="89" t="s">
        <v>2366</v>
      </c>
      <c r="B492" s="89" t="s">
        <v>7392</v>
      </c>
      <c r="C492" s="89" t="s">
        <v>7393</v>
      </c>
      <c r="D492" s="89">
        <v>260</v>
      </c>
      <c r="E492" s="89">
        <v>1883.26</v>
      </c>
      <c r="F492" s="90">
        <f t="shared" si="9"/>
        <v>2143.2600000000002</v>
      </c>
      <c r="G492" s="91">
        <v>2390.5</v>
      </c>
      <c r="H492" s="92">
        <v>1804</v>
      </c>
    </row>
    <row r="493" spans="1:8" ht="15" x14ac:dyDescent="0.2">
      <c r="A493" s="89" t="s">
        <v>2371</v>
      </c>
      <c r="B493" s="89" t="s">
        <v>2331</v>
      </c>
      <c r="C493" s="89" t="s">
        <v>226</v>
      </c>
      <c r="D493" s="89">
        <v>275</v>
      </c>
      <c r="E493" s="89">
        <v>1682.32</v>
      </c>
      <c r="F493" s="90">
        <f t="shared" si="9"/>
        <v>1957.32</v>
      </c>
      <c r="G493" s="91">
        <v>2120.37</v>
      </c>
      <c r="H493" s="92">
        <v>2060.5699999999997</v>
      </c>
    </row>
    <row r="494" spans="1:8" ht="15" x14ac:dyDescent="0.2">
      <c r="A494" s="89" t="s">
        <v>2374</v>
      </c>
      <c r="B494" s="89" t="s">
        <v>2331</v>
      </c>
      <c r="C494" s="89" t="s">
        <v>7394</v>
      </c>
      <c r="D494" s="89">
        <v>5</v>
      </c>
      <c r="E494" s="89">
        <v>971.04</v>
      </c>
      <c r="F494" s="90">
        <f t="shared" si="9"/>
        <v>976.04</v>
      </c>
      <c r="G494" s="91">
        <v>1044.92</v>
      </c>
      <c r="H494" s="92">
        <v>1108.49</v>
      </c>
    </row>
    <row r="495" spans="1:8" ht="15" x14ac:dyDescent="0.2">
      <c r="A495" s="89" t="s">
        <v>2377</v>
      </c>
      <c r="B495" s="89" t="s">
        <v>7395</v>
      </c>
      <c r="C495" s="89" t="s">
        <v>5211</v>
      </c>
      <c r="D495" s="89">
        <v>20</v>
      </c>
      <c r="E495" s="89"/>
      <c r="F495" s="90">
        <f t="shared" si="9"/>
        <v>20</v>
      </c>
      <c r="G495" s="91">
        <v>180</v>
      </c>
      <c r="H495" s="92">
        <v>290.5</v>
      </c>
    </row>
    <row r="496" spans="1:8" ht="15" x14ac:dyDescent="0.2">
      <c r="A496" s="89" t="s">
        <v>2380</v>
      </c>
      <c r="B496" s="89" t="s">
        <v>2383</v>
      </c>
      <c r="C496" s="89" t="s">
        <v>226</v>
      </c>
      <c r="D496" s="89">
        <v>121</v>
      </c>
      <c r="E496" s="89">
        <v>282.45</v>
      </c>
      <c r="F496" s="90">
        <f t="shared" si="9"/>
        <v>403.45</v>
      </c>
      <c r="G496" s="91">
        <v>687.76</v>
      </c>
      <c r="H496" s="92">
        <v>521.67000000000007</v>
      </c>
    </row>
    <row r="497" spans="1:8" ht="15" x14ac:dyDescent="0.2">
      <c r="A497" s="94" t="s">
        <v>7396</v>
      </c>
      <c r="B497" s="94" t="s">
        <v>7397</v>
      </c>
      <c r="C497" s="94" t="s">
        <v>7398</v>
      </c>
      <c r="D497" s="89">
        <v>1290</v>
      </c>
      <c r="E497" s="94">
        <v>1567.88</v>
      </c>
      <c r="F497" s="90">
        <f t="shared" si="9"/>
        <v>2857.88</v>
      </c>
      <c r="G497" s="91">
        <v>3240.73</v>
      </c>
      <c r="H497" s="92">
        <v>2843.1800000000003</v>
      </c>
    </row>
    <row r="498" spans="1:8" ht="15" x14ac:dyDescent="0.2">
      <c r="A498" s="89" t="s">
        <v>7399</v>
      </c>
      <c r="B498" s="89" t="s">
        <v>7400</v>
      </c>
      <c r="C498" s="89" t="s">
        <v>7401</v>
      </c>
      <c r="D498" s="89">
        <v>-581.92999999999995</v>
      </c>
      <c r="E498" s="89"/>
      <c r="F498" s="90">
        <f t="shared" si="9"/>
        <v>-581.92999999999995</v>
      </c>
      <c r="G498" s="91">
        <v>763</v>
      </c>
      <c r="H498" s="92">
        <v>1561.98</v>
      </c>
    </row>
    <row r="499" spans="1:8" ht="15" x14ac:dyDescent="0.2">
      <c r="A499" s="89" t="s">
        <v>2393</v>
      </c>
      <c r="B499" s="89" t="s">
        <v>195</v>
      </c>
      <c r="C499" s="89" t="s">
        <v>2395</v>
      </c>
      <c r="D499" s="89">
        <v>111</v>
      </c>
      <c r="E499" s="89"/>
      <c r="F499" s="90">
        <f t="shared" si="9"/>
        <v>111</v>
      </c>
      <c r="G499" s="91">
        <v>136</v>
      </c>
      <c r="H499" s="92">
        <v>249.08</v>
      </c>
    </row>
    <row r="500" spans="1:8" ht="15" x14ac:dyDescent="0.2">
      <c r="A500" s="89" t="s">
        <v>2396</v>
      </c>
      <c r="B500" s="89" t="s">
        <v>195</v>
      </c>
      <c r="C500" s="89" t="s">
        <v>2398</v>
      </c>
      <c r="D500" s="89">
        <v>85</v>
      </c>
      <c r="E500" s="89">
        <v>671.48</v>
      </c>
      <c r="F500" s="90">
        <f t="shared" si="9"/>
        <v>756.48</v>
      </c>
      <c r="G500" s="91">
        <v>80</v>
      </c>
      <c r="H500" s="92">
        <v>985</v>
      </c>
    </row>
    <row r="501" spans="1:8" ht="15" x14ac:dyDescent="0.2">
      <c r="A501" s="89" t="s">
        <v>2399</v>
      </c>
      <c r="B501" s="89" t="s">
        <v>195</v>
      </c>
      <c r="C501" s="89" t="s">
        <v>7402</v>
      </c>
      <c r="D501" s="89">
        <v>0</v>
      </c>
      <c r="E501" s="89">
        <v>315.64999999999998</v>
      </c>
      <c r="F501" s="90">
        <f t="shared" si="9"/>
        <v>315.64999999999998</v>
      </c>
      <c r="G501" s="91">
        <v>529</v>
      </c>
      <c r="H501" s="92">
        <v>690.15</v>
      </c>
    </row>
    <row r="502" spans="1:8" ht="15" x14ac:dyDescent="0.2">
      <c r="A502" s="89" t="s">
        <v>2402</v>
      </c>
      <c r="B502" s="89" t="s">
        <v>195</v>
      </c>
      <c r="C502" s="89" t="s">
        <v>2404</v>
      </c>
      <c r="D502" s="89">
        <v>264</v>
      </c>
      <c r="E502" s="89">
        <v>835.69</v>
      </c>
      <c r="F502" s="90">
        <f t="shared" si="9"/>
        <v>1099.69</v>
      </c>
      <c r="G502" s="91">
        <v>1378.43</v>
      </c>
      <c r="H502" s="92">
        <v>1258.1500000000001</v>
      </c>
    </row>
    <row r="503" spans="1:8" ht="15" x14ac:dyDescent="0.2">
      <c r="A503" s="89" t="s">
        <v>2406</v>
      </c>
      <c r="B503" s="89" t="s">
        <v>195</v>
      </c>
      <c r="C503" s="89" t="s">
        <v>7403</v>
      </c>
      <c r="D503" s="89">
        <v>45</v>
      </c>
      <c r="E503" s="89">
        <v>630.39</v>
      </c>
      <c r="F503" s="90">
        <f t="shared" si="9"/>
        <v>675.39</v>
      </c>
      <c r="G503" s="91">
        <v>633.09</v>
      </c>
      <c r="H503" s="92">
        <v>794.86</v>
      </c>
    </row>
    <row r="504" spans="1:8" ht="15" x14ac:dyDescent="0.2">
      <c r="A504" s="89" t="s">
        <v>2412</v>
      </c>
      <c r="B504" s="89" t="s">
        <v>195</v>
      </c>
      <c r="C504" s="89" t="s">
        <v>2414</v>
      </c>
      <c r="D504" s="89">
        <v>224</v>
      </c>
      <c r="E504" s="89"/>
      <c r="F504" s="90">
        <f t="shared" si="9"/>
        <v>224</v>
      </c>
      <c r="G504" s="91">
        <v>199</v>
      </c>
      <c r="H504" s="92">
        <v>129</v>
      </c>
    </row>
    <row r="505" spans="1:8" ht="15" x14ac:dyDescent="0.2">
      <c r="A505" s="89" t="s">
        <v>2415</v>
      </c>
      <c r="B505" s="89" t="s">
        <v>195</v>
      </c>
      <c r="C505" s="89" t="s">
        <v>158</v>
      </c>
      <c r="D505" s="89">
        <v>75</v>
      </c>
      <c r="E505" s="89">
        <v>1570</v>
      </c>
      <c r="F505" s="90">
        <f t="shared" si="9"/>
        <v>1645</v>
      </c>
      <c r="G505" s="91">
        <v>1595</v>
      </c>
      <c r="H505" s="92">
        <v>1858</v>
      </c>
    </row>
    <row r="506" spans="1:8" ht="15" x14ac:dyDescent="0.2">
      <c r="A506" s="89" t="s">
        <v>7404</v>
      </c>
      <c r="B506" s="89" t="s">
        <v>7405</v>
      </c>
      <c r="C506" s="89" t="s">
        <v>7385</v>
      </c>
      <c r="D506" s="89">
        <v>669</v>
      </c>
      <c r="E506" s="89">
        <v>1635.74</v>
      </c>
      <c r="F506" s="90">
        <f t="shared" si="9"/>
        <v>2304.7399999999998</v>
      </c>
      <c r="G506" s="91">
        <v>2455.48</v>
      </c>
      <c r="H506" s="92">
        <v>2422.46</v>
      </c>
    </row>
    <row r="507" spans="1:8" ht="15" x14ac:dyDescent="0.2">
      <c r="A507" s="89" t="s">
        <v>2426</v>
      </c>
      <c r="B507" s="89" t="s">
        <v>2428</v>
      </c>
      <c r="C507" s="89" t="s">
        <v>5256</v>
      </c>
      <c r="D507" s="89">
        <v>756.93</v>
      </c>
      <c r="E507" s="89">
        <v>1278.24</v>
      </c>
      <c r="F507" s="90">
        <f t="shared" si="9"/>
        <v>2035.17</v>
      </c>
      <c r="G507" s="91">
        <v>1171.04</v>
      </c>
      <c r="H507" s="92">
        <v>1430.34</v>
      </c>
    </row>
    <row r="508" spans="1:8" ht="15" x14ac:dyDescent="0.2">
      <c r="A508" s="89" t="s">
        <v>2432</v>
      </c>
      <c r="B508" s="89" t="s">
        <v>2434</v>
      </c>
      <c r="C508" s="89" t="s">
        <v>119</v>
      </c>
      <c r="D508" s="89">
        <v>1085</v>
      </c>
      <c r="E508" s="89">
        <v>0</v>
      </c>
      <c r="F508" s="90">
        <f t="shared" si="9"/>
        <v>1085</v>
      </c>
      <c r="G508" s="91">
        <v>1842</v>
      </c>
      <c r="H508" s="92">
        <v>2603.35</v>
      </c>
    </row>
    <row r="509" spans="1:8" ht="15" x14ac:dyDescent="0.2">
      <c r="A509" s="89" t="s">
        <v>2435</v>
      </c>
      <c r="B509" s="89" t="s">
        <v>2438</v>
      </c>
      <c r="C509" s="89" t="s">
        <v>2437</v>
      </c>
      <c r="D509" s="89">
        <v>10</v>
      </c>
      <c r="E509" s="89"/>
      <c r="F509" s="90">
        <f t="shared" si="9"/>
        <v>10</v>
      </c>
      <c r="G509" s="91">
        <v>10</v>
      </c>
      <c r="H509" s="92">
        <v>25</v>
      </c>
    </row>
    <row r="510" spans="1:8" ht="15" x14ac:dyDescent="0.2">
      <c r="A510" s="89" t="s">
        <v>2439</v>
      </c>
      <c r="B510" s="89" t="s">
        <v>2441</v>
      </c>
      <c r="C510" s="89" t="s">
        <v>7406</v>
      </c>
      <c r="D510" s="89">
        <v>10</v>
      </c>
      <c r="E510" s="89"/>
      <c r="F510" s="90">
        <f t="shared" si="9"/>
        <v>10</v>
      </c>
      <c r="G510" s="91">
        <v>10</v>
      </c>
      <c r="H510" s="92">
        <v>10</v>
      </c>
    </row>
    <row r="511" spans="1:8" ht="15" x14ac:dyDescent="0.2">
      <c r="A511" s="89" t="s">
        <v>2442</v>
      </c>
      <c r="B511" s="89" t="s">
        <v>7407</v>
      </c>
      <c r="C511" s="89" t="s">
        <v>7408</v>
      </c>
      <c r="D511" s="89">
        <v>0</v>
      </c>
      <c r="E511" s="89">
        <v>452.75</v>
      </c>
      <c r="F511" s="90">
        <f t="shared" si="9"/>
        <v>452.75</v>
      </c>
      <c r="G511" s="91">
        <v>379.29</v>
      </c>
      <c r="H511" s="92">
        <v>396.59000000000003</v>
      </c>
    </row>
    <row r="512" spans="1:8" ht="15" x14ac:dyDescent="0.2">
      <c r="A512" s="89" t="s">
        <v>2445</v>
      </c>
      <c r="B512" s="89" t="s">
        <v>7409</v>
      </c>
      <c r="C512" s="89" t="s">
        <v>2447</v>
      </c>
      <c r="D512" s="89">
        <v>512</v>
      </c>
      <c r="E512" s="89">
        <v>1151.21</v>
      </c>
      <c r="F512" s="90">
        <f t="shared" si="9"/>
        <v>1663.21</v>
      </c>
      <c r="G512" s="91">
        <v>1276.3400000000001</v>
      </c>
      <c r="H512" s="92">
        <v>1543.6399999999999</v>
      </c>
    </row>
    <row r="513" spans="1:8" ht="15" x14ac:dyDescent="0.2">
      <c r="A513" s="89" t="s">
        <v>2449</v>
      </c>
      <c r="B513" s="89" t="s">
        <v>2452</v>
      </c>
      <c r="C513" s="89" t="s">
        <v>7410</v>
      </c>
      <c r="D513" s="89">
        <v>145</v>
      </c>
      <c r="E513" s="89">
        <v>1378.16</v>
      </c>
      <c r="F513" s="90">
        <f t="shared" si="9"/>
        <v>1523.16</v>
      </c>
      <c r="G513" s="91">
        <v>1685.59</v>
      </c>
      <c r="H513" s="92">
        <v>1211.51</v>
      </c>
    </row>
    <row r="514" spans="1:8" ht="15" x14ac:dyDescent="0.2">
      <c r="A514" s="89" t="s">
        <v>2453</v>
      </c>
      <c r="B514" s="89" t="s">
        <v>7411</v>
      </c>
      <c r="C514" s="89" t="s">
        <v>7412</v>
      </c>
      <c r="D514" s="89">
        <v>155</v>
      </c>
      <c r="E514" s="89">
        <v>732.2</v>
      </c>
      <c r="F514" s="90">
        <f t="shared" ref="F514:F520" si="10">D514+E514</f>
        <v>887.2</v>
      </c>
      <c r="G514" s="91">
        <v>986.07</v>
      </c>
      <c r="H514" s="92">
        <v>940.27</v>
      </c>
    </row>
    <row r="515" spans="1:8" ht="15" x14ac:dyDescent="0.2">
      <c r="A515" s="89" t="s">
        <v>2457</v>
      </c>
      <c r="B515" s="89" t="s">
        <v>2459</v>
      </c>
      <c r="C515" s="89" t="s">
        <v>297</v>
      </c>
      <c r="D515" s="89">
        <v>0</v>
      </c>
      <c r="E515" s="89">
        <v>252.92</v>
      </c>
      <c r="F515" s="90">
        <f t="shared" si="10"/>
        <v>252.92</v>
      </c>
      <c r="G515" s="91">
        <v>205.3</v>
      </c>
      <c r="H515" s="92">
        <v>363.45</v>
      </c>
    </row>
    <row r="516" spans="1:8" ht="15" x14ac:dyDescent="0.2">
      <c r="A516" s="89" t="s">
        <v>2460</v>
      </c>
      <c r="B516" s="89" t="s">
        <v>7413</v>
      </c>
      <c r="C516" s="89" t="s">
        <v>7414</v>
      </c>
      <c r="D516" s="89">
        <v>0</v>
      </c>
      <c r="E516" s="89">
        <v>1297.0999999999999</v>
      </c>
      <c r="F516" s="90">
        <f t="shared" si="10"/>
        <v>1297.0999999999999</v>
      </c>
      <c r="G516" s="91">
        <v>1235.51</v>
      </c>
      <c r="H516" s="92">
        <v>1468.75</v>
      </c>
    </row>
    <row r="517" spans="1:8" ht="15" x14ac:dyDescent="0.2">
      <c r="A517" s="89" t="s">
        <v>2465</v>
      </c>
      <c r="B517" s="89" t="s">
        <v>2271</v>
      </c>
      <c r="C517" s="89" t="s">
        <v>2467</v>
      </c>
      <c r="D517" s="89">
        <v>360</v>
      </c>
      <c r="E517" s="89">
        <v>212.2</v>
      </c>
      <c r="F517" s="90">
        <f t="shared" si="10"/>
        <v>572.20000000000005</v>
      </c>
      <c r="G517" s="91">
        <v>495.13</v>
      </c>
      <c r="H517" s="92">
        <v>695</v>
      </c>
    </row>
    <row r="518" spans="1:8" ht="15" x14ac:dyDescent="0.2">
      <c r="A518" s="89" t="s">
        <v>2469</v>
      </c>
      <c r="B518" s="89" t="s">
        <v>7415</v>
      </c>
      <c r="C518" s="89" t="s">
        <v>7416</v>
      </c>
      <c r="D518" s="89">
        <v>91</v>
      </c>
      <c r="E518" s="89">
        <v>556.07000000000005</v>
      </c>
      <c r="F518" s="90">
        <f t="shared" si="10"/>
        <v>647.07000000000005</v>
      </c>
      <c r="G518" s="91">
        <v>703.91</v>
      </c>
      <c r="H518" s="92">
        <v>483.8</v>
      </c>
    </row>
    <row r="519" spans="1:8" ht="15" x14ac:dyDescent="0.2">
      <c r="A519" s="89" t="s">
        <v>2478</v>
      </c>
      <c r="B519" s="89" t="s">
        <v>7417</v>
      </c>
      <c r="C519" s="89" t="s">
        <v>7188</v>
      </c>
      <c r="D519" s="89">
        <v>0</v>
      </c>
      <c r="E519" s="89">
        <v>269.47000000000003</v>
      </c>
      <c r="F519" s="90">
        <f t="shared" si="10"/>
        <v>269.47000000000003</v>
      </c>
      <c r="G519" s="91">
        <v>269</v>
      </c>
      <c r="H519" s="92">
        <v>338.04</v>
      </c>
    </row>
    <row r="520" spans="1:8" ht="15" x14ac:dyDescent="0.2">
      <c r="A520" s="89" t="s">
        <v>7418</v>
      </c>
      <c r="B520" s="89" t="s">
        <v>7419</v>
      </c>
      <c r="C520" s="89" t="s">
        <v>7261</v>
      </c>
      <c r="D520" s="89">
        <f>62+30+75.02</f>
        <v>167.01999999999998</v>
      </c>
      <c r="E520" s="89">
        <f>2140.67-315.65+5.13</f>
        <v>1830.15</v>
      </c>
      <c r="F520" s="90">
        <f t="shared" si="10"/>
        <v>1997.17</v>
      </c>
      <c r="G520" s="91">
        <v>2696.6</v>
      </c>
      <c r="H520" s="92">
        <v>903.44</v>
      </c>
    </row>
    <row r="521" spans="1:8" ht="15.75" x14ac:dyDescent="0.2">
      <c r="A521" s="95" t="s">
        <v>307</v>
      </c>
      <c r="B521" s="95"/>
      <c r="C521" s="95"/>
      <c r="D521" s="95">
        <f>SUM(D449:D520)</f>
        <v>23622.04</v>
      </c>
      <c r="E521" s="95">
        <f>SUM(E449:E520)</f>
        <v>62708.69</v>
      </c>
      <c r="F521" s="96">
        <f>SUM(F449:F520)</f>
        <v>86330.73000000001</v>
      </c>
      <c r="G521" s="96">
        <v>94768.439999999959</v>
      </c>
      <c r="H521" s="97">
        <v>95315.82</v>
      </c>
    </row>
    <row r="522" spans="1:8" s="62" customFormat="1" x14ac:dyDescent="0.2">
      <c r="A522" s="60" t="s">
        <v>7262</v>
      </c>
      <c r="B522" s="60"/>
      <c r="C522" s="60"/>
      <c r="D522" s="60"/>
      <c r="E522" s="60"/>
      <c r="F522" s="61"/>
      <c r="G522" s="61"/>
      <c r="H522" s="60"/>
    </row>
    <row r="523" spans="1:8" ht="20.25" x14ac:dyDescent="0.2">
      <c r="A523" s="255" t="s">
        <v>7420</v>
      </c>
      <c r="B523" s="255"/>
      <c r="C523" s="255"/>
      <c r="D523" s="255"/>
      <c r="E523" s="255"/>
      <c r="F523" s="255"/>
      <c r="G523" s="255"/>
      <c r="H523" s="255"/>
    </row>
    <row r="524" spans="1:8" ht="15.75" x14ac:dyDescent="0.2">
      <c r="A524" s="99" t="s">
        <v>1</v>
      </c>
      <c r="B524" s="99" t="s">
        <v>2</v>
      </c>
      <c r="C524" s="99" t="s">
        <v>3</v>
      </c>
      <c r="D524" s="100" t="s">
        <v>7421</v>
      </c>
      <c r="E524" s="100" t="s">
        <v>7422</v>
      </c>
      <c r="F524" s="100">
        <v>2018</v>
      </c>
      <c r="G524" s="100">
        <v>2017</v>
      </c>
      <c r="H524" s="100">
        <v>2016</v>
      </c>
    </row>
    <row r="525" spans="1:8" ht="15" x14ac:dyDescent="0.2">
      <c r="A525" s="78" t="s">
        <v>2503</v>
      </c>
      <c r="B525" s="78" t="s">
        <v>7423</v>
      </c>
      <c r="C525" s="78" t="s">
        <v>942</v>
      </c>
      <c r="D525" s="101">
        <v>809</v>
      </c>
      <c r="E525" s="101">
        <v>710</v>
      </c>
      <c r="F525" s="77">
        <f>D525+E525</f>
        <v>1519</v>
      </c>
      <c r="G525" s="102">
        <v>1415</v>
      </c>
      <c r="H525" s="103">
        <v>1345</v>
      </c>
    </row>
    <row r="526" spans="1:8" ht="15" x14ac:dyDescent="0.2">
      <c r="A526" s="78" t="s">
        <v>2507</v>
      </c>
      <c r="B526" s="78" t="s">
        <v>2509</v>
      </c>
      <c r="C526" s="78" t="s">
        <v>916</v>
      </c>
      <c r="D526" s="101">
        <v>514.37</v>
      </c>
      <c r="E526" s="101">
        <v>700.3</v>
      </c>
      <c r="F526" s="77">
        <f t="shared" ref="F526:F589" si="11">D526+E526</f>
        <v>1214.67</v>
      </c>
      <c r="G526" s="102">
        <v>1193.1100000000001</v>
      </c>
      <c r="H526" s="103">
        <v>1922.19</v>
      </c>
    </row>
    <row r="527" spans="1:8" ht="15" x14ac:dyDescent="0.2">
      <c r="A527" s="78" t="s">
        <v>2510</v>
      </c>
      <c r="B527" s="78" t="s">
        <v>2512</v>
      </c>
      <c r="C527" s="78" t="s">
        <v>226</v>
      </c>
      <c r="D527" s="101">
        <v>280</v>
      </c>
      <c r="E527" s="101">
        <v>550.57000000000005</v>
      </c>
      <c r="F527" s="77">
        <f t="shared" si="11"/>
        <v>830.57</v>
      </c>
      <c r="G527" s="102">
        <v>1293.8899999999999</v>
      </c>
      <c r="H527" s="103">
        <v>1340.83</v>
      </c>
    </row>
    <row r="528" spans="1:8" ht="15" x14ac:dyDescent="0.2">
      <c r="A528" s="78" t="s">
        <v>2513</v>
      </c>
      <c r="B528" s="78" t="s">
        <v>2512</v>
      </c>
      <c r="C528" s="78" t="s">
        <v>7424</v>
      </c>
      <c r="D528" s="101">
        <v>555</v>
      </c>
      <c r="E528" s="101">
        <v>1225.9100000000001</v>
      </c>
      <c r="F528" s="77">
        <f t="shared" si="11"/>
        <v>1780.91</v>
      </c>
      <c r="G528" s="102">
        <v>1679.16</v>
      </c>
      <c r="H528" s="103">
        <v>1759.54</v>
      </c>
    </row>
    <row r="529" spans="1:8" ht="15" x14ac:dyDescent="0.2">
      <c r="A529" s="78" t="s">
        <v>2520</v>
      </c>
      <c r="B529" s="78" t="s">
        <v>2512</v>
      </c>
      <c r="C529" s="78" t="s">
        <v>1312</v>
      </c>
      <c r="D529" s="101">
        <v>225</v>
      </c>
      <c r="E529" s="101">
        <v>697.34</v>
      </c>
      <c r="F529" s="77">
        <f t="shared" si="11"/>
        <v>922.34</v>
      </c>
      <c r="G529" s="102">
        <v>866.38</v>
      </c>
      <c r="H529" s="103">
        <v>1255.08</v>
      </c>
    </row>
    <row r="530" spans="1:8" ht="15" x14ac:dyDescent="0.2">
      <c r="A530" s="78" t="s">
        <v>2523</v>
      </c>
      <c r="B530" s="78" t="s">
        <v>2512</v>
      </c>
      <c r="C530" s="78" t="s">
        <v>942</v>
      </c>
      <c r="D530" s="101">
        <v>250</v>
      </c>
      <c r="E530" s="101">
        <v>618.04999999999995</v>
      </c>
      <c r="F530" s="77">
        <f t="shared" si="11"/>
        <v>868.05</v>
      </c>
      <c r="G530" s="102">
        <v>1046.3</v>
      </c>
      <c r="H530" s="103">
        <v>1255.43</v>
      </c>
    </row>
    <row r="531" spans="1:8" ht="15" x14ac:dyDescent="0.2">
      <c r="A531" s="78" t="s">
        <v>2528</v>
      </c>
      <c r="B531" s="78" t="s">
        <v>2512</v>
      </c>
      <c r="C531" s="78" t="s">
        <v>2530</v>
      </c>
      <c r="D531" s="101">
        <v>83</v>
      </c>
      <c r="E531" s="101">
        <v>42.18</v>
      </c>
      <c r="F531" s="77">
        <f t="shared" si="11"/>
        <v>125.18</v>
      </c>
      <c r="G531" s="102">
        <v>110</v>
      </c>
      <c r="H531" s="103">
        <v>232.02</v>
      </c>
    </row>
    <row r="532" spans="1:8" ht="15" x14ac:dyDescent="0.2">
      <c r="A532" s="78" t="s">
        <v>2532</v>
      </c>
      <c r="B532" s="78" t="s">
        <v>2538</v>
      </c>
      <c r="C532" s="78" t="s">
        <v>1489</v>
      </c>
      <c r="D532" s="101">
        <v>30</v>
      </c>
      <c r="E532" s="101"/>
      <c r="F532" s="77">
        <f t="shared" si="11"/>
        <v>30</v>
      </c>
      <c r="G532" s="102">
        <v>30</v>
      </c>
      <c r="H532" s="103">
        <v>117.15</v>
      </c>
    </row>
    <row r="533" spans="1:8" ht="15" x14ac:dyDescent="0.2">
      <c r="A533" s="78" t="s">
        <v>2535</v>
      </c>
      <c r="B533" s="78" t="s">
        <v>2538</v>
      </c>
      <c r="C533" s="78" t="s">
        <v>7425</v>
      </c>
      <c r="D533" s="101">
        <v>180</v>
      </c>
      <c r="E533" s="101">
        <v>440.5</v>
      </c>
      <c r="F533" s="77">
        <f t="shared" si="11"/>
        <v>620.5</v>
      </c>
      <c r="G533" s="102">
        <v>766</v>
      </c>
      <c r="H533" s="103">
        <v>512.65</v>
      </c>
    </row>
    <row r="534" spans="1:8" ht="15" x14ac:dyDescent="0.2">
      <c r="A534" s="78" t="s">
        <v>2539</v>
      </c>
      <c r="B534" s="78" t="s">
        <v>2542</v>
      </c>
      <c r="C534" s="78" t="s">
        <v>453</v>
      </c>
      <c r="D534" s="101">
        <v>783</v>
      </c>
      <c r="E534" s="101">
        <v>1348.52</v>
      </c>
      <c r="F534" s="77">
        <f t="shared" si="11"/>
        <v>2131.52</v>
      </c>
      <c r="G534" s="102">
        <v>2094.08</v>
      </c>
      <c r="H534" s="103">
        <v>2429.6999999999998</v>
      </c>
    </row>
    <row r="535" spans="1:8" ht="15" x14ac:dyDescent="0.2">
      <c r="A535" s="78" t="s">
        <v>2544</v>
      </c>
      <c r="B535" s="78" t="s">
        <v>7426</v>
      </c>
      <c r="C535" s="78" t="s">
        <v>7427</v>
      </c>
      <c r="D535" s="101">
        <v>20</v>
      </c>
      <c r="E535" s="101"/>
      <c r="F535" s="77">
        <f t="shared" si="11"/>
        <v>20</v>
      </c>
      <c r="G535" s="102">
        <v>30</v>
      </c>
      <c r="H535" s="103">
        <v>35</v>
      </c>
    </row>
    <row r="536" spans="1:8" ht="15" x14ac:dyDescent="0.2">
      <c r="A536" s="78" t="s">
        <v>2547</v>
      </c>
      <c r="B536" s="78" t="s">
        <v>2506</v>
      </c>
      <c r="C536" s="78" t="s">
        <v>916</v>
      </c>
      <c r="D536" s="101">
        <v>36</v>
      </c>
      <c r="E536" s="101">
        <v>1066.67</v>
      </c>
      <c r="F536" s="77">
        <f t="shared" si="11"/>
        <v>1102.67</v>
      </c>
      <c r="G536" s="102">
        <v>797.16</v>
      </c>
      <c r="H536" s="103">
        <v>541</v>
      </c>
    </row>
    <row r="537" spans="1:8" ht="15" x14ac:dyDescent="0.2">
      <c r="A537" s="78" t="s">
        <v>2549</v>
      </c>
      <c r="B537" s="78" t="s">
        <v>2506</v>
      </c>
      <c r="C537" s="78" t="s">
        <v>231</v>
      </c>
      <c r="D537" s="101">
        <v>380</v>
      </c>
      <c r="E537" s="101">
        <v>3292.99</v>
      </c>
      <c r="F537" s="77">
        <f t="shared" si="11"/>
        <v>3672.99</v>
      </c>
      <c r="G537" s="102">
        <v>2328.59</v>
      </c>
      <c r="H537" s="103">
        <v>2004.55</v>
      </c>
    </row>
    <row r="538" spans="1:8" ht="15" x14ac:dyDescent="0.2">
      <c r="A538" s="78" t="s">
        <v>2552</v>
      </c>
      <c r="B538" s="78" t="s">
        <v>2506</v>
      </c>
      <c r="C538" s="78" t="s">
        <v>2554</v>
      </c>
      <c r="D538" s="101">
        <v>0</v>
      </c>
      <c r="E538" s="101">
        <v>159.19999999999999</v>
      </c>
      <c r="F538" s="77">
        <f t="shared" si="11"/>
        <v>159.19999999999999</v>
      </c>
      <c r="G538" s="102">
        <v>0</v>
      </c>
      <c r="H538" s="103">
        <v>186.41</v>
      </c>
    </row>
    <row r="539" spans="1:8" ht="15" x14ac:dyDescent="0.2">
      <c r="A539" s="78" t="s">
        <v>2555</v>
      </c>
      <c r="B539" s="78" t="s">
        <v>2506</v>
      </c>
      <c r="C539" s="78" t="s">
        <v>7428</v>
      </c>
      <c r="D539" s="101">
        <v>340</v>
      </c>
      <c r="E539" s="101">
        <v>455.55</v>
      </c>
      <c r="F539" s="77">
        <f t="shared" si="11"/>
        <v>795.55</v>
      </c>
      <c r="G539" s="102">
        <v>700.28</v>
      </c>
      <c r="H539" s="103">
        <v>652.76</v>
      </c>
    </row>
    <row r="540" spans="1:8" ht="15" x14ac:dyDescent="0.2">
      <c r="A540" s="78" t="s">
        <v>2561</v>
      </c>
      <c r="B540" s="78" t="s">
        <v>2506</v>
      </c>
      <c r="C540" s="78" t="s">
        <v>7429</v>
      </c>
      <c r="D540" s="101">
        <v>0</v>
      </c>
      <c r="E540" s="101">
        <v>658.7</v>
      </c>
      <c r="F540" s="77">
        <f t="shared" si="11"/>
        <v>658.7</v>
      </c>
      <c r="G540" s="102">
        <v>774.95</v>
      </c>
      <c r="H540" s="103">
        <v>616.44000000000005</v>
      </c>
    </row>
    <row r="541" spans="1:8" ht="15" x14ac:dyDescent="0.2">
      <c r="A541" s="78" t="s">
        <v>2564</v>
      </c>
      <c r="B541" s="78" t="s">
        <v>2506</v>
      </c>
      <c r="C541" s="78" t="s">
        <v>7430</v>
      </c>
      <c r="D541" s="101">
        <v>490</v>
      </c>
      <c r="E541" s="101">
        <v>1562.09</v>
      </c>
      <c r="F541" s="77">
        <f t="shared" si="11"/>
        <v>2052.09</v>
      </c>
      <c r="G541" s="102">
        <v>2253.5</v>
      </c>
      <c r="H541" s="103">
        <v>2304</v>
      </c>
    </row>
    <row r="542" spans="1:8" ht="15" x14ac:dyDescent="0.2">
      <c r="A542" s="78" t="s">
        <v>2567</v>
      </c>
      <c r="B542" s="78" t="s">
        <v>2506</v>
      </c>
      <c r="C542" s="78" t="s">
        <v>6487</v>
      </c>
      <c r="D542" s="101">
        <v>80</v>
      </c>
      <c r="E542" s="101">
        <v>1147.68</v>
      </c>
      <c r="F542" s="77">
        <f t="shared" si="11"/>
        <v>1227.68</v>
      </c>
      <c r="G542" s="102">
        <v>1112.3899999999999</v>
      </c>
      <c r="H542" s="103">
        <v>1241.45</v>
      </c>
    </row>
    <row r="543" spans="1:8" ht="15" x14ac:dyDescent="0.2">
      <c r="A543" s="78" t="s">
        <v>2570</v>
      </c>
      <c r="B543" s="78" t="s">
        <v>2506</v>
      </c>
      <c r="C543" s="78" t="s">
        <v>7431</v>
      </c>
      <c r="D543" s="101">
        <v>460</v>
      </c>
      <c r="E543" s="101">
        <v>919.13</v>
      </c>
      <c r="F543" s="77">
        <f t="shared" si="11"/>
        <v>1379.13</v>
      </c>
      <c r="G543" s="102">
        <v>1741.51</v>
      </c>
      <c r="H543" s="103">
        <v>829.99</v>
      </c>
    </row>
    <row r="544" spans="1:8" ht="15" x14ac:dyDescent="0.2">
      <c r="A544" s="78" t="s">
        <v>2573</v>
      </c>
      <c r="B544" s="78" t="s">
        <v>2506</v>
      </c>
      <c r="C544" s="78" t="s">
        <v>7432</v>
      </c>
      <c r="D544" s="101">
        <v>125</v>
      </c>
      <c r="E544" s="101">
        <v>614.63</v>
      </c>
      <c r="F544" s="77">
        <f t="shared" si="11"/>
        <v>739.63</v>
      </c>
      <c r="G544" s="102">
        <v>736.1</v>
      </c>
      <c r="H544" s="103">
        <v>610.42000000000007</v>
      </c>
    </row>
    <row r="545" spans="1:8" ht="15" x14ac:dyDescent="0.2">
      <c r="A545" s="78" t="s">
        <v>2579</v>
      </c>
      <c r="B545" s="78" t="s">
        <v>2506</v>
      </c>
      <c r="C545" s="78" t="s">
        <v>532</v>
      </c>
      <c r="D545" s="101">
        <v>130</v>
      </c>
      <c r="E545" s="101">
        <v>530</v>
      </c>
      <c r="F545" s="77">
        <f t="shared" si="11"/>
        <v>660</v>
      </c>
      <c r="G545" s="102">
        <v>709.47</v>
      </c>
      <c r="H545" s="103">
        <v>435.74</v>
      </c>
    </row>
    <row r="546" spans="1:8" ht="15" x14ac:dyDescent="0.2">
      <c r="A546" s="78" t="s">
        <v>2581</v>
      </c>
      <c r="B546" s="78" t="s">
        <v>2506</v>
      </c>
      <c r="C546" s="78" t="s">
        <v>2583</v>
      </c>
      <c r="D546" s="101">
        <v>35</v>
      </c>
      <c r="E546" s="101">
        <v>282.92</v>
      </c>
      <c r="F546" s="77">
        <f t="shared" si="11"/>
        <v>317.92</v>
      </c>
      <c r="G546" s="102">
        <v>505.75</v>
      </c>
      <c r="H546" s="103">
        <v>405.41</v>
      </c>
    </row>
    <row r="547" spans="1:8" ht="15" x14ac:dyDescent="0.2">
      <c r="A547" s="78" t="s">
        <v>2587</v>
      </c>
      <c r="B547" s="78" t="s">
        <v>2506</v>
      </c>
      <c r="C547" s="78" t="s">
        <v>158</v>
      </c>
      <c r="D547" s="101">
        <v>110</v>
      </c>
      <c r="E547" s="101">
        <v>2108.15</v>
      </c>
      <c r="F547" s="77">
        <f t="shared" si="11"/>
        <v>2218.15</v>
      </c>
      <c r="G547" s="102">
        <v>2448</v>
      </c>
      <c r="H547" s="103">
        <v>1823.5</v>
      </c>
    </row>
    <row r="548" spans="1:8" ht="15" x14ac:dyDescent="0.2">
      <c r="A548" s="78" t="s">
        <v>2590</v>
      </c>
      <c r="B548" s="78" t="s">
        <v>2506</v>
      </c>
      <c r="C548" s="78" t="s">
        <v>7433</v>
      </c>
      <c r="D548" s="101">
        <v>52</v>
      </c>
      <c r="E548" s="104">
        <v>1030.6600000000001</v>
      </c>
      <c r="F548" s="77">
        <f t="shared" si="11"/>
        <v>1082.6600000000001</v>
      </c>
      <c r="G548" s="102">
        <v>1163.1099999999999</v>
      </c>
      <c r="H548" s="103">
        <v>1456.19</v>
      </c>
    </row>
    <row r="549" spans="1:8" ht="15" x14ac:dyDescent="0.2">
      <c r="A549" s="78" t="s">
        <v>2593</v>
      </c>
      <c r="B549" s="78" t="s">
        <v>2506</v>
      </c>
      <c r="C549" s="78" t="s">
        <v>934</v>
      </c>
      <c r="D549" s="101">
        <v>491.47</v>
      </c>
      <c r="E549" s="101">
        <v>0</v>
      </c>
      <c r="F549" s="77">
        <f t="shared" si="11"/>
        <v>491.47</v>
      </c>
      <c r="G549" s="102">
        <v>1411</v>
      </c>
      <c r="H549" s="103">
        <v>1095.47</v>
      </c>
    </row>
    <row r="550" spans="1:8" ht="15" x14ac:dyDescent="0.2">
      <c r="A550" s="78" t="s">
        <v>2595</v>
      </c>
      <c r="B550" s="78" t="s">
        <v>2506</v>
      </c>
      <c r="C550" s="78" t="s">
        <v>246</v>
      </c>
      <c r="D550" s="101">
        <v>100</v>
      </c>
      <c r="E550" s="76"/>
      <c r="F550" s="77">
        <f t="shared" si="11"/>
        <v>100</v>
      </c>
      <c r="G550" s="102">
        <v>195</v>
      </c>
      <c r="H550" s="103">
        <v>814.67</v>
      </c>
    </row>
    <row r="551" spans="1:8" ht="15" x14ac:dyDescent="0.2">
      <c r="A551" s="78" t="s">
        <v>2601</v>
      </c>
      <c r="B551" s="78" t="s">
        <v>2506</v>
      </c>
      <c r="C551" s="78" t="s">
        <v>2603</v>
      </c>
      <c r="D551" s="101">
        <v>90</v>
      </c>
      <c r="E551" s="76"/>
      <c r="F551" s="77">
        <f t="shared" si="11"/>
        <v>90</v>
      </c>
      <c r="G551" s="102">
        <v>90</v>
      </c>
      <c r="H551" s="103">
        <v>95</v>
      </c>
    </row>
    <row r="552" spans="1:8" ht="15" x14ac:dyDescent="0.2">
      <c r="A552" s="78" t="s">
        <v>2604</v>
      </c>
      <c r="B552" s="78" t="s">
        <v>2606</v>
      </c>
      <c r="C552" s="78" t="s">
        <v>3516</v>
      </c>
      <c r="D552" s="101">
        <v>180</v>
      </c>
      <c r="E552" s="101">
        <v>127.94</v>
      </c>
      <c r="F552" s="77">
        <f t="shared" si="11"/>
        <v>307.94</v>
      </c>
      <c r="G552" s="102">
        <v>486</v>
      </c>
      <c r="H552" s="103">
        <v>393</v>
      </c>
    </row>
    <row r="553" spans="1:8" ht="15" x14ac:dyDescent="0.2">
      <c r="A553" s="78" t="s">
        <v>2607</v>
      </c>
      <c r="B553" s="78" t="s">
        <v>2506</v>
      </c>
      <c r="C553" s="78" t="s">
        <v>2609</v>
      </c>
      <c r="D553" s="101">
        <v>310</v>
      </c>
      <c r="E553" s="76"/>
      <c r="F553" s="77">
        <f t="shared" si="11"/>
        <v>310</v>
      </c>
      <c r="G553" s="102">
        <v>726</v>
      </c>
      <c r="H553" s="103">
        <v>506.58</v>
      </c>
    </row>
    <row r="554" spans="1:8" ht="15" x14ac:dyDescent="0.2">
      <c r="A554" s="78" t="s">
        <v>2613</v>
      </c>
      <c r="B554" s="78" t="s">
        <v>2616</v>
      </c>
      <c r="C554" s="78" t="s">
        <v>4329</v>
      </c>
      <c r="D554" s="101">
        <v>68</v>
      </c>
      <c r="E554" s="101">
        <v>115</v>
      </c>
      <c r="F554" s="77">
        <f t="shared" si="11"/>
        <v>183</v>
      </c>
      <c r="G554" s="102">
        <v>167.1</v>
      </c>
      <c r="H554" s="103">
        <v>473.96</v>
      </c>
    </row>
    <row r="555" spans="1:8" ht="15" x14ac:dyDescent="0.2">
      <c r="A555" s="78" t="s">
        <v>2617</v>
      </c>
      <c r="B555" s="78" t="s">
        <v>2620</v>
      </c>
      <c r="C555" s="78" t="s">
        <v>7434</v>
      </c>
      <c r="D555" s="101">
        <v>78</v>
      </c>
      <c r="E555" s="101">
        <v>745.75</v>
      </c>
      <c r="F555" s="77">
        <f t="shared" si="11"/>
        <v>823.75</v>
      </c>
      <c r="G555" s="102">
        <v>913.33</v>
      </c>
      <c r="H555" s="103">
        <v>871.6</v>
      </c>
    </row>
    <row r="556" spans="1:8" ht="15" x14ac:dyDescent="0.2">
      <c r="A556" s="78" t="s">
        <v>2621</v>
      </c>
      <c r="B556" s="78" t="s">
        <v>2623</v>
      </c>
      <c r="C556" s="78" t="s">
        <v>1047</v>
      </c>
      <c r="D556" s="101">
        <v>230</v>
      </c>
      <c r="E556" s="101">
        <v>1384.46</v>
      </c>
      <c r="F556" s="77">
        <f t="shared" si="11"/>
        <v>1614.46</v>
      </c>
      <c r="G556" s="102">
        <v>1957.62</v>
      </c>
      <c r="H556" s="103">
        <v>1626.3</v>
      </c>
    </row>
    <row r="557" spans="1:8" ht="15" x14ac:dyDescent="0.2">
      <c r="A557" s="78" t="s">
        <v>2632</v>
      </c>
      <c r="B557" s="78" t="s">
        <v>2635</v>
      </c>
      <c r="C557" s="78" t="s">
        <v>7435</v>
      </c>
      <c r="D557" s="101">
        <v>150</v>
      </c>
      <c r="E557" s="101">
        <v>763.31</v>
      </c>
      <c r="F557" s="77">
        <f t="shared" si="11"/>
        <v>913.31</v>
      </c>
      <c r="G557" s="102">
        <v>1128.76</v>
      </c>
      <c r="H557" s="103">
        <v>910.29</v>
      </c>
    </row>
    <row r="558" spans="1:8" ht="15" x14ac:dyDescent="0.2">
      <c r="A558" s="78" t="s">
        <v>2636</v>
      </c>
      <c r="B558" s="78" t="s">
        <v>2638</v>
      </c>
      <c r="C558" s="78" t="s">
        <v>1588</v>
      </c>
      <c r="D558" s="101">
        <v>1063</v>
      </c>
      <c r="E558" s="101">
        <v>1145.25</v>
      </c>
      <c r="F558" s="77">
        <f t="shared" si="11"/>
        <v>2208.25</v>
      </c>
      <c r="G558" s="102">
        <v>3227.74</v>
      </c>
      <c r="H558" s="103">
        <v>3817.17</v>
      </c>
    </row>
    <row r="559" spans="1:8" ht="15" x14ac:dyDescent="0.2">
      <c r="A559" s="78" t="s">
        <v>2640</v>
      </c>
      <c r="B559" s="78" t="s">
        <v>2638</v>
      </c>
      <c r="C559" s="78" t="s">
        <v>2642</v>
      </c>
      <c r="D559" s="101">
        <v>1135</v>
      </c>
      <c r="E559" s="101">
        <v>3837.45</v>
      </c>
      <c r="F559" s="77">
        <f t="shared" si="11"/>
        <v>4972.45</v>
      </c>
      <c r="G559" s="102">
        <v>4097.43</v>
      </c>
      <c r="H559" s="103">
        <v>4142.79</v>
      </c>
    </row>
    <row r="560" spans="1:8" ht="15" x14ac:dyDescent="0.2">
      <c r="A560" s="78" t="s">
        <v>2643</v>
      </c>
      <c r="B560" s="78" t="s">
        <v>2638</v>
      </c>
      <c r="C560" s="78" t="s">
        <v>453</v>
      </c>
      <c r="D560" s="101">
        <v>305</v>
      </c>
      <c r="E560" s="101">
        <v>247.04</v>
      </c>
      <c r="F560" s="77">
        <f t="shared" si="11"/>
        <v>552.04</v>
      </c>
      <c r="G560" s="102">
        <v>819.87</v>
      </c>
      <c r="H560" s="103">
        <v>801.64</v>
      </c>
    </row>
    <row r="561" spans="1:8" ht="15" x14ac:dyDescent="0.2">
      <c r="A561" s="78" t="s">
        <v>2646</v>
      </c>
      <c r="B561" s="78" t="s">
        <v>2648</v>
      </c>
      <c r="C561" s="78" t="s">
        <v>1284</v>
      </c>
      <c r="D561" s="101">
        <v>367.98</v>
      </c>
      <c r="E561" s="76"/>
      <c r="F561" s="77">
        <f t="shared" si="11"/>
        <v>367.98</v>
      </c>
      <c r="G561" s="102">
        <v>834.06</v>
      </c>
      <c r="H561" s="103">
        <v>866.31000000000006</v>
      </c>
    </row>
    <row r="562" spans="1:8" ht="15" x14ac:dyDescent="0.2">
      <c r="A562" s="78" t="s">
        <v>2653</v>
      </c>
      <c r="B562" s="78" t="s">
        <v>2656</v>
      </c>
      <c r="C562" s="78" t="s">
        <v>2655</v>
      </c>
      <c r="D562" s="101">
        <v>1459</v>
      </c>
      <c r="E562" s="101">
        <v>2452.59</v>
      </c>
      <c r="F562" s="77">
        <f t="shared" si="11"/>
        <v>3911.59</v>
      </c>
      <c r="G562" s="102">
        <v>2994.58</v>
      </c>
      <c r="H562" s="103">
        <v>3179.07</v>
      </c>
    </row>
    <row r="563" spans="1:8" ht="15" x14ac:dyDescent="0.2">
      <c r="A563" s="78" t="s">
        <v>2657</v>
      </c>
      <c r="B563" s="78" t="s">
        <v>2660</v>
      </c>
      <c r="C563" s="78" t="s">
        <v>7228</v>
      </c>
      <c r="D563" s="101">
        <v>230</v>
      </c>
      <c r="E563" s="101">
        <v>172.06</v>
      </c>
      <c r="F563" s="77">
        <f t="shared" si="11"/>
        <v>402.06</v>
      </c>
      <c r="G563" s="102">
        <v>467.16</v>
      </c>
      <c r="H563" s="103">
        <v>586.20000000000005</v>
      </c>
    </row>
    <row r="564" spans="1:8" ht="15" x14ac:dyDescent="0.2">
      <c r="A564" s="78" t="s">
        <v>2661</v>
      </c>
      <c r="B564" s="78" t="s">
        <v>7436</v>
      </c>
      <c r="C564" s="78" t="s">
        <v>7437</v>
      </c>
      <c r="D564" s="101">
        <v>80</v>
      </c>
      <c r="E564" s="101"/>
      <c r="F564" s="77">
        <f t="shared" si="11"/>
        <v>80</v>
      </c>
      <c r="G564" s="102">
        <v>85</v>
      </c>
      <c r="H564" s="103">
        <v>45</v>
      </c>
    </row>
    <row r="565" spans="1:8" ht="15" x14ac:dyDescent="0.2">
      <c r="A565" s="78" t="s">
        <v>2669</v>
      </c>
      <c r="B565" s="78" t="s">
        <v>2671</v>
      </c>
      <c r="C565" s="78" t="s">
        <v>7438</v>
      </c>
      <c r="D565" s="101">
        <v>440</v>
      </c>
      <c r="E565" s="101">
        <v>621.30999999999995</v>
      </c>
      <c r="F565" s="77">
        <f t="shared" si="11"/>
        <v>1061.31</v>
      </c>
      <c r="G565" s="102">
        <v>846.98</v>
      </c>
      <c r="H565" s="103">
        <v>892.54</v>
      </c>
    </row>
    <row r="566" spans="1:8" ht="15" x14ac:dyDescent="0.2">
      <c r="A566" s="78" t="s">
        <v>2672</v>
      </c>
      <c r="B566" s="78" t="s">
        <v>7439</v>
      </c>
      <c r="C566" s="78" t="s">
        <v>7440</v>
      </c>
      <c r="D566" s="101">
        <v>120</v>
      </c>
      <c r="E566" s="101">
        <v>321.76</v>
      </c>
      <c r="F566" s="77">
        <f t="shared" si="11"/>
        <v>441.76</v>
      </c>
      <c r="G566" s="102">
        <v>570</v>
      </c>
      <c r="H566" s="103">
        <v>644.52</v>
      </c>
    </row>
    <row r="567" spans="1:8" ht="15" x14ac:dyDescent="0.2">
      <c r="A567" s="78" t="s">
        <v>2676</v>
      </c>
      <c r="B567" s="78" t="s">
        <v>2678</v>
      </c>
      <c r="C567" s="78" t="s">
        <v>7441</v>
      </c>
      <c r="D567" s="101">
        <v>137</v>
      </c>
      <c r="E567" s="101">
        <v>1477.01</v>
      </c>
      <c r="F567" s="77">
        <f t="shared" si="11"/>
        <v>1614.01</v>
      </c>
      <c r="G567" s="102">
        <v>1780.58</v>
      </c>
      <c r="H567" s="103">
        <v>1793.41</v>
      </c>
    </row>
    <row r="568" spans="1:8" ht="15" x14ac:dyDescent="0.2">
      <c r="A568" s="78" t="s">
        <v>2679</v>
      </c>
      <c r="B568" s="78" t="s">
        <v>2682</v>
      </c>
      <c r="C568" s="78" t="s">
        <v>2681</v>
      </c>
      <c r="D568" s="101">
        <v>243</v>
      </c>
      <c r="E568" s="101">
        <v>321.95999999999998</v>
      </c>
      <c r="F568" s="77">
        <f t="shared" si="11"/>
        <v>564.96</v>
      </c>
      <c r="G568" s="102">
        <v>933.4</v>
      </c>
      <c r="H568" s="103">
        <v>921.77</v>
      </c>
    </row>
    <row r="569" spans="1:8" ht="15" x14ac:dyDescent="0.2">
      <c r="A569" s="78" t="s">
        <v>2687</v>
      </c>
      <c r="B569" s="78" t="s">
        <v>2689</v>
      </c>
      <c r="C569" s="78" t="s">
        <v>938</v>
      </c>
      <c r="D569" s="101">
        <v>45</v>
      </c>
      <c r="E569" s="101">
        <v>428.36</v>
      </c>
      <c r="F569" s="77">
        <f t="shared" si="11"/>
        <v>473.36</v>
      </c>
      <c r="G569" s="102">
        <v>685.35</v>
      </c>
      <c r="H569" s="103">
        <v>635.56000000000006</v>
      </c>
    </row>
    <row r="570" spans="1:8" ht="15" x14ac:dyDescent="0.2">
      <c r="A570" s="78" t="s">
        <v>2690</v>
      </c>
      <c r="B570" s="78" t="s">
        <v>7442</v>
      </c>
      <c r="C570" s="78" t="s">
        <v>231</v>
      </c>
      <c r="D570" s="101">
        <v>120</v>
      </c>
      <c r="E570" s="76"/>
      <c r="F570" s="77">
        <f t="shared" si="11"/>
        <v>120</v>
      </c>
      <c r="G570" s="102">
        <v>60</v>
      </c>
      <c r="H570" s="103">
        <v>60</v>
      </c>
    </row>
    <row r="571" spans="1:8" ht="15" x14ac:dyDescent="0.2">
      <c r="A571" s="78" t="s">
        <v>2697</v>
      </c>
      <c r="B571" s="78" t="s">
        <v>2699</v>
      </c>
      <c r="C571" s="78" t="s">
        <v>3516</v>
      </c>
      <c r="D571" s="101">
        <v>270</v>
      </c>
      <c r="E571" s="101">
        <v>230.81</v>
      </c>
      <c r="F571" s="77">
        <f t="shared" si="11"/>
        <v>500.81</v>
      </c>
      <c r="G571" s="102">
        <v>774.76</v>
      </c>
      <c r="H571" s="103">
        <v>974.07</v>
      </c>
    </row>
    <row r="572" spans="1:8" ht="15" x14ac:dyDescent="0.2">
      <c r="A572" s="78" t="s">
        <v>2701</v>
      </c>
      <c r="B572" s="78" t="s">
        <v>2704</v>
      </c>
      <c r="C572" s="78" t="s">
        <v>2703</v>
      </c>
      <c r="D572" s="101">
        <v>1188</v>
      </c>
      <c r="E572" s="101">
        <v>647.16999999999996</v>
      </c>
      <c r="F572" s="77">
        <f t="shared" si="11"/>
        <v>1835.17</v>
      </c>
      <c r="G572" s="102">
        <v>1537.84</v>
      </c>
      <c r="H572" s="103">
        <v>2205.27</v>
      </c>
    </row>
    <row r="573" spans="1:8" ht="15" x14ac:dyDescent="0.2">
      <c r="A573" s="78" t="s">
        <v>7443</v>
      </c>
      <c r="B573" s="78" t="s">
        <v>2506</v>
      </c>
      <c r="C573" s="78" t="s">
        <v>7444</v>
      </c>
      <c r="D573" s="101">
        <v>413</v>
      </c>
      <c r="E573" s="101">
        <v>691</v>
      </c>
      <c r="F573" s="77">
        <f t="shared" si="11"/>
        <v>1104</v>
      </c>
      <c r="G573" s="102">
        <v>1439</v>
      </c>
      <c r="H573" s="103">
        <v>1352</v>
      </c>
    </row>
    <row r="574" spans="1:8" ht="15" x14ac:dyDescent="0.2">
      <c r="A574" s="78" t="s">
        <v>2714</v>
      </c>
      <c r="B574" s="78" t="s">
        <v>2717</v>
      </c>
      <c r="C574" s="78" t="s">
        <v>2716</v>
      </c>
      <c r="D574" s="101">
        <v>220</v>
      </c>
      <c r="E574" s="76"/>
      <c r="F574" s="77">
        <f t="shared" si="11"/>
        <v>220</v>
      </c>
      <c r="G574" s="102">
        <v>220</v>
      </c>
      <c r="H574" s="103">
        <v>170</v>
      </c>
    </row>
    <row r="575" spans="1:8" ht="15" x14ac:dyDescent="0.2">
      <c r="A575" s="78" t="s">
        <v>2718</v>
      </c>
      <c r="B575" s="78" t="s">
        <v>2721</v>
      </c>
      <c r="C575" s="78" t="s">
        <v>7445</v>
      </c>
      <c r="D575" s="101">
        <v>30</v>
      </c>
      <c r="E575" s="76">
        <v>594.55999999999995</v>
      </c>
      <c r="F575" s="77">
        <f t="shared" si="11"/>
        <v>624.55999999999995</v>
      </c>
      <c r="G575" s="102">
        <v>769.28</v>
      </c>
      <c r="H575" s="103">
        <v>919.14</v>
      </c>
    </row>
    <row r="576" spans="1:8" ht="15" x14ac:dyDescent="0.2">
      <c r="A576" s="78" t="s">
        <v>2723</v>
      </c>
      <c r="B576" s="78" t="s">
        <v>2725</v>
      </c>
      <c r="C576" s="78" t="s">
        <v>3295</v>
      </c>
      <c r="D576" s="101">
        <v>458</v>
      </c>
      <c r="E576" s="76">
        <v>1081.33</v>
      </c>
      <c r="F576" s="77">
        <f t="shared" si="11"/>
        <v>1539.33</v>
      </c>
      <c r="G576" s="102">
        <v>809.33</v>
      </c>
      <c r="H576" s="103">
        <v>928.36</v>
      </c>
    </row>
    <row r="577" spans="1:8" ht="15" x14ac:dyDescent="0.2">
      <c r="A577" s="78" t="s">
        <v>2729</v>
      </c>
      <c r="B577" s="78" t="s">
        <v>2732</v>
      </c>
      <c r="C577" s="78" t="s">
        <v>7228</v>
      </c>
      <c r="D577" s="101">
        <v>245</v>
      </c>
      <c r="E577" s="76">
        <v>541.84</v>
      </c>
      <c r="F577" s="77">
        <f t="shared" si="11"/>
        <v>786.84</v>
      </c>
      <c r="G577" s="102">
        <v>1003.39</v>
      </c>
      <c r="H577" s="103">
        <v>437.96</v>
      </c>
    </row>
    <row r="578" spans="1:8" ht="15" x14ac:dyDescent="0.2">
      <c r="A578" s="78" t="s">
        <v>2737</v>
      </c>
      <c r="B578" s="78" t="s">
        <v>2740</v>
      </c>
      <c r="C578" s="78" t="s">
        <v>2739</v>
      </c>
      <c r="D578" s="101">
        <v>230</v>
      </c>
      <c r="E578" s="76">
        <v>136.46</v>
      </c>
      <c r="F578" s="77">
        <f t="shared" si="11"/>
        <v>366.46000000000004</v>
      </c>
      <c r="G578" s="102">
        <v>464.57</v>
      </c>
      <c r="H578" s="103">
        <v>664.81</v>
      </c>
    </row>
    <row r="579" spans="1:8" ht="15" x14ac:dyDescent="0.2">
      <c r="A579" s="78" t="s">
        <v>2741</v>
      </c>
      <c r="B579" s="78" t="s">
        <v>2743</v>
      </c>
      <c r="C579" s="78" t="s">
        <v>1065</v>
      </c>
      <c r="D579" s="101">
        <v>438.35</v>
      </c>
      <c r="E579" s="76">
        <v>744.22</v>
      </c>
      <c r="F579" s="77">
        <f t="shared" si="11"/>
        <v>1182.5700000000002</v>
      </c>
      <c r="G579" s="102">
        <v>1584.1</v>
      </c>
      <c r="H579" s="103">
        <v>892.5</v>
      </c>
    </row>
    <row r="580" spans="1:8" ht="15" x14ac:dyDescent="0.2">
      <c r="A580" s="78" t="s">
        <v>2744</v>
      </c>
      <c r="B580" s="78" t="s">
        <v>2743</v>
      </c>
      <c r="C580" s="78" t="s">
        <v>1047</v>
      </c>
      <c r="D580" s="101">
        <v>90</v>
      </c>
      <c r="E580" s="76">
        <v>474.66</v>
      </c>
      <c r="F580" s="77">
        <f t="shared" si="11"/>
        <v>564.66000000000008</v>
      </c>
      <c r="G580" s="102">
        <v>887.31</v>
      </c>
      <c r="H580" s="103">
        <v>715.65</v>
      </c>
    </row>
    <row r="581" spans="1:8" ht="15" x14ac:dyDescent="0.2">
      <c r="A581" s="78" t="s">
        <v>2752</v>
      </c>
      <c r="B581" s="78" t="s">
        <v>2755</v>
      </c>
      <c r="C581" s="78" t="s">
        <v>7446</v>
      </c>
      <c r="D581" s="101">
        <v>983.09</v>
      </c>
      <c r="E581" s="76"/>
      <c r="F581" s="77">
        <f t="shared" si="11"/>
        <v>983.09</v>
      </c>
      <c r="G581" s="102">
        <v>955.75</v>
      </c>
      <c r="H581" s="103">
        <v>921</v>
      </c>
    </row>
    <row r="582" spans="1:8" ht="15" x14ac:dyDescent="0.2">
      <c r="A582" s="78" t="s">
        <v>2757</v>
      </c>
      <c r="B582" s="78" t="s">
        <v>2760</v>
      </c>
      <c r="C582" s="78" t="s">
        <v>7447</v>
      </c>
      <c r="D582" s="101">
        <v>30</v>
      </c>
      <c r="E582" s="101">
        <v>756.72</v>
      </c>
      <c r="F582" s="77">
        <f t="shared" si="11"/>
        <v>786.72</v>
      </c>
      <c r="G582" s="102">
        <v>1749.55</v>
      </c>
      <c r="H582" s="103">
        <v>567.54</v>
      </c>
    </row>
    <row r="583" spans="1:8" ht="15" x14ac:dyDescent="0.2">
      <c r="A583" s="78" t="s">
        <v>2761</v>
      </c>
      <c r="B583" s="78" t="s">
        <v>2763</v>
      </c>
      <c r="C583" s="78" t="s">
        <v>7447</v>
      </c>
      <c r="D583" s="101">
        <v>0</v>
      </c>
      <c r="E583" s="101">
        <v>836.4</v>
      </c>
      <c r="F583" s="77">
        <f t="shared" si="11"/>
        <v>836.4</v>
      </c>
      <c r="G583" s="102">
        <v>678.45</v>
      </c>
      <c r="H583" s="103">
        <v>539.54</v>
      </c>
    </row>
    <row r="584" spans="1:8" ht="15" x14ac:dyDescent="0.2">
      <c r="A584" s="78" t="s">
        <v>2768</v>
      </c>
      <c r="B584" s="78" t="s">
        <v>2771</v>
      </c>
      <c r="C584" s="78" t="s">
        <v>7448</v>
      </c>
      <c r="D584" s="101">
        <v>675</v>
      </c>
      <c r="E584" s="101">
        <v>1081.31</v>
      </c>
      <c r="F584" s="77">
        <f t="shared" si="11"/>
        <v>1756.31</v>
      </c>
      <c r="G584" s="102">
        <v>75</v>
      </c>
      <c r="H584" s="103">
        <v>862.78</v>
      </c>
    </row>
    <row r="585" spans="1:8" ht="15" x14ac:dyDescent="0.2">
      <c r="A585" s="78" t="s">
        <v>2773</v>
      </c>
      <c r="B585" s="78" t="s">
        <v>2775</v>
      </c>
      <c r="C585" s="78" t="s">
        <v>453</v>
      </c>
      <c r="D585" s="101">
        <v>156</v>
      </c>
      <c r="E585" s="101">
        <v>342.7</v>
      </c>
      <c r="F585" s="77">
        <f t="shared" si="11"/>
        <v>498.7</v>
      </c>
      <c r="G585" s="102">
        <v>441.89</v>
      </c>
      <c r="H585" s="103">
        <v>424.66</v>
      </c>
    </row>
    <row r="586" spans="1:8" ht="15" x14ac:dyDescent="0.2">
      <c r="A586" s="78" t="s">
        <v>2779</v>
      </c>
      <c r="B586" s="78" t="s">
        <v>2782</v>
      </c>
      <c r="C586" s="78" t="s">
        <v>7449</v>
      </c>
      <c r="D586" s="101">
        <v>127</v>
      </c>
      <c r="E586" s="101">
        <v>1291.28</v>
      </c>
      <c r="F586" s="77">
        <f t="shared" si="11"/>
        <v>1418.28</v>
      </c>
      <c r="G586" s="102">
        <v>1655.09</v>
      </c>
      <c r="H586" s="103">
        <v>1413.34</v>
      </c>
    </row>
    <row r="587" spans="1:8" ht="15" x14ac:dyDescent="0.2">
      <c r="A587" s="78" t="s">
        <v>2783</v>
      </c>
      <c r="B587" s="78" t="s">
        <v>2785</v>
      </c>
      <c r="C587" s="78" t="s">
        <v>7450</v>
      </c>
      <c r="D587" s="101">
        <v>180</v>
      </c>
      <c r="E587" s="76"/>
      <c r="F587" s="77">
        <f t="shared" si="11"/>
        <v>180</v>
      </c>
      <c r="G587" s="102">
        <v>446</v>
      </c>
      <c r="H587" s="103">
        <v>260.76</v>
      </c>
    </row>
    <row r="588" spans="1:8" ht="15" x14ac:dyDescent="0.2">
      <c r="A588" s="78" t="s">
        <v>2790</v>
      </c>
      <c r="B588" s="78" t="s">
        <v>2792</v>
      </c>
      <c r="C588" s="78" t="s">
        <v>231</v>
      </c>
      <c r="D588" s="101">
        <v>11</v>
      </c>
      <c r="E588" s="101">
        <v>532</v>
      </c>
      <c r="F588" s="77">
        <f t="shared" si="11"/>
        <v>543</v>
      </c>
      <c r="G588" s="102">
        <v>942.6</v>
      </c>
      <c r="H588" s="103">
        <v>960</v>
      </c>
    </row>
    <row r="589" spans="1:8" ht="15" x14ac:dyDescent="0.2">
      <c r="A589" s="78" t="s">
        <v>2801</v>
      </c>
      <c r="B589" s="78" t="s">
        <v>2803</v>
      </c>
      <c r="C589" s="78" t="s">
        <v>1366</v>
      </c>
      <c r="D589" s="101">
        <v>0</v>
      </c>
      <c r="E589" s="101">
        <v>200.51</v>
      </c>
      <c r="F589" s="77">
        <f t="shared" si="11"/>
        <v>200.51</v>
      </c>
      <c r="G589" s="102">
        <v>247.16</v>
      </c>
      <c r="H589" s="103">
        <v>216.46</v>
      </c>
    </row>
    <row r="590" spans="1:8" ht="15" x14ac:dyDescent="0.2">
      <c r="A590" s="78" t="s">
        <v>2805</v>
      </c>
      <c r="B590" s="78" t="s">
        <v>2506</v>
      </c>
      <c r="C590" s="78" t="s">
        <v>1165</v>
      </c>
      <c r="D590" s="101">
        <v>90</v>
      </c>
      <c r="E590" s="101">
        <v>1145.03</v>
      </c>
      <c r="F590" s="77">
        <f t="shared" ref="F590:F624" si="12">D590+E590</f>
        <v>1235.03</v>
      </c>
      <c r="G590" s="102">
        <v>1297</v>
      </c>
      <c r="H590" s="103">
        <v>1173</v>
      </c>
    </row>
    <row r="591" spans="1:8" ht="15" x14ac:dyDescent="0.2">
      <c r="A591" s="78" t="s">
        <v>2807</v>
      </c>
      <c r="B591" s="78" t="s">
        <v>2809</v>
      </c>
      <c r="C591" s="78" t="s">
        <v>1366</v>
      </c>
      <c r="D591" s="101">
        <v>148</v>
      </c>
      <c r="E591" s="101">
        <v>1170.07</v>
      </c>
      <c r="F591" s="77">
        <f t="shared" si="12"/>
        <v>1318.07</v>
      </c>
      <c r="G591" s="102">
        <v>1086.56</v>
      </c>
      <c r="H591" s="103">
        <v>972.17000000000007</v>
      </c>
    </row>
    <row r="592" spans="1:8" ht="15" x14ac:dyDescent="0.2">
      <c r="A592" s="78" t="s">
        <v>2811</v>
      </c>
      <c r="B592" s="78" t="s">
        <v>2813</v>
      </c>
      <c r="C592" s="78" t="s">
        <v>1366</v>
      </c>
      <c r="D592" s="101">
        <v>745</v>
      </c>
      <c r="E592" s="101">
        <v>1346.2</v>
      </c>
      <c r="F592" s="77">
        <f t="shared" si="12"/>
        <v>2091.1999999999998</v>
      </c>
      <c r="G592" s="102">
        <v>1993.6</v>
      </c>
      <c r="H592" s="103">
        <v>1823.3500000000001</v>
      </c>
    </row>
    <row r="593" spans="1:8" ht="15" x14ac:dyDescent="0.2">
      <c r="A593" s="78" t="s">
        <v>7451</v>
      </c>
      <c r="B593" s="78" t="s">
        <v>2825</v>
      </c>
      <c r="C593" s="78" t="s">
        <v>7452</v>
      </c>
      <c r="D593" s="101">
        <f>428+150.45</f>
        <v>578.45000000000005</v>
      </c>
      <c r="E593" s="101">
        <v>2231.96</v>
      </c>
      <c r="F593" s="77">
        <f t="shared" si="12"/>
        <v>2810.41</v>
      </c>
      <c r="G593" s="102">
        <v>3596.4</v>
      </c>
      <c r="H593" s="103">
        <v>3340.5</v>
      </c>
    </row>
    <row r="594" spans="1:8" ht="15" x14ac:dyDescent="0.2">
      <c r="A594" s="78" t="s">
        <v>2829</v>
      </c>
      <c r="B594" s="78" t="s">
        <v>2825</v>
      </c>
      <c r="C594" s="78" t="s">
        <v>7453</v>
      </c>
      <c r="D594" s="101">
        <v>0</v>
      </c>
      <c r="E594" s="101">
        <v>746.95</v>
      </c>
      <c r="F594" s="77">
        <f t="shared" si="12"/>
        <v>746.95</v>
      </c>
      <c r="G594" s="102">
        <v>667.73</v>
      </c>
      <c r="H594" s="103">
        <v>585.52</v>
      </c>
    </row>
    <row r="595" spans="1:8" ht="15" x14ac:dyDescent="0.2">
      <c r="A595" s="78" t="s">
        <v>2832</v>
      </c>
      <c r="B595" s="78" t="s">
        <v>2835</v>
      </c>
      <c r="C595" s="78" t="s">
        <v>7356</v>
      </c>
      <c r="D595" s="101">
        <v>36</v>
      </c>
      <c r="E595" s="101">
        <v>519.66</v>
      </c>
      <c r="F595" s="77">
        <f t="shared" si="12"/>
        <v>555.66</v>
      </c>
      <c r="G595" s="102">
        <v>563.05999999999995</v>
      </c>
      <c r="H595" s="103">
        <v>491.27</v>
      </c>
    </row>
    <row r="596" spans="1:8" ht="15" x14ac:dyDescent="0.2">
      <c r="A596" s="78" t="s">
        <v>2836</v>
      </c>
      <c r="B596" s="78" t="s">
        <v>2838</v>
      </c>
      <c r="C596" s="78" t="s">
        <v>532</v>
      </c>
      <c r="D596" s="101">
        <v>220.21</v>
      </c>
      <c r="E596" s="101">
        <v>788.37</v>
      </c>
      <c r="F596" s="77">
        <f t="shared" si="12"/>
        <v>1008.58</v>
      </c>
      <c r="G596" s="102">
        <v>765.07</v>
      </c>
      <c r="H596" s="103">
        <v>1320.51</v>
      </c>
    </row>
    <row r="597" spans="1:8" ht="15" x14ac:dyDescent="0.2">
      <c r="A597" s="78" t="s">
        <v>2839</v>
      </c>
      <c r="B597" s="78" t="s">
        <v>2842</v>
      </c>
      <c r="C597" s="78" t="s">
        <v>1266</v>
      </c>
      <c r="D597" s="101">
        <v>170</v>
      </c>
      <c r="E597" s="101">
        <v>394.55</v>
      </c>
      <c r="F597" s="77">
        <f t="shared" si="12"/>
        <v>564.54999999999995</v>
      </c>
      <c r="G597" s="102">
        <v>726.8</v>
      </c>
      <c r="H597" s="103">
        <v>868.1</v>
      </c>
    </row>
    <row r="598" spans="1:8" ht="15" x14ac:dyDescent="0.2">
      <c r="A598" s="78" t="s">
        <v>2848</v>
      </c>
      <c r="B598" s="78" t="s">
        <v>2850</v>
      </c>
      <c r="C598" s="78" t="s">
        <v>297</v>
      </c>
      <c r="D598" s="101">
        <v>455</v>
      </c>
      <c r="E598" s="101">
        <v>2180.4699999999998</v>
      </c>
      <c r="F598" s="77">
        <f t="shared" si="12"/>
        <v>2635.47</v>
      </c>
      <c r="G598" s="102">
        <v>2624.35</v>
      </c>
      <c r="H598" s="103">
        <v>2555.71</v>
      </c>
    </row>
    <row r="599" spans="1:8" ht="15" x14ac:dyDescent="0.2">
      <c r="A599" s="78" t="s">
        <v>2859</v>
      </c>
      <c r="B599" s="78" t="s">
        <v>2861</v>
      </c>
      <c r="C599" s="78" t="s">
        <v>5152</v>
      </c>
      <c r="D599" s="101">
        <v>515</v>
      </c>
      <c r="E599" s="101">
        <v>1005.18</v>
      </c>
      <c r="F599" s="77">
        <f t="shared" si="12"/>
        <v>1520.1799999999998</v>
      </c>
      <c r="G599" s="102">
        <v>1288.95</v>
      </c>
      <c r="H599" s="103">
        <v>1696.27</v>
      </c>
    </row>
    <row r="600" spans="1:8" ht="15" x14ac:dyDescent="0.2">
      <c r="A600" s="78" t="s">
        <v>2862</v>
      </c>
      <c r="B600" s="78" t="s">
        <v>2865</v>
      </c>
      <c r="C600" s="78" t="s">
        <v>7454</v>
      </c>
      <c r="D600" s="101">
        <v>1053</v>
      </c>
      <c r="E600" s="101">
        <v>5136.1499999999996</v>
      </c>
      <c r="F600" s="77">
        <f>D600+E600-2166.93</f>
        <v>4022.22</v>
      </c>
      <c r="G600" s="102">
        <v>5795.14</v>
      </c>
      <c r="H600" s="103">
        <v>5710.04</v>
      </c>
    </row>
    <row r="601" spans="1:8" ht="15" x14ac:dyDescent="0.2">
      <c r="A601" s="78" t="s">
        <v>2866</v>
      </c>
      <c r="B601" s="78" t="s">
        <v>2865</v>
      </c>
      <c r="C601" s="78" t="s">
        <v>7318</v>
      </c>
      <c r="D601" s="101">
        <v>66</v>
      </c>
      <c r="E601" s="101">
        <v>828.22</v>
      </c>
      <c r="F601" s="77">
        <f t="shared" si="12"/>
        <v>894.22</v>
      </c>
      <c r="G601" s="102">
        <v>1179.9100000000001</v>
      </c>
      <c r="H601" s="103">
        <v>1189.49</v>
      </c>
    </row>
    <row r="602" spans="1:8" ht="15" x14ac:dyDescent="0.2">
      <c r="A602" s="78" t="s">
        <v>2869</v>
      </c>
      <c r="B602" s="78" t="s">
        <v>2865</v>
      </c>
      <c r="C602" s="78" t="s">
        <v>1165</v>
      </c>
      <c r="D602" s="101">
        <v>185</v>
      </c>
      <c r="E602" s="101">
        <v>772.54</v>
      </c>
      <c r="F602" s="77">
        <f t="shared" si="12"/>
        <v>957.54</v>
      </c>
      <c r="G602" s="102">
        <v>1692.94</v>
      </c>
      <c r="H602" s="103">
        <v>1495.4</v>
      </c>
    </row>
    <row r="603" spans="1:8" ht="15" x14ac:dyDescent="0.2">
      <c r="A603" s="78" t="s">
        <v>2871</v>
      </c>
      <c r="B603" s="78" t="s">
        <v>2873</v>
      </c>
      <c r="C603" s="78" t="s">
        <v>2900</v>
      </c>
      <c r="D603" s="101">
        <v>832.95</v>
      </c>
      <c r="E603" s="101">
        <v>3300</v>
      </c>
      <c r="F603" s="77">
        <f t="shared" si="12"/>
        <v>4132.95</v>
      </c>
      <c r="G603" s="102">
        <v>4313.29</v>
      </c>
      <c r="H603" s="103">
        <v>4116.88</v>
      </c>
    </row>
    <row r="604" spans="1:8" ht="15" x14ac:dyDescent="0.2">
      <c r="A604" s="78" t="s">
        <v>2874</v>
      </c>
      <c r="B604" s="78" t="s">
        <v>2873</v>
      </c>
      <c r="C604" s="78" t="s">
        <v>659</v>
      </c>
      <c r="D604" s="101">
        <v>245</v>
      </c>
      <c r="E604" s="101">
        <v>763.21</v>
      </c>
      <c r="F604" s="77">
        <f t="shared" si="12"/>
        <v>1008.21</v>
      </c>
      <c r="G604" s="102">
        <v>1323.41</v>
      </c>
      <c r="H604" s="103">
        <v>1029.43</v>
      </c>
    </row>
    <row r="605" spans="1:8" ht="15" x14ac:dyDescent="0.2">
      <c r="A605" s="78" t="s">
        <v>2876</v>
      </c>
      <c r="B605" s="78" t="s">
        <v>2878</v>
      </c>
      <c r="C605" s="78" t="s">
        <v>7356</v>
      </c>
      <c r="D605" s="101">
        <v>60</v>
      </c>
      <c r="E605" s="101">
        <v>291.05</v>
      </c>
      <c r="F605" s="77">
        <f t="shared" si="12"/>
        <v>351.05</v>
      </c>
      <c r="G605" s="102">
        <v>432</v>
      </c>
      <c r="H605" s="103">
        <v>652.75</v>
      </c>
    </row>
    <row r="606" spans="1:8" ht="15" x14ac:dyDescent="0.2">
      <c r="A606" s="78" t="s">
        <v>2879</v>
      </c>
      <c r="B606" s="78" t="s">
        <v>2881</v>
      </c>
      <c r="C606" s="78" t="s">
        <v>1366</v>
      </c>
      <c r="D606" s="101">
        <v>299.08999999999997</v>
      </c>
      <c r="E606" s="76"/>
      <c r="F606" s="77">
        <f t="shared" si="12"/>
        <v>299.08999999999997</v>
      </c>
      <c r="G606" s="102">
        <v>503</v>
      </c>
      <c r="H606" s="103">
        <v>499.8</v>
      </c>
    </row>
    <row r="607" spans="1:8" ht="15" x14ac:dyDescent="0.2">
      <c r="A607" s="78" t="s">
        <v>2882</v>
      </c>
      <c r="B607" s="78" t="s">
        <v>7455</v>
      </c>
      <c r="C607" s="78" t="s">
        <v>916</v>
      </c>
      <c r="D607" s="101">
        <v>95</v>
      </c>
      <c r="E607" s="101">
        <v>978.93</v>
      </c>
      <c r="F607" s="77">
        <f t="shared" si="12"/>
        <v>1073.9299999999998</v>
      </c>
      <c r="G607" s="102">
        <v>1137.76</v>
      </c>
      <c r="H607" s="103">
        <v>1232.1000000000001</v>
      </c>
    </row>
    <row r="608" spans="1:8" ht="15" x14ac:dyDescent="0.2">
      <c r="A608" s="78" t="s">
        <v>2884</v>
      </c>
      <c r="B608" s="78" t="s">
        <v>2886</v>
      </c>
      <c r="C608" s="78" t="s">
        <v>7456</v>
      </c>
      <c r="D608" s="101">
        <v>101.05</v>
      </c>
      <c r="E608" s="101">
        <v>477.47</v>
      </c>
      <c r="F608" s="77">
        <f t="shared" si="12"/>
        <v>578.52</v>
      </c>
      <c r="G608" s="102">
        <v>600.54</v>
      </c>
      <c r="H608" s="103">
        <v>546.34</v>
      </c>
    </row>
    <row r="609" spans="1:8" ht="15" x14ac:dyDescent="0.2">
      <c r="A609" s="78" t="s">
        <v>2891</v>
      </c>
      <c r="B609" s="78" t="s">
        <v>2240</v>
      </c>
      <c r="C609" s="78" t="s">
        <v>1008</v>
      </c>
      <c r="D609" s="101">
        <v>1245</v>
      </c>
      <c r="E609" s="101">
        <v>2155.15</v>
      </c>
      <c r="F609" s="77">
        <f t="shared" si="12"/>
        <v>3400.15</v>
      </c>
      <c r="G609" s="102">
        <v>3251.31</v>
      </c>
      <c r="H609" s="103">
        <v>3223.9700000000003</v>
      </c>
    </row>
    <row r="610" spans="1:8" ht="15" x14ac:dyDescent="0.2">
      <c r="A610" s="78" t="s">
        <v>2898</v>
      </c>
      <c r="B610" s="78" t="s">
        <v>2901</v>
      </c>
      <c r="C610" s="78" t="s">
        <v>2900</v>
      </c>
      <c r="D610" s="101">
        <v>285</v>
      </c>
      <c r="E610" s="101">
        <v>1169.01</v>
      </c>
      <c r="F610" s="77">
        <f t="shared" si="12"/>
        <v>1454.01</v>
      </c>
      <c r="G610" s="102">
        <v>1216.53</v>
      </c>
      <c r="H610" s="103">
        <v>1332.05</v>
      </c>
    </row>
    <row r="611" spans="1:8" ht="15" x14ac:dyDescent="0.2">
      <c r="A611" s="78" t="s">
        <v>2902</v>
      </c>
      <c r="B611" s="78" t="s">
        <v>2904</v>
      </c>
      <c r="C611" s="78" t="s">
        <v>2578</v>
      </c>
      <c r="D611" s="101">
        <v>140</v>
      </c>
      <c r="E611" s="101">
        <v>500.13</v>
      </c>
      <c r="F611" s="77">
        <f t="shared" si="12"/>
        <v>640.13</v>
      </c>
      <c r="G611" s="102">
        <v>665.32999999999993</v>
      </c>
      <c r="H611" s="103">
        <v>571.40000000000009</v>
      </c>
    </row>
    <row r="612" spans="1:8" ht="15" x14ac:dyDescent="0.2">
      <c r="A612" s="78" t="s">
        <v>2909</v>
      </c>
      <c r="B612" s="78" t="s">
        <v>2912</v>
      </c>
      <c r="C612" s="78" t="s">
        <v>2911</v>
      </c>
      <c r="D612" s="101">
        <v>30</v>
      </c>
      <c r="E612" s="101">
        <v>416.55</v>
      </c>
      <c r="F612" s="77">
        <f t="shared" si="12"/>
        <v>446.55</v>
      </c>
      <c r="G612" s="102">
        <v>450.63</v>
      </c>
      <c r="H612" s="103">
        <v>453.49</v>
      </c>
    </row>
    <row r="613" spans="1:8" ht="15" x14ac:dyDescent="0.2">
      <c r="A613" s="78" t="s">
        <v>2913</v>
      </c>
      <c r="B613" s="78" t="s">
        <v>2915</v>
      </c>
      <c r="C613" s="78" t="s">
        <v>7216</v>
      </c>
      <c r="D613" s="101">
        <v>640</v>
      </c>
      <c r="E613" s="101">
        <v>765.2</v>
      </c>
      <c r="F613" s="77">
        <f t="shared" si="12"/>
        <v>1405.2</v>
      </c>
      <c r="G613" s="102">
        <v>1422.27</v>
      </c>
      <c r="H613" s="103">
        <v>2063.5</v>
      </c>
    </row>
    <row r="614" spans="1:8" ht="15" x14ac:dyDescent="0.2">
      <c r="A614" s="78" t="s">
        <v>2917</v>
      </c>
      <c r="B614" s="78" t="s">
        <v>2915</v>
      </c>
      <c r="C614" s="78" t="s">
        <v>1203</v>
      </c>
      <c r="D614" s="101">
        <v>45</v>
      </c>
      <c r="E614" s="101">
        <v>2369.7399999999998</v>
      </c>
      <c r="F614" s="77">
        <f t="shared" si="12"/>
        <v>2414.7399999999998</v>
      </c>
      <c r="G614" s="102">
        <v>2789.37</v>
      </c>
      <c r="H614" s="103">
        <v>3443.2000000000003</v>
      </c>
    </row>
    <row r="615" spans="1:8" ht="15" x14ac:dyDescent="0.2">
      <c r="A615" s="78" t="s">
        <v>2920</v>
      </c>
      <c r="B615" s="78" t="s">
        <v>2915</v>
      </c>
      <c r="C615" s="78" t="s">
        <v>532</v>
      </c>
      <c r="D615" s="101">
        <v>125</v>
      </c>
      <c r="E615" s="101">
        <v>303.52999999999997</v>
      </c>
      <c r="F615" s="77">
        <f t="shared" si="12"/>
        <v>428.53</v>
      </c>
      <c r="G615" s="102">
        <v>516.39</v>
      </c>
      <c r="H615" s="103">
        <v>503.37</v>
      </c>
    </row>
    <row r="616" spans="1:8" ht="15" x14ac:dyDescent="0.2">
      <c r="A616" s="78" t="s">
        <v>2922</v>
      </c>
      <c r="B616" s="78" t="s">
        <v>2925</v>
      </c>
      <c r="C616" s="78" t="s">
        <v>2924</v>
      </c>
      <c r="D616" s="101">
        <v>267</v>
      </c>
      <c r="E616" s="101">
        <v>2033</v>
      </c>
      <c r="F616" s="77">
        <f t="shared" si="12"/>
        <v>2300</v>
      </c>
      <c r="G616" s="102">
        <v>3026.8</v>
      </c>
      <c r="H616" s="103">
        <v>2315</v>
      </c>
    </row>
    <row r="617" spans="1:8" ht="15" x14ac:dyDescent="0.2">
      <c r="A617" s="78" t="s">
        <v>2929</v>
      </c>
      <c r="B617" s="78" t="s">
        <v>2931</v>
      </c>
      <c r="C617" s="78" t="s">
        <v>7346</v>
      </c>
      <c r="D617" s="101">
        <v>125</v>
      </c>
      <c r="E617" s="101">
        <v>1200.6600000000001</v>
      </c>
      <c r="F617" s="77">
        <f t="shared" si="12"/>
        <v>1325.66</v>
      </c>
      <c r="G617" s="102">
        <v>1617.9</v>
      </c>
      <c r="H617" s="103">
        <v>1703.31</v>
      </c>
    </row>
    <row r="618" spans="1:8" ht="15" x14ac:dyDescent="0.2">
      <c r="A618" s="78" t="s">
        <v>2936</v>
      </c>
      <c r="B618" s="78" t="s">
        <v>2939</v>
      </c>
      <c r="C618" s="78" t="s">
        <v>2938</v>
      </c>
      <c r="D618" s="101">
        <v>0</v>
      </c>
      <c r="E618" s="101">
        <v>324.42</v>
      </c>
      <c r="F618" s="77">
        <f t="shared" si="12"/>
        <v>324.42</v>
      </c>
      <c r="G618" s="102">
        <v>717.85</v>
      </c>
      <c r="H618" s="103">
        <v>802.52</v>
      </c>
    </row>
    <row r="619" spans="1:8" ht="15" x14ac:dyDescent="0.2">
      <c r="A619" s="78" t="s">
        <v>2940</v>
      </c>
      <c r="B619" s="78" t="s">
        <v>7457</v>
      </c>
      <c r="C619" s="78" t="s">
        <v>1284</v>
      </c>
      <c r="D619" s="101">
        <v>5</v>
      </c>
      <c r="E619" s="101">
        <v>226.27</v>
      </c>
      <c r="F619" s="77">
        <f t="shared" si="12"/>
        <v>231.27</v>
      </c>
      <c r="G619" s="102">
        <v>373.5</v>
      </c>
      <c r="H619" s="103">
        <v>400.07</v>
      </c>
    </row>
    <row r="620" spans="1:8" ht="15" x14ac:dyDescent="0.2">
      <c r="A620" s="78" t="s">
        <v>2943</v>
      </c>
      <c r="B620" s="78" t="s">
        <v>2945</v>
      </c>
      <c r="C620" s="78" t="s">
        <v>1349</v>
      </c>
      <c r="D620" s="101">
        <v>115</v>
      </c>
      <c r="E620" s="101">
        <v>73.11</v>
      </c>
      <c r="F620" s="77">
        <f t="shared" si="12"/>
        <v>188.11</v>
      </c>
      <c r="G620" s="102">
        <v>165</v>
      </c>
      <c r="H620" s="103">
        <v>380.33000000000004</v>
      </c>
    </row>
    <row r="621" spans="1:8" ht="15" x14ac:dyDescent="0.2">
      <c r="A621" s="78" t="s">
        <v>2946</v>
      </c>
      <c r="B621" s="78" t="s">
        <v>2948</v>
      </c>
      <c r="C621" s="78" t="s">
        <v>1366</v>
      </c>
      <c r="D621" s="101">
        <v>141.5</v>
      </c>
      <c r="E621" s="101">
        <v>322.94</v>
      </c>
      <c r="F621" s="77">
        <f t="shared" si="12"/>
        <v>464.44</v>
      </c>
      <c r="G621" s="102">
        <v>0</v>
      </c>
      <c r="H621" s="103">
        <v>5</v>
      </c>
    </row>
    <row r="622" spans="1:8" ht="15" x14ac:dyDescent="0.2">
      <c r="A622" s="78" t="s">
        <v>2950</v>
      </c>
      <c r="B622" s="78" t="s">
        <v>2952</v>
      </c>
      <c r="C622" s="78" t="s">
        <v>7199</v>
      </c>
      <c r="D622" s="101">
        <v>476</v>
      </c>
      <c r="E622" s="101">
        <v>1905.39</v>
      </c>
      <c r="F622" s="77">
        <f t="shared" si="12"/>
        <v>2381.3900000000003</v>
      </c>
      <c r="G622" s="102">
        <v>2893.38</v>
      </c>
      <c r="H622" s="103">
        <v>2729.59</v>
      </c>
    </row>
    <row r="623" spans="1:8" ht="15" x14ac:dyDescent="0.2">
      <c r="A623" s="78" t="s">
        <v>2957</v>
      </c>
      <c r="B623" s="78" t="s">
        <v>2865</v>
      </c>
      <c r="C623" s="78" t="s">
        <v>1065</v>
      </c>
      <c r="D623" s="101">
        <v>764</v>
      </c>
      <c r="E623" s="101">
        <v>1317</v>
      </c>
      <c r="F623" s="77">
        <f t="shared" si="12"/>
        <v>2081</v>
      </c>
      <c r="G623" s="102">
        <v>1992</v>
      </c>
      <c r="H623" s="103">
        <v>1855</v>
      </c>
    </row>
    <row r="624" spans="1:8" ht="60" x14ac:dyDescent="0.2">
      <c r="A624" s="105" t="s">
        <v>7458</v>
      </c>
      <c r="B624" s="105" t="s">
        <v>7459</v>
      </c>
      <c r="C624" s="105" t="s">
        <v>7460</v>
      </c>
      <c r="D624" s="101">
        <f>25+50+50+272.31+300+190</f>
        <v>887.31</v>
      </c>
      <c r="E624" s="76">
        <f>33.11+574.31+213.11+120</f>
        <v>940.53</v>
      </c>
      <c r="F624" s="77">
        <f t="shared" si="12"/>
        <v>1827.84</v>
      </c>
      <c r="G624" s="102">
        <v>2521.6400000000003</v>
      </c>
      <c r="H624" s="103">
        <v>1920.77</v>
      </c>
    </row>
    <row r="625" spans="1:8" ht="15" x14ac:dyDescent="0.2">
      <c r="A625" s="78" t="s">
        <v>7461</v>
      </c>
      <c r="B625" s="78" t="s">
        <v>7462</v>
      </c>
      <c r="C625" s="78" t="s">
        <v>7261</v>
      </c>
      <c r="D625" s="101">
        <f>135+1396+40+70.69</f>
        <v>1641.69</v>
      </c>
      <c r="E625" s="101">
        <v>627.97</v>
      </c>
      <c r="F625" s="77">
        <f>D625+E625</f>
        <v>2269.66</v>
      </c>
      <c r="G625" s="102">
        <v>779.09</v>
      </c>
      <c r="H625" s="103">
        <v>2463.66</v>
      </c>
    </row>
    <row r="626" spans="1:8" ht="15.75" x14ac:dyDescent="0.2">
      <c r="A626" s="249" t="s">
        <v>7463</v>
      </c>
      <c r="B626" s="250"/>
      <c r="C626" s="250"/>
      <c r="D626" s="251">
        <f>SUM(D525:D625)</f>
        <v>31981.51</v>
      </c>
      <c r="E626" s="251">
        <f>SUM(E525:E625)</f>
        <v>85232.57</v>
      </c>
      <c r="F626" s="252">
        <f>D626+E626</f>
        <v>117214.08</v>
      </c>
      <c r="G626" s="252">
        <v>122939.26000000001</v>
      </c>
      <c r="H626" s="253">
        <v>123376.00000000003</v>
      </c>
    </row>
    <row r="627" spans="1:8" s="62" customFormat="1" x14ac:dyDescent="0.2">
      <c r="A627" s="60" t="s">
        <v>7262</v>
      </c>
      <c r="B627" s="60"/>
      <c r="C627" s="60"/>
      <c r="D627" s="60"/>
      <c r="E627" s="60"/>
      <c r="F627" s="61"/>
      <c r="G627" s="61"/>
      <c r="H627" s="60"/>
    </row>
    <row r="628" spans="1:8" ht="20.25" customHeight="1" x14ac:dyDescent="0.2">
      <c r="A628" s="217" t="s">
        <v>7562</v>
      </c>
      <c r="B628" s="217"/>
      <c r="C628" s="217"/>
      <c r="D628" s="217"/>
      <c r="E628" s="217"/>
      <c r="F628" s="217"/>
      <c r="G628" s="217"/>
      <c r="H628" s="217"/>
    </row>
    <row r="629" spans="1:8" ht="15.75" x14ac:dyDescent="0.2">
      <c r="A629" s="126" t="s">
        <v>1</v>
      </c>
      <c r="B629" s="127" t="s">
        <v>2</v>
      </c>
      <c r="C629" s="127" t="s">
        <v>3</v>
      </c>
      <c r="D629" s="127" t="s">
        <v>4</v>
      </c>
      <c r="E629" s="127" t="s">
        <v>7466</v>
      </c>
      <c r="F629" s="127">
        <v>2018</v>
      </c>
      <c r="G629" s="128">
        <v>2017</v>
      </c>
      <c r="H629" s="129">
        <v>2016</v>
      </c>
    </row>
    <row r="630" spans="1:8" ht="15" x14ac:dyDescent="0.2">
      <c r="A630" s="130" t="s">
        <v>2966</v>
      </c>
      <c r="B630" s="89" t="s">
        <v>7563</v>
      </c>
      <c r="C630" s="89" t="s">
        <v>1008</v>
      </c>
      <c r="D630" s="131">
        <v>320</v>
      </c>
      <c r="E630" s="131">
        <v>1178.4000000000001</v>
      </c>
      <c r="F630" s="90">
        <f>D630+E630</f>
        <v>1498.4</v>
      </c>
      <c r="G630" s="132">
        <v>582.74</v>
      </c>
      <c r="H630" s="133">
        <v>1053.8600000000001</v>
      </c>
    </row>
    <row r="631" spans="1:8" ht="15" x14ac:dyDescent="0.2">
      <c r="A631" s="130" t="s">
        <v>2973</v>
      </c>
      <c r="B631" s="89" t="s">
        <v>7564</v>
      </c>
      <c r="C631" s="89" t="s">
        <v>7565</v>
      </c>
      <c r="D631" s="131">
        <v>135</v>
      </c>
      <c r="E631" s="131">
        <v>198.36</v>
      </c>
      <c r="F631" s="90">
        <f t="shared" ref="F631:F686" si="13">D631+E631</f>
        <v>333.36</v>
      </c>
      <c r="G631" s="132">
        <v>273.93</v>
      </c>
      <c r="H631" s="133">
        <v>263.60000000000002</v>
      </c>
    </row>
    <row r="632" spans="1:8" ht="15" x14ac:dyDescent="0.2">
      <c r="A632" s="130" t="s">
        <v>2976</v>
      </c>
      <c r="B632" s="89" t="s">
        <v>2968</v>
      </c>
      <c r="C632" s="89" t="s">
        <v>2900</v>
      </c>
      <c r="D632" s="131">
        <v>231</v>
      </c>
      <c r="E632" s="131">
        <v>970.72</v>
      </c>
      <c r="F632" s="90">
        <f t="shared" si="13"/>
        <v>1201.72</v>
      </c>
      <c r="G632" s="132">
        <v>1963.15</v>
      </c>
      <c r="H632" s="133">
        <v>814.02</v>
      </c>
    </row>
    <row r="633" spans="1:8" ht="15" x14ac:dyDescent="0.2">
      <c r="A633" s="130" t="s">
        <v>2987</v>
      </c>
      <c r="B633" s="89" t="s">
        <v>7566</v>
      </c>
      <c r="C633" s="89" t="s">
        <v>7567</v>
      </c>
      <c r="D633" s="131">
        <v>222.5</v>
      </c>
      <c r="E633" s="131">
        <v>219.56</v>
      </c>
      <c r="F633" s="90">
        <f t="shared" si="13"/>
        <v>442.06</v>
      </c>
      <c r="G633" s="132">
        <v>590.41</v>
      </c>
      <c r="H633" s="133">
        <v>204.21</v>
      </c>
    </row>
    <row r="634" spans="1:8" ht="15" x14ac:dyDescent="0.2">
      <c r="A634" s="130" t="s">
        <v>2994</v>
      </c>
      <c r="B634" s="89" t="s">
        <v>2997</v>
      </c>
      <c r="C634" s="89" t="s">
        <v>2996</v>
      </c>
      <c r="D634" s="131">
        <v>285</v>
      </c>
      <c r="E634" s="131">
        <v>563</v>
      </c>
      <c r="F634" s="90">
        <f t="shared" si="13"/>
        <v>848</v>
      </c>
      <c r="G634" s="132">
        <v>928.98</v>
      </c>
      <c r="H634" s="133">
        <v>561.97</v>
      </c>
    </row>
    <row r="635" spans="1:8" ht="15" x14ac:dyDescent="0.2">
      <c r="A635" s="130" t="s">
        <v>3005</v>
      </c>
      <c r="B635" s="89" t="s">
        <v>7568</v>
      </c>
      <c r="C635" s="89" t="s">
        <v>3007</v>
      </c>
      <c r="D635" s="131">
        <v>180</v>
      </c>
      <c r="E635" s="131">
        <v>695.67</v>
      </c>
      <c r="F635" s="90">
        <f t="shared" si="13"/>
        <v>875.67</v>
      </c>
      <c r="G635" s="132">
        <v>1047.47</v>
      </c>
      <c r="H635" s="133">
        <v>733.03</v>
      </c>
    </row>
    <row r="636" spans="1:8" ht="15" x14ac:dyDescent="0.2">
      <c r="A636" s="130" t="s">
        <v>3013</v>
      </c>
      <c r="B636" s="89" t="s">
        <v>7569</v>
      </c>
      <c r="C636" s="89" t="s">
        <v>3880</v>
      </c>
      <c r="D636" s="131">
        <v>75</v>
      </c>
      <c r="E636" s="131"/>
      <c r="F636" s="90">
        <f t="shared" si="13"/>
        <v>75</v>
      </c>
      <c r="G636" s="132">
        <v>45</v>
      </c>
      <c r="H636" s="133">
        <v>145</v>
      </c>
    </row>
    <row r="637" spans="1:8" ht="15" x14ac:dyDescent="0.2">
      <c r="A637" s="130" t="s">
        <v>3017</v>
      </c>
      <c r="B637" s="89" t="s">
        <v>3020</v>
      </c>
      <c r="C637" s="89" t="s">
        <v>7570</v>
      </c>
      <c r="D637" s="131">
        <v>420</v>
      </c>
      <c r="E637" s="131">
        <v>404.22</v>
      </c>
      <c r="F637" s="90">
        <f t="shared" si="13"/>
        <v>824.22</v>
      </c>
      <c r="G637" s="132">
        <v>762.23</v>
      </c>
      <c r="H637" s="133">
        <v>358.19</v>
      </c>
    </row>
    <row r="638" spans="1:8" ht="15" x14ac:dyDescent="0.2">
      <c r="A638" s="130" t="s">
        <v>3027</v>
      </c>
      <c r="B638" s="89" t="s">
        <v>3030</v>
      </c>
      <c r="C638" s="89" t="s">
        <v>3029</v>
      </c>
      <c r="D638" s="131">
        <v>1341.19</v>
      </c>
      <c r="E638" s="131">
        <v>0</v>
      </c>
      <c r="F638" s="90">
        <f t="shared" si="13"/>
        <v>1341.19</v>
      </c>
      <c r="G638" s="132">
        <v>1515</v>
      </c>
      <c r="H638" s="133">
        <v>1988.23</v>
      </c>
    </row>
    <row r="639" spans="1:8" ht="15" x14ac:dyDescent="0.2">
      <c r="A639" s="130" t="s">
        <v>3039</v>
      </c>
      <c r="B639" s="89" t="s">
        <v>3041</v>
      </c>
      <c r="C639" s="89" t="s">
        <v>2615</v>
      </c>
      <c r="D639" s="131">
        <v>440</v>
      </c>
      <c r="E639" s="131">
        <v>103</v>
      </c>
      <c r="F639" s="90">
        <f t="shared" si="13"/>
        <v>543</v>
      </c>
      <c r="G639" s="132">
        <v>577.16</v>
      </c>
      <c r="H639" s="133">
        <v>1021.16</v>
      </c>
    </row>
    <row r="640" spans="1:8" ht="15" x14ac:dyDescent="0.2">
      <c r="A640" s="130" t="s">
        <v>3050</v>
      </c>
      <c r="B640" s="89" t="s">
        <v>3041</v>
      </c>
      <c r="C640" s="89" t="s">
        <v>7571</v>
      </c>
      <c r="D640" s="131">
        <v>864</v>
      </c>
      <c r="E640" s="131">
        <v>1975.67</v>
      </c>
      <c r="F640" s="90">
        <f t="shared" si="13"/>
        <v>2839.67</v>
      </c>
      <c r="G640" s="132">
        <v>3219.6</v>
      </c>
      <c r="H640" s="133">
        <v>2847.28</v>
      </c>
    </row>
    <row r="641" spans="1:8" ht="15" x14ac:dyDescent="0.2">
      <c r="A641" s="130" t="s">
        <v>3056</v>
      </c>
      <c r="B641" s="89" t="s">
        <v>3041</v>
      </c>
      <c r="C641" s="89" t="s">
        <v>7572</v>
      </c>
      <c r="D641" s="131">
        <v>2416.27</v>
      </c>
      <c r="E641" s="131"/>
      <c r="F641" s="90">
        <f t="shared" si="13"/>
        <v>2416.27</v>
      </c>
      <c r="G641" s="132">
        <v>728.87</v>
      </c>
      <c r="H641" s="133">
        <v>929.62</v>
      </c>
    </row>
    <row r="642" spans="1:8" ht="15" x14ac:dyDescent="0.2">
      <c r="A642" s="130" t="s">
        <v>3059</v>
      </c>
      <c r="B642" s="89" t="s">
        <v>3062</v>
      </c>
      <c r="C642" s="89" t="s">
        <v>3061</v>
      </c>
      <c r="D642" s="131">
        <v>80</v>
      </c>
      <c r="E642" s="134">
        <v>498.41</v>
      </c>
      <c r="F642" s="90">
        <f t="shared" si="13"/>
        <v>578.41000000000008</v>
      </c>
      <c r="G642" s="132"/>
      <c r="H642" s="133"/>
    </row>
    <row r="643" spans="1:8" ht="15" x14ac:dyDescent="0.2">
      <c r="A643" s="130" t="s">
        <v>3067</v>
      </c>
      <c r="B643" s="89" t="s">
        <v>7573</v>
      </c>
      <c r="C643" s="89" t="s">
        <v>7574</v>
      </c>
      <c r="D643" s="131">
        <v>355</v>
      </c>
      <c r="E643" s="131">
        <v>1842.09</v>
      </c>
      <c r="F643" s="90">
        <f t="shared" si="13"/>
        <v>2197.09</v>
      </c>
      <c r="G643" s="132">
        <v>1826.88</v>
      </c>
      <c r="H643" s="133">
        <v>1470.01</v>
      </c>
    </row>
    <row r="644" spans="1:8" ht="15" x14ac:dyDescent="0.2">
      <c r="A644" s="130" t="s">
        <v>3074</v>
      </c>
      <c r="B644" s="89" t="s">
        <v>7575</v>
      </c>
      <c r="C644" s="89" t="s">
        <v>7570</v>
      </c>
      <c r="D644" s="131">
        <v>288</v>
      </c>
      <c r="E644" s="131"/>
      <c r="F644" s="90">
        <f t="shared" si="13"/>
        <v>288</v>
      </c>
      <c r="G644" s="132">
        <v>1021.24</v>
      </c>
      <c r="H644" s="133">
        <v>1214.6600000000001</v>
      </c>
    </row>
    <row r="645" spans="1:8" ht="15" x14ac:dyDescent="0.2">
      <c r="A645" s="130" t="s">
        <v>3078</v>
      </c>
      <c r="B645" s="89" t="s">
        <v>3081</v>
      </c>
      <c r="C645" s="89" t="s">
        <v>7445</v>
      </c>
      <c r="D645" s="131">
        <v>50</v>
      </c>
      <c r="E645" s="131">
        <v>157.32</v>
      </c>
      <c r="F645" s="90">
        <f t="shared" si="13"/>
        <v>207.32</v>
      </c>
      <c r="G645" s="132">
        <v>254</v>
      </c>
      <c r="H645" s="133">
        <v>248.8</v>
      </c>
    </row>
    <row r="646" spans="1:8" ht="15" x14ac:dyDescent="0.2">
      <c r="A646" s="130" t="s">
        <v>3082</v>
      </c>
      <c r="B646" s="89" t="s">
        <v>3085</v>
      </c>
      <c r="C646" s="89" t="s">
        <v>846</v>
      </c>
      <c r="D646" s="131">
        <v>155</v>
      </c>
      <c r="E646" s="131">
        <v>663</v>
      </c>
      <c r="F646" s="90">
        <f t="shared" si="13"/>
        <v>818</v>
      </c>
      <c r="G646" s="132">
        <v>992</v>
      </c>
      <c r="H646" s="133">
        <v>1172</v>
      </c>
    </row>
    <row r="647" spans="1:8" ht="15" x14ac:dyDescent="0.2">
      <c r="A647" s="130" t="s">
        <v>3090</v>
      </c>
      <c r="B647" s="89" t="s">
        <v>3093</v>
      </c>
      <c r="C647" s="89" t="s">
        <v>7576</v>
      </c>
      <c r="D647" s="131">
        <v>235</v>
      </c>
      <c r="E647" s="131">
        <v>1401.83</v>
      </c>
      <c r="F647" s="90">
        <f t="shared" si="13"/>
        <v>1636.83</v>
      </c>
      <c r="G647" s="132">
        <v>1194.7</v>
      </c>
      <c r="H647" s="133">
        <v>1219.5</v>
      </c>
    </row>
    <row r="648" spans="1:8" ht="15" x14ac:dyDescent="0.2">
      <c r="A648" s="130" t="s">
        <v>3094</v>
      </c>
      <c r="B648" s="89" t="s">
        <v>3097</v>
      </c>
      <c r="C648" s="89" t="s">
        <v>7450</v>
      </c>
      <c r="D648" s="131">
        <v>170</v>
      </c>
      <c r="E648" s="131">
        <v>2535.77</v>
      </c>
      <c r="F648" s="90">
        <f t="shared" si="13"/>
        <v>2705.77</v>
      </c>
      <c r="G648" s="132">
        <v>2652.83</v>
      </c>
      <c r="H648" s="133">
        <v>2625.9</v>
      </c>
    </row>
    <row r="649" spans="1:8" ht="15" x14ac:dyDescent="0.2">
      <c r="A649" s="130" t="s">
        <v>3098</v>
      </c>
      <c r="B649" s="89" t="s">
        <v>3101</v>
      </c>
      <c r="C649" s="89" t="s">
        <v>7577</v>
      </c>
      <c r="D649" s="131">
        <v>15</v>
      </c>
      <c r="E649" s="131">
        <v>676</v>
      </c>
      <c r="F649" s="90">
        <f t="shared" si="13"/>
        <v>691</v>
      </c>
      <c r="G649" s="132">
        <v>671.32</v>
      </c>
      <c r="H649" s="133">
        <v>559.99</v>
      </c>
    </row>
    <row r="650" spans="1:8" ht="15" x14ac:dyDescent="0.2">
      <c r="A650" s="130" t="s">
        <v>3108</v>
      </c>
      <c r="B650" s="89" t="s">
        <v>7578</v>
      </c>
      <c r="C650" s="89" t="s">
        <v>1065</v>
      </c>
      <c r="D650" s="131">
        <v>50</v>
      </c>
      <c r="E650" s="131">
        <v>691.09</v>
      </c>
      <c r="F650" s="90">
        <f t="shared" si="13"/>
        <v>741.09</v>
      </c>
      <c r="G650" s="132">
        <v>1163.5</v>
      </c>
      <c r="H650" s="133">
        <v>1038.32</v>
      </c>
    </row>
    <row r="651" spans="1:8" ht="15" x14ac:dyDescent="0.2">
      <c r="A651" s="135" t="s">
        <v>3114</v>
      </c>
      <c r="B651" s="131" t="s">
        <v>3117</v>
      </c>
      <c r="C651" s="131" t="s">
        <v>7577</v>
      </c>
      <c r="D651" s="131">
        <v>220</v>
      </c>
      <c r="E651" s="131">
        <v>374</v>
      </c>
      <c r="F651" s="90">
        <f t="shared" si="13"/>
        <v>594</v>
      </c>
      <c r="G651" s="132">
        <v>420.59000000000003</v>
      </c>
      <c r="H651" s="133">
        <v>415.01</v>
      </c>
    </row>
    <row r="652" spans="1:8" ht="15" x14ac:dyDescent="0.2">
      <c r="A652" s="135" t="s">
        <v>3118</v>
      </c>
      <c r="B652" s="131" t="s">
        <v>7579</v>
      </c>
      <c r="C652" s="131" t="s">
        <v>7580</v>
      </c>
      <c r="D652" s="131">
        <v>65</v>
      </c>
      <c r="E652" s="131">
        <v>945.81</v>
      </c>
      <c r="F652" s="90">
        <f t="shared" si="13"/>
        <v>1010.81</v>
      </c>
      <c r="G652" s="132">
        <v>1008.08</v>
      </c>
      <c r="H652" s="133">
        <v>855.87</v>
      </c>
    </row>
    <row r="653" spans="1:8" ht="15" x14ac:dyDescent="0.2">
      <c r="A653" s="135" t="s">
        <v>3122</v>
      </c>
      <c r="B653" s="131" t="s">
        <v>3125</v>
      </c>
      <c r="C653" s="131" t="s">
        <v>3124</v>
      </c>
      <c r="D653" s="131">
        <v>745.52</v>
      </c>
      <c r="E653" s="134"/>
      <c r="F653" s="90">
        <f t="shared" si="13"/>
        <v>745.52</v>
      </c>
      <c r="G653" s="132">
        <v>609</v>
      </c>
      <c r="H653" s="133">
        <v>410</v>
      </c>
    </row>
    <row r="654" spans="1:8" ht="15" x14ac:dyDescent="0.2">
      <c r="A654" s="135" t="s">
        <v>3130</v>
      </c>
      <c r="B654" s="131" t="s">
        <v>3113</v>
      </c>
      <c r="C654" s="131" t="s">
        <v>7581</v>
      </c>
      <c r="D654" s="131">
        <v>356</v>
      </c>
      <c r="E654" s="131">
        <v>539</v>
      </c>
      <c r="F654" s="90">
        <f t="shared" si="13"/>
        <v>895</v>
      </c>
      <c r="G654" s="132">
        <v>1261.6500000000001</v>
      </c>
      <c r="H654" s="133">
        <v>999.94</v>
      </c>
    </row>
    <row r="655" spans="1:8" ht="15" x14ac:dyDescent="0.2">
      <c r="A655" s="135" t="s">
        <v>3133</v>
      </c>
      <c r="B655" s="131" t="s">
        <v>3113</v>
      </c>
      <c r="C655" s="131" t="s">
        <v>226</v>
      </c>
      <c r="D655" s="131">
        <v>1379</v>
      </c>
      <c r="E655" s="131">
        <v>1601.8</v>
      </c>
      <c r="F655" s="90">
        <f t="shared" si="13"/>
        <v>2980.8</v>
      </c>
      <c r="G655" s="132">
        <v>3108.0299999999997</v>
      </c>
      <c r="H655" s="133">
        <v>2414.42</v>
      </c>
    </row>
    <row r="656" spans="1:8" ht="15" x14ac:dyDescent="0.2">
      <c r="A656" s="135" t="s">
        <v>3140</v>
      </c>
      <c r="B656" s="131" t="s">
        <v>3113</v>
      </c>
      <c r="C656" s="131" t="s">
        <v>7582</v>
      </c>
      <c r="D656" s="131">
        <v>160</v>
      </c>
      <c r="E656" s="131">
        <v>284.02999999999997</v>
      </c>
      <c r="F656" s="90">
        <f t="shared" si="13"/>
        <v>444.03</v>
      </c>
      <c r="G656" s="132">
        <v>662.9</v>
      </c>
      <c r="H656" s="133">
        <v>900.7</v>
      </c>
    </row>
    <row r="657" spans="1:8" ht="15" x14ac:dyDescent="0.2">
      <c r="A657" s="135" t="s">
        <v>3143</v>
      </c>
      <c r="B657" s="131" t="s">
        <v>3113</v>
      </c>
      <c r="C657" s="131" t="s">
        <v>7583</v>
      </c>
      <c r="D657" s="131">
        <v>120</v>
      </c>
      <c r="E657" s="131">
        <v>1022.44</v>
      </c>
      <c r="F657" s="90">
        <f t="shared" si="13"/>
        <v>1142.44</v>
      </c>
      <c r="G657" s="132">
        <v>1286.53</v>
      </c>
      <c r="H657" s="133">
        <v>1197.53</v>
      </c>
    </row>
    <row r="658" spans="1:8" ht="15" x14ac:dyDescent="0.2">
      <c r="A658" s="135" t="s">
        <v>3146</v>
      </c>
      <c r="B658" s="131" t="s">
        <v>3113</v>
      </c>
      <c r="C658" s="131" t="s">
        <v>7584</v>
      </c>
      <c r="D658" s="131">
        <v>570</v>
      </c>
      <c r="E658" s="131">
        <v>678.15</v>
      </c>
      <c r="F658" s="90">
        <f t="shared" si="13"/>
        <v>1248.1500000000001</v>
      </c>
      <c r="G658" s="132">
        <v>1381.5</v>
      </c>
      <c r="H658" s="133">
        <v>1073</v>
      </c>
    </row>
    <row r="659" spans="1:8" ht="15" x14ac:dyDescent="0.2">
      <c r="A659" s="135" t="s">
        <v>3151</v>
      </c>
      <c r="B659" s="131" t="s">
        <v>7585</v>
      </c>
      <c r="C659" s="131" t="s">
        <v>7586</v>
      </c>
      <c r="D659" s="131">
        <v>2120</v>
      </c>
      <c r="E659" s="131">
        <v>1180.6500000000001</v>
      </c>
      <c r="F659" s="90">
        <f t="shared" si="13"/>
        <v>3300.65</v>
      </c>
      <c r="G659" s="132">
        <v>1595.84</v>
      </c>
      <c r="H659" s="133">
        <v>1540.29</v>
      </c>
    </row>
    <row r="660" spans="1:8" ht="15" x14ac:dyDescent="0.2">
      <c r="A660" s="135" t="s">
        <v>3159</v>
      </c>
      <c r="B660" s="131" t="s">
        <v>7587</v>
      </c>
      <c r="C660" s="131" t="s">
        <v>7588</v>
      </c>
      <c r="D660" s="131">
        <v>2000</v>
      </c>
      <c r="E660" s="134"/>
      <c r="F660" s="90">
        <f t="shared" si="13"/>
        <v>2000</v>
      </c>
      <c r="G660" s="132">
        <v>2499</v>
      </c>
      <c r="H660" s="133"/>
    </row>
    <row r="661" spans="1:8" ht="15" x14ac:dyDescent="0.2">
      <c r="A661" s="130" t="s">
        <v>3163</v>
      </c>
      <c r="B661" s="89" t="s">
        <v>3165</v>
      </c>
      <c r="C661" s="89" t="s">
        <v>119</v>
      </c>
      <c r="D661" s="131">
        <v>267</v>
      </c>
      <c r="E661" s="131">
        <v>663.4</v>
      </c>
      <c r="F661" s="90">
        <f t="shared" si="13"/>
        <v>930.4</v>
      </c>
      <c r="G661" s="132">
        <v>633.04999999999995</v>
      </c>
      <c r="H661" s="133">
        <v>664.82</v>
      </c>
    </row>
    <row r="662" spans="1:8" ht="15" x14ac:dyDescent="0.2">
      <c r="A662" s="130" t="s">
        <v>3171</v>
      </c>
      <c r="B662" s="89" t="s">
        <v>3173</v>
      </c>
      <c r="C662" s="89" t="s">
        <v>2816</v>
      </c>
      <c r="D662" s="131">
        <v>1742</v>
      </c>
      <c r="E662" s="131"/>
      <c r="F662" s="90">
        <f t="shared" si="13"/>
        <v>1742</v>
      </c>
      <c r="G662" s="132">
        <v>1640</v>
      </c>
      <c r="H662" s="133">
        <v>1550</v>
      </c>
    </row>
    <row r="663" spans="1:8" ht="15" x14ac:dyDescent="0.2">
      <c r="A663" s="130" t="s">
        <v>3178</v>
      </c>
      <c r="B663" s="89" t="s">
        <v>3162</v>
      </c>
      <c r="C663" s="89" t="s">
        <v>3180</v>
      </c>
      <c r="D663" s="131">
        <v>787</v>
      </c>
      <c r="E663" s="131">
        <v>532</v>
      </c>
      <c r="F663" s="90">
        <f t="shared" si="13"/>
        <v>1319</v>
      </c>
      <c r="G663" s="132">
        <v>1345.6</v>
      </c>
      <c r="H663" s="133">
        <v>622.4</v>
      </c>
    </row>
    <row r="664" spans="1:8" ht="15" x14ac:dyDescent="0.2">
      <c r="A664" s="130" t="s">
        <v>3182</v>
      </c>
      <c r="B664" s="89" t="s">
        <v>3184</v>
      </c>
      <c r="C664" s="89" t="s">
        <v>1284</v>
      </c>
      <c r="D664" s="131">
        <v>75</v>
      </c>
      <c r="E664" s="131">
        <v>870.02</v>
      </c>
      <c r="F664" s="90">
        <f t="shared" si="13"/>
        <v>945.02</v>
      </c>
      <c r="G664" s="132">
        <v>1076.28</v>
      </c>
      <c r="H664" s="133">
        <v>1279.3</v>
      </c>
    </row>
    <row r="665" spans="1:8" ht="15" x14ac:dyDescent="0.2">
      <c r="A665" s="130" t="s">
        <v>3192</v>
      </c>
      <c r="B665" s="89" t="s">
        <v>7589</v>
      </c>
      <c r="C665" s="89" t="s">
        <v>3194</v>
      </c>
      <c r="D665" s="131">
        <v>1108.54</v>
      </c>
      <c r="E665" s="131">
        <v>666.44</v>
      </c>
      <c r="F665" s="90">
        <f>D665+E665</f>
        <v>1774.98</v>
      </c>
      <c r="G665" s="132">
        <v>1999</v>
      </c>
      <c r="H665" s="133">
        <v>1494.59</v>
      </c>
    </row>
    <row r="666" spans="1:8" ht="15" x14ac:dyDescent="0.2">
      <c r="A666" s="130" t="s">
        <v>3197</v>
      </c>
      <c r="B666" s="89" t="s">
        <v>3195</v>
      </c>
      <c r="C666" s="89" t="s">
        <v>7590</v>
      </c>
      <c r="D666" s="131">
        <v>40</v>
      </c>
      <c r="E666" s="131">
        <v>340</v>
      </c>
      <c r="F666" s="90">
        <f t="shared" si="13"/>
        <v>380</v>
      </c>
      <c r="G666" s="132">
        <v>839.62</v>
      </c>
      <c r="H666" s="133">
        <v>798.68000000000006</v>
      </c>
    </row>
    <row r="667" spans="1:8" ht="15" x14ac:dyDescent="0.2">
      <c r="A667" s="130" t="s">
        <v>3206</v>
      </c>
      <c r="B667" s="89" t="s">
        <v>3195</v>
      </c>
      <c r="C667" s="89" t="s">
        <v>299</v>
      </c>
      <c r="D667" s="131">
        <v>1244.01</v>
      </c>
      <c r="E667" s="131">
        <v>0</v>
      </c>
      <c r="F667" s="90">
        <f>D667+E667</f>
        <v>1244.01</v>
      </c>
      <c r="G667" s="132">
        <v>1596</v>
      </c>
      <c r="H667" s="133">
        <v>769.94</v>
      </c>
    </row>
    <row r="668" spans="1:8" ht="15" x14ac:dyDescent="0.2">
      <c r="A668" s="130" t="s">
        <v>3213</v>
      </c>
      <c r="B668" s="89" t="s">
        <v>7591</v>
      </c>
      <c r="C668" s="89" t="s">
        <v>3215</v>
      </c>
      <c r="D668" s="131">
        <v>25</v>
      </c>
      <c r="E668" s="131"/>
      <c r="F668" s="90">
        <f t="shared" si="13"/>
        <v>25</v>
      </c>
      <c r="G668" s="132">
        <v>25</v>
      </c>
      <c r="H668" s="133">
        <v>57.89</v>
      </c>
    </row>
    <row r="669" spans="1:8" ht="15" x14ac:dyDescent="0.2">
      <c r="A669" s="130" t="s">
        <v>3220</v>
      </c>
      <c r="B669" s="89" t="s">
        <v>7592</v>
      </c>
      <c r="C669" s="89" t="s">
        <v>3222</v>
      </c>
      <c r="D669" s="131">
        <v>0</v>
      </c>
      <c r="E669" s="131"/>
      <c r="F669" s="90">
        <f t="shared" si="13"/>
        <v>0</v>
      </c>
      <c r="G669" s="132">
        <v>30</v>
      </c>
      <c r="H669" s="133">
        <v>30</v>
      </c>
    </row>
    <row r="670" spans="1:8" ht="15" x14ac:dyDescent="0.2">
      <c r="A670" s="130" t="s">
        <v>3223</v>
      </c>
      <c r="B670" s="89" t="s">
        <v>7593</v>
      </c>
      <c r="C670" s="89" t="s">
        <v>6593</v>
      </c>
      <c r="D670" s="131">
        <v>0</v>
      </c>
      <c r="E670" s="131">
        <v>86.5</v>
      </c>
      <c r="F670" s="90">
        <f t="shared" si="13"/>
        <v>86.5</v>
      </c>
      <c r="G670" s="132">
        <v>79.38</v>
      </c>
      <c r="H670" s="133">
        <v>198.42000000000002</v>
      </c>
    </row>
    <row r="671" spans="1:8" ht="15" x14ac:dyDescent="0.2">
      <c r="A671" s="130" t="s">
        <v>3226</v>
      </c>
      <c r="B671" s="89" t="s">
        <v>3228</v>
      </c>
      <c r="C671" s="89" t="s">
        <v>1284</v>
      </c>
      <c r="D671" s="131">
        <v>560</v>
      </c>
      <c r="E671" s="131">
        <v>620.98</v>
      </c>
      <c r="F671" s="90">
        <f t="shared" si="13"/>
        <v>1180.98</v>
      </c>
      <c r="G671" s="132">
        <v>1893.3200000000002</v>
      </c>
      <c r="H671" s="133">
        <v>1156.32</v>
      </c>
    </row>
    <row r="672" spans="1:8" ht="15" x14ac:dyDescent="0.2">
      <c r="A672" s="130" t="s">
        <v>3231</v>
      </c>
      <c r="B672" s="89" t="s">
        <v>7594</v>
      </c>
      <c r="C672" s="89" t="s">
        <v>532</v>
      </c>
      <c r="D672" s="131">
        <v>886</v>
      </c>
      <c r="E672" s="131">
        <v>201.67</v>
      </c>
      <c r="F672" s="90">
        <f t="shared" si="13"/>
        <v>1087.67</v>
      </c>
      <c r="G672" s="132">
        <v>930.12</v>
      </c>
      <c r="H672" s="133">
        <v>826.78</v>
      </c>
    </row>
    <row r="673" spans="1:8" ht="15" x14ac:dyDescent="0.2">
      <c r="A673" s="130" t="s">
        <v>3233</v>
      </c>
      <c r="B673" s="89" t="s">
        <v>7595</v>
      </c>
      <c r="C673" s="89" t="s">
        <v>1203</v>
      </c>
      <c r="D673" s="131">
        <v>95</v>
      </c>
      <c r="E673" s="131">
        <v>792.13</v>
      </c>
      <c r="F673" s="90">
        <f t="shared" si="13"/>
        <v>887.13</v>
      </c>
      <c r="G673" s="132">
        <v>1496.5</v>
      </c>
      <c r="H673" s="133">
        <v>937.5</v>
      </c>
    </row>
    <row r="674" spans="1:8" ht="15" x14ac:dyDescent="0.2">
      <c r="A674" s="130" t="s">
        <v>7596</v>
      </c>
      <c r="B674" s="89" t="s">
        <v>7597</v>
      </c>
      <c r="C674" s="89" t="s">
        <v>7598</v>
      </c>
      <c r="D674" s="131">
        <f>570+80</f>
        <v>650</v>
      </c>
      <c r="E674" s="131">
        <v>1310.94</v>
      </c>
      <c r="F674" s="90">
        <f t="shared" si="13"/>
        <v>1960.94</v>
      </c>
      <c r="G674" s="132">
        <v>1467.87</v>
      </c>
      <c r="H674" s="133">
        <v>1397.06</v>
      </c>
    </row>
    <row r="675" spans="1:8" ht="15" x14ac:dyDescent="0.2">
      <c r="A675" s="130" t="s">
        <v>3241</v>
      </c>
      <c r="B675" s="89" t="s">
        <v>3243</v>
      </c>
      <c r="C675" s="89" t="s">
        <v>1284</v>
      </c>
      <c r="D675" s="131">
        <v>180</v>
      </c>
      <c r="E675" s="131"/>
      <c r="F675" s="90">
        <f t="shared" si="13"/>
        <v>180</v>
      </c>
      <c r="G675" s="132">
        <v>352.36</v>
      </c>
      <c r="H675" s="133">
        <v>115</v>
      </c>
    </row>
    <row r="676" spans="1:8" ht="15" x14ac:dyDescent="0.2">
      <c r="A676" s="130" t="s">
        <v>3248</v>
      </c>
      <c r="B676" s="89" t="s">
        <v>3251</v>
      </c>
      <c r="C676" s="89" t="s">
        <v>1355</v>
      </c>
      <c r="D676" s="131">
        <v>200</v>
      </c>
      <c r="E676" s="131">
        <v>915.49</v>
      </c>
      <c r="F676" s="90">
        <f t="shared" si="13"/>
        <v>1115.49</v>
      </c>
      <c r="G676" s="132">
        <v>1120.17</v>
      </c>
      <c r="H676" s="133">
        <v>749.29</v>
      </c>
    </row>
    <row r="677" spans="1:8" ht="15" x14ac:dyDescent="0.2">
      <c r="A677" s="130" t="s">
        <v>7599</v>
      </c>
      <c r="B677" s="89" t="s">
        <v>3259</v>
      </c>
      <c r="C677" s="89" t="s">
        <v>7600</v>
      </c>
      <c r="D677" s="131">
        <v>335</v>
      </c>
      <c r="E677" s="131">
        <v>1221.44</v>
      </c>
      <c r="F677" s="90">
        <f t="shared" si="13"/>
        <v>1556.44</v>
      </c>
      <c r="G677" s="132">
        <v>1852.68</v>
      </c>
      <c r="H677" s="133">
        <v>1978.01</v>
      </c>
    </row>
    <row r="678" spans="1:8" ht="15" x14ac:dyDescent="0.2">
      <c r="A678" s="130" t="s">
        <v>3260</v>
      </c>
      <c r="B678" s="89" t="s">
        <v>3263</v>
      </c>
      <c r="C678" s="89" t="s">
        <v>5063</v>
      </c>
      <c r="D678" s="131">
        <v>215</v>
      </c>
      <c r="E678" s="131">
        <v>491.24</v>
      </c>
      <c r="F678" s="90">
        <f t="shared" si="13"/>
        <v>706.24</v>
      </c>
      <c r="G678" s="132">
        <v>913.38</v>
      </c>
      <c r="H678" s="133">
        <v>778.18000000000006</v>
      </c>
    </row>
    <row r="679" spans="1:8" ht="15" x14ac:dyDescent="0.2">
      <c r="A679" s="130" t="s">
        <v>3272</v>
      </c>
      <c r="B679" s="89" t="s">
        <v>3274</v>
      </c>
      <c r="C679" s="89" t="s">
        <v>7318</v>
      </c>
      <c r="D679" s="131">
        <v>225</v>
      </c>
      <c r="E679" s="131">
        <v>261.8</v>
      </c>
      <c r="F679" s="90">
        <f t="shared" si="13"/>
        <v>486.8</v>
      </c>
      <c r="G679" s="132">
        <v>991.72</v>
      </c>
      <c r="H679" s="133">
        <v>754.92</v>
      </c>
    </row>
    <row r="680" spans="1:8" ht="15" x14ac:dyDescent="0.2">
      <c r="A680" s="130" t="s">
        <v>3289</v>
      </c>
      <c r="B680" s="89" t="s">
        <v>3292</v>
      </c>
      <c r="C680" s="89" t="s">
        <v>7601</v>
      </c>
      <c r="D680" s="131">
        <v>407.57</v>
      </c>
      <c r="E680" s="131">
        <v>694.56</v>
      </c>
      <c r="F680" s="90">
        <f t="shared" si="13"/>
        <v>1102.1299999999999</v>
      </c>
      <c r="G680" s="132">
        <v>673</v>
      </c>
      <c r="H680" s="133">
        <v>840.04</v>
      </c>
    </row>
    <row r="681" spans="1:8" ht="15" x14ac:dyDescent="0.2">
      <c r="A681" s="130" t="s">
        <v>7602</v>
      </c>
      <c r="B681" s="89" t="s">
        <v>7603</v>
      </c>
      <c r="C681" s="89" t="s">
        <v>78</v>
      </c>
      <c r="D681" s="131">
        <f>225+55</f>
        <v>280</v>
      </c>
      <c r="E681" s="131">
        <v>537.26</v>
      </c>
      <c r="F681" s="90">
        <f t="shared" si="13"/>
        <v>817.26</v>
      </c>
      <c r="G681" s="132">
        <v>544.87</v>
      </c>
      <c r="H681" s="133">
        <v>588.9</v>
      </c>
    </row>
    <row r="682" spans="1:8" ht="15" x14ac:dyDescent="0.2">
      <c r="A682" s="130" t="s">
        <v>3296</v>
      </c>
      <c r="B682" s="89" t="s">
        <v>3299</v>
      </c>
      <c r="C682" s="89" t="s">
        <v>7604</v>
      </c>
      <c r="D682" s="131">
        <v>835</v>
      </c>
      <c r="E682" s="131">
        <v>965.58</v>
      </c>
      <c r="F682" s="90">
        <f t="shared" si="13"/>
        <v>1800.58</v>
      </c>
      <c r="G682" s="132">
        <v>1280.29</v>
      </c>
      <c r="H682" s="133">
        <v>928.80000000000007</v>
      </c>
    </row>
    <row r="683" spans="1:8" ht="15" x14ac:dyDescent="0.2">
      <c r="A683" s="130" t="s">
        <v>3304</v>
      </c>
      <c r="B683" s="89" t="s">
        <v>3110</v>
      </c>
      <c r="C683" s="89" t="s">
        <v>226</v>
      </c>
      <c r="D683" s="131">
        <v>0</v>
      </c>
      <c r="E683" s="131">
        <v>421.3</v>
      </c>
      <c r="F683" s="90">
        <f t="shared" si="13"/>
        <v>421.3</v>
      </c>
      <c r="G683" s="132">
        <v>443.68</v>
      </c>
      <c r="H683" s="133">
        <v>200</v>
      </c>
    </row>
    <row r="684" spans="1:8" ht="15" x14ac:dyDescent="0.2">
      <c r="A684" s="130" t="s">
        <v>3315</v>
      </c>
      <c r="B684" s="89" t="s">
        <v>7605</v>
      </c>
      <c r="C684" s="89" t="s">
        <v>3047</v>
      </c>
      <c r="D684" s="131">
        <v>10</v>
      </c>
      <c r="E684" s="131"/>
      <c r="F684" s="90">
        <f t="shared" si="13"/>
        <v>10</v>
      </c>
      <c r="G684" s="132">
        <v>0</v>
      </c>
      <c r="H684" s="133">
        <v>138.35</v>
      </c>
    </row>
    <row r="685" spans="1:8" ht="15" x14ac:dyDescent="0.2">
      <c r="A685" s="130" t="s">
        <v>7606</v>
      </c>
      <c r="B685" s="89" t="s">
        <v>7607</v>
      </c>
      <c r="C685" s="89" t="s">
        <v>7261</v>
      </c>
      <c r="D685" s="131">
        <f>305.95+50</f>
        <v>355.95</v>
      </c>
      <c r="E685" s="131"/>
      <c r="F685" s="90">
        <f t="shared" si="13"/>
        <v>355.95</v>
      </c>
      <c r="G685" s="132">
        <v>270</v>
      </c>
      <c r="H685" s="133">
        <v>203</v>
      </c>
    </row>
    <row r="686" spans="1:8" ht="16.5" thickBot="1" x14ac:dyDescent="0.25">
      <c r="A686" s="136" t="s">
        <v>307</v>
      </c>
      <c r="B686" s="137"/>
      <c r="C686" s="137"/>
      <c r="D686" s="138">
        <f>SUM(D630:D685)</f>
        <v>26586.550000000003</v>
      </c>
      <c r="E686" s="138">
        <v>32992.720000000001</v>
      </c>
      <c r="F686" s="139">
        <f t="shared" si="13"/>
        <v>59579.270000000004</v>
      </c>
      <c r="G686" s="139">
        <v>59338.020000000011</v>
      </c>
      <c r="H686" s="140">
        <v>49334.3</v>
      </c>
    </row>
    <row r="687" spans="1:8" s="62" customFormat="1" x14ac:dyDescent="0.2">
      <c r="A687" s="60" t="s">
        <v>7262</v>
      </c>
      <c r="B687" s="60"/>
      <c r="C687" s="60"/>
      <c r="D687" s="60"/>
      <c r="E687" s="60"/>
      <c r="F687" s="61"/>
      <c r="G687" s="61"/>
      <c r="H687" s="60"/>
    </row>
    <row r="688" spans="1:8" ht="20.25" x14ac:dyDescent="0.2">
      <c r="A688" s="256" t="s">
        <v>7608</v>
      </c>
      <c r="B688" s="256"/>
      <c r="C688" s="256"/>
      <c r="D688" s="256"/>
      <c r="E688" s="256"/>
      <c r="F688" s="256"/>
      <c r="G688" s="256"/>
      <c r="H688" s="86"/>
    </row>
    <row r="689" spans="1:8" ht="15.75" x14ac:dyDescent="0.2">
      <c r="A689" s="141" t="s">
        <v>1</v>
      </c>
      <c r="B689" s="141" t="s">
        <v>2</v>
      </c>
      <c r="C689" s="141" t="s">
        <v>3</v>
      </c>
      <c r="D689" s="142"/>
      <c r="E689" s="143"/>
      <c r="F689" s="142">
        <v>2018</v>
      </c>
      <c r="G689" s="144">
        <v>2017</v>
      </c>
      <c r="H689" s="145" t="s">
        <v>7178</v>
      </c>
    </row>
    <row r="690" spans="1:8" ht="15.75" x14ac:dyDescent="0.2">
      <c r="A690" s="89" t="s">
        <v>3323</v>
      </c>
      <c r="B690" s="89" t="s">
        <v>7609</v>
      </c>
      <c r="C690" s="89" t="s">
        <v>3325</v>
      </c>
      <c r="D690" s="146">
        <v>94</v>
      </c>
      <c r="E690" s="89">
        <v>0</v>
      </c>
      <c r="F690" s="90">
        <f>D690+E690</f>
        <v>94</v>
      </c>
      <c r="G690" s="147">
        <v>134</v>
      </c>
      <c r="H690" s="148">
        <v>114</v>
      </c>
    </row>
    <row r="691" spans="1:8" ht="15.75" x14ac:dyDescent="0.2">
      <c r="A691" s="89" t="s">
        <v>3327</v>
      </c>
      <c r="B691" s="89" t="s">
        <v>3326</v>
      </c>
      <c r="C691" s="89" t="s">
        <v>1203</v>
      </c>
      <c r="D691" s="146">
        <v>20</v>
      </c>
      <c r="E691" s="89">
        <v>0</v>
      </c>
      <c r="F691" s="90">
        <f t="shared" ref="F691:F730" si="14">D691+E691</f>
        <v>20</v>
      </c>
      <c r="G691" s="147"/>
      <c r="H691" s="148"/>
    </row>
    <row r="692" spans="1:8" ht="15.75" x14ac:dyDescent="0.2">
      <c r="A692" s="89" t="s">
        <v>3330</v>
      </c>
      <c r="B692" s="89" t="s">
        <v>3326</v>
      </c>
      <c r="C692" s="89" t="s">
        <v>119</v>
      </c>
      <c r="D692" s="146">
        <v>283.14999999999998</v>
      </c>
      <c r="E692" s="89">
        <v>1330.17</v>
      </c>
      <c r="F692" s="90">
        <f t="shared" si="14"/>
        <v>1613.3200000000002</v>
      </c>
      <c r="G692" s="147">
        <v>1518.83</v>
      </c>
      <c r="H692" s="148">
        <v>1216.3600000000001</v>
      </c>
    </row>
    <row r="693" spans="1:8" ht="15.75" x14ac:dyDescent="0.2">
      <c r="A693" s="89" t="s">
        <v>3333</v>
      </c>
      <c r="B693" s="89" t="s">
        <v>3326</v>
      </c>
      <c r="C693" s="89" t="s">
        <v>7610</v>
      </c>
      <c r="D693" s="146">
        <v>305</v>
      </c>
      <c r="E693" s="89">
        <v>214.17</v>
      </c>
      <c r="F693" s="90">
        <f t="shared" si="14"/>
        <v>519.16999999999996</v>
      </c>
      <c r="G693" s="147">
        <v>755.26</v>
      </c>
      <c r="H693" s="148">
        <v>629.82000000000005</v>
      </c>
    </row>
    <row r="694" spans="1:8" ht="15.75" x14ac:dyDescent="0.2">
      <c r="A694" s="89" t="s">
        <v>3336</v>
      </c>
      <c r="B694" s="89" t="s">
        <v>3326</v>
      </c>
      <c r="C694" s="89" t="s">
        <v>5211</v>
      </c>
      <c r="D694" s="146">
        <v>55</v>
      </c>
      <c r="E694" s="89">
        <v>763.23</v>
      </c>
      <c r="F694" s="90">
        <f t="shared" si="14"/>
        <v>818.23</v>
      </c>
      <c r="G694" s="147">
        <v>959.14</v>
      </c>
      <c r="H694" s="148">
        <v>959.55000000000007</v>
      </c>
    </row>
    <row r="695" spans="1:8" ht="15.75" x14ac:dyDescent="0.2">
      <c r="A695" s="89" t="s">
        <v>3339</v>
      </c>
      <c r="B695" s="89" t="s">
        <v>3326</v>
      </c>
      <c r="C695" s="89" t="s">
        <v>3341</v>
      </c>
      <c r="D695" s="146">
        <v>5</v>
      </c>
      <c r="E695" s="89">
        <v>505.29</v>
      </c>
      <c r="F695" s="90">
        <f t="shared" si="14"/>
        <v>510.29</v>
      </c>
      <c r="G695" s="147">
        <v>442.73</v>
      </c>
      <c r="H695" s="148">
        <v>712.09</v>
      </c>
    </row>
    <row r="696" spans="1:8" ht="15.75" x14ac:dyDescent="0.2">
      <c r="A696" s="89" t="s">
        <v>3342</v>
      </c>
      <c r="B696" s="89" t="s">
        <v>3326</v>
      </c>
      <c r="C696" s="89" t="s">
        <v>7611</v>
      </c>
      <c r="D696" s="146">
        <v>0</v>
      </c>
      <c r="E696" s="89">
        <v>1001.92</v>
      </c>
      <c r="F696" s="90">
        <f t="shared" si="14"/>
        <v>1001.92</v>
      </c>
      <c r="G696" s="147">
        <v>613.65</v>
      </c>
      <c r="H696" s="148">
        <v>409.03000000000003</v>
      </c>
    </row>
    <row r="697" spans="1:8" ht="15.75" x14ac:dyDescent="0.2">
      <c r="A697" s="89" t="s">
        <v>3345</v>
      </c>
      <c r="B697" s="89" t="s">
        <v>3326</v>
      </c>
      <c r="C697" s="89" t="s">
        <v>3347</v>
      </c>
      <c r="D697" s="146">
        <v>310</v>
      </c>
      <c r="E697" s="89">
        <v>0</v>
      </c>
      <c r="F697" s="90">
        <f t="shared" si="14"/>
        <v>310</v>
      </c>
      <c r="G697" s="147">
        <v>578</v>
      </c>
      <c r="H697" s="148">
        <v>1037</v>
      </c>
    </row>
    <row r="698" spans="1:8" ht="15.75" x14ac:dyDescent="0.2">
      <c r="A698" s="89" t="s">
        <v>3348</v>
      </c>
      <c r="B698" s="89" t="s">
        <v>3326</v>
      </c>
      <c r="C698" s="89" t="s">
        <v>1065</v>
      </c>
      <c r="D698" s="146">
        <v>641</v>
      </c>
      <c r="E698" s="89">
        <v>0</v>
      </c>
      <c r="F698" s="90">
        <f t="shared" si="14"/>
        <v>641</v>
      </c>
      <c r="G698" s="147">
        <v>660</v>
      </c>
      <c r="H698" s="148">
        <v>302.61</v>
      </c>
    </row>
    <row r="699" spans="1:8" ht="15.75" x14ac:dyDescent="0.2">
      <c r="A699" s="89" t="s">
        <v>3350</v>
      </c>
      <c r="B699" s="89" t="s">
        <v>3326</v>
      </c>
      <c r="C699" s="89" t="s">
        <v>1284</v>
      </c>
      <c r="D699" s="146">
        <v>328.36</v>
      </c>
      <c r="E699" s="89">
        <v>0</v>
      </c>
      <c r="F699" s="90">
        <f t="shared" si="14"/>
        <v>328.36</v>
      </c>
      <c r="G699" s="147">
        <v>539.02</v>
      </c>
      <c r="H699" s="148">
        <v>1107.3399999999999</v>
      </c>
    </row>
    <row r="700" spans="1:8" ht="15.75" x14ac:dyDescent="0.2">
      <c r="A700" s="89" t="s">
        <v>3352</v>
      </c>
      <c r="B700" s="89" t="s">
        <v>3355</v>
      </c>
      <c r="C700" s="89" t="s">
        <v>7612</v>
      </c>
      <c r="D700" s="146">
        <v>330</v>
      </c>
      <c r="E700" s="89">
        <v>487.02</v>
      </c>
      <c r="F700" s="90">
        <f t="shared" si="14"/>
        <v>817.02</v>
      </c>
      <c r="G700" s="147">
        <v>823.75</v>
      </c>
      <c r="H700" s="148">
        <v>1395.6200000000001</v>
      </c>
    </row>
    <row r="701" spans="1:8" ht="15.75" x14ac:dyDescent="0.2">
      <c r="A701" s="89" t="s">
        <v>7613</v>
      </c>
      <c r="B701" s="89" t="s">
        <v>7614</v>
      </c>
      <c r="C701" s="89" t="s">
        <v>7615</v>
      </c>
      <c r="D701" s="146">
        <v>0</v>
      </c>
      <c r="E701" s="89">
        <v>309</v>
      </c>
      <c r="F701" s="90">
        <f t="shared" si="14"/>
        <v>309</v>
      </c>
      <c r="G701" s="147">
        <v>987.4</v>
      </c>
      <c r="H701" s="148">
        <v>912.32</v>
      </c>
    </row>
    <row r="702" spans="1:8" ht="15.75" x14ac:dyDescent="0.2">
      <c r="A702" s="89" t="s">
        <v>7616</v>
      </c>
      <c r="B702" s="89" t="s">
        <v>7617</v>
      </c>
      <c r="C702" s="89" t="s">
        <v>7618</v>
      </c>
      <c r="D702" s="146">
        <v>60</v>
      </c>
      <c r="E702" s="89">
        <v>701.18</v>
      </c>
      <c r="F702" s="90">
        <f t="shared" si="14"/>
        <v>761.18</v>
      </c>
      <c r="G702" s="147">
        <v>744.78</v>
      </c>
      <c r="H702" s="148">
        <v>761.38</v>
      </c>
    </row>
    <row r="703" spans="1:8" ht="15.75" x14ac:dyDescent="0.2">
      <c r="A703" s="89" t="s">
        <v>3364</v>
      </c>
      <c r="B703" s="89" t="s">
        <v>7619</v>
      </c>
      <c r="C703" s="89" t="s">
        <v>127</v>
      </c>
      <c r="D703" s="146">
        <v>0</v>
      </c>
      <c r="E703" s="89">
        <v>364.2</v>
      </c>
      <c r="F703" s="90">
        <f t="shared" si="14"/>
        <v>364.2</v>
      </c>
      <c r="G703" s="147">
        <v>675.94</v>
      </c>
      <c r="H703" s="148">
        <v>373.52</v>
      </c>
    </row>
    <row r="704" spans="1:8" ht="15.75" x14ac:dyDescent="0.2">
      <c r="A704" s="89" t="s">
        <v>3367</v>
      </c>
      <c r="B704" s="89" t="s">
        <v>3369</v>
      </c>
      <c r="C704" s="89" t="s">
        <v>119</v>
      </c>
      <c r="D704" s="146">
        <v>1092.8699999999999</v>
      </c>
      <c r="E704" s="89">
        <v>0</v>
      </c>
      <c r="F704" s="90">
        <f t="shared" si="14"/>
        <v>1092.8699999999999</v>
      </c>
      <c r="G704" s="147">
        <v>20</v>
      </c>
      <c r="H704" s="148">
        <v>0</v>
      </c>
    </row>
    <row r="705" spans="1:8" ht="15.75" x14ac:dyDescent="0.2">
      <c r="A705" s="89" t="s">
        <v>3374</v>
      </c>
      <c r="B705" s="89" t="s">
        <v>7620</v>
      </c>
      <c r="C705" s="89" t="s">
        <v>7621</v>
      </c>
      <c r="D705" s="146">
        <v>0</v>
      </c>
      <c r="E705" s="89">
        <v>1037.3900000000001</v>
      </c>
      <c r="F705" s="90">
        <f t="shared" si="14"/>
        <v>1037.3900000000001</v>
      </c>
      <c r="G705" s="147">
        <v>1065.0899999999999</v>
      </c>
      <c r="H705" s="148">
        <v>1033.5</v>
      </c>
    </row>
    <row r="706" spans="1:8" ht="15.75" x14ac:dyDescent="0.2">
      <c r="A706" s="89" t="s">
        <v>3382</v>
      </c>
      <c r="B706" s="89" t="s">
        <v>3384</v>
      </c>
      <c r="C706" s="89" t="s">
        <v>7622</v>
      </c>
      <c r="D706" s="146">
        <v>0</v>
      </c>
      <c r="E706" s="89">
        <v>1135.3399999999999</v>
      </c>
      <c r="F706" s="90">
        <f t="shared" si="14"/>
        <v>1135.3399999999999</v>
      </c>
      <c r="G706" s="147">
        <v>1088.81</v>
      </c>
      <c r="H706" s="148">
        <v>1187.6600000000001</v>
      </c>
    </row>
    <row r="707" spans="1:8" ht="15.75" x14ac:dyDescent="0.2">
      <c r="A707" s="89" t="s">
        <v>3389</v>
      </c>
      <c r="B707" s="89" t="s">
        <v>7623</v>
      </c>
      <c r="C707" s="89" t="s">
        <v>7624</v>
      </c>
      <c r="D707" s="146">
        <v>0</v>
      </c>
      <c r="E707" s="89">
        <v>240</v>
      </c>
      <c r="F707" s="90">
        <f t="shared" si="14"/>
        <v>240</v>
      </c>
      <c r="G707" s="147">
        <v>0</v>
      </c>
      <c r="H707" s="148">
        <v>421.64</v>
      </c>
    </row>
    <row r="708" spans="1:8" ht="15.75" x14ac:dyDescent="0.2">
      <c r="A708" s="89" t="s">
        <v>3394</v>
      </c>
      <c r="B708" s="89" t="s">
        <v>7625</v>
      </c>
      <c r="C708" s="89" t="s">
        <v>7626</v>
      </c>
      <c r="D708" s="146">
        <v>204.49</v>
      </c>
      <c r="E708" s="89">
        <v>0</v>
      </c>
      <c r="F708" s="90">
        <f t="shared" si="14"/>
        <v>204.49</v>
      </c>
      <c r="G708" s="147">
        <v>137.37</v>
      </c>
      <c r="H708" s="148">
        <v>110</v>
      </c>
    </row>
    <row r="709" spans="1:8" ht="15.75" x14ac:dyDescent="0.2">
      <c r="A709" s="89" t="s">
        <v>3398</v>
      </c>
      <c r="B709" s="89" t="s">
        <v>7627</v>
      </c>
      <c r="C709" s="89" t="s">
        <v>3400</v>
      </c>
      <c r="D709" s="146">
        <v>95</v>
      </c>
      <c r="E709" s="89">
        <v>130</v>
      </c>
      <c r="F709" s="90">
        <f t="shared" si="14"/>
        <v>225</v>
      </c>
      <c r="G709" s="147">
        <v>267</v>
      </c>
      <c r="H709" s="148">
        <v>530</v>
      </c>
    </row>
    <row r="710" spans="1:8" ht="15.75" x14ac:dyDescent="0.2">
      <c r="A710" s="89" t="s">
        <v>3401</v>
      </c>
      <c r="B710" s="89" t="s">
        <v>3404</v>
      </c>
      <c r="C710" s="89" t="s">
        <v>3403</v>
      </c>
      <c r="D710" s="146">
        <v>160</v>
      </c>
      <c r="E710" s="89">
        <v>1837</v>
      </c>
      <c r="F710" s="90">
        <f t="shared" si="14"/>
        <v>1997</v>
      </c>
      <c r="G710" s="147">
        <v>2186</v>
      </c>
      <c r="H710" s="148">
        <v>2143</v>
      </c>
    </row>
    <row r="711" spans="1:8" ht="15.75" x14ac:dyDescent="0.2">
      <c r="A711" s="89" t="s">
        <v>3409</v>
      </c>
      <c r="B711" s="89" t="s">
        <v>7628</v>
      </c>
      <c r="C711" s="89" t="s">
        <v>532</v>
      </c>
      <c r="D711" s="146">
        <v>330</v>
      </c>
      <c r="E711" s="89">
        <v>257.07</v>
      </c>
      <c r="F711" s="90">
        <f t="shared" si="14"/>
        <v>587.06999999999994</v>
      </c>
      <c r="G711" s="147">
        <v>614.83999999999992</v>
      </c>
      <c r="H711" s="148">
        <v>753.77</v>
      </c>
    </row>
    <row r="712" spans="1:8" ht="15.75" x14ac:dyDescent="0.2">
      <c r="A712" s="89" t="s">
        <v>7629</v>
      </c>
      <c r="B712" s="89" t="s">
        <v>7630</v>
      </c>
      <c r="C712" s="89" t="s">
        <v>3222</v>
      </c>
      <c r="D712" s="146">
        <v>117</v>
      </c>
      <c r="E712" s="89">
        <v>0</v>
      </c>
      <c r="F712" s="90">
        <f t="shared" si="14"/>
        <v>117</v>
      </c>
      <c r="G712" s="147">
        <v>293.62</v>
      </c>
      <c r="H712" s="148">
        <v>108</v>
      </c>
    </row>
    <row r="713" spans="1:8" ht="15.75" x14ac:dyDescent="0.2">
      <c r="A713" s="89" t="s">
        <v>3415</v>
      </c>
      <c r="B713" s="89" t="s">
        <v>3417</v>
      </c>
      <c r="C713" s="89" t="s">
        <v>1349</v>
      </c>
      <c r="D713" s="146">
        <v>0</v>
      </c>
      <c r="E713" s="89">
        <v>249.08</v>
      </c>
      <c r="F713" s="90">
        <f t="shared" si="14"/>
        <v>249.08</v>
      </c>
      <c r="G713" s="147">
        <v>273.14999999999998</v>
      </c>
      <c r="H713" s="148">
        <v>360.66</v>
      </c>
    </row>
    <row r="714" spans="1:8" ht="15.75" x14ac:dyDescent="0.2">
      <c r="A714" s="89" t="s">
        <v>3418</v>
      </c>
      <c r="B714" s="89" t="s">
        <v>3421</v>
      </c>
      <c r="C714" s="89" t="s">
        <v>7631</v>
      </c>
      <c r="D714" s="146">
        <v>0</v>
      </c>
      <c r="E714" s="89">
        <v>368.65</v>
      </c>
      <c r="F714" s="90">
        <f t="shared" si="14"/>
        <v>368.65</v>
      </c>
      <c r="G714" s="147"/>
      <c r="H714" s="148"/>
    </row>
    <row r="715" spans="1:8" ht="15.75" x14ac:dyDescent="0.2">
      <c r="A715" s="89" t="s">
        <v>3425</v>
      </c>
      <c r="B715" s="89" t="s">
        <v>3428</v>
      </c>
      <c r="C715" s="89" t="s">
        <v>7632</v>
      </c>
      <c r="D715" s="146">
        <v>300</v>
      </c>
      <c r="E715" s="89">
        <v>487.03</v>
      </c>
      <c r="F715" s="90">
        <f t="shared" si="14"/>
        <v>787.03</v>
      </c>
      <c r="G715" s="147">
        <v>844.96</v>
      </c>
      <c r="H715" s="148">
        <v>665.97</v>
      </c>
    </row>
    <row r="716" spans="1:8" ht="15.75" x14ac:dyDescent="0.2">
      <c r="A716" s="89" t="s">
        <v>3434</v>
      </c>
      <c r="B716" s="89" t="s">
        <v>3388</v>
      </c>
      <c r="C716" s="89" t="s">
        <v>1823</v>
      </c>
      <c r="D716" s="146">
        <v>110</v>
      </c>
      <c r="E716" s="89">
        <v>4697.99</v>
      </c>
      <c r="F716" s="90">
        <f t="shared" si="14"/>
        <v>4807.99</v>
      </c>
      <c r="G716" s="147">
        <v>4844.6099999999997</v>
      </c>
      <c r="H716" s="148">
        <v>4475.4800000000005</v>
      </c>
    </row>
    <row r="717" spans="1:8" ht="15.75" x14ac:dyDescent="0.2">
      <c r="A717" s="89" t="s">
        <v>3437</v>
      </c>
      <c r="B717" s="89" t="s">
        <v>3439</v>
      </c>
      <c r="C717" s="89" t="s">
        <v>896</v>
      </c>
      <c r="D717" s="146">
        <v>1357.29</v>
      </c>
      <c r="E717" s="89">
        <v>0</v>
      </c>
      <c r="F717" s="90">
        <f t="shared" si="14"/>
        <v>1357.29</v>
      </c>
      <c r="G717" s="147">
        <v>1265</v>
      </c>
      <c r="H717" s="148">
        <v>1294.1000000000001</v>
      </c>
    </row>
    <row r="718" spans="1:8" ht="15.75" x14ac:dyDescent="0.2">
      <c r="A718" s="89" t="s">
        <v>3440</v>
      </c>
      <c r="B718" s="89" t="s">
        <v>3366</v>
      </c>
      <c r="C718" s="89" t="s">
        <v>532</v>
      </c>
      <c r="D718" s="146">
        <v>85</v>
      </c>
      <c r="E718" s="89">
        <v>1073.3800000000001</v>
      </c>
      <c r="F718" s="90">
        <f t="shared" si="14"/>
        <v>1158.3800000000001</v>
      </c>
      <c r="G718" s="147">
        <v>1209.79</v>
      </c>
      <c r="H718" s="148">
        <v>1332.1100000000001</v>
      </c>
    </row>
    <row r="719" spans="1:8" ht="15.75" x14ac:dyDescent="0.2">
      <c r="A719" s="89" t="s">
        <v>3445</v>
      </c>
      <c r="B719" s="89" t="s">
        <v>3447</v>
      </c>
      <c r="C719" s="89" t="s">
        <v>1823</v>
      </c>
      <c r="D719" s="146">
        <v>0</v>
      </c>
      <c r="E719" s="89">
        <v>148.52000000000001</v>
      </c>
      <c r="F719" s="90">
        <f t="shared" si="14"/>
        <v>148.52000000000001</v>
      </c>
      <c r="G719" s="147">
        <v>124</v>
      </c>
      <c r="H719" s="148">
        <v>343.44</v>
      </c>
    </row>
    <row r="720" spans="1:8" ht="15.75" x14ac:dyDescent="0.2">
      <c r="A720" s="89" t="s">
        <v>3448</v>
      </c>
      <c r="B720" s="89" t="s">
        <v>3450</v>
      </c>
      <c r="C720" s="89" t="s">
        <v>226</v>
      </c>
      <c r="D720" s="146">
        <v>15</v>
      </c>
      <c r="E720" s="89">
        <v>346.54</v>
      </c>
      <c r="F720" s="90">
        <f t="shared" si="14"/>
        <v>361.54</v>
      </c>
      <c r="G720" s="147">
        <v>1122.9100000000001</v>
      </c>
      <c r="H720" s="148">
        <v>218.13</v>
      </c>
    </row>
    <row r="721" spans="1:9" ht="15.75" x14ac:dyDescent="0.2">
      <c r="A721" s="89" t="s">
        <v>3454</v>
      </c>
      <c r="B721" s="89" t="s">
        <v>7633</v>
      </c>
      <c r="C721" s="89" t="s">
        <v>3456</v>
      </c>
      <c r="D721" s="146">
        <v>0</v>
      </c>
      <c r="E721" s="89">
        <v>769.21</v>
      </c>
      <c r="F721" s="90">
        <f t="shared" si="14"/>
        <v>769.21</v>
      </c>
      <c r="G721" s="147">
        <v>622.63</v>
      </c>
      <c r="H721" s="148">
        <v>505.8</v>
      </c>
    </row>
    <row r="722" spans="1:9" ht="15.75" x14ac:dyDescent="0.2">
      <c r="A722" s="89" t="s">
        <v>3457</v>
      </c>
      <c r="B722" s="89" t="s">
        <v>3460</v>
      </c>
      <c r="C722" s="89" t="s">
        <v>7634</v>
      </c>
      <c r="D722" s="146">
        <v>20</v>
      </c>
      <c r="E722" s="89">
        <v>2032</v>
      </c>
      <c r="F722" s="90">
        <f t="shared" si="14"/>
        <v>2052</v>
      </c>
      <c r="G722" s="147">
        <v>1939</v>
      </c>
      <c r="H722" s="148">
        <v>1503</v>
      </c>
    </row>
    <row r="723" spans="1:9" ht="15.75" x14ac:dyDescent="0.2">
      <c r="A723" s="89" t="s">
        <v>3465</v>
      </c>
      <c r="B723" s="89" t="s">
        <v>3460</v>
      </c>
      <c r="C723" s="89" t="s">
        <v>1366</v>
      </c>
      <c r="D723" s="146">
        <v>55</v>
      </c>
      <c r="E723" s="89">
        <v>1750</v>
      </c>
      <c r="F723" s="90">
        <f t="shared" si="14"/>
        <v>1805</v>
      </c>
      <c r="G723" s="147">
        <v>1930</v>
      </c>
      <c r="H723" s="148">
        <v>1880</v>
      </c>
    </row>
    <row r="724" spans="1:9" ht="15.75" x14ac:dyDescent="0.2">
      <c r="A724" s="89" t="s">
        <v>3471</v>
      </c>
      <c r="B724" s="89" t="s">
        <v>3460</v>
      </c>
      <c r="C724" s="89" t="s">
        <v>3473</v>
      </c>
      <c r="D724" s="146">
        <v>5</v>
      </c>
      <c r="E724" s="89">
        <v>783.34</v>
      </c>
      <c r="F724" s="90">
        <f t="shared" si="14"/>
        <v>788.34</v>
      </c>
      <c r="G724" s="147">
        <v>1169.19</v>
      </c>
      <c r="H724" s="148">
        <v>885.09</v>
      </c>
    </row>
    <row r="725" spans="1:9" ht="15.75" x14ac:dyDescent="0.2">
      <c r="A725" s="89" t="s">
        <v>3474</v>
      </c>
      <c r="B725" s="89" t="s">
        <v>7635</v>
      </c>
      <c r="C725" s="89" t="s">
        <v>3476</v>
      </c>
      <c r="D725" s="146">
        <v>454</v>
      </c>
      <c r="E725" s="89">
        <v>0</v>
      </c>
      <c r="F725" s="90">
        <f t="shared" si="14"/>
        <v>454</v>
      </c>
      <c r="G725" s="147">
        <v>210</v>
      </c>
      <c r="H725" s="148">
        <v>275</v>
      </c>
    </row>
    <row r="726" spans="1:9" ht="15.75" x14ac:dyDescent="0.2">
      <c r="A726" s="89" t="s">
        <v>3478</v>
      </c>
      <c r="B726" s="89" t="s">
        <v>3480</v>
      </c>
      <c r="C726" s="89" t="s">
        <v>896</v>
      </c>
      <c r="D726" s="146">
        <v>60</v>
      </c>
      <c r="E726" s="89">
        <v>0</v>
      </c>
      <c r="F726" s="90">
        <f t="shared" si="14"/>
        <v>60</v>
      </c>
      <c r="G726" s="147">
        <v>80</v>
      </c>
      <c r="H726" s="148">
        <v>60</v>
      </c>
    </row>
    <row r="727" spans="1:9" ht="15.75" x14ac:dyDescent="0.2">
      <c r="A727" s="89" t="s">
        <v>3485</v>
      </c>
      <c r="B727" s="89" t="s">
        <v>7636</v>
      </c>
      <c r="C727" s="89" t="s">
        <v>3487</v>
      </c>
      <c r="D727" s="146">
        <v>156</v>
      </c>
      <c r="E727" s="89">
        <v>1209.48</v>
      </c>
      <c r="F727" s="90">
        <f t="shared" si="14"/>
        <v>1365.48</v>
      </c>
      <c r="G727" s="147">
        <v>1279.81</v>
      </c>
      <c r="H727" s="148">
        <v>1591.72</v>
      </c>
    </row>
    <row r="728" spans="1:9" ht="15.75" x14ac:dyDescent="0.2">
      <c r="A728" s="89" t="s">
        <v>3493</v>
      </c>
      <c r="B728" s="89" t="s">
        <v>7637</v>
      </c>
      <c r="C728" s="89" t="s">
        <v>231</v>
      </c>
      <c r="D728" s="146">
        <v>10</v>
      </c>
      <c r="E728" s="89"/>
      <c r="F728" s="90">
        <f t="shared" si="14"/>
        <v>10</v>
      </c>
      <c r="G728" s="147">
        <v>0</v>
      </c>
      <c r="H728" s="148">
        <v>10</v>
      </c>
    </row>
    <row r="729" spans="1:9" ht="15.75" x14ac:dyDescent="0.2">
      <c r="A729" s="89" t="s">
        <v>3497</v>
      </c>
      <c r="B729" s="89" t="s">
        <v>7261</v>
      </c>
      <c r="C729" s="89" t="s">
        <v>7638</v>
      </c>
      <c r="D729" s="146">
        <v>100</v>
      </c>
      <c r="E729" s="89">
        <v>231</v>
      </c>
      <c r="F729" s="90">
        <f t="shared" si="14"/>
        <v>331</v>
      </c>
      <c r="G729" s="91">
        <v>21.72</v>
      </c>
      <c r="H729" s="149"/>
    </row>
    <row r="730" spans="1:9" ht="15.75" x14ac:dyDescent="0.2">
      <c r="A730" s="150" t="s">
        <v>7639</v>
      </c>
      <c r="B730" s="150"/>
      <c r="C730" s="150"/>
      <c r="D730" s="150">
        <f>SUM(D690:D729)</f>
        <v>7158.16</v>
      </c>
      <c r="E730" s="150">
        <f>SUM(E690:E729)</f>
        <v>24459.200000000001</v>
      </c>
      <c r="F730" s="151">
        <f t="shared" si="14"/>
        <v>31617.360000000001</v>
      </c>
      <c r="G730" s="152">
        <f>SUM(G690:G729)</f>
        <v>32042.000000000004</v>
      </c>
      <c r="H730" s="153"/>
    </row>
    <row r="731" spans="1:9" s="62" customFormat="1" x14ac:dyDescent="0.2">
      <c r="A731" s="60" t="s">
        <v>7262</v>
      </c>
      <c r="B731" s="60"/>
      <c r="C731" s="60"/>
      <c r="D731" s="60"/>
      <c r="E731" s="60"/>
      <c r="F731" s="61"/>
      <c r="G731" s="61"/>
      <c r="H731" s="60"/>
    </row>
    <row r="732" spans="1:9" ht="20.25" x14ac:dyDescent="0.2">
      <c r="A732" s="248" t="s">
        <v>7640</v>
      </c>
      <c r="B732" s="248"/>
      <c r="C732" s="248"/>
      <c r="D732" s="248"/>
      <c r="E732" s="248"/>
      <c r="F732" s="248"/>
      <c r="G732" s="248"/>
      <c r="H732" s="156"/>
      <c r="I732" s="156"/>
    </row>
    <row r="733" spans="1:9" ht="15.75" x14ac:dyDescent="0.2">
      <c r="A733" s="157" t="s">
        <v>1</v>
      </c>
      <c r="B733" s="157" t="s">
        <v>2</v>
      </c>
      <c r="C733" s="157" t="s">
        <v>3</v>
      </c>
      <c r="D733" s="157" t="s">
        <v>7176</v>
      </c>
      <c r="E733" s="157" t="s">
        <v>5</v>
      </c>
      <c r="F733" s="157">
        <v>2018</v>
      </c>
      <c r="G733" s="157">
        <v>2017</v>
      </c>
      <c r="H733" s="157">
        <v>2016</v>
      </c>
      <c r="I733" s="157">
        <v>2015</v>
      </c>
    </row>
    <row r="734" spans="1:9" ht="15" x14ac:dyDescent="0.2">
      <c r="A734" s="130" t="s">
        <v>3501</v>
      </c>
      <c r="B734" s="89" t="s">
        <v>7641</v>
      </c>
      <c r="C734" s="89" t="s">
        <v>7642</v>
      </c>
      <c r="D734" s="158">
        <v>208.26</v>
      </c>
      <c r="E734" s="158">
        <v>185</v>
      </c>
      <c r="F734" s="90">
        <f>E734+D734</f>
        <v>393.26</v>
      </c>
      <c r="G734" s="91">
        <v>663</v>
      </c>
      <c r="H734" s="159">
        <v>656.75</v>
      </c>
      <c r="I734" s="160">
        <v>308</v>
      </c>
    </row>
    <row r="735" spans="1:9" ht="15" x14ac:dyDescent="0.2">
      <c r="A735" s="130" t="s">
        <v>3505</v>
      </c>
      <c r="B735" s="89" t="s">
        <v>3504</v>
      </c>
      <c r="C735" s="89" t="s">
        <v>3507</v>
      </c>
      <c r="D735" s="158">
        <v>210</v>
      </c>
      <c r="E735" s="158">
        <v>0</v>
      </c>
      <c r="F735" s="90">
        <f t="shared" ref="F735:F798" si="15">E735+D735</f>
        <v>210</v>
      </c>
      <c r="G735" s="91">
        <v>1102.6600000000001</v>
      </c>
      <c r="H735" s="159">
        <v>923</v>
      </c>
      <c r="I735" s="160">
        <v>60</v>
      </c>
    </row>
    <row r="736" spans="1:9" ht="15" x14ac:dyDescent="0.2">
      <c r="A736" s="130" t="s">
        <v>3508</v>
      </c>
      <c r="B736" s="89" t="s">
        <v>3504</v>
      </c>
      <c r="C736" s="89" t="s">
        <v>3510</v>
      </c>
      <c r="D736" s="158">
        <v>265</v>
      </c>
      <c r="E736" s="158">
        <v>2213.65</v>
      </c>
      <c r="F736" s="90">
        <f t="shared" si="15"/>
        <v>2478.65</v>
      </c>
      <c r="G736" s="91">
        <v>2618.63</v>
      </c>
      <c r="H736" s="159">
        <v>2388.5</v>
      </c>
      <c r="I736" s="160">
        <v>2386</v>
      </c>
    </row>
    <row r="737" spans="1:9" ht="15" x14ac:dyDescent="0.2">
      <c r="A737" s="130" t="s">
        <v>3512</v>
      </c>
      <c r="B737" s="89" t="s">
        <v>3504</v>
      </c>
      <c r="C737" s="89" t="s">
        <v>1284</v>
      </c>
      <c r="D737" s="158">
        <v>265.95999999999998</v>
      </c>
      <c r="E737" s="158">
        <v>663.48</v>
      </c>
      <c r="F737" s="90">
        <f t="shared" si="15"/>
        <v>929.44</v>
      </c>
      <c r="G737" s="91">
        <v>1112.02</v>
      </c>
      <c r="H737" s="159">
        <v>889.13</v>
      </c>
      <c r="I737" s="160">
        <v>907</v>
      </c>
    </row>
    <row r="738" spans="1:9" ht="15" x14ac:dyDescent="0.2">
      <c r="A738" s="130" t="s">
        <v>3514</v>
      </c>
      <c r="B738" s="89" t="s">
        <v>3504</v>
      </c>
      <c r="C738" s="89" t="s">
        <v>158</v>
      </c>
      <c r="D738" s="158">
        <v>366</v>
      </c>
      <c r="E738" s="158">
        <v>0</v>
      </c>
      <c r="F738" s="90">
        <f t="shared" si="15"/>
        <v>366</v>
      </c>
      <c r="G738" s="91">
        <v>624</v>
      </c>
      <c r="H738" s="159">
        <v>1185.1200000000001</v>
      </c>
      <c r="I738" s="160">
        <v>615</v>
      </c>
    </row>
    <row r="739" spans="1:9" ht="15" x14ac:dyDescent="0.2">
      <c r="A739" s="130" t="s">
        <v>3523</v>
      </c>
      <c r="B739" s="89" t="s">
        <v>3526</v>
      </c>
      <c r="C739" s="89" t="s">
        <v>3525</v>
      </c>
      <c r="D739" s="158">
        <v>376</v>
      </c>
      <c r="E739" s="158"/>
      <c r="F739" s="90">
        <f t="shared" si="15"/>
        <v>376</v>
      </c>
      <c r="G739" s="91">
        <v>854.08999999999992</v>
      </c>
      <c r="H739" s="159">
        <v>688.66000000000008</v>
      </c>
      <c r="I739" s="160">
        <v>345</v>
      </c>
    </row>
    <row r="740" spans="1:9" ht="15" x14ac:dyDescent="0.2">
      <c r="A740" s="130" t="s">
        <v>3527</v>
      </c>
      <c r="B740" s="89" t="s">
        <v>3529</v>
      </c>
      <c r="C740" s="89" t="s">
        <v>231</v>
      </c>
      <c r="D740" s="158">
        <v>685</v>
      </c>
      <c r="E740" s="158">
        <v>2033.23</v>
      </c>
      <c r="F740" s="90">
        <f t="shared" si="15"/>
        <v>2718.23</v>
      </c>
      <c r="G740" s="91">
        <v>2669.5299999999997</v>
      </c>
      <c r="H740" s="159">
        <v>2666.0299999999997</v>
      </c>
      <c r="I740" s="160">
        <v>2596</v>
      </c>
    </row>
    <row r="741" spans="1:9" ht="15" x14ac:dyDescent="0.2">
      <c r="A741" s="130" t="s">
        <v>7643</v>
      </c>
      <c r="B741" s="89" t="s">
        <v>7644</v>
      </c>
      <c r="C741" s="89" t="s">
        <v>1627</v>
      </c>
      <c r="D741" s="158">
        <f>428.32+164</f>
        <v>592.31999999999994</v>
      </c>
      <c r="E741" s="158">
        <v>550.83999999999992</v>
      </c>
      <c r="F741" s="90">
        <f t="shared" si="15"/>
        <v>1143.1599999999999</v>
      </c>
      <c r="G741" s="91">
        <v>774.98</v>
      </c>
      <c r="H741" s="159">
        <v>50</v>
      </c>
      <c r="I741" s="160"/>
    </row>
    <row r="742" spans="1:9" ht="15" x14ac:dyDescent="0.2">
      <c r="A742" s="130" t="s">
        <v>3539</v>
      </c>
      <c r="B742" s="89" t="s">
        <v>3541</v>
      </c>
      <c r="C742" s="89" t="s">
        <v>7645</v>
      </c>
      <c r="D742" s="158">
        <v>2055.73</v>
      </c>
      <c r="E742" s="158">
        <v>0</v>
      </c>
      <c r="F742" s="90">
        <f t="shared" si="15"/>
        <v>2055.73</v>
      </c>
      <c r="G742" s="91">
        <v>1689</v>
      </c>
      <c r="H742" s="159">
        <v>1665.42</v>
      </c>
      <c r="I742" s="160">
        <v>623</v>
      </c>
    </row>
    <row r="743" spans="1:9" ht="15" x14ac:dyDescent="0.2">
      <c r="A743" s="130" t="s">
        <v>3545</v>
      </c>
      <c r="B743" s="89" t="s">
        <v>3541</v>
      </c>
      <c r="C743" s="89" t="s">
        <v>1203</v>
      </c>
      <c r="D743" s="158">
        <v>750</v>
      </c>
      <c r="E743" s="158">
        <v>1383.4</v>
      </c>
      <c r="F743" s="90">
        <f t="shared" si="15"/>
        <v>2133.4</v>
      </c>
      <c r="G743" s="91">
        <v>2307.56</v>
      </c>
      <c r="H743" s="159">
        <v>2228.96</v>
      </c>
      <c r="I743" s="160">
        <v>1270</v>
      </c>
    </row>
    <row r="744" spans="1:9" ht="15" x14ac:dyDescent="0.2">
      <c r="A744" s="130" t="s">
        <v>3547</v>
      </c>
      <c r="B744" s="89" t="s">
        <v>3541</v>
      </c>
      <c r="C744" s="89" t="s">
        <v>7646</v>
      </c>
      <c r="D744" s="158">
        <v>15</v>
      </c>
      <c r="E744" s="158">
        <v>163.75</v>
      </c>
      <c r="F744" s="90">
        <f t="shared" si="15"/>
        <v>178.75</v>
      </c>
      <c r="G744" s="91">
        <v>358.5</v>
      </c>
      <c r="H744" s="159">
        <v>186.91</v>
      </c>
      <c r="I744" s="160">
        <v>252</v>
      </c>
    </row>
    <row r="745" spans="1:9" ht="15" x14ac:dyDescent="0.2">
      <c r="A745" s="130" t="s">
        <v>7647</v>
      </c>
      <c r="B745" s="89" t="s">
        <v>7648</v>
      </c>
      <c r="C745" s="89" t="s">
        <v>7649</v>
      </c>
      <c r="D745" s="158">
        <v>752.23</v>
      </c>
      <c r="E745" s="158">
        <v>342.39</v>
      </c>
      <c r="F745" s="90">
        <f t="shared" si="15"/>
        <v>1094.6199999999999</v>
      </c>
      <c r="G745" s="91">
        <v>431.9</v>
      </c>
      <c r="H745" s="159">
        <v>285</v>
      </c>
      <c r="I745" s="160">
        <v>285</v>
      </c>
    </row>
    <row r="746" spans="1:9" ht="15" x14ac:dyDescent="0.2">
      <c r="A746" s="130" t="s">
        <v>3559</v>
      </c>
      <c r="B746" s="89" t="s">
        <v>3557</v>
      </c>
      <c r="C746" s="89" t="s">
        <v>916</v>
      </c>
      <c r="D746" s="158">
        <v>30</v>
      </c>
      <c r="E746" s="158">
        <v>1010</v>
      </c>
      <c r="F746" s="90">
        <f t="shared" si="15"/>
        <v>1040</v>
      </c>
      <c r="G746" s="91">
        <v>969.55</v>
      </c>
      <c r="H746" s="159">
        <v>854.4</v>
      </c>
      <c r="I746" s="160">
        <v>676</v>
      </c>
    </row>
    <row r="747" spans="1:9" ht="15" x14ac:dyDescent="0.2">
      <c r="A747" s="130" t="s">
        <v>7650</v>
      </c>
      <c r="B747" s="89" t="s">
        <v>3557</v>
      </c>
      <c r="C747" s="89" t="s">
        <v>7651</v>
      </c>
      <c r="D747" s="158">
        <f>109.25+820.32</f>
        <v>929.57</v>
      </c>
      <c r="E747" s="158">
        <v>1003.36</v>
      </c>
      <c r="F747" s="90">
        <f t="shared" si="15"/>
        <v>1932.93</v>
      </c>
      <c r="G747" s="91">
        <v>1177.47</v>
      </c>
      <c r="H747" s="159">
        <v>469.73</v>
      </c>
      <c r="I747" s="160">
        <v>1557</v>
      </c>
    </row>
    <row r="748" spans="1:9" ht="15" x14ac:dyDescent="0.2">
      <c r="A748" s="130" t="s">
        <v>3576</v>
      </c>
      <c r="B748" s="89" t="s">
        <v>3578</v>
      </c>
      <c r="C748" s="89" t="s">
        <v>1065</v>
      </c>
      <c r="D748" s="158">
        <v>135</v>
      </c>
      <c r="E748" s="158">
        <v>0</v>
      </c>
      <c r="F748" s="90">
        <f t="shared" si="15"/>
        <v>135</v>
      </c>
      <c r="G748" s="91">
        <v>65</v>
      </c>
      <c r="H748" s="159">
        <v>68.58</v>
      </c>
      <c r="I748" s="160">
        <v>433</v>
      </c>
    </row>
    <row r="749" spans="1:9" ht="15" x14ac:dyDescent="0.2">
      <c r="A749" s="130" t="s">
        <v>3579</v>
      </c>
      <c r="B749" s="89" t="s">
        <v>3581</v>
      </c>
      <c r="C749" s="89" t="s">
        <v>2759</v>
      </c>
      <c r="D749" s="158">
        <v>165</v>
      </c>
      <c r="E749" s="158">
        <v>0</v>
      </c>
      <c r="F749" s="90">
        <f t="shared" si="15"/>
        <v>165</v>
      </c>
      <c r="G749" s="91">
        <v>520</v>
      </c>
      <c r="H749" s="159">
        <v>500</v>
      </c>
      <c r="I749" s="160">
        <v>550</v>
      </c>
    </row>
    <row r="750" spans="1:9" ht="15" x14ac:dyDescent="0.2">
      <c r="A750" s="130" t="s">
        <v>3582</v>
      </c>
      <c r="B750" s="89" t="s">
        <v>3585</v>
      </c>
      <c r="C750" s="89" t="s">
        <v>7652</v>
      </c>
      <c r="D750" s="158">
        <v>230</v>
      </c>
      <c r="E750" s="158">
        <v>0</v>
      </c>
      <c r="F750" s="90">
        <f t="shared" si="15"/>
        <v>230</v>
      </c>
      <c r="G750" s="91">
        <v>810</v>
      </c>
      <c r="H750" s="159">
        <v>873.56000000000006</v>
      </c>
      <c r="I750" s="160">
        <v>734</v>
      </c>
    </row>
    <row r="751" spans="1:9" ht="15" x14ac:dyDescent="0.2">
      <c r="A751" s="130" t="s">
        <v>3589</v>
      </c>
      <c r="B751" s="89" t="s">
        <v>3592</v>
      </c>
      <c r="C751" s="89" t="s">
        <v>1823</v>
      </c>
      <c r="D751" s="158">
        <v>680.9</v>
      </c>
      <c r="E751" s="158">
        <v>3980.52</v>
      </c>
      <c r="F751" s="90">
        <f t="shared" si="15"/>
        <v>4661.42</v>
      </c>
      <c r="G751" s="91">
        <v>4573.18</v>
      </c>
      <c r="H751" s="159">
        <v>3613.54</v>
      </c>
      <c r="I751" s="160">
        <v>2263</v>
      </c>
    </row>
    <row r="752" spans="1:9" ht="15" x14ac:dyDescent="0.2">
      <c r="A752" s="130" t="s">
        <v>3601</v>
      </c>
      <c r="B752" s="89" t="s">
        <v>3604</v>
      </c>
      <c r="C752" s="89" t="s">
        <v>301</v>
      </c>
      <c r="D752" s="158">
        <v>479.9</v>
      </c>
      <c r="E752" s="158">
        <v>1148.0999999999999</v>
      </c>
      <c r="F752" s="90">
        <f t="shared" si="15"/>
        <v>1628</v>
      </c>
      <c r="G752" s="91">
        <v>1438.21</v>
      </c>
      <c r="H752" s="159">
        <v>1709.8700000000001</v>
      </c>
      <c r="I752" s="160">
        <v>909</v>
      </c>
    </row>
    <row r="753" spans="1:9" ht="15" x14ac:dyDescent="0.2">
      <c r="A753" s="130" t="s">
        <v>3606</v>
      </c>
      <c r="B753" s="89" t="s">
        <v>3608</v>
      </c>
      <c r="C753" s="89" t="s">
        <v>1032</v>
      </c>
      <c r="D753" s="158">
        <v>120</v>
      </c>
      <c r="E753" s="158">
        <v>208.75</v>
      </c>
      <c r="F753" s="90">
        <f t="shared" si="15"/>
        <v>328.75</v>
      </c>
      <c r="G753" s="91">
        <v>480.62</v>
      </c>
      <c r="H753" s="159">
        <v>405.72</v>
      </c>
      <c r="I753" s="160">
        <v>533</v>
      </c>
    </row>
    <row r="754" spans="1:9" ht="15" x14ac:dyDescent="0.2">
      <c r="A754" s="130" t="s">
        <v>3609</v>
      </c>
      <c r="B754" s="89" t="s">
        <v>3612</v>
      </c>
      <c r="C754" s="89" t="s">
        <v>207</v>
      </c>
      <c r="D754" s="158">
        <v>180</v>
      </c>
      <c r="E754" s="158">
        <v>1460.75</v>
      </c>
      <c r="F754" s="90">
        <f t="shared" si="15"/>
        <v>1640.75</v>
      </c>
      <c r="G754" s="91">
        <v>2161.06</v>
      </c>
      <c r="H754" s="159">
        <v>1770.95</v>
      </c>
      <c r="I754" s="160">
        <v>1582</v>
      </c>
    </row>
    <row r="755" spans="1:9" ht="15" x14ac:dyDescent="0.2">
      <c r="A755" s="130" t="s">
        <v>3613</v>
      </c>
      <c r="B755" s="89" t="s">
        <v>3612</v>
      </c>
      <c r="C755" s="89" t="s">
        <v>7653</v>
      </c>
      <c r="D755" s="158">
        <v>335.98</v>
      </c>
      <c r="E755" s="158">
        <v>0</v>
      </c>
      <c r="F755" s="90">
        <f t="shared" si="15"/>
        <v>335.98</v>
      </c>
      <c r="G755" s="91">
        <v>304</v>
      </c>
      <c r="H755" s="159">
        <v>237.82</v>
      </c>
      <c r="I755" s="160">
        <v>581</v>
      </c>
    </row>
    <row r="756" spans="1:9" ht="15" x14ac:dyDescent="0.2">
      <c r="A756" s="130" t="s">
        <v>3616</v>
      </c>
      <c r="B756" s="89" t="s">
        <v>3612</v>
      </c>
      <c r="C756" s="89" t="s">
        <v>158</v>
      </c>
      <c r="D756" s="158">
        <v>400</v>
      </c>
      <c r="E756" s="158">
        <v>0</v>
      </c>
      <c r="F756" s="90">
        <f t="shared" si="15"/>
        <v>400</v>
      </c>
      <c r="G756" s="91">
        <v>699.26</v>
      </c>
      <c r="H756" s="159">
        <v>676.56999999999994</v>
      </c>
      <c r="I756" s="160">
        <v>670</v>
      </c>
    </row>
    <row r="757" spans="1:9" ht="15" x14ac:dyDescent="0.2">
      <c r="A757" s="130" t="s">
        <v>3618</v>
      </c>
      <c r="B757" s="89" t="s">
        <v>7654</v>
      </c>
      <c r="C757" s="89" t="s">
        <v>7655</v>
      </c>
      <c r="D757" s="158">
        <v>250</v>
      </c>
      <c r="E757" s="158">
        <v>325</v>
      </c>
      <c r="F757" s="90">
        <f t="shared" si="15"/>
        <v>575</v>
      </c>
      <c r="G757" s="91">
        <v>481</v>
      </c>
      <c r="H757" s="159">
        <v>310</v>
      </c>
      <c r="I757" s="160">
        <v>195</v>
      </c>
    </row>
    <row r="758" spans="1:9" ht="15" x14ac:dyDescent="0.2">
      <c r="A758" s="130" t="s">
        <v>7656</v>
      </c>
      <c r="B758" s="89" t="s">
        <v>3627</v>
      </c>
      <c r="C758" s="89" t="s">
        <v>3626</v>
      </c>
      <c r="D758" s="158">
        <v>255</v>
      </c>
      <c r="E758" s="158">
        <v>0</v>
      </c>
      <c r="F758" s="90">
        <f t="shared" si="15"/>
        <v>255</v>
      </c>
      <c r="G758" s="91">
        <v>442.9</v>
      </c>
      <c r="H758" s="159">
        <v>499.51</v>
      </c>
      <c r="I758" s="160">
        <v>60</v>
      </c>
    </row>
    <row r="759" spans="1:9" ht="15" x14ac:dyDescent="0.2">
      <c r="A759" s="130" t="s">
        <v>7657</v>
      </c>
      <c r="B759" s="89" t="s">
        <v>7658</v>
      </c>
      <c r="C759" s="89" t="s">
        <v>7659</v>
      </c>
      <c r="D759" s="158">
        <f>195.11+60</f>
        <v>255.11</v>
      </c>
      <c r="E759" s="158">
        <v>509.65000000000003</v>
      </c>
      <c r="F759" s="90">
        <f t="shared" si="15"/>
        <v>764.76</v>
      </c>
      <c r="G759" s="91">
        <v>415.69</v>
      </c>
      <c r="H759" s="159">
        <v>512.03</v>
      </c>
      <c r="I759" s="160">
        <v>521</v>
      </c>
    </row>
    <row r="760" spans="1:9" ht="15" x14ac:dyDescent="0.2">
      <c r="A760" s="130" t="s">
        <v>3643</v>
      </c>
      <c r="B760" s="89" t="s">
        <v>3646</v>
      </c>
      <c r="C760" s="89" t="s">
        <v>7660</v>
      </c>
      <c r="D760" s="158">
        <v>68.33</v>
      </c>
      <c r="E760" s="158">
        <v>0</v>
      </c>
      <c r="F760" s="90">
        <f t="shared" si="15"/>
        <v>68.33</v>
      </c>
      <c r="G760" s="91">
        <v>10</v>
      </c>
      <c r="H760" s="159">
        <v>10</v>
      </c>
      <c r="I760" s="160">
        <v>18</v>
      </c>
    </row>
    <row r="761" spans="1:9" ht="15" x14ac:dyDescent="0.2">
      <c r="A761" s="130" t="s">
        <v>7661</v>
      </c>
      <c r="B761" s="89" t="s">
        <v>7662</v>
      </c>
      <c r="C761" s="94" t="s">
        <v>7663</v>
      </c>
      <c r="D761" s="158">
        <v>994.67</v>
      </c>
      <c r="E761" s="158">
        <v>4438.93</v>
      </c>
      <c r="F761" s="90">
        <f t="shared" si="15"/>
        <v>5433.6</v>
      </c>
      <c r="G761" s="91">
        <v>4180.8599999999997</v>
      </c>
      <c r="H761" s="159">
        <v>4031.84</v>
      </c>
      <c r="I761" s="160">
        <v>2864</v>
      </c>
    </row>
    <row r="762" spans="1:9" ht="15" x14ac:dyDescent="0.2">
      <c r="A762" s="130" t="s">
        <v>3654</v>
      </c>
      <c r="B762" s="89" t="s">
        <v>3656</v>
      </c>
      <c r="C762" s="89" t="s">
        <v>1032</v>
      </c>
      <c r="D762" s="158">
        <v>296</v>
      </c>
      <c r="E762" s="158">
        <v>0</v>
      </c>
      <c r="F762" s="90">
        <f t="shared" si="15"/>
        <v>296</v>
      </c>
      <c r="G762" s="91">
        <v>420</v>
      </c>
      <c r="H762" s="159">
        <v>255</v>
      </c>
      <c r="I762" s="160">
        <v>280</v>
      </c>
    </row>
    <row r="763" spans="1:9" ht="15" x14ac:dyDescent="0.2">
      <c r="A763" s="130" t="s">
        <v>3660</v>
      </c>
      <c r="B763" s="89" t="s">
        <v>3663</v>
      </c>
      <c r="C763" s="89" t="s">
        <v>3662</v>
      </c>
      <c r="D763" s="158">
        <v>558.84</v>
      </c>
      <c r="E763" s="158">
        <v>240</v>
      </c>
      <c r="F763" s="90">
        <f t="shared" si="15"/>
        <v>798.84</v>
      </c>
      <c r="G763" s="91">
        <v>704</v>
      </c>
      <c r="H763" s="159">
        <v>993</v>
      </c>
      <c r="I763" s="160">
        <v>355</v>
      </c>
    </row>
    <row r="764" spans="1:9" ht="15" x14ac:dyDescent="0.2">
      <c r="A764" s="130" t="s">
        <v>7664</v>
      </c>
      <c r="B764" s="89" t="s">
        <v>7665</v>
      </c>
      <c r="C764" s="94" t="s">
        <v>7666</v>
      </c>
      <c r="D764" s="158">
        <v>205</v>
      </c>
      <c r="E764" s="158">
        <v>0</v>
      </c>
      <c r="F764" s="90">
        <f t="shared" si="15"/>
        <v>205</v>
      </c>
      <c r="G764" s="91">
        <v>178</v>
      </c>
      <c r="H764" s="159">
        <v>572.08999999999992</v>
      </c>
      <c r="I764" s="160">
        <v>343</v>
      </c>
    </row>
    <row r="765" spans="1:9" ht="15" x14ac:dyDescent="0.2">
      <c r="A765" s="130" t="s">
        <v>3667</v>
      </c>
      <c r="B765" s="89" t="s">
        <v>3670</v>
      </c>
      <c r="C765" s="89" t="s">
        <v>1584</v>
      </c>
      <c r="D765" s="158">
        <v>30</v>
      </c>
      <c r="E765" s="158">
        <v>0</v>
      </c>
      <c r="F765" s="90">
        <f t="shared" si="15"/>
        <v>30</v>
      </c>
      <c r="G765" s="91">
        <v>285.72000000000003</v>
      </c>
      <c r="H765" s="159">
        <v>400.32</v>
      </c>
      <c r="I765" s="160">
        <v>538</v>
      </c>
    </row>
    <row r="766" spans="1:9" ht="15" x14ac:dyDescent="0.2">
      <c r="A766" s="130" t="s">
        <v>3671</v>
      </c>
      <c r="B766" s="89" t="s">
        <v>3674</v>
      </c>
      <c r="C766" s="89" t="s">
        <v>3876</v>
      </c>
      <c r="D766" s="158">
        <v>1060</v>
      </c>
      <c r="E766" s="158">
        <v>604.22</v>
      </c>
      <c r="F766" s="90">
        <f t="shared" si="15"/>
        <v>1664.22</v>
      </c>
      <c r="G766" s="91">
        <v>2710.14</v>
      </c>
      <c r="H766" s="159">
        <v>986.72</v>
      </c>
      <c r="I766" s="160">
        <v>1022</v>
      </c>
    </row>
    <row r="767" spans="1:9" ht="15" x14ac:dyDescent="0.2">
      <c r="A767" s="130" t="s">
        <v>3675</v>
      </c>
      <c r="B767" s="89" t="s">
        <v>3674</v>
      </c>
      <c r="C767" s="89" t="s">
        <v>7667</v>
      </c>
      <c r="D767" s="158">
        <v>110</v>
      </c>
      <c r="E767" s="158">
        <v>492.76</v>
      </c>
      <c r="F767" s="90">
        <f t="shared" si="15"/>
        <v>602.76</v>
      </c>
      <c r="G767" s="91">
        <v>505.8</v>
      </c>
      <c r="H767" s="159">
        <v>420.45</v>
      </c>
      <c r="I767" s="160">
        <v>628</v>
      </c>
    </row>
    <row r="768" spans="1:9" ht="15" x14ac:dyDescent="0.2">
      <c r="A768" s="130" t="s">
        <v>3678</v>
      </c>
      <c r="B768" s="89" t="s">
        <v>3674</v>
      </c>
      <c r="C768" s="89" t="s">
        <v>3680</v>
      </c>
      <c r="D768" s="158">
        <v>0</v>
      </c>
      <c r="E768" s="158">
        <v>806.61</v>
      </c>
      <c r="F768" s="90">
        <f t="shared" si="15"/>
        <v>806.61</v>
      </c>
      <c r="G768" s="91">
        <v>457.74</v>
      </c>
      <c r="H768" s="159">
        <v>441.05</v>
      </c>
      <c r="I768" s="160">
        <v>233</v>
      </c>
    </row>
    <row r="769" spans="1:9" ht="15" x14ac:dyDescent="0.2">
      <c r="A769" s="130" t="s">
        <v>3681</v>
      </c>
      <c r="B769" s="89" t="s">
        <v>7668</v>
      </c>
      <c r="C769" s="89" t="s">
        <v>246</v>
      </c>
      <c r="D769" s="158">
        <v>0</v>
      </c>
      <c r="E769" s="158">
        <v>0</v>
      </c>
      <c r="F769" s="90">
        <f t="shared" si="15"/>
        <v>0</v>
      </c>
      <c r="G769" s="91">
        <v>0</v>
      </c>
      <c r="H769" s="159">
        <v>329.34000000000003</v>
      </c>
      <c r="I769" s="160">
        <v>20</v>
      </c>
    </row>
    <row r="770" spans="1:9" ht="15" x14ac:dyDescent="0.2">
      <c r="A770" s="130" t="s">
        <v>3685</v>
      </c>
      <c r="B770" s="89" t="s">
        <v>7669</v>
      </c>
      <c r="C770" s="89" t="s">
        <v>7670</v>
      </c>
      <c r="D770" s="158">
        <v>0</v>
      </c>
      <c r="E770" s="158">
        <v>0</v>
      </c>
      <c r="F770" s="90">
        <f t="shared" si="15"/>
        <v>0</v>
      </c>
      <c r="G770" s="91">
        <v>0</v>
      </c>
      <c r="H770" s="159">
        <v>57.309999999999995</v>
      </c>
      <c r="I770" s="160">
        <v>0</v>
      </c>
    </row>
    <row r="771" spans="1:9" ht="15" x14ac:dyDescent="0.2">
      <c r="A771" s="130" t="s">
        <v>7671</v>
      </c>
      <c r="B771" s="89" t="s">
        <v>7672</v>
      </c>
      <c r="C771" s="89" t="s">
        <v>7673</v>
      </c>
      <c r="D771" s="158">
        <f>30+549</f>
        <v>579</v>
      </c>
      <c r="E771" s="158">
        <v>1279.6500000000001</v>
      </c>
      <c r="F771" s="90">
        <f t="shared" si="15"/>
        <v>1858.65</v>
      </c>
      <c r="G771" s="91">
        <v>2093.2799999999997</v>
      </c>
      <c r="H771" s="159">
        <v>2191.67</v>
      </c>
      <c r="I771" s="160">
        <v>1884</v>
      </c>
    </row>
    <row r="772" spans="1:9" ht="15" x14ac:dyDescent="0.2">
      <c r="A772" s="130" t="s">
        <v>3695</v>
      </c>
      <c r="B772" s="89" t="s">
        <v>7674</v>
      </c>
      <c r="C772" s="89" t="s">
        <v>72</v>
      </c>
      <c r="D772" s="158">
        <v>1744.08</v>
      </c>
      <c r="E772" s="158">
        <v>0</v>
      </c>
      <c r="F772" s="90">
        <f t="shared" si="15"/>
        <v>1744.08</v>
      </c>
      <c r="G772" s="91">
        <v>1193</v>
      </c>
      <c r="H772" s="159">
        <v>2000.27</v>
      </c>
      <c r="I772" s="160">
        <v>1023</v>
      </c>
    </row>
    <row r="773" spans="1:9" ht="15" x14ac:dyDescent="0.2">
      <c r="A773" s="130" t="s">
        <v>3710</v>
      </c>
      <c r="B773" s="89" t="s">
        <v>3712</v>
      </c>
      <c r="C773" s="89" t="s">
        <v>1284</v>
      </c>
      <c r="D773" s="158">
        <v>530</v>
      </c>
      <c r="E773" s="158">
        <v>0</v>
      </c>
      <c r="F773" s="90">
        <f t="shared" si="15"/>
        <v>530</v>
      </c>
      <c r="G773" s="91">
        <v>470</v>
      </c>
      <c r="H773" s="159">
        <v>538.6</v>
      </c>
      <c r="I773" s="160">
        <v>370</v>
      </c>
    </row>
    <row r="774" spans="1:9" ht="15" x14ac:dyDescent="0.2">
      <c r="A774" s="130" t="s">
        <v>3713</v>
      </c>
      <c r="B774" s="89" t="s">
        <v>3716</v>
      </c>
      <c r="C774" s="89" t="s">
        <v>3715</v>
      </c>
      <c r="D774" s="158">
        <v>300</v>
      </c>
      <c r="E774" s="158">
        <v>0</v>
      </c>
      <c r="F774" s="90">
        <f t="shared" si="15"/>
        <v>300</v>
      </c>
      <c r="G774" s="91">
        <v>315</v>
      </c>
      <c r="H774" s="159">
        <v>324.62</v>
      </c>
      <c r="I774" s="160">
        <v>230</v>
      </c>
    </row>
    <row r="775" spans="1:9" ht="15" x14ac:dyDescent="0.2">
      <c r="A775" s="130" t="s">
        <v>3721</v>
      </c>
      <c r="B775" s="89" t="s">
        <v>3723</v>
      </c>
      <c r="C775" s="89" t="s">
        <v>783</v>
      </c>
      <c r="D775" s="158">
        <v>200</v>
      </c>
      <c r="E775" s="158">
        <v>146.21</v>
      </c>
      <c r="F775" s="90">
        <f t="shared" si="15"/>
        <v>346.21000000000004</v>
      </c>
      <c r="G775" s="91">
        <v>587.20000000000005</v>
      </c>
      <c r="H775" s="159">
        <v>272</v>
      </c>
      <c r="I775" s="160">
        <v>281</v>
      </c>
    </row>
    <row r="776" spans="1:9" ht="15" x14ac:dyDescent="0.2">
      <c r="A776" s="130" t="s">
        <v>3724</v>
      </c>
      <c r="B776" s="89" t="s">
        <v>3723</v>
      </c>
      <c r="C776" s="89" t="s">
        <v>7199</v>
      </c>
      <c r="D776" s="158">
        <v>966.34</v>
      </c>
      <c r="E776" s="158">
        <v>0</v>
      </c>
      <c r="F776" s="90">
        <f t="shared" si="15"/>
        <v>966.34</v>
      </c>
      <c r="G776" s="91">
        <v>680</v>
      </c>
      <c r="H776" s="159">
        <v>423.95</v>
      </c>
      <c r="I776" s="160">
        <v>10</v>
      </c>
    </row>
    <row r="777" spans="1:9" ht="15" x14ac:dyDescent="0.2">
      <c r="A777" s="130" t="s">
        <v>3726</v>
      </c>
      <c r="B777" s="89" t="s">
        <v>3723</v>
      </c>
      <c r="C777" s="89" t="s">
        <v>1284</v>
      </c>
      <c r="D777" s="158">
        <v>125</v>
      </c>
      <c r="E777" s="158">
        <v>1752.54</v>
      </c>
      <c r="F777" s="90">
        <f t="shared" si="15"/>
        <v>1877.54</v>
      </c>
      <c r="G777" s="91">
        <v>1939.07</v>
      </c>
      <c r="H777" s="159">
        <v>1550.34</v>
      </c>
      <c r="I777" s="160">
        <v>1395</v>
      </c>
    </row>
    <row r="778" spans="1:9" ht="15" x14ac:dyDescent="0.2">
      <c r="A778" s="130" t="s">
        <v>7675</v>
      </c>
      <c r="B778" s="89" t="s">
        <v>3723</v>
      </c>
      <c r="C778" s="89" t="s">
        <v>7676</v>
      </c>
      <c r="D778" s="158">
        <f>55+728.79</f>
        <v>783.79</v>
      </c>
      <c r="E778" s="158">
        <v>0</v>
      </c>
      <c r="F778" s="90">
        <f t="shared" si="15"/>
        <v>783.79</v>
      </c>
      <c r="G778" s="91">
        <v>1706.3</v>
      </c>
      <c r="H778" s="159">
        <v>1999</v>
      </c>
      <c r="I778" s="160">
        <v>2075</v>
      </c>
    </row>
    <row r="779" spans="1:9" ht="15" x14ac:dyDescent="0.2">
      <c r="A779" s="130" t="s">
        <v>3732</v>
      </c>
      <c r="B779" s="89" t="s">
        <v>3723</v>
      </c>
      <c r="C779" s="89" t="s">
        <v>532</v>
      </c>
      <c r="D779" s="158">
        <v>1929.58</v>
      </c>
      <c r="E779" s="158">
        <v>0</v>
      </c>
      <c r="F779" s="90">
        <f t="shared" si="15"/>
        <v>1929.58</v>
      </c>
      <c r="G779" s="91">
        <v>1344</v>
      </c>
      <c r="H779" s="159">
        <v>1186.99</v>
      </c>
      <c r="I779" s="160">
        <v>799</v>
      </c>
    </row>
    <row r="780" spans="1:9" ht="15" x14ac:dyDescent="0.2">
      <c r="A780" s="130" t="s">
        <v>3734</v>
      </c>
      <c r="B780" s="89" t="s">
        <v>3723</v>
      </c>
      <c r="C780" s="89" t="s">
        <v>7677</v>
      </c>
      <c r="D780" s="158">
        <v>45</v>
      </c>
      <c r="E780" s="158">
        <v>2115.63</v>
      </c>
      <c r="F780" s="90">
        <f t="shared" si="15"/>
        <v>2160.63</v>
      </c>
      <c r="G780" s="91">
        <v>2226</v>
      </c>
      <c r="H780" s="159">
        <v>2102.1000000000004</v>
      </c>
      <c r="I780" s="160">
        <v>2258</v>
      </c>
    </row>
    <row r="781" spans="1:9" ht="15" x14ac:dyDescent="0.2">
      <c r="A781" s="130" t="s">
        <v>3740</v>
      </c>
      <c r="B781" s="89" t="s">
        <v>3723</v>
      </c>
      <c r="C781" s="89" t="s">
        <v>7678</v>
      </c>
      <c r="D781" s="158">
        <v>2993.5</v>
      </c>
      <c r="E781" s="158">
        <v>0</v>
      </c>
      <c r="F781" s="90">
        <f t="shared" si="15"/>
        <v>2993.5</v>
      </c>
      <c r="G781" s="91">
        <v>235</v>
      </c>
      <c r="H781" s="159">
        <v>394.15</v>
      </c>
      <c r="I781" s="160">
        <v>235</v>
      </c>
    </row>
    <row r="782" spans="1:9" ht="15" x14ac:dyDescent="0.2">
      <c r="A782" s="130" t="s">
        <v>3745</v>
      </c>
      <c r="B782" s="89" t="s">
        <v>3747</v>
      </c>
      <c r="C782" s="89" t="s">
        <v>1065</v>
      </c>
      <c r="D782" s="158">
        <v>212.58</v>
      </c>
      <c r="E782" s="158">
        <v>384.4</v>
      </c>
      <c r="F782" s="90">
        <f t="shared" si="15"/>
        <v>596.98</v>
      </c>
      <c r="G782" s="91">
        <v>572.07999999999993</v>
      </c>
      <c r="H782" s="159">
        <v>100</v>
      </c>
      <c r="I782" s="160">
        <v>110</v>
      </c>
    </row>
    <row r="783" spans="1:9" ht="15" x14ac:dyDescent="0.2">
      <c r="A783" s="130" t="s">
        <v>3748</v>
      </c>
      <c r="B783" s="89" t="s">
        <v>3750</v>
      </c>
      <c r="C783" s="89" t="s">
        <v>7317</v>
      </c>
      <c r="D783" s="158">
        <v>35</v>
      </c>
      <c r="E783" s="158">
        <v>0</v>
      </c>
      <c r="F783" s="90">
        <f t="shared" si="15"/>
        <v>35</v>
      </c>
      <c r="G783" s="91">
        <v>50</v>
      </c>
      <c r="H783" s="159">
        <v>30</v>
      </c>
      <c r="I783" s="160">
        <v>60</v>
      </c>
    </row>
    <row r="784" spans="1:9" ht="15" x14ac:dyDescent="0.2">
      <c r="A784" s="130" t="s">
        <v>3754</v>
      </c>
      <c r="B784" s="89" t="s">
        <v>3750</v>
      </c>
      <c r="C784" s="89" t="s">
        <v>1160</v>
      </c>
      <c r="D784" s="158">
        <v>862</v>
      </c>
      <c r="E784" s="158">
        <v>383</v>
      </c>
      <c r="F784" s="90">
        <f t="shared" si="15"/>
        <v>1245</v>
      </c>
      <c r="G784" s="91">
        <v>824</v>
      </c>
      <c r="H784" s="159">
        <v>822</v>
      </c>
      <c r="I784" s="160">
        <v>1045</v>
      </c>
    </row>
    <row r="785" spans="1:9" ht="15" x14ac:dyDescent="0.2">
      <c r="A785" s="130" t="s">
        <v>3757</v>
      </c>
      <c r="B785" s="89" t="s">
        <v>3750</v>
      </c>
      <c r="C785" s="89" t="s">
        <v>7679</v>
      </c>
      <c r="D785" s="158">
        <v>1365</v>
      </c>
      <c r="E785" s="158">
        <v>764</v>
      </c>
      <c r="F785" s="90">
        <f t="shared" si="15"/>
        <v>2129</v>
      </c>
      <c r="G785" s="91">
        <v>415</v>
      </c>
      <c r="H785" s="159">
        <v>560</v>
      </c>
      <c r="I785" s="160">
        <v>412</v>
      </c>
    </row>
    <row r="786" spans="1:9" ht="15" x14ac:dyDescent="0.2">
      <c r="A786" s="130" t="s">
        <v>3763</v>
      </c>
      <c r="B786" s="89" t="s">
        <v>3750</v>
      </c>
      <c r="C786" s="89" t="s">
        <v>7680</v>
      </c>
      <c r="D786" s="158">
        <v>931</v>
      </c>
      <c r="E786" s="158">
        <v>241.96</v>
      </c>
      <c r="F786" s="90">
        <f t="shared" si="15"/>
        <v>1172.96</v>
      </c>
      <c r="G786" s="91">
        <v>1505.24</v>
      </c>
      <c r="H786" s="159">
        <v>1119.6199999999999</v>
      </c>
      <c r="I786" s="160">
        <v>897</v>
      </c>
    </row>
    <row r="787" spans="1:9" ht="15" x14ac:dyDescent="0.2">
      <c r="A787" s="130" t="s">
        <v>3769</v>
      </c>
      <c r="B787" s="89" t="s">
        <v>3750</v>
      </c>
      <c r="C787" s="89" t="s">
        <v>3771</v>
      </c>
      <c r="D787" s="158">
        <v>260.8</v>
      </c>
      <c r="E787" s="158">
        <v>581.29999999999995</v>
      </c>
      <c r="F787" s="90">
        <f t="shared" si="15"/>
        <v>842.09999999999991</v>
      </c>
      <c r="G787" s="91">
        <v>446</v>
      </c>
      <c r="H787" s="159">
        <v>659.47</v>
      </c>
      <c r="I787" s="160">
        <v>536</v>
      </c>
    </row>
    <row r="788" spans="1:9" ht="15" x14ac:dyDescent="0.2">
      <c r="A788" s="130" t="s">
        <v>3772</v>
      </c>
      <c r="B788" s="89" t="s">
        <v>3775</v>
      </c>
      <c r="C788" s="89" t="s">
        <v>7681</v>
      </c>
      <c r="D788" s="158">
        <v>429.95</v>
      </c>
      <c r="E788" s="158">
        <v>0</v>
      </c>
      <c r="F788" s="90">
        <f t="shared" si="15"/>
        <v>429.95</v>
      </c>
      <c r="G788" s="91">
        <v>465</v>
      </c>
      <c r="H788" s="159">
        <v>445</v>
      </c>
      <c r="I788" s="160">
        <v>1476</v>
      </c>
    </row>
    <row r="789" spans="1:9" ht="15" x14ac:dyDescent="0.2">
      <c r="A789" s="130" t="s">
        <v>3778</v>
      </c>
      <c r="B789" s="89" t="s">
        <v>3781</v>
      </c>
      <c r="C789" s="89" t="s">
        <v>7682</v>
      </c>
      <c r="D789" s="158">
        <v>1209.6300000000001</v>
      </c>
      <c r="E789" s="158">
        <v>0</v>
      </c>
      <c r="F789" s="90">
        <f t="shared" si="15"/>
        <v>1209.6300000000001</v>
      </c>
      <c r="G789" s="91">
        <v>1191.29</v>
      </c>
      <c r="H789" s="159">
        <v>1037.27</v>
      </c>
      <c r="I789" s="160">
        <v>1103</v>
      </c>
    </row>
    <row r="790" spans="1:9" ht="15" x14ac:dyDescent="0.2">
      <c r="A790" s="130" t="s">
        <v>3782</v>
      </c>
      <c r="B790" s="89" t="s">
        <v>3785</v>
      </c>
      <c r="C790" s="89" t="s">
        <v>3784</v>
      </c>
      <c r="D790" s="158">
        <v>155</v>
      </c>
      <c r="E790" s="158">
        <v>463.71</v>
      </c>
      <c r="F790" s="90">
        <f t="shared" si="15"/>
        <v>618.71</v>
      </c>
      <c r="G790" s="91">
        <v>215</v>
      </c>
      <c r="H790" s="159">
        <v>886</v>
      </c>
      <c r="I790" s="160">
        <v>225</v>
      </c>
    </row>
    <row r="791" spans="1:9" ht="15" x14ac:dyDescent="0.2">
      <c r="A791" s="130" t="s">
        <v>3786</v>
      </c>
      <c r="B791" s="89" t="s">
        <v>3788</v>
      </c>
      <c r="C791" s="89" t="s">
        <v>934</v>
      </c>
      <c r="D791" s="158">
        <v>335</v>
      </c>
      <c r="E791" s="158">
        <v>1059.1400000000001</v>
      </c>
      <c r="F791" s="90">
        <f t="shared" si="15"/>
        <v>1394.14</v>
      </c>
      <c r="G791" s="91">
        <v>890.73</v>
      </c>
      <c r="H791" s="159">
        <v>323</v>
      </c>
      <c r="I791" s="160">
        <v>300</v>
      </c>
    </row>
    <row r="792" spans="1:9" ht="15" x14ac:dyDescent="0.2">
      <c r="A792" s="130" t="s">
        <v>3789</v>
      </c>
      <c r="B792" s="89" t="s">
        <v>3792</v>
      </c>
      <c r="C792" s="89" t="s">
        <v>1065</v>
      </c>
      <c r="D792" s="158">
        <v>185</v>
      </c>
      <c r="E792" s="158">
        <v>511.26</v>
      </c>
      <c r="F792" s="90">
        <f t="shared" si="15"/>
        <v>696.26</v>
      </c>
      <c r="G792" s="91">
        <v>773.12</v>
      </c>
      <c r="H792" s="159">
        <v>650.03</v>
      </c>
      <c r="I792" s="160">
        <v>578</v>
      </c>
    </row>
    <row r="793" spans="1:9" ht="15" x14ac:dyDescent="0.2">
      <c r="A793" s="130" t="s">
        <v>3793</v>
      </c>
      <c r="B793" s="89" t="s">
        <v>3795</v>
      </c>
      <c r="C793" s="89" t="s">
        <v>896</v>
      </c>
      <c r="D793" s="158">
        <v>90</v>
      </c>
      <c r="E793" s="158">
        <v>222.74</v>
      </c>
      <c r="F793" s="90">
        <f t="shared" si="15"/>
        <v>312.74</v>
      </c>
      <c r="G793" s="91">
        <v>250.51</v>
      </c>
      <c r="H793" s="159">
        <v>336.25</v>
      </c>
      <c r="I793" s="160">
        <v>200</v>
      </c>
    </row>
    <row r="794" spans="1:9" ht="15" x14ac:dyDescent="0.2">
      <c r="A794" s="130" t="s">
        <v>3796</v>
      </c>
      <c r="B794" s="89" t="s">
        <v>3646</v>
      </c>
      <c r="C794" s="89" t="s">
        <v>3798</v>
      </c>
      <c r="D794" s="158">
        <v>60</v>
      </c>
      <c r="E794" s="158">
        <v>484.31</v>
      </c>
      <c r="F794" s="90">
        <f t="shared" si="15"/>
        <v>544.30999999999995</v>
      </c>
      <c r="G794" s="91">
        <v>941.5</v>
      </c>
      <c r="H794" s="159">
        <v>1372</v>
      </c>
      <c r="I794" s="160">
        <v>80</v>
      </c>
    </row>
    <row r="795" spans="1:9" ht="15" x14ac:dyDescent="0.2">
      <c r="A795" s="130" t="s">
        <v>3800</v>
      </c>
      <c r="B795" s="89" t="s">
        <v>3646</v>
      </c>
      <c r="C795" s="89" t="s">
        <v>1584</v>
      </c>
      <c r="D795" s="158">
        <v>976</v>
      </c>
      <c r="E795" s="158">
        <v>373.14</v>
      </c>
      <c r="F795" s="90">
        <f t="shared" si="15"/>
        <v>1349.1399999999999</v>
      </c>
      <c r="G795" s="91">
        <v>1783</v>
      </c>
      <c r="H795" s="159">
        <v>1702.12</v>
      </c>
      <c r="I795" s="160">
        <v>1489</v>
      </c>
    </row>
    <row r="796" spans="1:9" ht="15" x14ac:dyDescent="0.2">
      <c r="A796" s="130" t="s">
        <v>3802</v>
      </c>
      <c r="B796" s="89" t="s">
        <v>3805</v>
      </c>
      <c r="C796" s="89" t="s">
        <v>4670</v>
      </c>
      <c r="D796" s="158">
        <v>90.85</v>
      </c>
      <c r="E796" s="158">
        <v>790.29</v>
      </c>
      <c r="F796" s="90">
        <f t="shared" si="15"/>
        <v>881.14</v>
      </c>
      <c r="G796" s="91">
        <v>1232.47</v>
      </c>
      <c r="H796" s="159">
        <v>666.94</v>
      </c>
      <c r="I796" s="160">
        <v>936</v>
      </c>
    </row>
    <row r="797" spans="1:9" ht="15" x14ac:dyDescent="0.2">
      <c r="A797" s="130" t="s">
        <v>3808</v>
      </c>
      <c r="B797" s="89" t="s">
        <v>3810</v>
      </c>
      <c r="C797" s="89" t="s">
        <v>453</v>
      </c>
      <c r="D797" s="158">
        <v>440</v>
      </c>
      <c r="E797" s="158">
        <v>462</v>
      </c>
      <c r="F797" s="90">
        <f t="shared" si="15"/>
        <v>902</v>
      </c>
      <c r="G797" s="91">
        <v>508</v>
      </c>
      <c r="H797" s="159">
        <v>553</v>
      </c>
      <c r="I797" s="160">
        <v>200</v>
      </c>
    </row>
    <row r="798" spans="1:9" ht="15" x14ac:dyDescent="0.2">
      <c r="A798" s="130" t="s">
        <v>3811</v>
      </c>
      <c r="B798" s="89" t="s">
        <v>3813</v>
      </c>
      <c r="C798" s="89" t="s">
        <v>1696</v>
      </c>
      <c r="D798" s="158">
        <v>456.96</v>
      </c>
      <c r="E798" s="158">
        <v>0</v>
      </c>
      <c r="F798" s="90">
        <f t="shared" si="15"/>
        <v>456.96</v>
      </c>
      <c r="G798" s="91">
        <v>1115</v>
      </c>
      <c r="H798" s="159">
        <v>501.11</v>
      </c>
      <c r="I798" s="160">
        <v>1144</v>
      </c>
    </row>
    <row r="799" spans="1:9" ht="15" x14ac:dyDescent="0.2">
      <c r="A799" s="130" t="s">
        <v>3820</v>
      </c>
      <c r="B799" s="89" t="s">
        <v>3822</v>
      </c>
      <c r="C799" s="89" t="s">
        <v>7683</v>
      </c>
      <c r="D799" s="158">
        <v>260</v>
      </c>
      <c r="E799" s="158">
        <v>0</v>
      </c>
      <c r="F799" s="90">
        <f t="shared" ref="F799:F805" si="16">E799+D799</f>
        <v>260</v>
      </c>
      <c r="G799" s="91">
        <v>260</v>
      </c>
      <c r="H799" s="159"/>
      <c r="I799" s="160">
        <v>860</v>
      </c>
    </row>
    <row r="800" spans="1:9" ht="15" x14ac:dyDescent="0.2">
      <c r="A800" s="130" t="s">
        <v>3823</v>
      </c>
      <c r="B800" s="89" t="s">
        <v>3826</v>
      </c>
      <c r="C800" s="89" t="s">
        <v>7684</v>
      </c>
      <c r="D800" s="158">
        <v>680</v>
      </c>
      <c r="E800" s="158">
        <v>0</v>
      </c>
      <c r="F800" s="90">
        <f t="shared" si="16"/>
        <v>680</v>
      </c>
      <c r="G800" s="91">
        <v>165</v>
      </c>
      <c r="H800" s="159">
        <v>140</v>
      </c>
      <c r="I800" s="160">
        <v>95</v>
      </c>
    </row>
    <row r="801" spans="1:9" ht="15" x14ac:dyDescent="0.2">
      <c r="A801" s="130" t="s">
        <v>3827</v>
      </c>
      <c r="B801" s="89" t="s">
        <v>3829</v>
      </c>
      <c r="C801" s="89" t="s">
        <v>226</v>
      </c>
      <c r="D801" s="158">
        <v>475</v>
      </c>
      <c r="E801" s="158">
        <v>104</v>
      </c>
      <c r="F801" s="90">
        <f t="shared" si="16"/>
        <v>579</v>
      </c>
      <c r="G801" s="91">
        <v>742</v>
      </c>
      <c r="H801" s="159">
        <v>644.22</v>
      </c>
      <c r="I801" s="160">
        <v>925</v>
      </c>
    </row>
    <row r="802" spans="1:9" ht="15" x14ac:dyDescent="0.2">
      <c r="A802" s="130" t="s">
        <v>3833</v>
      </c>
      <c r="B802" s="89" t="s">
        <v>3612</v>
      </c>
      <c r="C802" s="89" t="s">
        <v>7685</v>
      </c>
      <c r="D802" s="158">
        <v>0</v>
      </c>
      <c r="E802" s="158">
        <v>143.74</v>
      </c>
      <c r="F802" s="90">
        <f t="shared" si="16"/>
        <v>143.74</v>
      </c>
      <c r="G802" s="91">
        <v>134.18</v>
      </c>
      <c r="H802" s="159">
        <v>247.58</v>
      </c>
      <c r="I802" s="160">
        <v>279</v>
      </c>
    </row>
    <row r="803" spans="1:9" ht="15" x14ac:dyDescent="0.2">
      <c r="A803" s="130" t="s">
        <v>3836</v>
      </c>
      <c r="B803" s="89" t="s">
        <v>3646</v>
      </c>
      <c r="C803" s="89" t="s">
        <v>3838</v>
      </c>
      <c r="D803" s="158">
        <v>490.82</v>
      </c>
      <c r="E803" s="158">
        <v>0</v>
      </c>
      <c r="F803" s="90">
        <f t="shared" si="16"/>
        <v>490.82</v>
      </c>
      <c r="G803" s="91">
        <v>294</v>
      </c>
      <c r="H803" s="159">
        <v>839.65000000000009</v>
      </c>
      <c r="I803" s="160">
        <v>289</v>
      </c>
    </row>
    <row r="804" spans="1:9" ht="15" x14ac:dyDescent="0.2">
      <c r="A804" s="161" t="s">
        <v>7261</v>
      </c>
      <c r="B804" s="162" t="s">
        <v>7261</v>
      </c>
      <c r="C804" s="162" t="s">
        <v>7261</v>
      </c>
      <c r="D804" s="158">
        <f>661+180</f>
        <v>841</v>
      </c>
      <c r="E804" s="158">
        <v>1108.79</v>
      </c>
      <c r="F804" s="90">
        <f t="shared" si="16"/>
        <v>1949.79</v>
      </c>
      <c r="G804" s="91">
        <v>1848.08</v>
      </c>
      <c r="H804" s="159">
        <v>3346.82</v>
      </c>
      <c r="I804" s="160">
        <v>3819</v>
      </c>
    </row>
    <row r="805" spans="1:9" ht="16.5" thickBot="1" x14ac:dyDescent="0.25">
      <c r="A805" s="136" t="s">
        <v>307</v>
      </c>
      <c r="B805" s="163"/>
      <c r="C805" s="163"/>
      <c r="D805" s="138">
        <f>SUM(D734:D804)</f>
        <v>35348.68</v>
      </c>
      <c r="E805" s="138">
        <f>SUM(E734:E804)</f>
        <v>37136.200000000004</v>
      </c>
      <c r="F805" s="139">
        <f t="shared" si="16"/>
        <v>72484.88</v>
      </c>
      <c r="G805" s="139">
        <v>68606.12000000001</v>
      </c>
      <c r="H805" s="164">
        <v>65424.25</v>
      </c>
      <c r="I805" s="165">
        <v>54830</v>
      </c>
    </row>
    <row r="806" spans="1:9" s="62" customFormat="1" ht="15" thickBot="1" x14ac:dyDescent="0.25">
      <c r="A806" s="60" t="s">
        <v>7262</v>
      </c>
      <c r="B806" s="60"/>
      <c r="C806" s="60"/>
      <c r="D806" s="60"/>
      <c r="E806" s="60"/>
      <c r="F806" s="61"/>
      <c r="G806" s="61"/>
      <c r="H806" s="60"/>
    </row>
    <row r="807" spans="1:9" ht="20.25" x14ac:dyDescent="0.2">
      <c r="A807" s="257" t="s">
        <v>7686</v>
      </c>
      <c r="B807" s="258"/>
      <c r="C807" s="258"/>
      <c r="D807" s="258"/>
      <c r="E807" s="258"/>
      <c r="F807" s="258"/>
      <c r="G807" s="258"/>
      <c r="H807" s="169"/>
      <c r="I807" s="170"/>
    </row>
    <row r="808" spans="1:9" ht="31.5" x14ac:dyDescent="0.25">
      <c r="A808" s="157" t="s">
        <v>1</v>
      </c>
      <c r="B808" s="157" t="s">
        <v>2</v>
      </c>
      <c r="C808" s="157" t="s">
        <v>3</v>
      </c>
      <c r="D808" s="157" t="s">
        <v>7687</v>
      </c>
      <c r="E808" s="171" t="s">
        <v>7688</v>
      </c>
      <c r="F808" s="157">
        <v>2018</v>
      </c>
      <c r="G808" s="171">
        <v>2017</v>
      </c>
      <c r="H808" s="172" t="s">
        <v>7689</v>
      </c>
      <c r="I808" s="173">
        <v>2016</v>
      </c>
    </row>
    <row r="809" spans="1:9" ht="15" x14ac:dyDescent="0.2">
      <c r="A809" s="89" t="s">
        <v>3843</v>
      </c>
      <c r="B809" s="89" t="s">
        <v>3846</v>
      </c>
      <c r="C809" s="89" t="s">
        <v>5806</v>
      </c>
      <c r="D809" s="174">
        <v>1540</v>
      </c>
      <c r="E809" s="174">
        <v>982.76</v>
      </c>
      <c r="F809" s="175">
        <f>D809+E809</f>
        <v>2522.7600000000002</v>
      </c>
      <c r="G809" s="176">
        <v>2941.1</v>
      </c>
      <c r="H809" s="177">
        <v>1281.0999999999999</v>
      </c>
      <c r="I809" s="178">
        <v>2616.66</v>
      </c>
    </row>
    <row r="810" spans="1:9" ht="15" x14ac:dyDescent="0.2">
      <c r="A810" s="89" t="s">
        <v>3848</v>
      </c>
      <c r="B810" s="89" t="s">
        <v>3850</v>
      </c>
      <c r="C810" s="89" t="s">
        <v>7216</v>
      </c>
      <c r="D810" s="174">
        <v>121.94</v>
      </c>
      <c r="E810" s="179"/>
      <c r="F810" s="175">
        <f t="shared" ref="F810:F874" si="17">D810+E810</f>
        <v>121.94</v>
      </c>
      <c r="G810" s="176">
        <v>160.43</v>
      </c>
      <c r="H810" s="177">
        <v>110.43</v>
      </c>
      <c r="I810" s="178">
        <v>362.95</v>
      </c>
    </row>
    <row r="811" spans="1:9" ht="15" x14ac:dyDescent="0.2">
      <c r="A811" s="89" t="s">
        <v>7690</v>
      </c>
      <c r="B811" s="89" t="s">
        <v>7691</v>
      </c>
      <c r="C811" s="89" t="s">
        <v>7692</v>
      </c>
      <c r="D811" s="174">
        <v>795</v>
      </c>
      <c r="E811" s="174">
        <v>422.47999999999996</v>
      </c>
      <c r="F811" s="175">
        <f t="shared" si="17"/>
        <v>1217.48</v>
      </c>
      <c r="G811" s="176">
        <v>1431.86</v>
      </c>
      <c r="H811" s="177">
        <v>766.8599999999999</v>
      </c>
      <c r="I811" s="178">
        <v>1920.8700000000001</v>
      </c>
    </row>
    <row r="812" spans="1:9" ht="15" x14ac:dyDescent="0.2">
      <c r="A812" s="89" t="s">
        <v>3853</v>
      </c>
      <c r="B812" s="89" t="s">
        <v>3850</v>
      </c>
      <c r="C812" s="89" t="s">
        <v>7693</v>
      </c>
      <c r="D812" s="174">
        <v>521</v>
      </c>
      <c r="E812" s="174">
        <v>588.96</v>
      </c>
      <c r="F812" s="175">
        <f t="shared" si="17"/>
        <v>1109.96</v>
      </c>
      <c r="G812" s="176">
        <v>1244.48</v>
      </c>
      <c r="H812" s="177">
        <v>721.48</v>
      </c>
      <c r="I812" s="178">
        <v>1545.97</v>
      </c>
    </row>
    <row r="813" spans="1:9" ht="15" x14ac:dyDescent="0.2">
      <c r="A813" s="89" t="s">
        <v>3855</v>
      </c>
      <c r="B813" s="89" t="s">
        <v>3850</v>
      </c>
      <c r="C813" s="89" t="s">
        <v>7694</v>
      </c>
      <c r="D813" s="174">
        <v>1527.2</v>
      </c>
      <c r="E813" s="180">
        <v>854</v>
      </c>
      <c r="F813" s="175">
        <f t="shared" si="17"/>
        <v>2381.1999999999998</v>
      </c>
      <c r="G813" s="176">
        <v>2513</v>
      </c>
      <c r="H813" s="177">
        <v>947</v>
      </c>
      <c r="I813" s="178">
        <v>2784</v>
      </c>
    </row>
    <row r="814" spans="1:9" ht="15" x14ac:dyDescent="0.2">
      <c r="A814" s="89" t="s">
        <v>3859</v>
      </c>
      <c r="B814" s="89" t="s">
        <v>3850</v>
      </c>
      <c r="C814" s="89" t="s">
        <v>7511</v>
      </c>
      <c r="D814" s="174">
        <v>186</v>
      </c>
      <c r="E814" s="180">
        <v>736.69999999999993</v>
      </c>
      <c r="F814" s="175">
        <f t="shared" si="17"/>
        <v>922.69999999999993</v>
      </c>
      <c r="G814" s="176">
        <v>1263</v>
      </c>
      <c r="H814" s="177">
        <v>859</v>
      </c>
      <c r="I814" s="178">
        <v>1444.7</v>
      </c>
    </row>
    <row r="815" spans="1:9" ht="15" x14ac:dyDescent="0.2">
      <c r="A815" s="89" t="s">
        <v>3862</v>
      </c>
      <c r="B815" s="89" t="s">
        <v>3850</v>
      </c>
      <c r="C815" s="89" t="s">
        <v>3864</v>
      </c>
      <c r="D815" s="174">
        <v>60</v>
      </c>
      <c r="E815" s="179"/>
      <c r="F815" s="175">
        <f t="shared" si="17"/>
        <v>60</v>
      </c>
      <c r="G815" s="176">
        <v>60</v>
      </c>
      <c r="H815" s="177">
        <v>0</v>
      </c>
      <c r="I815" s="178">
        <v>60</v>
      </c>
    </row>
    <row r="816" spans="1:9" ht="15" x14ac:dyDescent="0.2">
      <c r="A816" s="89" t="s">
        <v>3865</v>
      </c>
      <c r="B816" s="89" t="s">
        <v>3850</v>
      </c>
      <c r="C816" s="89" t="s">
        <v>1032</v>
      </c>
      <c r="D816" s="174">
        <v>398.5</v>
      </c>
      <c r="E816" s="179"/>
      <c r="F816" s="175">
        <f t="shared" si="17"/>
        <v>398.5</v>
      </c>
      <c r="G816" s="176">
        <v>210</v>
      </c>
      <c r="H816" s="177">
        <v>0</v>
      </c>
      <c r="I816" s="178">
        <v>367</v>
      </c>
    </row>
    <row r="817" spans="1:9" ht="15" x14ac:dyDescent="0.2">
      <c r="A817" s="89" t="s">
        <v>3868</v>
      </c>
      <c r="B817" s="89" t="s">
        <v>3850</v>
      </c>
      <c r="C817" s="89" t="s">
        <v>3870</v>
      </c>
      <c r="D817" s="181">
        <v>0</v>
      </c>
      <c r="E817" s="179">
        <v>0</v>
      </c>
      <c r="F817" s="175">
        <f t="shared" si="17"/>
        <v>0</v>
      </c>
      <c r="G817" s="176">
        <v>15</v>
      </c>
      <c r="H817" s="177">
        <v>0</v>
      </c>
      <c r="I817" s="178">
        <v>20</v>
      </c>
    </row>
    <row r="818" spans="1:9" ht="15" x14ac:dyDescent="0.2">
      <c r="A818" s="89" t="s">
        <v>3874</v>
      </c>
      <c r="B818" s="89" t="s">
        <v>3850</v>
      </c>
      <c r="C818" s="89" t="s">
        <v>7449</v>
      </c>
      <c r="D818" s="174">
        <v>60</v>
      </c>
      <c r="E818" s="180">
        <v>238.7</v>
      </c>
      <c r="F818" s="175">
        <f t="shared" si="17"/>
        <v>298.7</v>
      </c>
      <c r="G818" s="176">
        <v>301.27</v>
      </c>
      <c r="H818" s="177">
        <v>241.27</v>
      </c>
      <c r="I818" s="178">
        <v>317.49</v>
      </c>
    </row>
    <row r="819" spans="1:9" ht="15" x14ac:dyDescent="0.2">
      <c r="A819" s="89" t="s">
        <v>3878</v>
      </c>
      <c r="B819" s="89" t="s">
        <v>3850</v>
      </c>
      <c r="C819" s="89" t="s">
        <v>3880</v>
      </c>
      <c r="D819" s="174">
        <v>35</v>
      </c>
      <c r="E819" s="180">
        <v>245.16</v>
      </c>
      <c r="F819" s="175">
        <f t="shared" si="17"/>
        <v>280.15999999999997</v>
      </c>
      <c r="G819" s="176">
        <v>151.84</v>
      </c>
      <c r="H819" s="177">
        <v>46.84</v>
      </c>
      <c r="I819" s="178">
        <v>199.08</v>
      </c>
    </row>
    <row r="820" spans="1:9" ht="15" x14ac:dyDescent="0.2">
      <c r="A820" s="89" t="s">
        <v>7695</v>
      </c>
      <c r="B820" s="89" t="s">
        <v>3850</v>
      </c>
      <c r="C820" s="89" t="s">
        <v>7696</v>
      </c>
      <c r="D820" s="174">
        <f>545+1000</f>
        <v>1545</v>
      </c>
      <c r="E820" s="179"/>
      <c r="F820" s="175">
        <f t="shared" si="17"/>
        <v>1545</v>
      </c>
      <c r="G820" s="176">
        <v>503</v>
      </c>
      <c r="H820" s="177">
        <v>0</v>
      </c>
      <c r="I820" s="178">
        <v>225</v>
      </c>
    </row>
    <row r="821" spans="1:9" ht="15" x14ac:dyDescent="0.2">
      <c r="A821" s="89" t="s">
        <v>3885</v>
      </c>
      <c r="B821" s="89" t="s">
        <v>3850</v>
      </c>
      <c r="C821" s="89" t="s">
        <v>659</v>
      </c>
      <c r="D821" s="174">
        <v>858.7</v>
      </c>
      <c r="E821" s="179"/>
      <c r="F821" s="175">
        <f t="shared" si="17"/>
        <v>858.7</v>
      </c>
      <c r="G821" s="176">
        <v>589</v>
      </c>
      <c r="H821" s="177">
        <v>0</v>
      </c>
      <c r="I821" s="178">
        <v>604.94000000000005</v>
      </c>
    </row>
    <row r="822" spans="1:9" ht="15" x14ac:dyDescent="0.2">
      <c r="A822" s="89" t="s">
        <v>3887</v>
      </c>
      <c r="B822" s="89" t="s">
        <v>3850</v>
      </c>
      <c r="C822" s="89" t="s">
        <v>453</v>
      </c>
      <c r="D822" s="174">
        <v>35</v>
      </c>
      <c r="E822" s="180">
        <v>240.45</v>
      </c>
      <c r="F822" s="175">
        <f t="shared" si="17"/>
        <v>275.45</v>
      </c>
      <c r="G822" s="176">
        <v>147.93</v>
      </c>
      <c r="H822" s="177">
        <v>127.93</v>
      </c>
      <c r="I822" s="178">
        <v>176.87</v>
      </c>
    </row>
    <row r="823" spans="1:9" ht="15" x14ac:dyDescent="0.2">
      <c r="A823" s="89" t="s">
        <v>3889</v>
      </c>
      <c r="B823" s="89" t="s">
        <v>3850</v>
      </c>
      <c r="C823" s="89" t="s">
        <v>7697</v>
      </c>
      <c r="D823" s="174">
        <v>275</v>
      </c>
      <c r="E823" s="179"/>
      <c r="F823" s="175">
        <f t="shared" si="17"/>
        <v>275</v>
      </c>
      <c r="G823" s="176">
        <v>251</v>
      </c>
      <c r="H823" s="177">
        <v>0</v>
      </c>
      <c r="I823" s="178">
        <v>232</v>
      </c>
    </row>
    <row r="824" spans="1:9" ht="15" x14ac:dyDescent="0.2">
      <c r="A824" s="89" t="s">
        <v>3892</v>
      </c>
      <c r="B824" s="89" t="s">
        <v>3894</v>
      </c>
      <c r="C824" s="89" t="s">
        <v>916</v>
      </c>
      <c r="D824" s="174">
        <v>75</v>
      </c>
      <c r="E824" s="179"/>
      <c r="F824" s="175">
        <f t="shared" si="17"/>
        <v>75</v>
      </c>
      <c r="G824" s="176">
        <v>860</v>
      </c>
      <c r="H824" s="177">
        <v>0</v>
      </c>
      <c r="I824" s="178">
        <v>125</v>
      </c>
    </row>
    <row r="825" spans="1:9" ht="15" x14ac:dyDescent="0.2">
      <c r="A825" s="89" t="s">
        <v>3895</v>
      </c>
      <c r="B825" s="89" t="s">
        <v>3898</v>
      </c>
      <c r="C825" s="89" t="s">
        <v>7698</v>
      </c>
      <c r="D825" s="174">
        <v>0</v>
      </c>
      <c r="E825" s="180">
        <v>738</v>
      </c>
      <c r="F825" s="175">
        <f t="shared" si="17"/>
        <v>738</v>
      </c>
      <c r="G825" s="176">
        <v>680</v>
      </c>
      <c r="H825" s="177">
        <v>670</v>
      </c>
      <c r="I825" s="178">
        <v>561</v>
      </c>
    </row>
    <row r="826" spans="1:9" ht="15" x14ac:dyDescent="0.2">
      <c r="A826" s="89" t="s">
        <v>3899</v>
      </c>
      <c r="B826" s="89" t="s">
        <v>3901</v>
      </c>
      <c r="C826" s="89" t="s">
        <v>1871</v>
      </c>
      <c r="D826" s="174">
        <v>272</v>
      </c>
      <c r="E826" s="179"/>
      <c r="F826" s="175">
        <f t="shared" si="17"/>
        <v>272</v>
      </c>
      <c r="G826" s="176">
        <v>214.25</v>
      </c>
      <c r="H826" s="177">
        <v>0</v>
      </c>
      <c r="I826" s="178">
        <v>395.5</v>
      </c>
    </row>
    <row r="827" spans="1:9" ht="15" x14ac:dyDescent="0.2">
      <c r="A827" s="89" t="s">
        <v>7699</v>
      </c>
      <c r="B827" s="89" t="s">
        <v>7700</v>
      </c>
      <c r="C827" s="89" t="s">
        <v>7701</v>
      </c>
      <c r="D827" s="174">
        <f>340+10</f>
        <v>350</v>
      </c>
      <c r="E827" s="180">
        <v>187.34</v>
      </c>
      <c r="F827" s="175">
        <f t="shared" si="17"/>
        <v>537.34</v>
      </c>
      <c r="G827" s="176">
        <v>682.12</v>
      </c>
      <c r="H827" s="177">
        <v>282.12</v>
      </c>
      <c r="I827" s="178">
        <v>1410.33</v>
      </c>
    </row>
    <row r="828" spans="1:9" ht="15" x14ac:dyDescent="0.2">
      <c r="A828" s="89" t="s">
        <v>3907</v>
      </c>
      <c r="B828" s="89" t="s">
        <v>7702</v>
      </c>
      <c r="C828" s="89" t="s">
        <v>3909</v>
      </c>
      <c r="D828" s="174">
        <v>120</v>
      </c>
      <c r="E828" s="180">
        <v>700.74</v>
      </c>
      <c r="F828" s="175">
        <f t="shared" si="17"/>
        <v>820.74</v>
      </c>
      <c r="G828" s="176">
        <v>751.91</v>
      </c>
      <c r="H828" s="177">
        <v>631.91</v>
      </c>
      <c r="I828" s="178">
        <v>605.04</v>
      </c>
    </row>
    <row r="829" spans="1:9" ht="15" x14ac:dyDescent="0.2">
      <c r="A829" s="89" t="s">
        <v>3912</v>
      </c>
      <c r="B829" s="89" t="s">
        <v>3915</v>
      </c>
      <c r="C829" s="89" t="s">
        <v>7703</v>
      </c>
      <c r="D829" s="174">
        <v>2580</v>
      </c>
      <c r="E829" s="180">
        <v>835.82999999999993</v>
      </c>
      <c r="F829" s="175">
        <f t="shared" si="17"/>
        <v>3415.83</v>
      </c>
      <c r="G829" s="176">
        <v>3482.54</v>
      </c>
      <c r="H829" s="177">
        <v>1007.54</v>
      </c>
      <c r="I829" s="178">
        <v>2245.23</v>
      </c>
    </row>
    <row r="830" spans="1:9" ht="15" x14ac:dyDescent="0.2">
      <c r="A830" s="89" t="s">
        <v>3920</v>
      </c>
      <c r="B830" s="89" t="s">
        <v>3923</v>
      </c>
      <c r="C830" s="89" t="s">
        <v>5155</v>
      </c>
      <c r="D830" s="174">
        <v>135</v>
      </c>
      <c r="E830" s="180">
        <v>3500</v>
      </c>
      <c r="F830" s="175">
        <f t="shared" si="17"/>
        <v>3635</v>
      </c>
      <c r="G830" s="176">
        <v>3575</v>
      </c>
      <c r="H830" s="177">
        <v>3530</v>
      </c>
      <c r="I830" s="178">
        <v>3380</v>
      </c>
    </row>
    <row r="831" spans="1:9" ht="15" x14ac:dyDescent="0.2">
      <c r="A831" s="89" t="s">
        <v>3928</v>
      </c>
      <c r="B831" s="89" t="s">
        <v>3931</v>
      </c>
      <c r="C831" s="89" t="s">
        <v>7704</v>
      </c>
      <c r="D831" s="174">
        <v>205</v>
      </c>
      <c r="E831" s="180">
        <v>118.75</v>
      </c>
      <c r="F831" s="175">
        <f t="shared" si="17"/>
        <v>323.75</v>
      </c>
      <c r="G831" s="176">
        <v>519.11</v>
      </c>
      <c r="H831" s="177">
        <v>309.11</v>
      </c>
      <c r="I831" s="178">
        <v>463.40000000000003</v>
      </c>
    </row>
    <row r="832" spans="1:9" ht="15" x14ac:dyDescent="0.2">
      <c r="A832" s="89" t="s">
        <v>3932</v>
      </c>
      <c r="B832" s="89" t="s">
        <v>3935</v>
      </c>
      <c r="C832" s="89" t="s">
        <v>226</v>
      </c>
      <c r="D832" s="174">
        <v>160</v>
      </c>
      <c r="E832" s="180">
        <v>1192.1299999999999</v>
      </c>
      <c r="F832" s="175">
        <f t="shared" si="17"/>
        <v>1352.1299999999999</v>
      </c>
      <c r="G832" s="176">
        <v>1332.3</v>
      </c>
      <c r="H832" s="177">
        <v>1148.3</v>
      </c>
      <c r="I832" s="178">
        <v>1236.6300000000001</v>
      </c>
    </row>
    <row r="833" spans="1:9" ht="15" x14ac:dyDescent="0.2">
      <c r="A833" s="89" t="s">
        <v>3936</v>
      </c>
      <c r="B833" s="89" t="s">
        <v>3939</v>
      </c>
      <c r="C833" s="89" t="s">
        <v>7705</v>
      </c>
      <c r="D833" s="174">
        <v>393</v>
      </c>
      <c r="E833" s="180">
        <v>821.17</v>
      </c>
      <c r="F833" s="175">
        <f t="shared" si="17"/>
        <v>1214.17</v>
      </c>
      <c r="G833" s="176">
        <v>996.49</v>
      </c>
      <c r="H833" s="177">
        <v>646.49</v>
      </c>
      <c r="I833" s="178">
        <v>1095.55</v>
      </c>
    </row>
    <row r="834" spans="1:9" ht="15" x14ac:dyDescent="0.2">
      <c r="A834" s="89" t="s">
        <v>3945</v>
      </c>
      <c r="B834" s="89" t="s">
        <v>3947</v>
      </c>
      <c r="C834" s="89" t="s">
        <v>226</v>
      </c>
      <c r="D834" s="174">
        <v>100</v>
      </c>
      <c r="E834" s="180">
        <v>3505.9199999999996</v>
      </c>
      <c r="F834" s="175">
        <f t="shared" si="17"/>
        <v>3605.9199999999996</v>
      </c>
      <c r="G834" s="176">
        <v>3620.81</v>
      </c>
      <c r="H834" s="177">
        <v>3430.81</v>
      </c>
      <c r="I834" s="178">
        <v>3132.14</v>
      </c>
    </row>
    <row r="835" spans="1:9" ht="15" x14ac:dyDescent="0.2">
      <c r="A835" s="89" t="s">
        <v>3948</v>
      </c>
      <c r="B835" s="89" t="s">
        <v>1092</v>
      </c>
      <c r="C835" s="89" t="s">
        <v>7706</v>
      </c>
      <c r="D835" s="174">
        <v>160</v>
      </c>
      <c r="E835" s="180">
        <v>328.34</v>
      </c>
      <c r="F835" s="175">
        <f t="shared" si="17"/>
        <v>488.34</v>
      </c>
      <c r="G835" s="176">
        <v>584.67000000000007</v>
      </c>
      <c r="H835" s="177">
        <v>424.67</v>
      </c>
      <c r="I835" s="178">
        <v>622.93000000000006</v>
      </c>
    </row>
    <row r="836" spans="1:9" ht="15" x14ac:dyDescent="0.2">
      <c r="A836" s="89" t="s">
        <v>3952</v>
      </c>
      <c r="B836" s="89" t="s">
        <v>3954</v>
      </c>
      <c r="C836" s="89" t="s">
        <v>839</v>
      </c>
      <c r="D836" s="174">
        <v>421.2</v>
      </c>
      <c r="E836" s="180">
        <v>131</v>
      </c>
      <c r="F836" s="175">
        <f t="shared" si="17"/>
        <v>552.20000000000005</v>
      </c>
      <c r="G836" s="176">
        <v>238</v>
      </c>
      <c r="H836" s="177">
        <v>22</v>
      </c>
      <c r="I836" s="178">
        <v>195</v>
      </c>
    </row>
    <row r="837" spans="1:9" ht="15" x14ac:dyDescent="0.2">
      <c r="A837" s="89" t="s">
        <v>3955</v>
      </c>
      <c r="B837" s="89" t="s">
        <v>3957</v>
      </c>
      <c r="C837" s="89" t="s">
        <v>1087</v>
      </c>
      <c r="D837" s="174">
        <v>595.79999999999995</v>
      </c>
      <c r="E837" s="179"/>
      <c r="F837" s="175">
        <f t="shared" si="17"/>
        <v>595.79999999999995</v>
      </c>
      <c r="G837" s="176">
        <v>280</v>
      </c>
      <c r="H837" s="177">
        <v>0</v>
      </c>
      <c r="I837" s="178">
        <v>446.72</v>
      </c>
    </row>
    <row r="838" spans="1:9" ht="15" x14ac:dyDescent="0.2">
      <c r="A838" s="89" t="s">
        <v>3961</v>
      </c>
      <c r="B838" s="89" t="s">
        <v>3963</v>
      </c>
      <c r="C838" s="89" t="s">
        <v>7216</v>
      </c>
      <c r="D838" s="174">
        <v>275</v>
      </c>
      <c r="E838" s="180">
        <v>629.39</v>
      </c>
      <c r="F838" s="175">
        <f t="shared" si="17"/>
        <v>904.39</v>
      </c>
      <c r="G838" s="176">
        <v>867.6</v>
      </c>
      <c r="H838" s="177">
        <v>727.6</v>
      </c>
      <c r="I838" s="178">
        <v>1004.26</v>
      </c>
    </row>
    <row r="839" spans="1:9" ht="15" x14ac:dyDescent="0.2">
      <c r="A839" s="89" t="s">
        <v>3964</v>
      </c>
      <c r="B839" s="89" t="s">
        <v>3967</v>
      </c>
      <c r="C839" s="89" t="s">
        <v>3966</v>
      </c>
      <c r="D839" s="174">
        <v>551.83000000000004</v>
      </c>
      <c r="E839" s="179"/>
      <c r="F839" s="175">
        <f t="shared" si="17"/>
        <v>551.83000000000004</v>
      </c>
      <c r="G839" s="176">
        <v>704.22</v>
      </c>
      <c r="H839" s="177">
        <v>165.22</v>
      </c>
      <c r="I839" s="178">
        <v>686.74</v>
      </c>
    </row>
    <row r="840" spans="1:9" ht="15" x14ac:dyDescent="0.2">
      <c r="A840" s="89" t="s">
        <v>3968</v>
      </c>
      <c r="B840" s="89" t="s">
        <v>3970</v>
      </c>
      <c r="C840" s="89" t="s">
        <v>63</v>
      </c>
      <c r="D840" s="174">
        <v>130</v>
      </c>
      <c r="E840" s="180">
        <v>510.27</v>
      </c>
      <c r="F840" s="175">
        <f t="shared" si="17"/>
        <v>640.27</v>
      </c>
      <c r="G840" s="176">
        <v>738.3</v>
      </c>
      <c r="H840" s="177">
        <v>583.29999999999995</v>
      </c>
      <c r="I840" s="178">
        <v>575.6</v>
      </c>
    </row>
    <row r="841" spans="1:9" ht="15" x14ac:dyDescent="0.2">
      <c r="A841" s="89" t="s">
        <v>7707</v>
      </c>
      <c r="B841" s="89"/>
      <c r="C841" s="89" t="s">
        <v>3974</v>
      </c>
      <c r="D841" s="174">
        <v>130</v>
      </c>
      <c r="E841" s="180"/>
      <c r="F841" s="175">
        <f t="shared" si="17"/>
        <v>130</v>
      </c>
      <c r="G841" s="176"/>
      <c r="H841" s="182"/>
      <c r="I841" s="178"/>
    </row>
    <row r="842" spans="1:9" ht="15" x14ac:dyDescent="0.2">
      <c r="A842" s="89" t="s">
        <v>3976</v>
      </c>
      <c r="B842" s="89" t="s">
        <v>3979</v>
      </c>
      <c r="C842" s="89" t="s">
        <v>7708</v>
      </c>
      <c r="D842" s="174">
        <v>97.96</v>
      </c>
      <c r="E842" s="179"/>
      <c r="F842" s="175">
        <f t="shared" si="17"/>
        <v>97.96</v>
      </c>
      <c r="G842" s="176">
        <v>154</v>
      </c>
      <c r="H842" s="182">
        <v>0</v>
      </c>
      <c r="I842" s="178">
        <v>282.69</v>
      </c>
    </row>
    <row r="843" spans="1:9" ht="15" x14ac:dyDescent="0.2">
      <c r="A843" s="89" t="s">
        <v>3980</v>
      </c>
      <c r="B843" s="89" t="s">
        <v>3982</v>
      </c>
      <c r="C843" s="89" t="s">
        <v>226</v>
      </c>
      <c r="D843" s="174">
        <v>1382</v>
      </c>
      <c r="E843" s="180">
        <v>1587.8400000000001</v>
      </c>
      <c r="F843" s="175">
        <f t="shared" si="17"/>
        <v>2969.84</v>
      </c>
      <c r="G843" s="176">
        <v>3332.0299999999997</v>
      </c>
      <c r="H843" s="177">
        <v>1810.03</v>
      </c>
      <c r="I843" s="178">
        <v>2927.67</v>
      </c>
    </row>
    <row r="844" spans="1:9" ht="15" x14ac:dyDescent="0.2">
      <c r="A844" s="89" t="s">
        <v>3984</v>
      </c>
      <c r="B844" s="89" t="s">
        <v>3982</v>
      </c>
      <c r="C844" s="89" t="s">
        <v>532</v>
      </c>
      <c r="D844" s="174">
        <v>226</v>
      </c>
      <c r="E844" s="180">
        <v>896.62999999999988</v>
      </c>
      <c r="F844" s="175">
        <f t="shared" si="17"/>
        <v>1122.6299999999999</v>
      </c>
      <c r="G844" s="176">
        <v>1613</v>
      </c>
      <c r="H844" s="177">
        <v>1528</v>
      </c>
      <c r="I844" s="178">
        <v>1449</v>
      </c>
    </row>
    <row r="845" spans="1:9" ht="15" x14ac:dyDescent="0.2">
      <c r="A845" s="89" t="s">
        <v>3986</v>
      </c>
      <c r="B845" s="89" t="s">
        <v>3982</v>
      </c>
      <c r="C845" s="89" t="s">
        <v>3988</v>
      </c>
      <c r="D845" s="174">
        <v>65</v>
      </c>
      <c r="E845" s="180">
        <v>1031.25</v>
      </c>
      <c r="F845" s="175">
        <f t="shared" si="17"/>
        <v>1096.25</v>
      </c>
      <c r="G845" s="176">
        <v>630</v>
      </c>
      <c r="H845" s="177">
        <v>565</v>
      </c>
      <c r="I845" s="178">
        <v>655</v>
      </c>
    </row>
    <row r="846" spans="1:9" ht="15" x14ac:dyDescent="0.2">
      <c r="A846" s="89" t="s">
        <v>3993</v>
      </c>
      <c r="B846" s="89" t="s">
        <v>3982</v>
      </c>
      <c r="C846" s="89" t="s">
        <v>1047</v>
      </c>
      <c r="D846" s="174">
        <v>1297</v>
      </c>
      <c r="E846" s="180">
        <v>2194.66</v>
      </c>
      <c r="F846" s="175">
        <f t="shared" si="17"/>
        <v>3491.66</v>
      </c>
      <c r="G846" s="176">
        <v>3627.26</v>
      </c>
      <c r="H846" s="177">
        <v>1835.26</v>
      </c>
      <c r="I846" s="178">
        <v>2836.42</v>
      </c>
    </row>
    <row r="847" spans="1:9" ht="15" x14ac:dyDescent="0.2">
      <c r="A847" s="89" t="s">
        <v>3998</v>
      </c>
      <c r="B847" s="89" t="s">
        <v>3982</v>
      </c>
      <c r="C847" s="89" t="s">
        <v>5256</v>
      </c>
      <c r="D847" s="174">
        <v>25</v>
      </c>
      <c r="E847" s="179"/>
      <c r="F847" s="175">
        <f t="shared" si="17"/>
        <v>25</v>
      </c>
      <c r="G847" s="176">
        <v>272</v>
      </c>
      <c r="H847" s="177">
        <v>0</v>
      </c>
      <c r="I847" s="178">
        <v>45</v>
      </c>
    </row>
    <row r="848" spans="1:9" ht="15" x14ac:dyDescent="0.2">
      <c r="A848" s="89" t="s">
        <v>4005</v>
      </c>
      <c r="B848" s="89" t="s">
        <v>3982</v>
      </c>
      <c r="C848" s="89" t="s">
        <v>916</v>
      </c>
      <c r="D848" s="174">
        <v>50</v>
      </c>
      <c r="E848" s="179"/>
      <c r="F848" s="175">
        <f t="shared" si="17"/>
        <v>50</v>
      </c>
      <c r="G848" s="176">
        <v>45</v>
      </c>
      <c r="H848" s="177">
        <v>0</v>
      </c>
      <c r="I848" s="178">
        <v>45</v>
      </c>
    </row>
    <row r="849" spans="1:9" ht="15" x14ac:dyDescent="0.2">
      <c r="A849" s="89" t="s">
        <v>4007</v>
      </c>
      <c r="B849" s="89" t="s">
        <v>3982</v>
      </c>
      <c r="C849" s="89" t="s">
        <v>1165</v>
      </c>
      <c r="D849" s="174">
        <v>361</v>
      </c>
      <c r="E849" s="180">
        <v>75</v>
      </c>
      <c r="F849" s="175">
        <f t="shared" si="17"/>
        <v>436</v>
      </c>
      <c r="G849" s="176">
        <v>460</v>
      </c>
      <c r="H849" s="177">
        <v>84</v>
      </c>
      <c r="I849" s="178">
        <v>652.41</v>
      </c>
    </row>
    <row r="850" spans="1:9" ht="15" x14ac:dyDescent="0.2">
      <c r="A850" s="89" t="s">
        <v>4009</v>
      </c>
      <c r="B850" s="89" t="s">
        <v>4011</v>
      </c>
      <c r="C850" s="89" t="s">
        <v>942</v>
      </c>
      <c r="D850" s="174">
        <v>257.14</v>
      </c>
      <c r="E850" s="179"/>
      <c r="F850" s="175">
        <f t="shared" si="17"/>
        <v>257.14</v>
      </c>
      <c r="G850" s="176">
        <v>30</v>
      </c>
      <c r="H850" s="177">
        <v>0</v>
      </c>
      <c r="I850" s="178">
        <v>50</v>
      </c>
    </row>
    <row r="851" spans="1:9" ht="15" x14ac:dyDescent="0.2">
      <c r="A851" s="89" t="s">
        <v>4012</v>
      </c>
      <c r="B851" s="89" t="s">
        <v>4014</v>
      </c>
      <c r="C851" s="89" t="s">
        <v>1376</v>
      </c>
      <c r="D851" s="174">
        <v>455</v>
      </c>
      <c r="E851" s="180">
        <v>165.65</v>
      </c>
      <c r="F851" s="175">
        <f t="shared" si="17"/>
        <v>620.65</v>
      </c>
      <c r="G851" s="176">
        <v>496.95</v>
      </c>
      <c r="H851" s="177">
        <v>206.95</v>
      </c>
      <c r="I851" s="178">
        <v>495.98</v>
      </c>
    </row>
    <row r="852" spans="1:9" ht="15" x14ac:dyDescent="0.2">
      <c r="A852" s="89" t="s">
        <v>4015</v>
      </c>
      <c r="B852" s="89" t="s">
        <v>4018</v>
      </c>
      <c r="C852" s="89" t="s">
        <v>4017</v>
      </c>
      <c r="D852" s="174">
        <v>145</v>
      </c>
      <c r="E852" s="180">
        <v>295.62</v>
      </c>
      <c r="F852" s="175">
        <f t="shared" si="17"/>
        <v>440.62</v>
      </c>
      <c r="G852" s="176">
        <v>736.67</v>
      </c>
      <c r="H852" s="177">
        <v>591.66999999999996</v>
      </c>
      <c r="I852" s="178">
        <v>332.88</v>
      </c>
    </row>
    <row r="853" spans="1:9" ht="15" x14ac:dyDescent="0.2">
      <c r="A853" s="89" t="s">
        <v>4019</v>
      </c>
      <c r="B853" s="89" t="s">
        <v>4021</v>
      </c>
      <c r="C853" s="89" t="s">
        <v>78</v>
      </c>
      <c r="D853" s="174">
        <v>130</v>
      </c>
      <c r="E853" s="180">
        <v>727.81999999999994</v>
      </c>
      <c r="F853" s="175">
        <f t="shared" si="17"/>
        <v>857.81999999999994</v>
      </c>
      <c r="G853" s="176">
        <v>774.25</v>
      </c>
      <c r="H853" s="177">
        <v>669.25</v>
      </c>
      <c r="I853" s="178">
        <v>1058.6100000000001</v>
      </c>
    </row>
    <row r="854" spans="1:9" ht="15" x14ac:dyDescent="0.2">
      <c r="A854" s="89" t="s">
        <v>4029</v>
      </c>
      <c r="B854" s="89" t="s">
        <v>4032</v>
      </c>
      <c r="C854" s="89" t="s">
        <v>7709</v>
      </c>
      <c r="D854" s="174">
        <v>0</v>
      </c>
      <c r="E854" s="180">
        <v>5448</v>
      </c>
      <c r="F854" s="175">
        <f t="shared" si="17"/>
        <v>5448</v>
      </c>
      <c r="G854" s="176">
        <v>5229</v>
      </c>
      <c r="H854" s="177">
        <v>5164</v>
      </c>
      <c r="I854" s="178">
        <v>4000</v>
      </c>
    </row>
    <row r="855" spans="1:9" ht="15" x14ac:dyDescent="0.2">
      <c r="A855" s="89" t="s">
        <v>4033</v>
      </c>
      <c r="B855" s="131" t="s">
        <v>4032</v>
      </c>
      <c r="C855" s="131" t="s">
        <v>1871</v>
      </c>
      <c r="D855" s="174">
        <v>30</v>
      </c>
      <c r="E855" s="180">
        <v>212.98</v>
      </c>
      <c r="F855" s="175">
        <f t="shared" si="17"/>
        <v>242.98</v>
      </c>
      <c r="G855" s="176">
        <v>584.96</v>
      </c>
      <c r="H855" s="177">
        <v>459.96</v>
      </c>
      <c r="I855" s="178">
        <v>178.88</v>
      </c>
    </row>
    <row r="856" spans="1:9" ht="15" x14ac:dyDescent="0.2">
      <c r="A856" s="89" t="s">
        <v>4035</v>
      </c>
      <c r="B856" s="89" t="s">
        <v>4038</v>
      </c>
      <c r="C856" s="89" t="s">
        <v>4037</v>
      </c>
      <c r="D856" s="174">
        <v>784.34</v>
      </c>
      <c r="E856" s="179"/>
      <c r="F856" s="175">
        <f t="shared" si="17"/>
        <v>784.34</v>
      </c>
      <c r="G856" s="176">
        <v>1003</v>
      </c>
      <c r="H856" s="177">
        <v>0</v>
      </c>
      <c r="I856" s="178">
        <v>874.49</v>
      </c>
    </row>
    <row r="857" spans="1:9" ht="15" x14ac:dyDescent="0.2">
      <c r="A857" s="89" t="s">
        <v>4039</v>
      </c>
      <c r="B857" s="89" t="s">
        <v>4042</v>
      </c>
      <c r="C857" s="89" t="s">
        <v>7710</v>
      </c>
      <c r="D857" s="174">
        <v>200</v>
      </c>
      <c r="E857" s="180">
        <v>880.5</v>
      </c>
      <c r="F857" s="175">
        <f t="shared" si="17"/>
        <v>1080.5</v>
      </c>
      <c r="G857" s="176">
        <v>1056.9000000000001</v>
      </c>
      <c r="H857" s="177">
        <v>925.9</v>
      </c>
      <c r="I857" s="178">
        <v>1010.47</v>
      </c>
    </row>
    <row r="858" spans="1:9" ht="15" x14ac:dyDescent="0.2">
      <c r="A858" s="89" t="s">
        <v>4045</v>
      </c>
      <c r="B858" s="89" t="s">
        <v>4048</v>
      </c>
      <c r="C858" s="89" t="s">
        <v>7433</v>
      </c>
      <c r="D858" s="174">
        <v>20</v>
      </c>
      <c r="E858" s="179"/>
      <c r="F858" s="175">
        <f t="shared" si="17"/>
        <v>20</v>
      </c>
      <c r="G858" s="176">
        <v>254</v>
      </c>
      <c r="H858" s="177"/>
      <c r="I858" s="178">
        <v>231.88</v>
      </c>
    </row>
    <row r="859" spans="1:9" ht="30" x14ac:dyDescent="0.2">
      <c r="A859" s="89" t="s">
        <v>7711</v>
      </c>
      <c r="B859" s="183" t="s">
        <v>7712</v>
      </c>
      <c r="C859" s="183" t="s">
        <v>7713</v>
      </c>
      <c r="D859" s="174">
        <v>360</v>
      </c>
      <c r="E859" s="180">
        <v>866</v>
      </c>
      <c r="F859" s="175">
        <f t="shared" si="17"/>
        <v>1226</v>
      </c>
      <c r="G859" s="176">
        <v>2155</v>
      </c>
      <c r="H859" s="177">
        <v>1580</v>
      </c>
      <c r="I859" s="178">
        <v>2113.1999999999998</v>
      </c>
    </row>
    <row r="860" spans="1:9" ht="15" x14ac:dyDescent="0.2">
      <c r="A860" s="89" t="s">
        <v>4052</v>
      </c>
      <c r="B860" s="131" t="s">
        <v>4054</v>
      </c>
      <c r="C860" s="131" t="s">
        <v>1871</v>
      </c>
      <c r="D860" s="174">
        <v>705</v>
      </c>
      <c r="E860" s="179"/>
      <c r="F860" s="175">
        <f t="shared" si="17"/>
        <v>705</v>
      </c>
      <c r="G860" s="176">
        <v>785</v>
      </c>
      <c r="H860" s="177">
        <v>0</v>
      </c>
      <c r="I860" s="178">
        <v>1032.5</v>
      </c>
    </row>
    <row r="861" spans="1:9" ht="15" x14ac:dyDescent="0.2">
      <c r="A861" s="89" t="s">
        <v>4058</v>
      </c>
      <c r="B861" s="89" t="s">
        <v>4060</v>
      </c>
      <c r="C861" s="89" t="s">
        <v>1065</v>
      </c>
      <c r="D861" s="174">
        <v>1196.05</v>
      </c>
      <c r="E861" s="180">
        <v>1471.9</v>
      </c>
      <c r="F861" s="175">
        <f t="shared" si="17"/>
        <v>2667.95</v>
      </c>
      <c r="G861" s="176">
        <v>2363.73</v>
      </c>
      <c r="H861" s="177">
        <v>1532.73</v>
      </c>
      <c r="I861" s="178">
        <v>1926.25</v>
      </c>
    </row>
    <row r="862" spans="1:9" ht="15" x14ac:dyDescent="0.2">
      <c r="A862" s="89" t="s">
        <v>4061</v>
      </c>
      <c r="B862" s="89" t="s">
        <v>4063</v>
      </c>
      <c r="C862" s="89" t="s">
        <v>1371</v>
      </c>
      <c r="D862" s="174">
        <v>529.91999999999996</v>
      </c>
      <c r="E862" s="179"/>
      <c r="F862" s="175">
        <f t="shared" si="17"/>
        <v>529.91999999999996</v>
      </c>
      <c r="G862" s="176">
        <v>50</v>
      </c>
      <c r="H862" s="177">
        <v>0</v>
      </c>
      <c r="I862" s="178">
        <v>141.64000000000001</v>
      </c>
    </row>
    <row r="863" spans="1:9" ht="15" x14ac:dyDescent="0.2">
      <c r="A863" s="89" t="s">
        <v>4064</v>
      </c>
      <c r="B863" s="89" t="s">
        <v>4066</v>
      </c>
      <c r="C863" s="89" t="s">
        <v>1349</v>
      </c>
      <c r="D863" s="174">
        <v>219.6</v>
      </c>
      <c r="E863" s="180">
        <v>698.34</v>
      </c>
      <c r="F863" s="175">
        <f t="shared" si="17"/>
        <v>917.94</v>
      </c>
      <c r="G863" s="176">
        <v>853.43</v>
      </c>
      <c r="H863" s="177">
        <v>609.42999999999995</v>
      </c>
      <c r="I863" s="178">
        <v>823.61</v>
      </c>
    </row>
    <row r="864" spans="1:9" ht="15" x14ac:dyDescent="0.2">
      <c r="A864" s="89" t="s">
        <v>4067</v>
      </c>
      <c r="B864" s="89" t="s">
        <v>4070</v>
      </c>
      <c r="C864" s="89" t="s">
        <v>4069</v>
      </c>
      <c r="D864" s="174">
        <v>130</v>
      </c>
      <c r="E864" s="180">
        <v>614.32000000000005</v>
      </c>
      <c r="F864" s="175">
        <f t="shared" si="17"/>
        <v>744.32</v>
      </c>
      <c r="G864" s="176">
        <v>145</v>
      </c>
      <c r="H864" s="177">
        <v>0</v>
      </c>
      <c r="I864" s="178">
        <v>150</v>
      </c>
    </row>
    <row r="865" spans="1:9" ht="15" x14ac:dyDescent="0.2">
      <c r="A865" s="89" t="s">
        <v>4071</v>
      </c>
      <c r="B865" s="89" t="s">
        <v>4073</v>
      </c>
      <c r="C865" s="89" t="s">
        <v>119</v>
      </c>
      <c r="D865" s="174">
        <v>60</v>
      </c>
      <c r="E865" s="180">
        <v>161.19999999999999</v>
      </c>
      <c r="F865" s="175">
        <f t="shared" si="17"/>
        <v>221.2</v>
      </c>
      <c r="G865" s="176">
        <v>135.75</v>
      </c>
      <c r="H865" s="177">
        <v>120.75</v>
      </c>
      <c r="I865" s="178">
        <v>57.5</v>
      </c>
    </row>
    <row r="866" spans="1:9" ht="15" x14ac:dyDescent="0.2">
      <c r="A866" s="89" t="s">
        <v>4074</v>
      </c>
      <c r="B866" s="89" t="s">
        <v>4076</v>
      </c>
      <c r="C866" s="89" t="s">
        <v>783</v>
      </c>
      <c r="D866" s="174">
        <v>90</v>
      </c>
      <c r="E866" s="179"/>
      <c r="F866" s="175">
        <f t="shared" si="17"/>
        <v>90</v>
      </c>
      <c r="G866" s="176">
        <v>165</v>
      </c>
      <c r="H866" s="177">
        <v>80</v>
      </c>
      <c r="I866" s="178">
        <v>213.94</v>
      </c>
    </row>
    <row r="867" spans="1:9" ht="15" x14ac:dyDescent="0.2">
      <c r="A867" s="89" t="s">
        <v>4084</v>
      </c>
      <c r="B867" s="89" t="s">
        <v>4080</v>
      </c>
      <c r="C867" s="89" t="s">
        <v>7366</v>
      </c>
      <c r="D867" s="174">
        <v>1265</v>
      </c>
      <c r="E867" s="179"/>
      <c r="F867" s="175">
        <f t="shared" si="17"/>
        <v>1265</v>
      </c>
      <c r="G867" s="176">
        <v>1450</v>
      </c>
      <c r="H867" s="177">
        <v>0</v>
      </c>
      <c r="I867" s="178">
        <v>1985.39</v>
      </c>
    </row>
    <row r="868" spans="1:9" ht="15" x14ac:dyDescent="0.2">
      <c r="A868" s="89" t="s">
        <v>4087</v>
      </c>
      <c r="B868" s="89" t="s">
        <v>4080</v>
      </c>
      <c r="C868" s="89" t="s">
        <v>231</v>
      </c>
      <c r="D868" s="174">
        <v>304.55</v>
      </c>
      <c r="E868" s="179"/>
      <c r="F868" s="175">
        <f t="shared" si="17"/>
        <v>304.55</v>
      </c>
      <c r="G868" s="176">
        <v>313</v>
      </c>
      <c r="H868" s="177">
        <v>0</v>
      </c>
      <c r="I868" s="178">
        <v>326.08</v>
      </c>
    </row>
    <row r="869" spans="1:9" ht="15" x14ac:dyDescent="0.2">
      <c r="A869" s="89" t="s">
        <v>4091</v>
      </c>
      <c r="B869" s="89" t="s">
        <v>4080</v>
      </c>
      <c r="C869" s="89" t="s">
        <v>7714</v>
      </c>
      <c r="D869" s="174">
        <v>450.38</v>
      </c>
      <c r="E869" s="180">
        <v>369.09</v>
      </c>
      <c r="F869" s="175">
        <f t="shared" si="17"/>
        <v>819.47</v>
      </c>
      <c r="G869" s="176">
        <v>436.43</v>
      </c>
      <c r="H869" s="177">
        <v>251.43</v>
      </c>
      <c r="I869" s="178">
        <v>510.65000000000003</v>
      </c>
    </row>
    <row r="870" spans="1:9" ht="15" x14ac:dyDescent="0.2">
      <c r="A870" s="89" t="s">
        <v>4095</v>
      </c>
      <c r="B870" s="89" t="s">
        <v>4080</v>
      </c>
      <c r="C870" s="89" t="s">
        <v>4017</v>
      </c>
      <c r="D870" s="174">
        <v>15</v>
      </c>
      <c r="E870" s="180">
        <v>482.08</v>
      </c>
      <c r="F870" s="175">
        <f t="shared" si="17"/>
        <v>497.08</v>
      </c>
      <c r="G870" s="176">
        <v>35.75</v>
      </c>
      <c r="H870" s="177">
        <v>25.75</v>
      </c>
      <c r="I870" s="178">
        <v>191.09</v>
      </c>
    </row>
    <row r="871" spans="1:9" ht="15" x14ac:dyDescent="0.2">
      <c r="A871" s="89" t="s">
        <v>4097</v>
      </c>
      <c r="B871" s="89" t="s">
        <v>4080</v>
      </c>
      <c r="C871" s="89" t="s">
        <v>3771</v>
      </c>
      <c r="D871" s="174">
        <v>461.31</v>
      </c>
      <c r="E871" s="180">
        <v>338.4</v>
      </c>
      <c r="F871" s="175">
        <f t="shared" si="17"/>
        <v>799.71</v>
      </c>
      <c r="G871" s="176">
        <v>56</v>
      </c>
      <c r="H871" s="177">
        <v>0</v>
      </c>
      <c r="I871" s="178">
        <v>382.28000000000003</v>
      </c>
    </row>
    <row r="872" spans="1:9" ht="15" x14ac:dyDescent="0.2">
      <c r="A872" s="89" t="s">
        <v>4101</v>
      </c>
      <c r="B872" s="89" t="s">
        <v>4080</v>
      </c>
      <c r="C872" s="89" t="s">
        <v>3463</v>
      </c>
      <c r="D872" s="174">
        <v>1785</v>
      </c>
      <c r="E872" s="180">
        <v>904.32</v>
      </c>
      <c r="F872" s="175">
        <f t="shared" si="17"/>
        <v>2689.32</v>
      </c>
      <c r="G872" s="176">
        <v>1745.55</v>
      </c>
      <c r="H872" s="177">
        <v>985.55</v>
      </c>
      <c r="I872" s="178">
        <v>1285.3700000000001</v>
      </c>
    </row>
    <row r="873" spans="1:9" ht="15" x14ac:dyDescent="0.2">
      <c r="A873" s="89" t="s">
        <v>4107</v>
      </c>
      <c r="B873" s="89" t="s">
        <v>4080</v>
      </c>
      <c r="C873" s="89" t="s">
        <v>3516</v>
      </c>
      <c r="D873" s="174">
        <v>120</v>
      </c>
      <c r="E873" s="179"/>
      <c r="F873" s="175">
        <f t="shared" si="17"/>
        <v>120</v>
      </c>
      <c r="G873" s="176">
        <v>496.02</v>
      </c>
      <c r="H873" s="177">
        <v>351.02</v>
      </c>
      <c r="I873" s="178">
        <v>276.95</v>
      </c>
    </row>
    <row r="874" spans="1:9" ht="15" x14ac:dyDescent="0.2">
      <c r="A874" s="89" t="s">
        <v>4110</v>
      </c>
      <c r="B874" s="89" t="s">
        <v>4080</v>
      </c>
      <c r="C874" s="89" t="s">
        <v>7441</v>
      </c>
      <c r="D874" s="174">
        <v>72</v>
      </c>
      <c r="E874" s="179"/>
      <c r="F874" s="175">
        <f t="shared" si="17"/>
        <v>72</v>
      </c>
      <c r="G874" s="176">
        <v>57</v>
      </c>
      <c r="H874" s="177">
        <v>0</v>
      </c>
      <c r="I874" s="178">
        <v>21.900000000000002</v>
      </c>
    </row>
    <row r="875" spans="1:9" ht="15" x14ac:dyDescent="0.2">
      <c r="A875" s="89" t="s">
        <v>4112</v>
      </c>
      <c r="B875" s="89" t="s">
        <v>4080</v>
      </c>
      <c r="C875" s="89" t="s">
        <v>453</v>
      </c>
      <c r="D875" s="174">
        <v>500</v>
      </c>
      <c r="E875" s="180">
        <v>1251.45</v>
      </c>
      <c r="F875" s="175">
        <f>D875+E875</f>
        <v>1751.45</v>
      </c>
      <c r="G875" s="176">
        <v>1208.0900000000001</v>
      </c>
      <c r="H875" s="177">
        <v>718.09</v>
      </c>
      <c r="I875" s="178">
        <v>2090</v>
      </c>
    </row>
    <row r="876" spans="1:9" ht="15" x14ac:dyDescent="0.2">
      <c r="A876" s="89" t="s">
        <v>4115</v>
      </c>
      <c r="B876" s="89" t="s">
        <v>4118</v>
      </c>
      <c r="C876" s="89" t="s">
        <v>7715</v>
      </c>
      <c r="D876" s="174">
        <v>260</v>
      </c>
      <c r="E876" s="180">
        <v>1285.3000000000002</v>
      </c>
      <c r="F876" s="175">
        <f>D876+E876</f>
        <v>1545.3000000000002</v>
      </c>
      <c r="G876" s="176">
        <v>1430.94</v>
      </c>
      <c r="H876" s="177">
        <v>1200.94</v>
      </c>
      <c r="I876" s="178">
        <v>1820.97</v>
      </c>
    </row>
    <row r="877" spans="1:9" ht="15" x14ac:dyDescent="0.2">
      <c r="A877" s="89" t="s">
        <v>4124</v>
      </c>
      <c r="B877" s="89" t="s">
        <v>4118</v>
      </c>
      <c r="C877" s="89" t="s">
        <v>7716</v>
      </c>
      <c r="D877" s="174">
        <v>317</v>
      </c>
      <c r="E877" s="180">
        <v>1365.5199999999998</v>
      </c>
      <c r="F877" s="175">
        <f>D877+E877</f>
        <v>1682.5199999999998</v>
      </c>
      <c r="G877" s="176">
        <v>1715.17</v>
      </c>
      <c r="H877" s="177">
        <v>1397.17</v>
      </c>
      <c r="I877" s="178">
        <v>1992.3300000000002</v>
      </c>
    </row>
    <row r="878" spans="1:9" ht="15" x14ac:dyDescent="0.2">
      <c r="A878" s="89" t="s">
        <v>4127</v>
      </c>
      <c r="B878" s="89" t="s">
        <v>4118</v>
      </c>
      <c r="C878" s="89" t="s">
        <v>942</v>
      </c>
      <c r="D878" s="174">
        <v>292</v>
      </c>
      <c r="E878" s="180">
        <v>513.03</v>
      </c>
      <c r="F878" s="175">
        <f>D878+E878+53.75</f>
        <v>858.78</v>
      </c>
      <c r="G878" s="176">
        <v>852.99</v>
      </c>
      <c r="H878" s="177">
        <v>588.99</v>
      </c>
      <c r="I878" s="178">
        <v>759.64</v>
      </c>
    </row>
    <row r="879" spans="1:9" ht="15" x14ac:dyDescent="0.2">
      <c r="A879" s="89" t="s">
        <v>4129</v>
      </c>
      <c r="B879" s="89" t="s">
        <v>4131</v>
      </c>
      <c r="C879" s="89" t="s">
        <v>896</v>
      </c>
      <c r="D879" s="174">
        <v>415</v>
      </c>
      <c r="E879" s="180">
        <v>232.88</v>
      </c>
      <c r="F879" s="175">
        <f t="shared" ref="F879:F890" si="18">D879+E879</f>
        <v>647.88</v>
      </c>
      <c r="G879" s="176">
        <v>567.4</v>
      </c>
      <c r="H879" s="177">
        <v>257.39999999999998</v>
      </c>
      <c r="I879" s="178">
        <v>941</v>
      </c>
    </row>
    <row r="880" spans="1:9" ht="15" x14ac:dyDescent="0.2">
      <c r="A880" s="89" t="s">
        <v>4132</v>
      </c>
      <c r="B880" s="89" t="s">
        <v>4134</v>
      </c>
      <c r="C880" s="89" t="s">
        <v>7318</v>
      </c>
      <c r="D880" s="174">
        <v>243</v>
      </c>
      <c r="E880" s="180">
        <v>316.75</v>
      </c>
      <c r="F880" s="175">
        <f t="shared" si="18"/>
        <v>559.75</v>
      </c>
      <c r="G880" s="176">
        <v>497.95</v>
      </c>
      <c r="H880" s="177">
        <v>264.95</v>
      </c>
      <c r="I880" s="178">
        <v>505.76</v>
      </c>
    </row>
    <row r="881" spans="1:9" ht="15" x14ac:dyDescent="0.2">
      <c r="A881" s="89" t="s">
        <v>4135</v>
      </c>
      <c r="B881" s="89" t="s">
        <v>4134</v>
      </c>
      <c r="C881" s="89" t="s">
        <v>231</v>
      </c>
      <c r="D881" s="174">
        <v>138</v>
      </c>
      <c r="E881" s="180">
        <v>229.69</v>
      </c>
      <c r="F881" s="175">
        <f t="shared" si="18"/>
        <v>367.69</v>
      </c>
      <c r="G881" s="176">
        <v>458.5</v>
      </c>
      <c r="H881" s="177">
        <v>190.5</v>
      </c>
      <c r="I881" s="178">
        <v>450.90000000000003</v>
      </c>
    </row>
    <row r="882" spans="1:9" ht="15" x14ac:dyDescent="0.2">
      <c r="A882" s="89" t="s">
        <v>4137</v>
      </c>
      <c r="B882" s="89" t="s">
        <v>4139</v>
      </c>
      <c r="C882" s="89" t="s">
        <v>226</v>
      </c>
      <c r="D882" s="174">
        <v>290</v>
      </c>
      <c r="E882" s="180">
        <v>550.28</v>
      </c>
      <c r="F882" s="175">
        <f t="shared" si="18"/>
        <v>840.28</v>
      </c>
      <c r="G882" s="176">
        <v>848</v>
      </c>
      <c r="H882" s="177">
        <v>528</v>
      </c>
      <c r="I882" s="178">
        <v>875</v>
      </c>
    </row>
    <row r="883" spans="1:9" ht="15" x14ac:dyDescent="0.2">
      <c r="A883" s="89" t="s">
        <v>4140</v>
      </c>
      <c r="B883" s="89" t="s">
        <v>4143</v>
      </c>
      <c r="C883" s="89" t="s">
        <v>4142</v>
      </c>
      <c r="D883" s="174">
        <v>470</v>
      </c>
      <c r="E883" s="180">
        <v>237.42000000000002</v>
      </c>
      <c r="F883" s="175">
        <f t="shared" si="18"/>
        <v>707.42000000000007</v>
      </c>
      <c r="G883" s="176">
        <v>361.86</v>
      </c>
      <c r="H883" s="177">
        <v>101.86</v>
      </c>
      <c r="I883" s="178">
        <v>410</v>
      </c>
    </row>
    <row r="884" spans="1:9" ht="15" x14ac:dyDescent="0.2">
      <c r="A884" s="89" t="s">
        <v>4144</v>
      </c>
      <c r="B884" s="89" t="s">
        <v>4146</v>
      </c>
      <c r="C884" s="89" t="s">
        <v>532</v>
      </c>
      <c r="D884" s="174">
        <v>218</v>
      </c>
      <c r="E884" s="180">
        <v>233.55</v>
      </c>
      <c r="F884" s="175">
        <f t="shared" si="18"/>
        <v>451.55</v>
      </c>
      <c r="G884" s="176">
        <v>595.35</v>
      </c>
      <c r="H884" s="177">
        <v>360.35</v>
      </c>
      <c r="I884" s="178">
        <v>636.20000000000005</v>
      </c>
    </row>
    <row r="885" spans="1:9" ht="15" x14ac:dyDescent="0.2">
      <c r="A885" s="89" t="s">
        <v>4147</v>
      </c>
      <c r="B885" s="89" t="s">
        <v>4150</v>
      </c>
      <c r="C885" s="89" t="s">
        <v>7717</v>
      </c>
      <c r="D885" s="174">
        <v>256</v>
      </c>
      <c r="E885" s="179"/>
      <c r="F885" s="175">
        <f t="shared" si="18"/>
        <v>256</v>
      </c>
      <c r="G885" s="176">
        <v>526.78</v>
      </c>
      <c r="H885" s="177">
        <v>188.78</v>
      </c>
      <c r="I885" s="178">
        <v>572.77</v>
      </c>
    </row>
    <row r="886" spans="1:9" ht="15" x14ac:dyDescent="0.2">
      <c r="A886" s="89" t="s">
        <v>7718</v>
      </c>
      <c r="B886" s="89" t="s">
        <v>7719</v>
      </c>
      <c r="C886" s="89" t="s">
        <v>7720</v>
      </c>
      <c r="D886" s="174">
        <v>90</v>
      </c>
      <c r="E886" s="180">
        <v>546.43999999999994</v>
      </c>
      <c r="F886" s="175">
        <f t="shared" si="18"/>
        <v>636.43999999999994</v>
      </c>
      <c r="G886" s="176">
        <v>1053.4299999999998</v>
      </c>
      <c r="H886" s="177">
        <v>596.42999999999995</v>
      </c>
      <c r="I886" s="178">
        <v>563.11</v>
      </c>
    </row>
    <row r="887" spans="1:9" ht="15" x14ac:dyDescent="0.2">
      <c r="A887" s="89" t="s">
        <v>4157</v>
      </c>
      <c r="B887" s="89" t="s">
        <v>4159</v>
      </c>
      <c r="C887" s="89" t="s">
        <v>2674</v>
      </c>
      <c r="D887" s="174">
        <v>190</v>
      </c>
      <c r="E887" s="180">
        <v>958</v>
      </c>
      <c r="F887" s="175">
        <f t="shared" si="18"/>
        <v>1148</v>
      </c>
      <c r="G887" s="176">
        <v>1494.35</v>
      </c>
      <c r="H887" s="177">
        <v>1230.3499999999999</v>
      </c>
      <c r="I887" s="178">
        <v>1584</v>
      </c>
    </row>
    <row r="888" spans="1:9" ht="15" x14ac:dyDescent="0.2">
      <c r="A888" s="89" t="s">
        <v>4163</v>
      </c>
      <c r="B888" s="89" t="s">
        <v>4166</v>
      </c>
      <c r="C888" s="89" t="s">
        <v>7454</v>
      </c>
      <c r="D888" s="174">
        <v>85</v>
      </c>
      <c r="E888" s="179"/>
      <c r="F888" s="175">
        <f t="shared" si="18"/>
        <v>85</v>
      </c>
      <c r="G888" s="176">
        <v>294.8</v>
      </c>
      <c r="H888" s="177">
        <v>119.8</v>
      </c>
      <c r="I888" s="178">
        <v>56</v>
      </c>
    </row>
    <row r="889" spans="1:9" ht="15" x14ac:dyDescent="0.2">
      <c r="A889" s="89" t="s">
        <v>4176</v>
      </c>
      <c r="B889" s="89" t="s">
        <v>7721</v>
      </c>
      <c r="C889" s="89" t="s">
        <v>226</v>
      </c>
      <c r="D889" s="174">
        <v>315</v>
      </c>
      <c r="E889" s="180">
        <v>755.98</v>
      </c>
      <c r="F889" s="175">
        <f t="shared" si="18"/>
        <v>1070.98</v>
      </c>
      <c r="G889" s="176">
        <v>728.15</v>
      </c>
      <c r="H889" s="177">
        <v>348.15</v>
      </c>
      <c r="I889" s="178">
        <v>990.69</v>
      </c>
    </row>
    <row r="890" spans="1:9" ht="15" x14ac:dyDescent="0.2">
      <c r="A890" s="89" t="s">
        <v>4179</v>
      </c>
      <c r="B890" s="89" t="s">
        <v>4181</v>
      </c>
      <c r="C890" s="89" t="s">
        <v>3238</v>
      </c>
      <c r="D890" s="174">
        <v>437.31</v>
      </c>
      <c r="E890" s="180">
        <v>569.14</v>
      </c>
      <c r="F890" s="175">
        <f t="shared" si="18"/>
        <v>1006.45</v>
      </c>
      <c r="G890" s="176">
        <v>979.08999999999992</v>
      </c>
      <c r="H890" s="177">
        <v>476.09</v>
      </c>
      <c r="I890" s="178">
        <v>1511.2</v>
      </c>
    </row>
    <row r="891" spans="1:9" ht="15" x14ac:dyDescent="0.2">
      <c r="A891" s="89" t="s">
        <v>4186</v>
      </c>
      <c r="B891" s="89" t="s">
        <v>7722</v>
      </c>
      <c r="C891" s="89" t="s">
        <v>812</v>
      </c>
      <c r="D891" s="174">
        <v>0</v>
      </c>
      <c r="E891" s="179">
        <v>0</v>
      </c>
      <c r="F891" s="175">
        <v>0</v>
      </c>
      <c r="G891" s="176">
        <v>0</v>
      </c>
      <c r="H891" s="177">
        <v>0</v>
      </c>
      <c r="I891" s="178">
        <v>40</v>
      </c>
    </row>
    <row r="892" spans="1:9" ht="15" x14ac:dyDescent="0.2">
      <c r="A892" s="89" t="s">
        <v>4190</v>
      </c>
      <c r="B892" s="89" t="s">
        <v>7723</v>
      </c>
      <c r="C892" s="89" t="s">
        <v>7724</v>
      </c>
      <c r="D892" s="174">
        <v>110</v>
      </c>
      <c r="E892" s="180">
        <v>356</v>
      </c>
      <c r="F892" s="175">
        <f t="shared" ref="F892:F922" si="19">D892+E892</f>
        <v>466</v>
      </c>
      <c r="G892" s="176">
        <v>477</v>
      </c>
      <c r="H892" s="177">
        <v>377</v>
      </c>
      <c r="I892" s="178">
        <v>637.98</v>
      </c>
    </row>
    <row r="893" spans="1:9" ht="15" x14ac:dyDescent="0.2">
      <c r="A893" s="89" t="s">
        <v>4198</v>
      </c>
      <c r="B893" s="89" t="s">
        <v>4200</v>
      </c>
      <c r="C893" s="89" t="s">
        <v>7725</v>
      </c>
      <c r="D893" s="174">
        <v>148.86000000000001</v>
      </c>
      <c r="E893" s="179"/>
      <c r="F893" s="175">
        <f t="shared" si="19"/>
        <v>148.86000000000001</v>
      </c>
      <c r="G893" s="176">
        <v>238</v>
      </c>
      <c r="H893" s="177">
        <v>0</v>
      </c>
      <c r="I893" s="178">
        <v>215</v>
      </c>
    </row>
    <row r="894" spans="1:9" ht="15" x14ac:dyDescent="0.2">
      <c r="A894" s="89" t="s">
        <v>4206</v>
      </c>
      <c r="B894" s="89" t="s">
        <v>3982</v>
      </c>
      <c r="C894" s="89" t="s">
        <v>1203</v>
      </c>
      <c r="D894" s="174">
        <v>894</v>
      </c>
      <c r="E894" s="180">
        <v>1669.85</v>
      </c>
      <c r="F894" s="175">
        <f t="shared" si="19"/>
        <v>2563.85</v>
      </c>
      <c r="G894" s="176">
        <v>2490.8000000000002</v>
      </c>
      <c r="H894" s="177">
        <v>1596.8</v>
      </c>
      <c r="I894" s="178">
        <v>2157</v>
      </c>
    </row>
    <row r="895" spans="1:9" ht="15" x14ac:dyDescent="0.2">
      <c r="A895" s="89" t="s">
        <v>4211</v>
      </c>
      <c r="B895" s="89" t="s">
        <v>4213</v>
      </c>
      <c r="C895" s="89" t="s">
        <v>5069</v>
      </c>
      <c r="D895" s="174">
        <v>246</v>
      </c>
      <c r="E895" s="180">
        <v>247.57</v>
      </c>
      <c r="F895" s="175">
        <f t="shared" si="19"/>
        <v>493.57</v>
      </c>
      <c r="G895" s="176">
        <v>425.81</v>
      </c>
      <c r="H895" s="177">
        <v>177.81</v>
      </c>
      <c r="I895" s="178">
        <v>506.78000000000003</v>
      </c>
    </row>
    <row r="896" spans="1:9" ht="15" x14ac:dyDescent="0.2">
      <c r="A896" s="89" t="s">
        <v>4215</v>
      </c>
      <c r="B896" s="89" t="s">
        <v>4217</v>
      </c>
      <c r="C896" s="89" t="s">
        <v>1371</v>
      </c>
      <c r="D896" s="174">
        <v>700</v>
      </c>
      <c r="E896" s="180">
        <v>1341.8400000000001</v>
      </c>
      <c r="F896" s="175">
        <f t="shared" si="19"/>
        <v>2041.8400000000001</v>
      </c>
      <c r="G896" s="176">
        <v>2679.48</v>
      </c>
      <c r="H896" s="177">
        <v>2280.48</v>
      </c>
      <c r="I896" s="178">
        <v>2131.21</v>
      </c>
    </row>
    <row r="897" spans="1:9" ht="15" x14ac:dyDescent="0.2">
      <c r="A897" s="89" t="s">
        <v>4218</v>
      </c>
      <c r="B897" s="89" t="s">
        <v>4220</v>
      </c>
      <c r="C897" s="89" t="s">
        <v>186</v>
      </c>
      <c r="D897" s="174">
        <v>115</v>
      </c>
      <c r="E897" s="180">
        <v>1086</v>
      </c>
      <c r="F897" s="175">
        <f t="shared" si="19"/>
        <v>1201</v>
      </c>
      <c r="G897" s="176">
        <v>1183.0999999999999</v>
      </c>
      <c r="H897" s="177">
        <v>1083.0999999999999</v>
      </c>
      <c r="I897" s="178">
        <v>925.4</v>
      </c>
    </row>
    <row r="898" spans="1:9" ht="15" x14ac:dyDescent="0.2">
      <c r="A898" s="89" t="s">
        <v>4221</v>
      </c>
      <c r="B898" s="89" t="s">
        <v>7726</v>
      </c>
      <c r="C898" s="89" t="s">
        <v>532</v>
      </c>
      <c r="D898" s="174">
        <v>45</v>
      </c>
      <c r="E898" s="179"/>
      <c r="F898" s="175">
        <f t="shared" si="19"/>
        <v>45</v>
      </c>
      <c r="G898" s="176">
        <v>0</v>
      </c>
      <c r="H898" s="177">
        <v>0</v>
      </c>
      <c r="I898" s="178">
        <v>120</v>
      </c>
    </row>
    <row r="899" spans="1:9" ht="15" x14ac:dyDescent="0.2">
      <c r="A899" s="89" t="s">
        <v>4225</v>
      </c>
      <c r="B899" s="89" t="s">
        <v>4080</v>
      </c>
      <c r="C899" s="89" t="s">
        <v>4227</v>
      </c>
      <c r="D899" s="174">
        <v>247</v>
      </c>
      <c r="E899" s="180">
        <v>277.31</v>
      </c>
      <c r="F899" s="175">
        <f t="shared" si="19"/>
        <v>524.30999999999995</v>
      </c>
      <c r="G899" s="176">
        <v>694.45</v>
      </c>
      <c r="H899" s="177">
        <v>457.45</v>
      </c>
      <c r="I899" s="178">
        <v>518.28</v>
      </c>
    </row>
    <row r="900" spans="1:9" ht="15" x14ac:dyDescent="0.2">
      <c r="A900" s="89" t="s">
        <v>4229</v>
      </c>
      <c r="B900" s="89" t="s">
        <v>4231</v>
      </c>
      <c r="C900" s="89" t="s">
        <v>532</v>
      </c>
      <c r="D900" s="174">
        <v>230</v>
      </c>
      <c r="E900" s="180">
        <v>515.06000000000006</v>
      </c>
      <c r="F900" s="175">
        <f t="shared" si="19"/>
        <v>745.06000000000006</v>
      </c>
      <c r="G900" s="176">
        <v>685.83</v>
      </c>
      <c r="H900" s="177">
        <v>570.83000000000004</v>
      </c>
      <c r="I900" s="178">
        <v>937.80000000000007</v>
      </c>
    </row>
    <row r="901" spans="1:9" ht="15" x14ac:dyDescent="0.2">
      <c r="A901" s="89" t="s">
        <v>4235</v>
      </c>
      <c r="B901" s="89" t="s">
        <v>4238</v>
      </c>
      <c r="C901" s="89" t="s">
        <v>839</v>
      </c>
      <c r="D901" s="174">
        <v>1750.53</v>
      </c>
      <c r="E901" s="179"/>
      <c r="F901" s="175">
        <f t="shared" si="19"/>
        <v>1750.53</v>
      </c>
      <c r="G901" s="176">
        <v>1428</v>
      </c>
      <c r="H901" s="177">
        <v>0</v>
      </c>
      <c r="I901" s="178">
        <v>1425</v>
      </c>
    </row>
    <row r="902" spans="1:9" ht="15" x14ac:dyDescent="0.2">
      <c r="A902" s="89" t="s">
        <v>4243</v>
      </c>
      <c r="B902" s="89" t="s">
        <v>4245</v>
      </c>
      <c r="C902" s="89" t="s">
        <v>532</v>
      </c>
      <c r="D902" s="174">
        <v>95</v>
      </c>
      <c r="E902" s="180">
        <v>265.39999999999998</v>
      </c>
      <c r="F902" s="175">
        <f t="shared" si="19"/>
        <v>360.4</v>
      </c>
      <c r="G902" s="176">
        <v>409.09</v>
      </c>
      <c r="H902" s="177">
        <v>294.08999999999997</v>
      </c>
      <c r="I902" s="178">
        <v>545.18000000000006</v>
      </c>
    </row>
    <row r="903" spans="1:9" ht="15" x14ac:dyDescent="0.2">
      <c r="A903" s="89" t="s">
        <v>4246</v>
      </c>
      <c r="B903" s="89" t="s">
        <v>4249</v>
      </c>
      <c r="C903" s="89" t="s">
        <v>2896</v>
      </c>
      <c r="D903" s="174">
        <v>500</v>
      </c>
      <c r="E903" s="180">
        <v>2954.7200000000003</v>
      </c>
      <c r="F903" s="175">
        <f t="shared" si="19"/>
        <v>3454.7200000000003</v>
      </c>
      <c r="G903" s="176">
        <v>4122.46</v>
      </c>
      <c r="H903" s="177">
        <v>3637.46</v>
      </c>
      <c r="I903" s="178">
        <v>2956.79</v>
      </c>
    </row>
    <row r="904" spans="1:9" ht="15" x14ac:dyDescent="0.2">
      <c r="A904" s="89" t="s">
        <v>4250</v>
      </c>
      <c r="B904" s="89" t="s">
        <v>4249</v>
      </c>
      <c r="C904" s="89" t="s">
        <v>7727</v>
      </c>
      <c r="D904" s="174">
        <v>1612.45</v>
      </c>
      <c r="E904" s="179"/>
      <c r="F904" s="175">
        <f t="shared" si="19"/>
        <v>1612.45</v>
      </c>
      <c r="G904" s="176">
        <v>313</v>
      </c>
      <c r="H904" s="177">
        <v>0</v>
      </c>
      <c r="I904" s="178">
        <v>923.30000000000007</v>
      </c>
    </row>
    <row r="905" spans="1:9" ht="15" x14ac:dyDescent="0.2">
      <c r="A905" s="89" t="s">
        <v>4256</v>
      </c>
      <c r="B905" s="89" t="s">
        <v>4259</v>
      </c>
      <c r="C905" s="89" t="s">
        <v>5066</v>
      </c>
      <c r="D905" s="174">
        <v>170</v>
      </c>
      <c r="E905" s="180">
        <v>660.14</v>
      </c>
      <c r="F905" s="175">
        <f t="shared" si="19"/>
        <v>830.14</v>
      </c>
      <c r="G905" s="176">
        <v>662.11</v>
      </c>
      <c r="H905" s="177">
        <v>462.11</v>
      </c>
      <c r="I905" s="178">
        <v>747.81000000000006</v>
      </c>
    </row>
    <row r="906" spans="1:9" ht="15" x14ac:dyDescent="0.2">
      <c r="A906" s="89" t="s">
        <v>4260</v>
      </c>
      <c r="B906" s="89" t="s">
        <v>4262</v>
      </c>
      <c r="C906" s="89" t="s">
        <v>532</v>
      </c>
      <c r="D906" s="174">
        <v>52</v>
      </c>
      <c r="E906" s="179"/>
      <c r="F906" s="175">
        <f t="shared" si="19"/>
        <v>52</v>
      </c>
      <c r="G906" s="176">
        <v>10</v>
      </c>
      <c r="H906" s="177">
        <v>0</v>
      </c>
      <c r="I906" s="178">
        <v>25</v>
      </c>
    </row>
    <row r="907" spans="1:9" ht="15" x14ac:dyDescent="0.2">
      <c r="A907" s="89" t="s">
        <v>4266</v>
      </c>
      <c r="B907" s="89" t="s">
        <v>4269</v>
      </c>
      <c r="C907" s="89" t="s">
        <v>476</v>
      </c>
      <c r="D907" s="174">
        <v>356</v>
      </c>
      <c r="E907" s="180">
        <v>264</v>
      </c>
      <c r="F907" s="175">
        <f t="shared" si="19"/>
        <v>620</v>
      </c>
      <c r="G907" s="176">
        <v>839.72</v>
      </c>
      <c r="H907" s="177">
        <v>478.72</v>
      </c>
      <c r="I907" s="178">
        <v>749.06000000000006</v>
      </c>
    </row>
    <row r="908" spans="1:9" ht="15" x14ac:dyDescent="0.2">
      <c r="A908" s="89" t="s">
        <v>4270</v>
      </c>
      <c r="B908" s="89" t="s">
        <v>4272</v>
      </c>
      <c r="C908" s="89" t="s">
        <v>1284</v>
      </c>
      <c r="D908" s="174">
        <v>984.72</v>
      </c>
      <c r="E908" s="179"/>
      <c r="F908" s="175">
        <f t="shared" si="19"/>
        <v>984.72</v>
      </c>
      <c r="G908" s="176">
        <v>790</v>
      </c>
      <c r="H908" s="177">
        <v>0</v>
      </c>
      <c r="I908" s="178">
        <v>585</v>
      </c>
    </row>
    <row r="909" spans="1:9" ht="15" x14ac:dyDescent="0.2">
      <c r="A909" s="89" t="s">
        <v>4273</v>
      </c>
      <c r="B909" s="89" t="s">
        <v>4275</v>
      </c>
      <c r="C909" s="89" t="s">
        <v>4017</v>
      </c>
      <c r="D909" s="174">
        <v>230</v>
      </c>
      <c r="E909" s="180">
        <v>154.97000000000003</v>
      </c>
      <c r="F909" s="175">
        <f t="shared" si="19"/>
        <v>384.97</v>
      </c>
      <c r="G909" s="176">
        <v>377.53</v>
      </c>
      <c r="H909" s="177">
        <v>142.53</v>
      </c>
      <c r="I909" s="178">
        <v>446.85</v>
      </c>
    </row>
    <row r="910" spans="1:9" ht="15" x14ac:dyDescent="0.2">
      <c r="A910" s="89" t="s">
        <v>4279</v>
      </c>
      <c r="B910" s="89" t="s">
        <v>4282</v>
      </c>
      <c r="C910" s="89" t="s">
        <v>2674</v>
      </c>
      <c r="D910" s="174">
        <v>460</v>
      </c>
      <c r="E910" s="179"/>
      <c r="F910" s="175">
        <f t="shared" si="19"/>
        <v>460</v>
      </c>
      <c r="G910" s="176">
        <v>626</v>
      </c>
      <c r="H910" s="177">
        <v>0</v>
      </c>
      <c r="I910" s="178">
        <v>1226</v>
      </c>
    </row>
    <row r="911" spans="1:9" ht="15" x14ac:dyDescent="0.2">
      <c r="A911" s="89" t="s">
        <v>4283</v>
      </c>
      <c r="B911" s="89" t="s">
        <v>4286</v>
      </c>
      <c r="C911" s="89" t="s">
        <v>7660</v>
      </c>
      <c r="D911" s="174">
        <v>35</v>
      </c>
      <c r="E911" s="180">
        <v>255.75</v>
      </c>
      <c r="F911" s="175">
        <f t="shared" si="19"/>
        <v>290.75</v>
      </c>
      <c r="G911" s="176">
        <v>394.55</v>
      </c>
      <c r="H911" s="177">
        <v>279.55</v>
      </c>
      <c r="I911" s="178">
        <v>313.43</v>
      </c>
    </row>
    <row r="912" spans="1:9" ht="15" x14ac:dyDescent="0.2">
      <c r="A912" s="89" t="s">
        <v>7728</v>
      </c>
      <c r="B912" s="183" t="s">
        <v>7729</v>
      </c>
      <c r="C912" s="89" t="s">
        <v>7730</v>
      </c>
      <c r="D912" s="174">
        <v>350</v>
      </c>
      <c r="E912" s="179"/>
      <c r="F912" s="175">
        <f t="shared" si="19"/>
        <v>350</v>
      </c>
      <c r="G912" s="176">
        <v>843.24</v>
      </c>
      <c r="H912" s="177">
        <v>668.24</v>
      </c>
      <c r="I912" s="178">
        <v>1054.99</v>
      </c>
    </row>
    <row r="913" spans="1:9" ht="15" x14ac:dyDescent="0.2">
      <c r="A913" s="89" t="s">
        <v>4290</v>
      </c>
      <c r="B913" s="89" t="s">
        <v>4293</v>
      </c>
      <c r="C913" s="89" t="s">
        <v>4292</v>
      </c>
      <c r="D913" s="174">
        <v>186</v>
      </c>
      <c r="E913" s="180">
        <v>555.66000000000008</v>
      </c>
      <c r="F913" s="175">
        <f t="shared" si="19"/>
        <v>741.66000000000008</v>
      </c>
      <c r="G913" s="176">
        <v>701.39</v>
      </c>
      <c r="H913" s="177">
        <v>601.39</v>
      </c>
      <c r="I913" s="178">
        <v>856.67000000000007</v>
      </c>
    </row>
    <row r="914" spans="1:9" ht="15" x14ac:dyDescent="0.2">
      <c r="A914" s="89" t="s">
        <v>4294</v>
      </c>
      <c r="B914" s="89" t="s">
        <v>4297</v>
      </c>
      <c r="C914" s="89" t="s">
        <v>4296</v>
      </c>
      <c r="D914" s="174">
        <v>780</v>
      </c>
      <c r="E914" s="179"/>
      <c r="F914" s="175">
        <f t="shared" si="19"/>
        <v>780</v>
      </c>
      <c r="G914" s="176">
        <v>1594</v>
      </c>
      <c r="H914" s="177">
        <v>0</v>
      </c>
      <c r="I914" s="178">
        <v>672</v>
      </c>
    </row>
    <row r="915" spans="1:9" ht="15" x14ac:dyDescent="0.2">
      <c r="A915" s="89" t="s">
        <v>4298</v>
      </c>
      <c r="B915" s="89" t="s">
        <v>3850</v>
      </c>
      <c r="C915" s="89" t="s">
        <v>164</v>
      </c>
      <c r="D915" s="174">
        <v>255</v>
      </c>
      <c r="E915" s="180">
        <v>305.52</v>
      </c>
      <c r="F915" s="175">
        <f t="shared" si="19"/>
        <v>560.52</v>
      </c>
      <c r="G915" s="176">
        <v>573.73</v>
      </c>
      <c r="H915" s="177">
        <v>343.73</v>
      </c>
      <c r="I915" s="178">
        <v>700.08</v>
      </c>
    </row>
    <row r="916" spans="1:9" ht="15" x14ac:dyDescent="0.2">
      <c r="A916" s="89" t="s">
        <v>4305</v>
      </c>
      <c r="B916" s="89" t="s">
        <v>4308</v>
      </c>
      <c r="C916" s="89" t="s">
        <v>942</v>
      </c>
      <c r="D916" s="174">
        <v>290.11</v>
      </c>
      <c r="E916" s="179"/>
      <c r="F916" s="175">
        <f t="shared" si="19"/>
        <v>290.11</v>
      </c>
      <c r="G916" s="176">
        <v>354</v>
      </c>
      <c r="H916" s="177">
        <v>0</v>
      </c>
      <c r="I916" s="178">
        <v>391.77</v>
      </c>
    </row>
    <row r="917" spans="1:9" ht="15" x14ac:dyDescent="0.2">
      <c r="A917" s="89" t="s">
        <v>4309</v>
      </c>
      <c r="B917" s="89" t="s">
        <v>4312</v>
      </c>
      <c r="C917" s="89" t="s">
        <v>4311</v>
      </c>
      <c r="D917" s="174">
        <v>395</v>
      </c>
      <c r="E917" s="180">
        <v>457.84</v>
      </c>
      <c r="F917" s="175">
        <f t="shared" si="19"/>
        <v>852.83999999999992</v>
      </c>
      <c r="G917" s="176">
        <v>773.06999999999994</v>
      </c>
      <c r="H917" s="177">
        <v>373.07</v>
      </c>
      <c r="I917" s="178">
        <v>752.43000000000006</v>
      </c>
    </row>
    <row r="918" spans="1:9" ht="15" x14ac:dyDescent="0.2">
      <c r="A918" s="89" t="s">
        <v>4317</v>
      </c>
      <c r="B918" s="89" t="s">
        <v>4319</v>
      </c>
      <c r="C918" s="89" t="s">
        <v>1349</v>
      </c>
      <c r="D918" s="174">
        <v>50</v>
      </c>
      <c r="E918" s="180">
        <v>2413.6499999999996</v>
      </c>
      <c r="F918" s="175">
        <f t="shared" si="19"/>
        <v>2463.6499999999996</v>
      </c>
      <c r="G918" s="176">
        <v>2467</v>
      </c>
      <c r="H918" s="177">
        <v>2417</v>
      </c>
      <c r="I918" s="178">
        <v>2462.19</v>
      </c>
    </row>
    <row r="919" spans="1:9" ht="15" x14ac:dyDescent="0.2">
      <c r="A919" s="89" t="s">
        <v>4320</v>
      </c>
      <c r="B919" s="89" t="s">
        <v>4322</v>
      </c>
      <c r="C919" s="89" t="s">
        <v>2816</v>
      </c>
      <c r="D919" s="174">
        <v>250</v>
      </c>
      <c r="E919" s="180">
        <v>776.72</v>
      </c>
      <c r="F919" s="175">
        <f t="shared" si="19"/>
        <v>1026.72</v>
      </c>
      <c r="G919" s="176">
        <v>717.37</v>
      </c>
      <c r="H919" s="177">
        <v>457.37</v>
      </c>
      <c r="I919" s="178">
        <v>607.79</v>
      </c>
    </row>
    <row r="920" spans="1:9" ht="15" x14ac:dyDescent="0.2">
      <c r="A920" s="89" t="s">
        <v>4327</v>
      </c>
      <c r="B920" s="89" t="s">
        <v>4330</v>
      </c>
      <c r="C920" s="89" t="s">
        <v>4329</v>
      </c>
      <c r="D920" s="174">
        <v>259.27</v>
      </c>
      <c r="E920" s="179"/>
      <c r="F920" s="175">
        <f t="shared" si="19"/>
        <v>259.27</v>
      </c>
      <c r="G920" s="176">
        <v>393</v>
      </c>
      <c r="H920" s="177">
        <v>0</v>
      </c>
      <c r="I920" s="178">
        <v>70.23</v>
      </c>
    </row>
    <row r="921" spans="1:9" ht="15" x14ac:dyDescent="0.2">
      <c r="A921" s="89" t="s">
        <v>4331</v>
      </c>
      <c r="B921" s="89" t="s">
        <v>7731</v>
      </c>
      <c r="C921" s="89" t="s">
        <v>7732</v>
      </c>
      <c r="D921" s="174">
        <v>100</v>
      </c>
      <c r="E921" s="180">
        <v>111.04</v>
      </c>
      <c r="F921" s="175">
        <f t="shared" si="19"/>
        <v>211.04000000000002</v>
      </c>
      <c r="G921" s="176">
        <v>198.8</v>
      </c>
      <c r="H921" s="177">
        <v>98.8</v>
      </c>
      <c r="I921" s="178">
        <v>164.98</v>
      </c>
    </row>
    <row r="922" spans="1:9" ht="15" x14ac:dyDescent="0.2">
      <c r="A922" s="89" t="s">
        <v>7733</v>
      </c>
      <c r="B922" s="89" t="s">
        <v>305</v>
      </c>
      <c r="C922" s="89" t="s">
        <v>7261</v>
      </c>
      <c r="D922" s="174">
        <f>75+50+125+30</f>
        <v>280</v>
      </c>
      <c r="E922" s="180">
        <v>-81.849999999999994</v>
      </c>
      <c r="F922" s="175">
        <f t="shared" si="19"/>
        <v>198.15</v>
      </c>
      <c r="G922" s="176">
        <v>608.95000000000005</v>
      </c>
      <c r="H922" s="177">
        <v>376.95</v>
      </c>
      <c r="I922" s="178">
        <v>674.98</v>
      </c>
    </row>
    <row r="923" spans="1:9" ht="16.5" thickBot="1" x14ac:dyDescent="0.3">
      <c r="A923" s="95" t="s">
        <v>7463</v>
      </c>
      <c r="B923" s="95"/>
      <c r="C923" s="95"/>
      <c r="D923" s="184">
        <f>SUM(D809:D922)</f>
        <v>44594.669999999991</v>
      </c>
      <c r="E923" s="184">
        <f>SUM(E809:E922)</f>
        <v>60562.30999999999</v>
      </c>
      <c r="F923" s="96">
        <f>D923+E923</f>
        <v>105156.97999999998</v>
      </c>
      <c r="G923" s="185">
        <v>105136.23999999999</v>
      </c>
      <c r="H923" s="186">
        <v>63799.989999999991</v>
      </c>
      <c r="I923" s="187">
        <v>101923.87999999996</v>
      </c>
    </row>
    <row r="924" spans="1:9" s="62" customFormat="1" x14ac:dyDescent="0.2">
      <c r="A924" s="60" t="s">
        <v>7262</v>
      </c>
      <c r="B924" s="60"/>
      <c r="C924" s="60"/>
      <c r="D924" s="60"/>
      <c r="E924" s="60"/>
      <c r="F924" s="61"/>
      <c r="G924" s="61"/>
      <c r="H924" s="60"/>
    </row>
    <row r="925" spans="1:9" ht="20.25" x14ac:dyDescent="0.2">
      <c r="A925" s="248" t="s">
        <v>7734</v>
      </c>
      <c r="B925" s="248"/>
      <c r="C925" s="248"/>
      <c r="D925" s="248"/>
      <c r="E925" s="248"/>
      <c r="F925" s="248"/>
      <c r="G925" s="248"/>
      <c r="H925" s="188"/>
      <c r="I925" s="188"/>
    </row>
    <row r="926" spans="1:9" ht="15.75" x14ac:dyDescent="0.2">
      <c r="A926" s="189" t="s">
        <v>1</v>
      </c>
      <c r="B926" s="189" t="s">
        <v>7735</v>
      </c>
      <c r="C926" s="189" t="s">
        <v>3</v>
      </c>
      <c r="D926" s="190" t="s">
        <v>7736</v>
      </c>
      <c r="E926" s="190" t="s">
        <v>7466</v>
      </c>
      <c r="F926" s="191">
        <v>2018</v>
      </c>
      <c r="G926" s="191">
        <v>2017</v>
      </c>
      <c r="H926" s="192" t="s">
        <v>7178</v>
      </c>
      <c r="I926" s="188"/>
    </row>
    <row r="927" spans="1:9" ht="30" x14ac:dyDescent="0.2">
      <c r="A927" s="193" t="s">
        <v>7737</v>
      </c>
      <c r="B927" s="193" t="s">
        <v>7738</v>
      </c>
      <c r="C927" s="193" t="s">
        <v>7739</v>
      </c>
      <c r="D927" s="194">
        <f>610+90</f>
        <v>700</v>
      </c>
      <c r="E927" s="194">
        <v>1455.63</v>
      </c>
      <c r="F927" s="195">
        <f>D927+E927</f>
        <v>2155.63</v>
      </c>
      <c r="G927" s="195">
        <v>3736.5099999999998</v>
      </c>
      <c r="H927" s="196">
        <v>1801.8</v>
      </c>
      <c r="I927" s="188"/>
    </row>
    <row r="928" spans="1:9" ht="15" x14ac:dyDescent="0.2">
      <c r="A928" s="193" t="s">
        <v>4347</v>
      </c>
      <c r="B928" s="193" t="s">
        <v>4345</v>
      </c>
      <c r="C928" s="193" t="s">
        <v>916</v>
      </c>
      <c r="D928" s="194">
        <v>110</v>
      </c>
      <c r="E928" s="194">
        <v>0</v>
      </c>
      <c r="F928" s="195">
        <f t="shared" ref="F928:F991" si="20">D928+E928</f>
        <v>110</v>
      </c>
      <c r="G928" s="195">
        <v>100</v>
      </c>
      <c r="H928" s="196">
        <v>50</v>
      </c>
      <c r="I928" s="188"/>
    </row>
    <row r="929" spans="1:9" ht="15" x14ac:dyDescent="0.2">
      <c r="A929" s="193" t="s">
        <v>4352</v>
      </c>
      <c r="B929" s="193" t="s">
        <v>4345</v>
      </c>
      <c r="C929" s="193" t="s">
        <v>7740</v>
      </c>
      <c r="D929" s="194">
        <v>70</v>
      </c>
      <c r="E929" s="194">
        <v>708.9</v>
      </c>
      <c r="F929" s="195">
        <f t="shared" si="20"/>
        <v>778.9</v>
      </c>
      <c r="G929" s="195">
        <v>644.85</v>
      </c>
      <c r="H929" s="196">
        <v>42</v>
      </c>
      <c r="I929" s="188"/>
    </row>
    <row r="930" spans="1:9" ht="15" x14ac:dyDescent="0.2">
      <c r="A930" s="193" t="s">
        <v>4355</v>
      </c>
      <c r="B930" s="193" t="s">
        <v>4345</v>
      </c>
      <c r="C930" s="193" t="s">
        <v>7741</v>
      </c>
      <c r="D930" s="194">
        <v>160</v>
      </c>
      <c r="E930" s="194">
        <v>253.46</v>
      </c>
      <c r="F930" s="195">
        <f t="shared" si="20"/>
        <v>413.46000000000004</v>
      </c>
      <c r="G930" s="195">
        <v>295.45</v>
      </c>
      <c r="H930" s="196">
        <v>340.6</v>
      </c>
      <c r="I930" s="188"/>
    </row>
    <row r="931" spans="1:9" ht="15" x14ac:dyDescent="0.2">
      <c r="A931" s="193" t="s">
        <v>4358</v>
      </c>
      <c r="B931" s="193" t="s">
        <v>4345</v>
      </c>
      <c r="C931" s="193" t="s">
        <v>72</v>
      </c>
      <c r="D931" s="194">
        <v>65</v>
      </c>
      <c r="E931" s="194">
        <v>1211.9100000000001</v>
      </c>
      <c r="F931" s="195">
        <f t="shared" si="20"/>
        <v>1276.9100000000001</v>
      </c>
      <c r="G931" s="195">
        <v>1459.21</v>
      </c>
      <c r="H931" s="196">
        <v>1462.58</v>
      </c>
      <c r="I931" s="188"/>
    </row>
    <row r="932" spans="1:9" ht="15" x14ac:dyDescent="0.2">
      <c r="A932" s="193" t="s">
        <v>4364</v>
      </c>
      <c r="B932" s="193" t="s">
        <v>4345</v>
      </c>
      <c r="C932" s="193" t="s">
        <v>7742</v>
      </c>
      <c r="D932" s="194">
        <v>160</v>
      </c>
      <c r="E932" s="194">
        <v>795.41</v>
      </c>
      <c r="F932" s="195">
        <f t="shared" si="20"/>
        <v>955.41</v>
      </c>
      <c r="G932" s="195">
        <v>880.05</v>
      </c>
      <c r="H932" s="196">
        <v>878.06000000000006</v>
      </c>
      <c r="I932" s="188"/>
    </row>
    <row r="933" spans="1:9" ht="15" x14ac:dyDescent="0.2">
      <c r="A933" s="193" t="s">
        <v>4367</v>
      </c>
      <c r="B933" s="193" t="s">
        <v>4345</v>
      </c>
      <c r="C933" s="193" t="s">
        <v>1065</v>
      </c>
      <c r="D933" s="194">
        <v>555</v>
      </c>
      <c r="E933" s="194">
        <v>1538.02</v>
      </c>
      <c r="F933" s="195">
        <f t="shared" si="20"/>
        <v>2093.02</v>
      </c>
      <c r="G933" s="195">
        <v>3028.95</v>
      </c>
      <c r="H933" s="196">
        <v>2557.15</v>
      </c>
      <c r="I933" s="188"/>
    </row>
    <row r="934" spans="1:9" ht="15" x14ac:dyDescent="0.2">
      <c r="A934" s="193" t="s">
        <v>4369</v>
      </c>
      <c r="B934" s="193" t="s">
        <v>4345</v>
      </c>
      <c r="C934" s="193" t="s">
        <v>4371</v>
      </c>
      <c r="D934" s="194">
        <v>35</v>
      </c>
      <c r="E934" s="194">
        <v>245.07</v>
      </c>
      <c r="F934" s="195">
        <f t="shared" si="20"/>
        <v>280.07</v>
      </c>
      <c r="G934" s="195">
        <v>421.98</v>
      </c>
      <c r="H934" s="196">
        <v>437.77</v>
      </c>
      <c r="I934" s="188"/>
    </row>
    <row r="935" spans="1:9" ht="15" x14ac:dyDescent="0.2">
      <c r="A935" s="193" t="s">
        <v>4373</v>
      </c>
      <c r="B935" s="193" t="s">
        <v>4345</v>
      </c>
      <c r="C935" s="193" t="s">
        <v>453</v>
      </c>
      <c r="D935" s="194">
        <v>0</v>
      </c>
      <c r="E935" s="194">
        <v>342.47</v>
      </c>
      <c r="F935" s="195">
        <f t="shared" si="20"/>
        <v>342.47</v>
      </c>
      <c r="G935" s="195">
        <v>52.14</v>
      </c>
      <c r="H935" s="196">
        <v>62</v>
      </c>
      <c r="I935" s="188"/>
    </row>
    <row r="936" spans="1:9" ht="15" x14ac:dyDescent="0.2">
      <c r="A936" s="193" t="s">
        <v>4375</v>
      </c>
      <c r="B936" s="193" t="s">
        <v>4345</v>
      </c>
      <c r="C936" s="193" t="s">
        <v>1203</v>
      </c>
      <c r="D936" s="194">
        <v>30</v>
      </c>
      <c r="E936" s="194">
        <v>1596.22</v>
      </c>
      <c r="F936" s="195">
        <f t="shared" si="20"/>
        <v>1626.22</v>
      </c>
      <c r="G936" s="195">
        <v>1452.25</v>
      </c>
      <c r="H936" s="196">
        <v>1435.66</v>
      </c>
      <c r="I936" s="188"/>
    </row>
    <row r="937" spans="1:9" ht="15" x14ac:dyDescent="0.2">
      <c r="A937" s="193" t="s">
        <v>4377</v>
      </c>
      <c r="B937" s="193" t="s">
        <v>4345</v>
      </c>
      <c r="C937" s="193" t="s">
        <v>938</v>
      </c>
      <c r="D937" s="194">
        <v>200.04</v>
      </c>
      <c r="E937" s="194">
        <v>619.58000000000004</v>
      </c>
      <c r="F937" s="195">
        <f t="shared" si="20"/>
        <v>819.62</v>
      </c>
      <c r="G937" s="195">
        <v>876.15</v>
      </c>
      <c r="H937" s="196">
        <v>1057.6300000000001</v>
      </c>
      <c r="I937" s="188"/>
    </row>
    <row r="938" spans="1:9" ht="15" x14ac:dyDescent="0.2">
      <c r="A938" s="193" t="s">
        <v>4380</v>
      </c>
      <c r="B938" s="193" t="s">
        <v>4382</v>
      </c>
      <c r="C938" s="193" t="s">
        <v>226</v>
      </c>
      <c r="D938" s="194">
        <v>300</v>
      </c>
      <c r="E938" s="194">
        <v>0</v>
      </c>
      <c r="F938" s="195">
        <f t="shared" si="20"/>
        <v>300</v>
      </c>
      <c r="G938" s="195">
        <v>275</v>
      </c>
      <c r="H938" s="196">
        <v>524.48</v>
      </c>
      <c r="I938" s="188"/>
    </row>
    <row r="939" spans="1:9" ht="30" x14ac:dyDescent="0.2">
      <c r="A939" s="193" t="s">
        <v>7743</v>
      </c>
      <c r="B939" s="193" t="s">
        <v>7744</v>
      </c>
      <c r="C939" s="193" t="s">
        <v>7745</v>
      </c>
      <c r="D939" s="194">
        <v>215</v>
      </c>
      <c r="E939" s="194">
        <v>2228.25</v>
      </c>
      <c r="F939" s="195">
        <f t="shared" si="20"/>
        <v>2443.25</v>
      </c>
      <c r="G939" s="195">
        <v>3129.98</v>
      </c>
      <c r="H939" s="196">
        <v>2551.59</v>
      </c>
      <c r="I939" s="188"/>
    </row>
    <row r="940" spans="1:9" ht="15" x14ac:dyDescent="0.2">
      <c r="A940" s="197" t="s">
        <v>4391</v>
      </c>
      <c r="B940" s="197" t="s">
        <v>7746</v>
      </c>
      <c r="C940" s="197" t="s">
        <v>7747</v>
      </c>
      <c r="D940" s="194">
        <v>870</v>
      </c>
      <c r="E940" s="194">
        <v>0</v>
      </c>
      <c r="F940" s="195">
        <f t="shared" si="20"/>
        <v>870</v>
      </c>
      <c r="G940" s="195">
        <v>120</v>
      </c>
      <c r="H940" s="196">
        <v>60</v>
      </c>
    </row>
    <row r="941" spans="1:9" ht="15" x14ac:dyDescent="0.2">
      <c r="A941" s="193" t="s">
        <v>4395</v>
      </c>
      <c r="B941" s="193" t="s">
        <v>4397</v>
      </c>
      <c r="C941" s="193" t="s">
        <v>1284</v>
      </c>
      <c r="D941" s="194">
        <v>127</v>
      </c>
      <c r="E941" s="194">
        <v>187.7</v>
      </c>
      <c r="F941" s="195">
        <f t="shared" si="20"/>
        <v>314.7</v>
      </c>
      <c r="G941" s="195">
        <v>626.07999999999993</v>
      </c>
      <c r="H941" s="196">
        <v>544.32000000000005</v>
      </c>
      <c r="I941" s="188"/>
    </row>
    <row r="942" spans="1:9" ht="15" x14ac:dyDescent="0.2">
      <c r="A942" s="193" t="s">
        <v>4398</v>
      </c>
      <c r="B942" s="193" t="s">
        <v>4397</v>
      </c>
      <c r="C942" s="193" t="s">
        <v>1165</v>
      </c>
      <c r="D942" s="194">
        <v>0</v>
      </c>
      <c r="E942" s="194">
        <v>239.49</v>
      </c>
      <c r="F942" s="195">
        <f t="shared" si="20"/>
        <v>239.49</v>
      </c>
      <c r="G942" s="195">
        <v>472.86</v>
      </c>
      <c r="H942" s="196">
        <v>362.14</v>
      </c>
      <c r="I942" s="188"/>
    </row>
    <row r="943" spans="1:9" ht="15" x14ac:dyDescent="0.2">
      <c r="A943" s="193" t="s">
        <v>4401</v>
      </c>
      <c r="B943" s="193" t="s">
        <v>4404</v>
      </c>
      <c r="C943" s="193" t="s">
        <v>4403</v>
      </c>
      <c r="D943" s="194">
        <v>261</v>
      </c>
      <c r="E943" s="194">
        <v>779.35</v>
      </c>
      <c r="F943" s="195">
        <f t="shared" si="20"/>
        <v>1040.3499999999999</v>
      </c>
      <c r="G943" s="195">
        <v>963.3</v>
      </c>
      <c r="H943" s="196">
        <v>1033.8600000000001</v>
      </c>
      <c r="I943" s="188"/>
    </row>
    <row r="944" spans="1:9" ht="15" x14ac:dyDescent="0.2">
      <c r="A944" s="193" t="s">
        <v>4405</v>
      </c>
      <c r="B944" s="193" t="s">
        <v>4407</v>
      </c>
      <c r="C944" s="193" t="s">
        <v>226</v>
      </c>
      <c r="D944" s="194">
        <v>495</v>
      </c>
      <c r="E944" s="194">
        <v>0</v>
      </c>
      <c r="F944" s="195">
        <f t="shared" si="20"/>
        <v>495</v>
      </c>
      <c r="G944" s="195">
        <v>1083.3499999999999</v>
      </c>
      <c r="H944" s="196">
        <v>155</v>
      </c>
      <c r="I944" s="188"/>
    </row>
    <row r="945" spans="1:9" ht="15" x14ac:dyDescent="0.2">
      <c r="A945" s="193" t="s">
        <v>4408</v>
      </c>
      <c r="B945" s="193" t="s">
        <v>4411</v>
      </c>
      <c r="C945" s="193" t="s">
        <v>1489</v>
      </c>
      <c r="D945" s="194">
        <v>50</v>
      </c>
      <c r="E945" s="194">
        <v>132.93</v>
      </c>
      <c r="F945" s="195">
        <f t="shared" si="20"/>
        <v>182.93</v>
      </c>
      <c r="G945" s="195">
        <v>155</v>
      </c>
      <c r="H945" s="196">
        <v>204.9</v>
      </c>
      <c r="I945" s="188"/>
    </row>
    <row r="946" spans="1:9" ht="15" x14ac:dyDescent="0.2">
      <c r="A946" s="193" t="s">
        <v>4412</v>
      </c>
      <c r="B946" s="193" t="s">
        <v>4415</v>
      </c>
      <c r="C946" s="193" t="s">
        <v>4414</v>
      </c>
      <c r="D946" s="194">
        <v>100</v>
      </c>
      <c r="E946" s="194">
        <v>8.06</v>
      </c>
      <c r="F946" s="195">
        <f t="shared" si="20"/>
        <v>108.06</v>
      </c>
      <c r="G946" s="195">
        <v>216.27</v>
      </c>
      <c r="H946" s="196">
        <v>196.55</v>
      </c>
      <c r="I946" s="188"/>
    </row>
    <row r="947" spans="1:9" ht="15" x14ac:dyDescent="0.2">
      <c r="A947" s="193" t="s">
        <v>4417</v>
      </c>
      <c r="B947" s="193" t="s">
        <v>49</v>
      </c>
      <c r="C947" s="193" t="s">
        <v>7278</v>
      </c>
      <c r="D947" s="194">
        <v>260</v>
      </c>
      <c r="E947" s="194">
        <v>144.93</v>
      </c>
      <c r="F947" s="195">
        <f t="shared" si="20"/>
        <v>404.93</v>
      </c>
      <c r="G947" s="195">
        <v>401.5</v>
      </c>
      <c r="H947" s="196">
        <v>565</v>
      </c>
      <c r="I947" s="188"/>
    </row>
    <row r="948" spans="1:9" ht="15" x14ac:dyDescent="0.2">
      <c r="A948" s="193" t="s">
        <v>4420</v>
      </c>
      <c r="B948" s="193" t="s">
        <v>49</v>
      </c>
      <c r="C948" s="193" t="s">
        <v>2674</v>
      </c>
      <c r="D948" s="194">
        <v>145</v>
      </c>
      <c r="E948" s="194">
        <v>260.5</v>
      </c>
      <c r="F948" s="195">
        <f t="shared" si="20"/>
        <v>405.5</v>
      </c>
      <c r="G948" s="195">
        <v>613.58999999999992</v>
      </c>
      <c r="H948" s="196">
        <v>647.5</v>
      </c>
      <c r="I948" s="188"/>
    </row>
    <row r="949" spans="1:9" ht="15" x14ac:dyDescent="0.2">
      <c r="A949" s="193" t="s">
        <v>4423</v>
      </c>
      <c r="B949" s="193" t="s">
        <v>7748</v>
      </c>
      <c r="C949" s="193" t="s">
        <v>3992</v>
      </c>
      <c r="D949" s="194">
        <v>85</v>
      </c>
      <c r="E949" s="194">
        <v>386.82</v>
      </c>
      <c r="F949" s="195">
        <f t="shared" si="20"/>
        <v>471.82</v>
      </c>
      <c r="G949" s="195">
        <v>602.44000000000005</v>
      </c>
      <c r="H949" s="196">
        <v>618.79</v>
      </c>
      <c r="I949" s="188"/>
    </row>
    <row r="950" spans="1:9" ht="30" x14ac:dyDescent="0.2">
      <c r="A950" s="193" t="s">
        <v>7749</v>
      </c>
      <c r="B950" s="193" t="s">
        <v>7750</v>
      </c>
      <c r="C950" s="193" t="s">
        <v>7751</v>
      </c>
      <c r="D950" s="194">
        <f>45+75+180</f>
        <v>300</v>
      </c>
      <c r="E950" s="194">
        <v>535.36</v>
      </c>
      <c r="F950" s="195">
        <f t="shared" si="20"/>
        <v>835.36</v>
      </c>
      <c r="G950" s="195">
        <v>656.38</v>
      </c>
      <c r="H950" s="196">
        <v>808.82</v>
      </c>
      <c r="I950" s="188"/>
    </row>
    <row r="951" spans="1:9" ht="15" x14ac:dyDescent="0.2">
      <c r="A951" s="197" t="s">
        <v>4432</v>
      </c>
      <c r="B951" s="197" t="s">
        <v>4435</v>
      </c>
      <c r="C951" s="197" t="s">
        <v>7752</v>
      </c>
      <c r="D951" s="194">
        <v>420</v>
      </c>
      <c r="E951" s="194">
        <v>1327.36</v>
      </c>
      <c r="F951" s="195">
        <f t="shared" si="20"/>
        <v>1747.36</v>
      </c>
      <c r="G951" s="195">
        <v>1753.09</v>
      </c>
      <c r="H951" s="196">
        <v>1104.56</v>
      </c>
      <c r="I951" s="188"/>
    </row>
    <row r="952" spans="1:9" ht="15" x14ac:dyDescent="0.2">
      <c r="A952" s="193" t="s">
        <v>4441</v>
      </c>
      <c r="B952" s="193" t="s">
        <v>4443</v>
      </c>
      <c r="C952" s="193" t="s">
        <v>119</v>
      </c>
      <c r="D952" s="194">
        <v>20</v>
      </c>
      <c r="E952" s="194">
        <v>470.55</v>
      </c>
      <c r="F952" s="195">
        <f t="shared" si="20"/>
        <v>490.55</v>
      </c>
      <c r="G952" s="195">
        <v>602.62</v>
      </c>
      <c r="H952" s="196">
        <v>610.97</v>
      </c>
      <c r="I952" s="188"/>
    </row>
    <row r="953" spans="1:9" ht="15" x14ac:dyDescent="0.2">
      <c r="A953" s="193" t="s">
        <v>4444</v>
      </c>
      <c r="B953" s="193" t="s">
        <v>4447</v>
      </c>
      <c r="C953" s="193" t="s">
        <v>226</v>
      </c>
      <c r="D953" s="194">
        <v>295</v>
      </c>
      <c r="E953" s="194">
        <v>0</v>
      </c>
      <c r="F953" s="195">
        <f t="shared" si="20"/>
        <v>295</v>
      </c>
      <c r="G953" s="195">
        <v>577.36</v>
      </c>
      <c r="H953" s="196">
        <v>265</v>
      </c>
      <c r="I953" s="188"/>
    </row>
    <row r="954" spans="1:9" ht="15" x14ac:dyDescent="0.2">
      <c r="A954" s="193" t="s">
        <v>4449</v>
      </c>
      <c r="B954" s="193" t="s">
        <v>7753</v>
      </c>
      <c r="C954" s="193" t="s">
        <v>1065</v>
      </c>
      <c r="D954" s="194">
        <v>0</v>
      </c>
      <c r="E954" s="194">
        <v>920</v>
      </c>
      <c r="F954" s="195">
        <f t="shared" si="20"/>
        <v>920</v>
      </c>
      <c r="G954" s="195">
        <v>905</v>
      </c>
      <c r="H954" s="196">
        <v>780</v>
      </c>
      <c r="I954" s="188"/>
    </row>
    <row r="955" spans="1:9" ht="15" x14ac:dyDescent="0.2">
      <c r="A955" s="193" t="s">
        <v>4452</v>
      </c>
      <c r="B955" s="193" t="s">
        <v>7754</v>
      </c>
      <c r="C955" s="193" t="s">
        <v>771</v>
      </c>
      <c r="D955" s="194">
        <v>0</v>
      </c>
      <c r="E955" s="194">
        <v>125.39</v>
      </c>
      <c r="F955" s="195">
        <f t="shared" si="20"/>
        <v>125.39</v>
      </c>
      <c r="G955" s="195">
        <v>140.80000000000001</v>
      </c>
      <c r="H955" s="196">
        <v>205.93</v>
      </c>
      <c r="I955" s="188"/>
    </row>
    <row r="956" spans="1:9" ht="15" x14ac:dyDescent="0.2">
      <c r="A956" s="193" t="s">
        <v>4456</v>
      </c>
      <c r="B956" s="193" t="s">
        <v>4459</v>
      </c>
      <c r="C956" s="193" t="s">
        <v>4458</v>
      </c>
      <c r="D956" s="194">
        <v>0</v>
      </c>
      <c r="E956" s="194">
        <v>414.29</v>
      </c>
      <c r="F956" s="195">
        <f t="shared" si="20"/>
        <v>414.29</v>
      </c>
      <c r="G956" s="195">
        <v>479.9</v>
      </c>
      <c r="H956" s="196">
        <v>313.06</v>
      </c>
      <c r="I956" s="188"/>
    </row>
    <row r="957" spans="1:9" ht="15" x14ac:dyDescent="0.2">
      <c r="A957" s="193" t="s">
        <v>4461</v>
      </c>
      <c r="B957" s="193" t="s">
        <v>7755</v>
      </c>
      <c r="C957" s="193" t="s">
        <v>7756</v>
      </c>
      <c r="D957" s="194">
        <v>0</v>
      </c>
      <c r="E957" s="194">
        <v>90.79</v>
      </c>
      <c r="F957" s="195">
        <f t="shared" si="20"/>
        <v>90.79</v>
      </c>
      <c r="G957" s="195">
        <v>168.64</v>
      </c>
      <c r="H957" s="196">
        <v>126.44</v>
      </c>
      <c r="I957" s="188"/>
    </row>
    <row r="958" spans="1:9" ht="15" x14ac:dyDescent="0.2">
      <c r="A958" s="193" t="s">
        <v>4464</v>
      </c>
      <c r="B958" s="193" t="s">
        <v>7757</v>
      </c>
      <c r="C958" s="193" t="s">
        <v>2981</v>
      </c>
      <c r="D958" s="194">
        <v>25</v>
      </c>
      <c r="E958" s="194">
        <v>217.48</v>
      </c>
      <c r="F958" s="195">
        <f t="shared" si="20"/>
        <v>242.48</v>
      </c>
      <c r="G958" s="195">
        <v>714.66</v>
      </c>
      <c r="H958" s="196">
        <v>476.66</v>
      </c>
      <c r="I958" s="188"/>
    </row>
    <row r="959" spans="1:9" ht="15" x14ac:dyDescent="0.2">
      <c r="A959" s="193" t="s">
        <v>4468</v>
      </c>
      <c r="B959" s="193" t="s">
        <v>7758</v>
      </c>
      <c r="C959" s="193" t="s">
        <v>7759</v>
      </c>
      <c r="D959" s="194">
        <v>55</v>
      </c>
      <c r="E959" s="194">
        <v>0</v>
      </c>
      <c r="F959" s="195">
        <f t="shared" si="20"/>
        <v>55</v>
      </c>
      <c r="G959" s="195"/>
      <c r="H959" s="196">
        <v>5</v>
      </c>
      <c r="I959" s="188"/>
    </row>
    <row r="960" spans="1:9" ht="15" x14ac:dyDescent="0.2">
      <c r="A960" s="193" t="s">
        <v>4472</v>
      </c>
      <c r="B960" s="193" t="s">
        <v>4474</v>
      </c>
      <c r="C960" s="193" t="s">
        <v>1008</v>
      </c>
      <c r="D960" s="194">
        <v>20</v>
      </c>
      <c r="E960" s="194">
        <v>164.5</v>
      </c>
      <c r="F960" s="195">
        <f t="shared" si="20"/>
        <v>184.5</v>
      </c>
      <c r="G960" s="195">
        <v>244.4</v>
      </c>
      <c r="H960" s="196">
        <v>227</v>
      </c>
      <c r="I960" s="188"/>
    </row>
    <row r="961" spans="1:9" ht="15" x14ac:dyDescent="0.2">
      <c r="A961" s="193" t="s">
        <v>4475</v>
      </c>
      <c r="B961" s="193" t="s">
        <v>4477</v>
      </c>
      <c r="C961" s="193" t="s">
        <v>4476</v>
      </c>
      <c r="D961" s="194">
        <v>0</v>
      </c>
      <c r="E961" s="194">
        <v>242.27</v>
      </c>
      <c r="F961" s="195">
        <f t="shared" si="20"/>
        <v>242.27</v>
      </c>
      <c r="G961" s="195">
        <v>216.69</v>
      </c>
      <c r="H961" s="196">
        <v>389.12</v>
      </c>
      <c r="I961" s="188"/>
    </row>
    <row r="962" spans="1:9" ht="15" x14ac:dyDescent="0.2">
      <c r="A962" s="193" t="s">
        <v>4479</v>
      </c>
      <c r="B962" s="193" t="s">
        <v>4481</v>
      </c>
      <c r="C962" s="193" t="s">
        <v>1371</v>
      </c>
      <c r="D962" s="194">
        <v>413</v>
      </c>
      <c r="E962" s="194">
        <v>1311.47</v>
      </c>
      <c r="F962" s="195">
        <f t="shared" si="20"/>
        <v>1724.47</v>
      </c>
      <c r="G962" s="195">
        <v>1094.99</v>
      </c>
      <c r="H962" s="196">
        <v>1016.5600000000001</v>
      </c>
      <c r="I962" s="188"/>
    </row>
    <row r="963" spans="1:9" ht="15" x14ac:dyDescent="0.2">
      <c r="A963" s="193" t="s">
        <v>4482</v>
      </c>
      <c r="B963" s="193" t="s">
        <v>4484</v>
      </c>
      <c r="C963" s="193" t="s">
        <v>231</v>
      </c>
      <c r="D963" s="194">
        <v>406</v>
      </c>
      <c r="E963" s="194">
        <v>627</v>
      </c>
      <c r="F963" s="195">
        <f t="shared" si="20"/>
        <v>1033</v>
      </c>
      <c r="G963" s="195">
        <v>670</v>
      </c>
      <c r="H963" s="196">
        <v>1367</v>
      </c>
      <c r="I963" s="188"/>
    </row>
    <row r="964" spans="1:9" ht="15" x14ac:dyDescent="0.2">
      <c r="A964" s="193" t="s">
        <v>4486</v>
      </c>
      <c r="B964" s="193" t="s">
        <v>4484</v>
      </c>
      <c r="C964" s="193" t="s">
        <v>7366</v>
      </c>
      <c r="D964" s="194">
        <v>746.14</v>
      </c>
      <c r="E964" s="194">
        <v>0</v>
      </c>
      <c r="F964" s="195">
        <f t="shared" si="20"/>
        <v>746.14</v>
      </c>
      <c r="G964" s="195">
        <v>255</v>
      </c>
      <c r="H964" s="196">
        <v>526.84</v>
      </c>
      <c r="I964" s="188"/>
    </row>
    <row r="965" spans="1:9" ht="15" x14ac:dyDescent="0.2">
      <c r="A965" s="193" t="s">
        <v>4488</v>
      </c>
      <c r="B965" s="193" t="s">
        <v>4491</v>
      </c>
      <c r="C965" s="193" t="s">
        <v>7199</v>
      </c>
      <c r="D965" s="194">
        <v>162</v>
      </c>
      <c r="E965" s="194">
        <v>270</v>
      </c>
      <c r="F965" s="195">
        <f t="shared" si="20"/>
        <v>432</v>
      </c>
      <c r="G965" s="195">
        <v>691</v>
      </c>
      <c r="H965" s="196">
        <v>382</v>
      </c>
      <c r="I965" s="188"/>
    </row>
    <row r="966" spans="1:9" ht="15" x14ac:dyDescent="0.2">
      <c r="A966" s="193" t="s">
        <v>4492</v>
      </c>
      <c r="B966" s="193" t="s">
        <v>4495</v>
      </c>
      <c r="C966" s="193" t="s">
        <v>1670</v>
      </c>
      <c r="D966" s="194">
        <v>285</v>
      </c>
      <c r="E966" s="194">
        <v>1449.22</v>
      </c>
      <c r="F966" s="195">
        <f t="shared" si="20"/>
        <v>1734.22</v>
      </c>
      <c r="G966" s="195">
        <v>1861.63</v>
      </c>
      <c r="H966" s="196">
        <v>2057.9900000000002</v>
      </c>
      <c r="I966" s="188"/>
    </row>
    <row r="967" spans="1:9" ht="15" x14ac:dyDescent="0.2">
      <c r="A967" s="193" t="s">
        <v>4500</v>
      </c>
      <c r="B967" s="193" t="s">
        <v>4503</v>
      </c>
      <c r="C967" s="193" t="s">
        <v>532</v>
      </c>
      <c r="D967" s="194">
        <v>105</v>
      </c>
      <c r="E967" s="194">
        <v>102.03</v>
      </c>
      <c r="F967" s="195">
        <f t="shared" si="20"/>
        <v>207.03</v>
      </c>
      <c r="G967" s="195">
        <v>88.57</v>
      </c>
      <c r="H967" s="196">
        <v>166.1</v>
      </c>
      <c r="I967" s="188"/>
    </row>
    <row r="968" spans="1:9" ht="15" x14ac:dyDescent="0.2">
      <c r="A968" s="193" t="s">
        <v>4507</v>
      </c>
      <c r="B968" s="193" t="s">
        <v>7760</v>
      </c>
      <c r="C968" s="193" t="s">
        <v>226</v>
      </c>
      <c r="D968" s="194">
        <v>65</v>
      </c>
      <c r="E968" s="194">
        <v>400</v>
      </c>
      <c r="F968" s="195">
        <f t="shared" si="20"/>
        <v>465</v>
      </c>
      <c r="G968" s="195">
        <v>436.8</v>
      </c>
      <c r="H968" s="196">
        <v>483.55</v>
      </c>
      <c r="I968" s="188"/>
    </row>
    <row r="969" spans="1:9" ht="15" x14ac:dyDescent="0.2">
      <c r="A969" s="193" t="s">
        <v>4513</v>
      </c>
      <c r="B969" s="193" t="s">
        <v>7761</v>
      </c>
      <c r="C969" s="193" t="s">
        <v>1584</v>
      </c>
      <c r="D969" s="194">
        <v>134</v>
      </c>
      <c r="E969" s="194">
        <v>372.81</v>
      </c>
      <c r="F969" s="195">
        <f t="shared" si="20"/>
        <v>506.81</v>
      </c>
      <c r="G969" s="195">
        <v>716.53</v>
      </c>
      <c r="H969" s="196">
        <v>724.80000000000007</v>
      </c>
      <c r="I969" s="188"/>
    </row>
    <row r="970" spans="1:9" ht="15" x14ac:dyDescent="0.2">
      <c r="A970" s="193" t="s">
        <v>4516</v>
      </c>
      <c r="B970" s="193" t="s">
        <v>7762</v>
      </c>
      <c r="C970" s="193" t="s">
        <v>7763</v>
      </c>
      <c r="D970" s="194">
        <v>75</v>
      </c>
      <c r="E970" s="194"/>
      <c r="F970" s="195">
        <f t="shared" si="20"/>
        <v>75</v>
      </c>
      <c r="G970" s="195">
        <v>0</v>
      </c>
      <c r="H970" s="196">
        <v>45</v>
      </c>
      <c r="I970" s="188"/>
    </row>
    <row r="971" spans="1:9" ht="15" x14ac:dyDescent="0.2">
      <c r="A971" s="193" t="s">
        <v>4521</v>
      </c>
      <c r="B971" s="193" t="s">
        <v>7764</v>
      </c>
      <c r="C971" s="193" t="s">
        <v>7765</v>
      </c>
      <c r="D971" s="194">
        <v>235</v>
      </c>
      <c r="E971" s="194">
        <v>55.4</v>
      </c>
      <c r="F971" s="195">
        <f t="shared" si="20"/>
        <v>290.39999999999998</v>
      </c>
      <c r="G971" s="195">
        <v>702.21</v>
      </c>
      <c r="H971" s="196">
        <v>280.41000000000003</v>
      </c>
      <c r="I971" s="188"/>
    </row>
    <row r="972" spans="1:9" ht="15" x14ac:dyDescent="0.2">
      <c r="A972" s="193" t="s">
        <v>4528</v>
      </c>
      <c r="B972" s="193" t="s">
        <v>7766</v>
      </c>
      <c r="C972" s="193" t="s">
        <v>7767</v>
      </c>
      <c r="D972" s="194">
        <v>150</v>
      </c>
      <c r="E972" s="194">
        <v>270.52999999999997</v>
      </c>
      <c r="F972" s="195">
        <f t="shared" si="20"/>
        <v>420.53</v>
      </c>
      <c r="G972" s="195">
        <v>994.48</v>
      </c>
      <c r="H972" s="196">
        <v>758.83</v>
      </c>
      <c r="I972" s="188"/>
    </row>
    <row r="973" spans="1:9" ht="15" x14ac:dyDescent="0.2">
      <c r="A973" s="193" t="s">
        <v>4536</v>
      </c>
      <c r="B973" s="193" t="s">
        <v>7768</v>
      </c>
      <c r="C973" s="193" t="s">
        <v>7769</v>
      </c>
      <c r="D973" s="194">
        <v>285</v>
      </c>
      <c r="E973" s="194">
        <v>824.96</v>
      </c>
      <c r="F973" s="195">
        <f t="shared" si="20"/>
        <v>1109.96</v>
      </c>
      <c r="G973" s="195">
        <v>596.44000000000005</v>
      </c>
      <c r="H973" s="196">
        <v>407.84000000000003</v>
      </c>
      <c r="I973" s="188"/>
    </row>
    <row r="974" spans="1:9" ht="15" x14ac:dyDescent="0.2">
      <c r="A974" s="193" t="s">
        <v>4539</v>
      </c>
      <c r="B974" s="193" t="s">
        <v>4542</v>
      </c>
      <c r="C974" s="193" t="s">
        <v>7770</v>
      </c>
      <c r="D974" s="194">
        <v>0</v>
      </c>
      <c r="E974" s="194">
        <v>576.73</v>
      </c>
      <c r="F974" s="195">
        <f t="shared" si="20"/>
        <v>576.73</v>
      </c>
      <c r="G974" s="195">
        <v>754.22</v>
      </c>
      <c r="H974" s="196">
        <v>465.61</v>
      </c>
      <c r="I974" s="188"/>
    </row>
    <row r="975" spans="1:9" ht="15" x14ac:dyDescent="0.2">
      <c r="A975" s="193" t="s">
        <v>4544</v>
      </c>
      <c r="B975" s="193" t="s">
        <v>7771</v>
      </c>
      <c r="C975" s="193" t="s">
        <v>7772</v>
      </c>
      <c r="D975" s="194">
        <v>50</v>
      </c>
      <c r="E975" s="194">
        <v>481.93</v>
      </c>
      <c r="F975" s="195">
        <f t="shared" si="20"/>
        <v>531.93000000000006</v>
      </c>
      <c r="G975" s="195">
        <v>507.54</v>
      </c>
      <c r="H975" s="196">
        <v>524.26</v>
      </c>
      <c r="I975" s="188"/>
    </row>
    <row r="976" spans="1:9" ht="15" x14ac:dyDescent="0.2">
      <c r="A976" s="193" t="s">
        <v>4551</v>
      </c>
      <c r="B976" s="193" t="s">
        <v>4554</v>
      </c>
      <c r="C976" s="193" t="s">
        <v>4553</v>
      </c>
      <c r="D976" s="194">
        <v>243.25</v>
      </c>
      <c r="E976" s="194">
        <v>571.08000000000004</v>
      </c>
      <c r="F976" s="195">
        <f t="shared" si="20"/>
        <v>814.33</v>
      </c>
      <c r="G976" s="195">
        <v>873.61</v>
      </c>
      <c r="H976" s="196">
        <v>675.67</v>
      </c>
      <c r="I976" s="188"/>
    </row>
    <row r="977" spans="1:9" ht="15" x14ac:dyDescent="0.2">
      <c r="A977" s="193" t="s">
        <v>7773</v>
      </c>
      <c r="B977" s="193" t="s">
        <v>7774</v>
      </c>
      <c r="C977" s="193" t="s">
        <v>7775</v>
      </c>
      <c r="D977" s="194">
        <v>0</v>
      </c>
      <c r="E977" s="194"/>
      <c r="F977" s="195">
        <f t="shared" si="20"/>
        <v>0</v>
      </c>
      <c r="G977" s="195">
        <v>0</v>
      </c>
      <c r="H977" s="196">
        <v>99</v>
      </c>
      <c r="I977" s="188"/>
    </row>
    <row r="978" spans="1:9" ht="15" x14ac:dyDescent="0.2">
      <c r="A978" s="193" t="s">
        <v>4558</v>
      </c>
      <c r="B978" s="193" t="s">
        <v>7776</v>
      </c>
      <c r="C978" s="193" t="s">
        <v>1355</v>
      </c>
      <c r="D978" s="194">
        <v>305</v>
      </c>
      <c r="E978" s="194">
        <v>765.65</v>
      </c>
      <c r="F978" s="195">
        <f t="shared" si="20"/>
        <v>1070.6500000000001</v>
      </c>
      <c r="G978" s="195">
        <v>1951.28</v>
      </c>
      <c r="H978" s="196">
        <v>1884.1000000000001</v>
      </c>
      <c r="I978" s="188"/>
    </row>
    <row r="979" spans="1:9" ht="15" x14ac:dyDescent="0.2">
      <c r="A979" s="193" t="s">
        <v>4565</v>
      </c>
      <c r="B979" s="193" t="s">
        <v>7777</v>
      </c>
      <c r="C979" s="193" t="s">
        <v>7778</v>
      </c>
      <c r="D979" s="194">
        <v>2837</v>
      </c>
      <c r="E979" s="194">
        <v>4337.59</v>
      </c>
      <c r="F979" s="195">
        <f t="shared" si="20"/>
        <v>7174.59</v>
      </c>
      <c r="G979" s="195">
        <v>6995.5499999999993</v>
      </c>
      <c r="H979" s="196">
        <v>7955.13</v>
      </c>
      <c r="I979" s="188"/>
    </row>
    <row r="980" spans="1:9" ht="15" x14ac:dyDescent="0.2">
      <c r="A980" s="193" t="s">
        <v>4572</v>
      </c>
      <c r="B980" s="193" t="s">
        <v>4426</v>
      </c>
      <c r="C980" s="193" t="s">
        <v>532</v>
      </c>
      <c r="D980" s="194">
        <v>2045</v>
      </c>
      <c r="E980" s="194">
        <v>2170.09</v>
      </c>
      <c r="F980" s="195">
        <f t="shared" si="20"/>
        <v>4215.09</v>
      </c>
      <c r="G980" s="195">
        <v>4319.1000000000004</v>
      </c>
      <c r="H980" s="196">
        <v>4695.66</v>
      </c>
      <c r="I980" s="188"/>
    </row>
    <row r="981" spans="1:9" ht="15" x14ac:dyDescent="0.2">
      <c r="A981" s="193" t="s">
        <v>4580</v>
      </c>
      <c r="B981" s="193" t="s">
        <v>4582</v>
      </c>
      <c r="C981" s="193" t="s">
        <v>2981</v>
      </c>
      <c r="D981" s="194">
        <v>440</v>
      </c>
      <c r="E981" s="194">
        <v>507.5</v>
      </c>
      <c r="F981" s="195">
        <f t="shared" si="20"/>
        <v>947.5</v>
      </c>
      <c r="G981" s="195">
        <v>1183.3</v>
      </c>
      <c r="H981" s="196">
        <v>1200</v>
      </c>
      <c r="I981" s="188"/>
    </row>
    <row r="982" spans="1:9" ht="15" x14ac:dyDescent="0.2">
      <c r="A982" s="193" t="s">
        <v>4586</v>
      </c>
      <c r="B982" s="193" t="s">
        <v>7779</v>
      </c>
      <c r="C982" s="193" t="s">
        <v>7660</v>
      </c>
      <c r="D982" s="194">
        <v>225</v>
      </c>
      <c r="E982" s="194">
        <v>838.5</v>
      </c>
      <c r="F982" s="195">
        <f t="shared" si="20"/>
        <v>1063.5</v>
      </c>
      <c r="G982" s="195">
        <v>1136.97</v>
      </c>
      <c r="H982" s="196">
        <v>1167.8800000000001</v>
      </c>
      <c r="I982" s="188"/>
    </row>
    <row r="983" spans="1:9" ht="15" x14ac:dyDescent="0.2">
      <c r="A983" s="193" t="s">
        <v>4590</v>
      </c>
      <c r="B983" s="193" t="s">
        <v>4593</v>
      </c>
      <c r="C983" s="193" t="s">
        <v>7780</v>
      </c>
      <c r="D983" s="194">
        <v>215</v>
      </c>
      <c r="E983" s="194">
        <v>0</v>
      </c>
      <c r="F983" s="195">
        <f t="shared" si="20"/>
        <v>215</v>
      </c>
      <c r="G983" s="195">
        <v>216</v>
      </c>
      <c r="H983" s="196">
        <v>320.92</v>
      </c>
      <c r="I983" s="188"/>
    </row>
    <row r="984" spans="1:9" ht="30" x14ac:dyDescent="0.2">
      <c r="A984" s="193" t="s">
        <v>7781</v>
      </c>
      <c r="B984" s="193" t="s">
        <v>7782</v>
      </c>
      <c r="C984" s="193" t="s">
        <v>7783</v>
      </c>
      <c r="D984" s="194">
        <f>226.05+300+733.03</f>
        <v>1259.08</v>
      </c>
      <c r="E984" s="194">
        <v>350.5</v>
      </c>
      <c r="F984" s="195">
        <f t="shared" si="20"/>
        <v>1609.58</v>
      </c>
      <c r="G984" s="195">
        <v>1612.5</v>
      </c>
      <c r="H984" s="196">
        <v>848.87</v>
      </c>
      <c r="I984" s="188"/>
    </row>
    <row r="985" spans="1:9" ht="15" x14ac:dyDescent="0.2">
      <c r="A985" s="193" t="s">
        <v>4603</v>
      </c>
      <c r="B985" s="193" t="s">
        <v>4605</v>
      </c>
      <c r="C985" s="193" t="s">
        <v>226</v>
      </c>
      <c r="D985" s="194">
        <v>238.05</v>
      </c>
      <c r="E985" s="194">
        <v>492.41</v>
      </c>
      <c r="F985" s="195">
        <f t="shared" si="20"/>
        <v>730.46</v>
      </c>
      <c r="G985" s="195">
        <v>455.72</v>
      </c>
      <c r="H985" s="196">
        <v>615.69000000000005</v>
      </c>
      <c r="I985" s="188"/>
    </row>
    <row r="986" spans="1:9" ht="15" x14ac:dyDescent="0.2">
      <c r="A986" s="193" t="s">
        <v>4606</v>
      </c>
      <c r="B986" s="193" t="s">
        <v>4605</v>
      </c>
      <c r="C986" s="193" t="s">
        <v>532</v>
      </c>
      <c r="D986" s="194">
        <v>195</v>
      </c>
      <c r="E986" s="194">
        <v>2561.98</v>
      </c>
      <c r="F986" s="195">
        <f t="shared" si="20"/>
        <v>2756.98</v>
      </c>
      <c r="G986" s="195">
        <v>2831.84</v>
      </c>
      <c r="H986" s="196">
        <v>2734.86</v>
      </c>
      <c r="I986" s="188"/>
    </row>
    <row r="987" spans="1:9" ht="15" x14ac:dyDescent="0.2">
      <c r="A987" s="193" t="s">
        <v>4609</v>
      </c>
      <c r="B987" s="193" t="s">
        <v>4605</v>
      </c>
      <c r="C987" s="193" t="s">
        <v>740</v>
      </c>
      <c r="D987" s="194">
        <v>85</v>
      </c>
      <c r="E987" s="194">
        <v>381.46</v>
      </c>
      <c r="F987" s="195">
        <f t="shared" si="20"/>
        <v>466.46</v>
      </c>
      <c r="G987" s="195">
        <v>657.52</v>
      </c>
      <c r="H987" s="196">
        <v>432</v>
      </c>
      <c r="I987" s="188"/>
    </row>
    <row r="988" spans="1:9" ht="15" x14ac:dyDescent="0.2">
      <c r="A988" s="193" t="s">
        <v>4611</v>
      </c>
      <c r="B988" s="193" t="s">
        <v>4605</v>
      </c>
      <c r="C988" s="193" t="s">
        <v>7450</v>
      </c>
      <c r="D988" s="194">
        <v>134</v>
      </c>
      <c r="E988" s="194">
        <v>479.7</v>
      </c>
      <c r="F988" s="195">
        <f t="shared" si="20"/>
        <v>613.70000000000005</v>
      </c>
      <c r="G988" s="195">
        <v>1570.8899999999999</v>
      </c>
      <c r="H988" s="196">
        <v>1909.67</v>
      </c>
      <c r="I988" s="188"/>
    </row>
    <row r="989" spans="1:9" ht="15" x14ac:dyDescent="0.2">
      <c r="A989" s="193" t="s">
        <v>4613</v>
      </c>
      <c r="B989" s="193" t="s">
        <v>7784</v>
      </c>
      <c r="C989" s="193" t="s">
        <v>4615</v>
      </c>
      <c r="D989" s="194">
        <v>190</v>
      </c>
      <c r="E989" s="194">
        <v>1017.95</v>
      </c>
      <c r="F989" s="195">
        <f t="shared" si="20"/>
        <v>1207.95</v>
      </c>
      <c r="G989" s="195">
        <v>1020.89</v>
      </c>
      <c r="H989" s="196">
        <v>1091.1400000000001</v>
      </c>
      <c r="I989" s="188"/>
    </row>
    <row r="990" spans="1:9" ht="30" x14ac:dyDescent="0.2">
      <c r="A990" s="193" t="s">
        <v>7785</v>
      </c>
      <c r="B990" s="193" t="s">
        <v>7786</v>
      </c>
      <c r="C990" s="193" t="s">
        <v>7787</v>
      </c>
      <c r="D990" s="194">
        <v>0</v>
      </c>
      <c r="E990" s="194">
        <v>505.55</v>
      </c>
      <c r="F990" s="195">
        <f t="shared" si="20"/>
        <v>505.55</v>
      </c>
      <c r="G990" s="195">
        <v>461.4</v>
      </c>
      <c r="H990" s="196">
        <v>406.73</v>
      </c>
      <c r="I990" s="188"/>
    </row>
    <row r="991" spans="1:9" ht="15" x14ac:dyDescent="0.2">
      <c r="A991" s="193" t="s">
        <v>4618</v>
      </c>
      <c r="B991" s="193" t="s">
        <v>4620</v>
      </c>
      <c r="C991" s="193" t="s">
        <v>1160</v>
      </c>
      <c r="D991" s="194">
        <v>178</v>
      </c>
      <c r="E991" s="194">
        <v>434.39</v>
      </c>
      <c r="F991" s="195">
        <f t="shared" si="20"/>
        <v>612.39</v>
      </c>
      <c r="G991" s="195">
        <v>821.29</v>
      </c>
      <c r="H991" s="196">
        <v>630.63</v>
      </c>
      <c r="I991" s="188"/>
    </row>
    <row r="992" spans="1:9" ht="30" x14ac:dyDescent="0.2">
      <c r="A992" s="193" t="s">
        <v>4621</v>
      </c>
      <c r="B992" s="193" t="s">
        <v>7788</v>
      </c>
      <c r="C992" s="193" t="s">
        <v>7789</v>
      </c>
      <c r="D992" s="194">
        <v>0</v>
      </c>
      <c r="E992" s="194"/>
      <c r="F992" s="195">
        <f t="shared" ref="F992:F1019" si="21">D992+E992</f>
        <v>0</v>
      </c>
      <c r="G992" s="195">
        <v>0</v>
      </c>
      <c r="H992" s="196">
        <v>806.57</v>
      </c>
      <c r="I992" s="188"/>
    </row>
    <row r="993" spans="1:9" ht="15" x14ac:dyDescent="0.2">
      <c r="A993" s="193" t="s">
        <v>4628</v>
      </c>
      <c r="B993" s="193" t="s">
        <v>4680</v>
      </c>
      <c r="C993" s="193" t="s">
        <v>1376</v>
      </c>
      <c r="D993" s="194">
        <v>230</v>
      </c>
      <c r="E993" s="194">
        <v>154.02000000000001</v>
      </c>
      <c r="F993" s="195">
        <f t="shared" si="21"/>
        <v>384.02</v>
      </c>
      <c r="G993" s="195">
        <v>276.57</v>
      </c>
      <c r="H993" s="196">
        <v>643.72</v>
      </c>
      <c r="I993" s="188"/>
    </row>
    <row r="994" spans="1:9" ht="15" x14ac:dyDescent="0.2">
      <c r="A994" s="193" t="s">
        <v>4632</v>
      </c>
      <c r="B994" s="193" t="s">
        <v>7790</v>
      </c>
      <c r="C994" s="193" t="s">
        <v>3719</v>
      </c>
      <c r="D994" s="194">
        <v>0</v>
      </c>
      <c r="E994" s="194">
        <v>293.73</v>
      </c>
      <c r="F994" s="195">
        <f t="shared" si="21"/>
        <v>293.73</v>
      </c>
      <c r="G994" s="195">
        <v>293.08999999999997</v>
      </c>
      <c r="H994" s="196">
        <v>124.04</v>
      </c>
      <c r="I994" s="188"/>
    </row>
    <row r="995" spans="1:9" ht="15" x14ac:dyDescent="0.2">
      <c r="A995" s="193" t="s">
        <v>4635</v>
      </c>
      <c r="B995" s="193" t="s">
        <v>4637</v>
      </c>
      <c r="C995" s="193" t="s">
        <v>1160</v>
      </c>
      <c r="D995" s="194">
        <v>250</v>
      </c>
      <c r="E995" s="194">
        <v>503.21</v>
      </c>
      <c r="F995" s="195">
        <f t="shared" si="21"/>
        <v>753.21</v>
      </c>
      <c r="G995" s="195">
        <v>667.07999999999993</v>
      </c>
      <c r="H995" s="196">
        <v>672.81000000000006</v>
      </c>
      <c r="I995" s="188"/>
    </row>
    <row r="996" spans="1:9" ht="15" x14ac:dyDescent="0.2">
      <c r="A996" s="193" t="s">
        <v>4638</v>
      </c>
      <c r="B996" s="193" t="s">
        <v>7791</v>
      </c>
      <c r="C996" s="193" t="s">
        <v>4640</v>
      </c>
      <c r="D996" s="194">
        <v>290.2</v>
      </c>
      <c r="E996" s="194">
        <v>0</v>
      </c>
      <c r="F996" s="195">
        <f t="shared" si="21"/>
        <v>290.2</v>
      </c>
      <c r="G996" s="195">
        <v>200</v>
      </c>
      <c r="H996" s="196">
        <v>455</v>
      </c>
      <c r="I996" s="188"/>
    </row>
    <row r="997" spans="1:9" ht="30" x14ac:dyDescent="0.2">
      <c r="A997" s="193" t="s">
        <v>4642</v>
      </c>
      <c r="B997" s="193" t="s">
        <v>7792</v>
      </c>
      <c r="C997" s="193" t="s">
        <v>6819</v>
      </c>
      <c r="D997" s="194">
        <v>0</v>
      </c>
      <c r="E997" s="194">
        <v>0</v>
      </c>
      <c r="F997" s="195">
        <f t="shared" si="21"/>
        <v>0</v>
      </c>
      <c r="G997" s="195">
        <v>0</v>
      </c>
      <c r="H997" s="196">
        <v>85</v>
      </c>
      <c r="I997" s="188"/>
    </row>
    <row r="998" spans="1:9" ht="15" x14ac:dyDescent="0.2">
      <c r="A998" s="193" t="s">
        <v>4646</v>
      </c>
      <c r="B998" s="193" t="s">
        <v>4649</v>
      </c>
      <c r="C998" s="193" t="s">
        <v>4648</v>
      </c>
      <c r="D998" s="194">
        <v>330</v>
      </c>
      <c r="E998" s="194">
        <v>413.17</v>
      </c>
      <c r="F998" s="195">
        <f t="shared" si="21"/>
        <v>743.17000000000007</v>
      </c>
      <c r="G998" s="195">
        <v>894.16</v>
      </c>
      <c r="H998" s="196">
        <v>1067.43</v>
      </c>
      <c r="I998" s="188"/>
    </row>
    <row r="999" spans="1:9" ht="15" x14ac:dyDescent="0.2">
      <c r="A999" s="193" t="s">
        <v>4651</v>
      </c>
      <c r="B999" s="193" t="s">
        <v>4654</v>
      </c>
      <c r="C999" s="193" t="s">
        <v>7793</v>
      </c>
      <c r="D999" s="194">
        <v>30</v>
      </c>
      <c r="E999" s="194">
        <v>1037.3900000000001</v>
      </c>
      <c r="F999" s="195">
        <f t="shared" si="21"/>
        <v>1067.3900000000001</v>
      </c>
      <c r="G999" s="195">
        <v>1142.6400000000001</v>
      </c>
      <c r="H999" s="196">
        <v>1170.53</v>
      </c>
      <c r="I999" s="188"/>
    </row>
    <row r="1000" spans="1:9" ht="15" x14ac:dyDescent="0.2">
      <c r="A1000" s="193" t="s">
        <v>4656</v>
      </c>
      <c r="B1000" s="193" t="s">
        <v>4547</v>
      </c>
      <c r="C1000" s="193" t="s">
        <v>7794</v>
      </c>
      <c r="D1000" s="194">
        <v>690</v>
      </c>
      <c r="E1000" s="194">
        <v>988.69</v>
      </c>
      <c r="F1000" s="195">
        <f t="shared" si="21"/>
        <v>1678.69</v>
      </c>
      <c r="G1000" s="195">
        <v>1803.42</v>
      </c>
      <c r="H1000" s="196">
        <v>2079.54</v>
      </c>
      <c r="I1000" s="188"/>
    </row>
    <row r="1001" spans="1:9" ht="15" x14ac:dyDescent="0.2">
      <c r="A1001" s="193" t="s">
        <v>4659</v>
      </c>
      <c r="B1001" s="193" t="s">
        <v>4661</v>
      </c>
      <c r="C1001" s="193" t="s">
        <v>127</v>
      </c>
      <c r="D1001" s="194">
        <v>412.32</v>
      </c>
      <c r="E1001" s="194">
        <v>433.65</v>
      </c>
      <c r="F1001" s="195">
        <f t="shared" si="21"/>
        <v>845.97</v>
      </c>
      <c r="G1001" s="195">
        <v>693.65</v>
      </c>
      <c r="H1001" s="196">
        <v>906.1</v>
      </c>
      <c r="I1001" s="188"/>
    </row>
    <row r="1002" spans="1:9" ht="15" x14ac:dyDescent="0.2">
      <c r="A1002" s="193" t="s">
        <v>4662</v>
      </c>
      <c r="B1002" s="193" t="s">
        <v>7795</v>
      </c>
      <c r="C1002" s="193" t="s">
        <v>2674</v>
      </c>
      <c r="D1002" s="194">
        <v>0</v>
      </c>
      <c r="E1002" s="194">
        <v>212</v>
      </c>
      <c r="F1002" s="195">
        <f t="shared" si="21"/>
        <v>212</v>
      </c>
      <c r="G1002" s="195">
        <v>410.29</v>
      </c>
      <c r="H1002" s="196">
        <v>287.34000000000003</v>
      </c>
      <c r="I1002" s="188"/>
    </row>
    <row r="1003" spans="1:9" ht="15" x14ac:dyDescent="0.2">
      <c r="A1003" s="193" t="s">
        <v>7796</v>
      </c>
      <c r="B1003" s="193" t="s">
        <v>4645</v>
      </c>
      <c r="C1003" s="193" t="s">
        <v>7797</v>
      </c>
      <c r="D1003" s="194">
        <v>145</v>
      </c>
      <c r="E1003" s="194">
        <v>479.9</v>
      </c>
      <c r="F1003" s="195">
        <f t="shared" si="21"/>
        <v>624.9</v>
      </c>
      <c r="G1003" s="195">
        <v>385.62</v>
      </c>
      <c r="H1003" s="196">
        <v>507.84000000000003</v>
      </c>
      <c r="I1003" s="188"/>
    </row>
    <row r="1004" spans="1:9" ht="15" x14ac:dyDescent="0.2">
      <c r="A1004" s="193" t="s">
        <v>4668</v>
      </c>
      <c r="B1004" s="193" t="s">
        <v>4671</v>
      </c>
      <c r="C1004" s="193" t="s">
        <v>4670</v>
      </c>
      <c r="D1004" s="194">
        <v>180</v>
      </c>
      <c r="E1004" s="194">
        <v>0</v>
      </c>
      <c r="F1004" s="195">
        <f t="shared" si="21"/>
        <v>180</v>
      </c>
      <c r="G1004" s="195">
        <v>424.59</v>
      </c>
      <c r="H1004" s="196">
        <v>378.83</v>
      </c>
      <c r="I1004" s="188"/>
    </row>
    <row r="1005" spans="1:9" ht="15" x14ac:dyDescent="0.2">
      <c r="A1005" s="193" t="s">
        <v>7798</v>
      </c>
      <c r="B1005" s="193" t="s">
        <v>7799</v>
      </c>
      <c r="C1005" s="193" t="s">
        <v>7800</v>
      </c>
      <c r="D1005" s="194">
        <v>120</v>
      </c>
      <c r="E1005" s="194">
        <v>452.4</v>
      </c>
      <c r="F1005" s="195">
        <f t="shared" si="21"/>
        <v>572.4</v>
      </c>
      <c r="G1005" s="195">
        <v>634.73</v>
      </c>
      <c r="H1005" s="196">
        <v>788.75</v>
      </c>
      <c r="I1005" s="188"/>
    </row>
    <row r="1006" spans="1:9" ht="15" x14ac:dyDescent="0.2">
      <c r="A1006" s="193" t="s">
        <v>4675</v>
      </c>
      <c r="B1006" s="193" t="s">
        <v>4484</v>
      </c>
      <c r="C1006" s="193" t="s">
        <v>1349</v>
      </c>
      <c r="D1006" s="194">
        <v>89</v>
      </c>
      <c r="E1006" s="194">
        <v>526.41999999999996</v>
      </c>
      <c r="F1006" s="195">
        <f t="shared" si="21"/>
        <v>615.41999999999996</v>
      </c>
      <c r="G1006" s="195">
        <v>652.02</v>
      </c>
      <c r="H1006" s="196">
        <v>626.06000000000006</v>
      </c>
      <c r="I1006" s="188"/>
    </row>
    <row r="1007" spans="1:9" ht="15" x14ac:dyDescent="0.2">
      <c r="A1007" s="193" t="s">
        <v>4677</v>
      </c>
      <c r="B1007" s="193" t="s">
        <v>7801</v>
      </c>
      <c r="C1007" s="193" t="s">
        <v>7802</v>
      </c>
      <c r="D1007" s="194">
        <v>0</v>
      </c>
      <c r="E1007" s="194">
        <v>61.65</v>
      </c>
      <c r="F1007" s="195">
        <f t="shared" si="21"/>
        <v>61.65</v>
      </c>
      <c r="G1007" s="195">
        <v>115.08</v>
      </c>
      <c r="H1007" s="196">
        <v>200.88</v>
      </c>
      <c r="I1007" s="188"/>
    </row>
    <row r="1008" spans="1:9" ht="15" x14ac:dyDescent="0.2">
      <c r="A1008" s="193" t="s">
        <v>4681</v>
      </c>
      <c r="B1008" s="193" t="s">
        <v>4684</v>
      </c>
      <c r="C1008" s="193" t="s">
        <v>7511</v>
      </c>
      <c r="D1008" s="194">
        <v>17.5</v>
      </c>
      <c r="E1008" s="194">
        <v>1975.81</v>
      </c>
      <c r="F1008" s="195">
        <f t="shared" si="21"/>
        <v>1993.31</v>
      </c>
      <c r="G1008" s="195">
        <v>1845.78</v>
      </c>
      <c r="H1008" s="196">
        <v>2042.17</v>
      </c>
      <c r="I1008" s="188"/>
    </row>
    <row r="1009" spans="1:9" ht="15" x14ac:dyDescent="0.2">
      <c r="A1009" s="193" t="s">
        <v>4685</v>
      </c>
      <c r="B1009" s="193" t="s">
        <v>4684</v>
      </c>
      <c r="C1009" s="193" t="s">
        <v>4687</v>
      </c>
      <c r="D1009" s="194">
        <v>170</v>
      </c>
      <c r="E1009" s="194">
        <v>815.5</v>
      </c>
      <c r="F1009" s="195">
        <f t="shared" si="21"/>
        <v>985.5</v>
      </c>
      <c r="G1009" s="195">
        <v>1172.19</v>
      </c>
      <c r="H1009" s="196">
        <v>1297.47</v>
      </c>
      <c r="I1009" s="188"/>
    </row>
    <row r="1010" spans="1:9" ht="15" x14ac:dyDescent="0.2">
      <c r="A1010" s="193" t="s">
        <v>4688</v>
      </c>
      <c r="B1010" s="193" t="s">
        <v>4684</v>
      </c>
      <c r="C1010" s="193" t="s">
        <v>5206</v>
      </c>
      <c r="D1010" s="194">
        <v>85</v>
      </c>
      <c r="E1010" s="194">
        <v>0</v>
      </c>
      <c r="F1010" s="195">
        <f t="shared" si="21"/>
        <v>85</v>
      </c>
      <c r="G1010" s="195">
        <v>487.19</v>
      </c>
      <c r="H1010" s="196">
        <v>453.84000000000003</v>
      </c>
      <c r="I1010" s="188"/>
    </row>
    <row r="1011" spans="1:9" ht="15" x14ac:dyDescent="0.2">
      <c r="A1011" s="193" t="s">
        <v>4691</v>
      </c>
      <c r="B1011" s="193" t="s">
        <v>4694</v>
      </c>
      <c r="C1011" s="193" t="s">
        <v>4693</v>
      </c>
      <c r="D1011" s="194">
        <v>116</v>
      </c>
      <c r="E1011" s="194">
        <v>282.43</v>
      </c>
      <c r="F1011" s="195">
        <f t="shared" si="21"/>
        <v>398.43</v>
      </c>
      <c r="G1011" s="195">
        <v>690.23</v>
      </c>
      <c r="H1011" s="196">
        <v>702.66</v>
      </c>
      <c r="I1011" s="188"/>
    </row>
    <row r="1012" spans="1:9" ht="15" x14ac:dyDescent="0.2">
      <c r="A1012" s="193" t="s">
        <v>4695</v>
      </c>
      <c r="B1012" s="193" t="s">
        <v>4627</v>
      </c>
      <c r="C1012" s="193" t="s">
        <v>4697</v>
      </c>
      <c r="D1012" s="194">
        <v>225</v>
      </c>
      <c r="E1012" s="194">
        <v>0</v>
      </c>
      <c r="F1012" s="195">
        <f t="shared" si="21"/>
        <v>225</v>
      </c>
      <c r="G1012" s="195">
        <v>185</v>
      </c>
      <c r="H1012" s="196">
        <v>656</v>
      </c>
      <c r="I1012" s="188"/>
    </row>
    <row r="1013" spans="1:9" ht="15" x14ac:dyDescent="0.2">
      <c r="A1013" s="193" t="s">
        <v>4699</v>
      </c>
      <c r="B1013" s="193" t="s">
        <v>7803</v>
      </c>
      <c r="C1013" s="193" t="s">
        <v>7804</v>
      </c>
      <c r="D1013" s="194">
        <v>250</v>
      </c>
      <c r="E1013" s="194">
        <v>1319.26</v>
      </c>
      <c r="F1013" s="195">
        <f t="shared" si="21"/>
        <v>1569.26</v>
      </c>
      <c r="G1013" s="195">
        <v>1417.97</v>
      </c>
      <c r="H1013" s="196">
        <v>1426.57</v>
      </c>
      <c r="I1013" s="188"/>
    </row>
    <row r="1014" spans="1:9" ht="15" x14ac:dyDescent="0.2">
      <c r="A1014" s="193" t="s">
        <v>4702</v>
      </c>
      <c r="B1014" s="193" t="s">
        <v>7805</v>
      </c>
      <c r="C1014" s="193" t="s">
        <v>7660</v>
      </c>
      <c r="D1014" s="194">
        <v>160</v>
      </c>
      <c r="E1014" s="194">
        <v>1016.46</v>
      </c>
      <c r="F1014" s="195">
        <f t="shared" si="21"/>
        <v>1176.46</v>
      </c>
      <c r="G1014" s="195">
        <v>1177.19</v>
      </c>
      <c r="H1014" s="196">
        <v>1229.07</v>
      </c>
      <c r="I1014" s="188"/>
    </row>
    <row r="1015" spans="1:9" ht="15" x14ac:dyDescent="0.2">
      <c r="A1015" s="193" t="s">
        <v>4708</v>
      </c>
      <c r="B1015" s="193" t="s">
        <v>7806</v>
      </c>
      <c r="C1015" s="193" t="s">
        <v>119</v>
      </c>
      <c r="D1015" s="194">
        <v>345</v>
      </c>
      <c r="E1015" s="194">
        <v>2594.23</v>
      </c>
      <c r="F1015" s="195">
        <f t="shared" si="21"/>
        <v>2939.23</v>
      </c>
      <c r="G1015" s="195">
        <v>3196.11</v>
      </c>
      <c r="H1015" s="196">
        <v>3847.58</v>
      </c>
      <c r="I1015" s="188"/>
    </row>
    <row r="1016" spans="1:9" ht="15" x14ac:dyDescent="0.2">
      <c r="A1016" s="193" t="s">
        <v>4711</v>
      </c>
      <c r="B1016" s="193" t="s">
        <v>4713</v>
      </c>
      <c r="C1016" s="193" t="s">
        <v>7228</v>
      </c>
      <c r="D1016" s="194">
        <v>793</v>
      </c>
      <c r="E1016" s="194">
        <v>1392.92</v>
      </c>
      <c r="F1016" s="195">
        <f t="shared" si="21"/>
        <v>2185.92</v>
      </c>
      <c r="G1016" s="195">
        <v>2518.8000000000002</v>
      </c>
      <c r="H1016" s="196">
        <v>3087.01</v>
      </c>
      <c r="I1016" s="188"/>
    </row>
    <row r="1017" spans="1:9" ht="15" x14ac:dyDescent="0.2">
      <c r="A1017" s="193" t="s">
        <v>4714</v>
      </c>
      <c r="B1017" s="193" t="s">
        <v>4716</v>
      </c>
      <c r="C1017" s="193" t="s">
        <v>1349</v>
      </c>
      <c r="D1017" s="194">
        <v>10</v>
      </c>
      <c r="E1017" s="194">
        <v>186.01</v>
      </c>
      <c r="F1017" s="195">
        <f t="shared" si="21"/>
        <v>196.01</v>
      </c>
      <c r="G1017" s="195">
        <v>178.46</v>
      </c>
      <c r="H1017" s="196">
        <v>211.54</v>
      </c>
      <c r="I1017" s="188"/>
    </row>
    <row r="1018" spans="1:9" ht="15" x14ac:dyDescent="0.2">
      <c r="A1018" s="193" t="s">
        <v>4717</v>
      </c>
      <c r="B1018" s="193" t="s">
        <v>7807</v>
      </c>
      <c r="C1018" s="193" t="s">
        <v>7261</v>
      </c>
      <c r="D1018" s="194">
        <v>165</v>
      </c>
      <c r="E1018" s="194">
        <v>189.98</v>
      </c>
      <c r="F1018" s="195">
        <f t="shared" si="21"/>
        <v>354.98</v>
      </c>
      <c r="G1018" s="195">
        <v>403.03</v>
      </c>
      <c r="H1018" s="196">
        <v>86.4</v>
      </c>
      <c r="I1018" s="188"/>
    </row>
    <row r="1019" spans="1:9" ht="15.75" x14ac:dyDescent="0.2">
      <c r="A1019" s="198" t="s">
        <v>7463</v>
      </c>
      <c r="B1019" s="198"/>
      <c r="C1019" s="198"/>
      <c r="D1019" s="199">
        <f>SUM(D927:D1018)</f>
        <v>22931.58</v>
      </c>
      <c r="E1019" s="200">
        <f>SUM(E927:E1018)</f>
        <v>55127.950000000019</v>
      </c>
      <c r="F1019" s="199">
        <f t="shared" si="21"/>
        <v>78059.530000000028</v>
      </c>
      <c r="G1019" s="199">
        <v>85408.61</v>
      </c>
      <c r="H1019" s="201">
        <v>104617.43000000001</v>
      </c>
      <c r="I1019" s="188"/>
    </row>
    <row r="1020" spans="1:9" s="62" customFormat="1" x14ac:dyDescent="0.2">
      <c r="A1020" s="60" t="s">
        <v>7262</v>
      </c>
      <c r="B1020" s="60"/>
      <c r="C1020" s="60"/>
      <c r="D1020" s="60"/>
      <c r="E1020" s="60"/>
      <c r="F1020" s="61"/>
      <c r="G1020" s="61"/>
      <c r="H1020" s="60"/>
    </row>
    <row r="1021" spans="1:9" ht="20.25" x14ac:dyDescent="0.2">
      <c r="A1021" s="259" t="s">
        <v>0</v>
      </c>
      <c r="B1021" s="259"/>
      <c r="C1021" s="259"/>
      <c r="D1021" s="259"/>
      <c r="E1021" s="259"/>
      <c r="F1021" s="259"/>
      <c r="G1021" s="259"/>
      <c r="H1021" s="1"/>
    </row>
    <row r="1022" spans="1:9" ht="15.75" x14ac:dyDescent="0.2">
      <c r="A1022" s="2" t="s">
        <v>1</v>
      </c>
      <c r="B1022" s="2" t="s">
        <v>2</v>
      </c>
      <c r="C1022" s="2" t="s">
        <v>3</v>
      </c>
      <c r="D1022" s="3" t="s">
        <v>4</v>
      </c>
      <c r="E1022" s="3" t="s">
        <v>5</v>
      </c>
      <c r="F1022" s="4">
        <v>2018</v>
      </c>
      <c r="G1022" s="4">
        <v>2017</v>
      </c>
      <c r="H1022" s="5" t="s">
        <v>6</v>
      </c>
    </row>
    <row r="1023" spans="1:9" ht="15" x14ac:dyDescent="0.2">
      <c r="A1023" s="6" t="s">
        <v>7</v>
      </c>
      <c r="B1023" s="6" t="s">
        <v>8</v>
      </c>
      <c r="C1023" s="6" t="s">
        <v>9</v>
      </c>
      <c r="D1023" s="7">
        <v>250</v>
      </c>
      <c r="E1023" s="7">
        <v>1141.8900000000001</v>
      </c>
      <c r="F1023" s="8">
        <f>(D1023+E1023)</f>
        <v>1391.89</v>
      </c>
      <c r="G1023" s="9">
        <v>1746</v>
      </c>
      <c r="H1023" s="10">
        <v>1792</v>
      </c>
    </row>
    <row r="1024" spans="1:9" ht="15" x14ac:dyDescent="0.2">
      <c r="A1024" s="6" t="s">
        <v>10</v>
      </c>
      <c r="B1024" s="6" t="s">
        <v>8</v>
      </c>
      <c r="C1024" s="6" t="s">
        <v>11</v>
      </c>
      <c r="D1024" s="7">
        <v>0</v>
      </c>
      <c r="E1024" s="7">
        <v>368.94</v>
      </c>
      <c r="F1024" s="8">
        <f t="shared" ref="F1024:F1087" si="22">(D1024+E1024)</f>
        <v>368.94</v>
      </c>
      <c r="G1024" s="9">
        <v>348.5</v>
      </c>
      <c r="H1024" s="10">
        <v>965.9</v>
      </c>
    </row>
    <row r="1025" spans="1:8" ht="15" x14ac:dyDescent="0.2">
      <c r="A1025" s="6" t="s">
        <v>12</v>
      </c>
      <c r="B1025" s="6" t="s">
        <v>8</v>
      </c>
      <c r="C1025" s="6" t="s">
        <v>13</v>
      </c>
      <c r="D1025" s="7">
        <v>250</v>
      </c>
      <c r="E1025" s="7">
        <v>965.77</v>
      </c>
      <c r="F1025" s="8">
        <f t="shared" si="22"/>
        <v>1215.77</v>
      </c>
      <c r="G1025" s="9">
        <v>1377</v>
      </c>
      <c r="H1025" s="10">
        <v>1477</v>
      </c>
    </row>
    <row r="1026" spans="1:8" ht="15" x14ac:dyDescent="0.2">
      <c r="A1026" s="6" t="s">
        <v>14</v>
      </c>
      <c r="B1026" s="6" t="s">
        <v>8</v>
      </c>
      <c r="C1026" s="6" t="s">
        <v>15</v>
      </c>
      <c r="D1026" s="7">
        <v>50</v>
      </c>
      <c r="E1026" s="7">
        <v>526.55999999999995</v>
      </c>
      <c r="F1026" s="8">
        <f t="shared" si="22"/>
        <v>576.55999999999995</v>
      </c>
      <c r="G1026" s="9">
        <v>835.94</v>
      </c>
      <c r="H1026" s="10">
        <v>1271.3500000000001</v>
      </c>
    </row>
    <row r="1027" spans="1:8" ht="15" x14ac:dyDescent="0.2">
      <c r="A1027" s="6" t="s">
        <v>16</v>
      </c>
      <c r="B1027" s="6" t="s">
        <v>8</v>
      </c>
      <c r="C1027" s="6" t="s">
        <v>17</v>
      </c>
      <c r="D1027" s="7">
        <v>305</v>
      </c>
      <c r="E1027" s="7">
        <v>673.86</v>
      </c>
      <c r="F1027" s="8">
        <f t="shared" si="22"/>
        <v>978.86</v>
      </c>
      <c r="G1027" s="9">
        <v>1350.99</v>
      </c>
      <c r="H1027" s="10">
        <v>984.21</v>
      </c>
    </row>
    <row r="1028" spans="1:8" ht="15" x14ac:dyDescent="0.2">
      <c r="A1028" s="6" t="s">
        <v>18</v>
      </c>
      <c r="B1028" s="6" t="s">
        <v>19</v>
      </c>
      <c r="C1028" s="6" t="s">
        <v>20</v>
      </c>
      <c r="D1028" s="7">
        <v>2995</v>
      </c>
      <c r="E1028" s="7">
        <v>1272.4100000000001</v>
      </c>
      <c r="F1028" s="8">
        <f t="shared" si="22"/>
        <v>4267.41</v>
      </c>
      <c r="G1028" s="9">
        <v>2006.28</v>
      </c>
      <c r="H1028" s="10">
        <v>2120.77</v>
      </c>
    </row>
    <row r="1029" spans="1:8" ht="15" x14ac:dyDescent="0.2">
      <c r="A1029" s="6" t="s">
        <v>21</v>
      </c>
      <c r="B1029" s="6" t="s">
        <v>22</v>
      </c>
      <c r="C1029" s="6" t="s">
        <v>23</v>
      </c>
      <c r="D1029" s="7">
        <v>341.42</v>
      </c>
      <c r="E1029" s="7">
        <v>0</v>
      </c>
      <c r="F1029" s="8">
        <f t="shared" si="22"/>
        <v>341.42</v>
      </c>
      <c r="G1029" s="9">
        <v>340</v>
      </c>
      <c r="H1029" s="10">
        <v>192.6</v>
      </c>
    </row>
    <row r="1030" spans="1:8" ht="15" x14ac:dyDescent="0.2">
      <c r="A1030" s="6" t="s">
        <v>24</v>
      </c>
      <c r="B1030" s="6" t="s">
        <v>25</v>
      </c>
      <c r="C1030" s="6" t="s">
        <v>15</v>
      </c>
      <c r="D1030" s="7">
        <v>1080</v>
      </c>
      <c r="E1030" s="7">
        <v>0</v>
      </c>
      <c r="F1030" s="8">
        <f t="shared" si="22"/>
        <v>1080</v>
      </c>
      <c r="G1030" s="9">
        <v>970</v>
      </c>
      <c r="H1030" s="10">
        <v>2180</v>
      </c>
    </row>
    <row r="1031" spans="1:8" ht="15" x14ac:dyDescent="0.2">
      <c r="A1031" s="6" t="s">
        <v>26</v>
      </c>
      <c r="B1031" s="6" t="s">
        <v>27</v>
      </c>
      <c r="C1031" s="6" t="s">
        <v>28</v>
      </c>
      <c r="D1031" s="7">
        <v>1232.06</v>
      </c>
      <c r="E1031" s="7">
        <v>0</v>
      </c>
      <c r="F1031" s="8">
        <f t="shared" si="22"/>
        <v>1232.06</v>
      </c>
      <c r="G1031" s="9">
        <v>1323</v>
      </c>
      <c r="H1031" s="10">
        <v>1269.7</v>
      </c>
    </row>
    <row r="1032" spans="1:8" ht="15" x14ac:dyDescent="0.2">
      <c r="A1032" s="6" t="s">
        <v>29</v>
      </c>
      <c r="B1032" s="6" t="s">
        <v>30</v>
      </c>
      <c r="C1032" s="6" t="s">
        <v>31</v>
      </c>
      <c r="D1032" s="7">
        <v>360</v>
      </c>
      <c r="E1032" s="7">
        <v>2421.64</v>
      </c>
      <c r="F1032" s="8">
        <f t="shared" si="22"/>
        <v>2781.64</v>
      </c>
      <c r="G1032" s="9">
        <v>2822.19</v>
      </c>
      <c r="H1032" s="10">
        <v>2789.03</v>
      </c>
    </row>
    <row r="1033" spans="1:8" ht="15" x14ac:dyDescent="0.2">
      <c r="A1033" s="6" t="s">
        <v>32</v>
      </c>
      <c r="B1033" s="6" t="s">
        <v>33</v>
      </c>
      <c r="C1033" s="6" t="s">
        <v>34</v>
      </c>
      <c r="D1033" s="7">
        <v>1600</v>
      </c>
      <c r="E1033" s="7">
        <v>4664.88</v>
      </c>
      <c r="F1033" s="8">
        <f t="shared" si="22"/>
        <v>6264.88</v>
      </c>
      <c r="G1033" s="9">
        <v>6503.32</v>
      </c>
      <c r="H1033" s="10">
        <v>6155.58</v>
      </c>
    </row>
    <row r="1034" spans="1:8" ht="15" x14ac:dyDescent="0.2">
      <c r="A1034" s="6" t="s">
        <v>35</v>
      </c>
      <c r="B1034" s="6" t="s">
        <v>36</v>
      </c>
      <c r="C1034" s="6" t="s">
        <v>37</v>
      </c>
      <c r="D1034" s="7">
        <v>140</v>
      </c>
      <c r="E1034" s="7">
        <v>582</v>
      </c>
      <c r="F1034" s="8">
        <f t="shared" si="22"/>
        <v>722</v>
      </c>
      <c r="G1034" s="9">
        <v>193</v>
      </c>
      <c r="H1034" s="10">
        <v>1168</v>
      </c>
    </row>
    <row r="1035" spans="1:8" ht="15" x14ac:dyDescent="0.2">
      <c r="A1035" s="6" t="s">
        <v>38</v>
      </c>
      <c r="B1035" s="6" t="s">
        <v>39</v>
      </c>
      <c r="C1035" s="6" t="s">
        <v>40</v>
      </c>
      <c r="D1035" s="7">
        <v>1505</v>
      </c>
      <c r="E1035" s="7">
        <v>1720.71</v>
      </c>
      <c r="F1035" s="8">
        <f t="shared" si="22"/>
        <v>3225.71</v>
      </c>
      <c r="G1035" s="9">
        <v>2972</v>
      </c>
      <c r="H1035" s="10">
        <v>1681.5</v>
      </c>
    </row>
    <row r="1036" spans="1:8" ht="15" x14ac:dyDescent="0.2">
      <c r="A1036" s="6" t="s">
        <v>41</v>
      </c>
      <c r="B1036" s="6" t="s">
        <v>39</v>
      </c>
      <c r="C1036" s="6" t="s">
        <v>15</v>
      </c>
      <c r="D1036" s="7">
        <v>1170</v>
      </c>
      <c r="E1036" s="7">
        <v>2087.13</v>
      </c>
      <c r="F1036" s="8">
        <f t="shared" si="22"/>
        <v>3257.13</v>
      </c>
      <c r="G1036" s="9">
        <v>2580.4300000000003</v>
      </c>
      <c r="H1036" s="10">
        <v>2739.08</v>
      </c>
    </row>
    <row r="1037" spans="1:8" ht="15" x14ac:dyDescent="0.2">
      <c r="A1037" s="6" t="s">
        <v>42</v>
      </c>
      <c r="B1037" s="6" t="s">
        <v>43</v>
      </c>
      <c r="C1037" s="6" t="s">
        <v>44</v>
      </c>
      <c r="D1037" s="7">
        <v>195</v>
      </c>
      <c r="E1037" s="7">
        <v>859.41</v>
      </c>
      <c r="F1037" s="8">
        <f t="shared" si="22"/>
        <v>1054.4099999999999</v>
      </c>
      <c r="G1037" s="9">
        <v>1152.97</v>
      </c>
      <c r="H1037" s="10">
        <v>1116.4099999999999</v>
      </c>
    </row>
    <row r="1038" spans="1:8" ht="15" x14ac:dyDescent="0.2">
      <c r="A1038" s="6" t="s">
        <v>45</v>
      </c>
      <c r="B1038" s="6" t="s">
        <v>46</v>
      </c>
      <c r="C1038" s="6" t="s">
        <v>47</v>
      </c>
      <c r="D1038" s="7">
        <v>105</v>
      </c>
      <c r="E1038" s="7">
        <v>435.56</v>
      </c>
      <c r="F1038" s="8">
        <f t="shared" si="22"/>
        <v>540.55999999999995</v>
      </c>
      <c r="G1038" s="9">
        <v>613.61</v>
      </c>
      <c r="H1038" s="10">
        <v>465.59000000000003</v>
      </c>
    </row>
    <row r="1039" spans="1:8" ht="15" x14ac:dyDescent="0.2">
      <c r="A1039" s="6" t="s">
        <v>48</v>
      </c>
      <c r="B1039" s="6" t="s">
        <v>49</v>
      </c>
      <c r="C1039" s="6" t="s">
        <v>47</v>
      </c>
      <c r="D1039" s="7">
        <v>413</v>
      </c>
      <c r="E1039" s="7">
        <v>0</v>
      </c>
      <c r="F1039" s="8">
        <f t="shared" si="22"/>
        <v>413</v>
      </c>
      <c r="G1039" s="9">
        <v>752</v>
      </c>
      <c r="H1039" s="10">
        <v>633.98</v>
      </c>
    </row>
    <row r="1040" spans="1:8" ht="15" x14ac:dyDescent="0.2">
      <c r="A1040" s="6" t="s">
        <v>50</v>
      </c>
      <c r="B1040" s="6" t="s">
        <v>49</v>
      </c>
      <c r="C1040" s="6" t="s">
        <v>11</v>
      </c>
      <c r="D1040" s="7">
        <v>717</v>
      </c>
      <c r="E1040" s="7">
        <v>646</v>
      </c>
      <c r="F1040" s="8">
        <f t="shared" si="22"/>
        <v>1363</v>
      </c>
      <c r="G1040" s="9">
        <v>1400.5</v>
      </c>
      <c r="H1040" s="10">
        <v>1869</v>
      </c>
    </row>
    <row r="1041" spans="1:8" ht="15" x14ac:dyDescent="0.2">
      <c r="A1041" s="6" t="s">
        <v>51</v>
      </c>
      <c r="B1041" s="6" t="s">
        <v>49</v>
      </c>
      <c r="C1041" s="6" t="s">
        <v>52</v>
      </c>
      <c r="D1041" s="7">
        <v>610</v>
      </c>
      <c r="E1041" s="7">
        <v>395.5</v>
      </c>
      <c r="F1041" s="8">
        <f t="shared" si="22"/>
        <v>1005.5</v>
      </c>
      <c r="G1041" s="9">
        <v>535.96</v>
      </c>
      <c r="H1041" s="10">
        <v>758.79</v>
      </c>
    </row>
    <row r="1042" spans="1:8" ht="15" x14ac:dyDescent="0.2">
      <c r="A1042" s="6" t="s">
        <v>53</v>
      </c>
      <c r="B1042" s="6" t="s">
        <v>49</v>
      </c>
      <c r="C1042" s="6" t="s">
        <v>54</v>
      </c>
      <c r="D1042" s="7">
        <v>287.05</v>
      </c>
      <c r="E1042" s="7">
        <v>893.44</v>
      </c>
      <c r="F1042" s="8">
        <f t="shared" si="22"/>
        <v>1180.49</v>
      </c>
      <c r="G1042" s="9">
        <v>1285.73</v>
      </c>
      <c r="H1042" s="10">
        <v>898.12</v>
      </c>
    </row>
    <row r="1043" spans="1:8" ht="15" x14ac:dyDescent="0.2">
      <c r="A1043" s="6" t="s">
        <v>55</v>
      </c>
      <c r="B1043" s="6" t="s">
        <v>49</v>
      </c>
      <c r="C1043" s="6" t="s">
        <v>56</v>
      </c>
      <c r="D1043" s="7">
        <v>553.37</v>
      </c>
      <c r="E1043" s="7">
        <v>0</v>
      </c>
      <c r="F1043" s="8">
        <f t="shared" si="22"/>
        <v>553.37</v>
      </c>
      <c r="G1043" s="9">
        <v>664</v>
      </c>
      <c r="H1043" s="10">
        <v>783.52</v>
      </c>
    </row>
    <row r="1044" spans="1:8" ht="15" x14ac:dyDescent="0.2">
      <c r="A1044" s="6" t="s">
        <v>57</v>
      </c>
      <c r="B1044" s="6" t="s">
        <v>49</v>
      </c>
      <c r="C1044" s="6" t="s">
        <v>58</v>
      </c>
      <c r="D1044" s="11">
        <v>20</v>
      </c>
      <c r="E1044" s="11">
        <v>808.27</v>
      </c>
      <c r="F1044" s="8">
        <f t="shared" si="22"/>
        <v>828.27</v>
      </c>
      <c r="G1044" s="9">
        <v>757.46</v>
      </c>
      <c r="H1044" s="10">
        <v>1168.08</v>
      </c>
    </row>
    <row r="1045" spans="1:8" ht="15" x14ac:dyDescent="0.2">
      <c r="A1045" s="6" t="s">
        <v>59</v>
      </c>
      <c r="B1045" s="6" t="s">
        <v>60</v>
      </c>
      <c r="C1045" s="6" t="s">
        <v>61</v>
      </c>
      <c r="D1045" s="11">
        <v>305</v>
      </c>
      <c r="E1045" s="11">
        <v>19.04</v>
      </c>
      <c r="F1045" s="8">
        <f t="shared" si="22"/>
        <v>324.04000000000002</v>
      </c>
      <c r="G1045" s="9">
        <v>619.04999999999995</v>
      </c>
      <c r="H1045" s="10">
        <v>598.62</v>
      </c>
    </row>
    <row r="1046" spans="1:8" ht="15" x14ac:dyDescent="0.2">
      <c r="A1046" s="6" t="s">
        <v>62</v>
      </c>
      <c r="B1046" s="6" t="s">
        <v>60</v>
      </c>
      <c r="C1046" s="6" t="s">
        <v>63</v>
      </c>
      <c r="D1046" s="11">
        <v>50</v>
      </c>
      <c r="E1046" s="11">
        <v>0</v>
      </c>
      <c r="F1046" s="8">
        <f t="shared" si="22"/>
        <v>50</v>
      </c>
      <c r="G1046" s="9">
        <v>65</v>
      </c>
      <c r="H1046" s="10">
        <v>75</v>
      </c>
    </row>
    <row r="1047" spans="1:8" ht="15" x14ac:dyDescent="0.2">
      <c r="A1047" s="6" t="s">
        <v>64</v>
      </c>
      <c r="B1047" s="6" t="s">
        <v>65</v>
      </c>
      <c r="C1047" s="6" t="s">
        <v>66</v>
      </c>
      <c r="D1047" s="11">
        <v>120</v>
      </c>
      <c r="E1047" s="11">
        <v>311</v>
      </c>
      <c r="F1047" s="8">
        <f t="shared" si="22"/>
        <v>431</v>
      </c>
      <c r="G1047" s="9">
        <v>604.97</v>
      </c>
      <c r="H1047" s="10">
        <v>651.75</v>
      </c>
    </row>
    <row r="1048" spans="1:8" ht="15" x14ac:dyDescent="0.2">
      <c r="A1048" s="6" t="s">
        <v>67</v>
      </c>
      <c r="B1048" s="6" t="s">
        <v>68</v>
      </c>
      <c r="C1048" s="6" t="s">
        <v>69</v>
      </c>
      <c r="D1048" s="11">
        <v>15</v>
      </c>
      <c r="E1048" s="11">
        <v>210.64</v>
      </c>
      <c r="F1048" s="8">
        <f t="shared" si="22"/>
        <v>225.64</v>
      </c>
      <c r="G1048" s="9">
        <v>268.51</v>
      </c>
      <c r="H1048" s="10">
        <v>413.84000000000003</v>
      </c>
    </row>
    <row r="1049" spans="1:8" ht="15" x14ac:dyDescent="0.2">
      <c r="A1049" s="6" t="s">
        <v>70</v>
      </c>
      <c r="B1049" s="6" t="s">
        <v>71</v>
      </c>
      <c r="C1049" s="6" t="s">
        <v>72</v>
      </c>
      <c r="D1049" s="11">
        <v>375</v>
      </c>
      <c r="E1049" s="11">
        <v>1792.73</v>
      </c>
      <c r="F1049" s="8">
        <f t="shared" si="22"/>
        <v>2167.73</v>
      </c>
      <c r="G1049" s="9">
        <v>2057.66</v>
      </c>
      <c r="H1049" s="10">
        <v>2393.84</v>
      </c>
    </row>
    <row r="1050" spans="1:8" ht="15" x14ac:dyDescent="0.2">
      <c r="A1050" s="6" t="s">
        <v>73</v>
      </c>
      <c r="B1050" s="6" t="s">
        <v>74</v>
      </c>
      <c r="C1050" s="6" t="s">
        <v>75</v>
      </c>
      <c r="D1050" s="11">
        <v>719</v>
      </c>
      <c r="E1050" s="11">
        <v>0</v>
      </c>
      <c r="F1050" s="8">
        <f t="shared" si="22"/>
        <v>719</v>
      </c>
      <c r="G1050" s="9">
        <v>604</v>
      </c>
      <c r="H1050" s="10">
        <v>540</v>
      </c>
    </row>
    <row r="1051" spans="1:8" ht="15" x14ac:dyDescent="0.2">
      <c r="A1051" s="6" t="s">
        <v>76</v>
      </c>
      <c r="B1051" s="6" t="s">
        <v>77</v>
      </c>
      <c r="C1051" s="6" t="s">
        <v>78</v>
      </c>
      <c r="D1051" s="11">
        <v>75</v>
      </c>
      <c r="E1051" s="11">
        <v>746.27</v>
      </c>
      <c r="F1051" s="8">
        <f t="shared" si="22"/>
        <v>821.27</v>
      </c>
      <c r="G1051" s="9">
        <v>546.9</v>
      </c>
      <c r="H1051" s="10">
        <v>748.43000000000006</v>
      </c>
    </row>
    <row r="1052" spans="1:8" ht="15" x14ac:dyDescent="0.2">
      <c r="A1052" s="6" t="s">
        <v>79</v>
      </c>
      <c r="B1052" s="6" t="s">
        <v>80</v>
      </c>
      <c r="C1052" s="6" t="s">
        <v>40</v>
      </c>
      <c r="D1052" s="11">
        <f>417+45.03</f>
        <v>462.03</v>
      </c>
      <c r="E1052" s="11">
        <v>405</v>
      </c>
      <c r="F1052" s="8">
        <f t="shared" si="22"/>
        <v>867.03</v>
      </c>
      <c r="G1052" s="9">
        <v>768.14</v>
      </c>
      <c r="H1052" s="10">
        <v>739.7</v>
      </c>
    </row>
    <row r="1053" spans="1:8" ht="15" x14ac:dyDescent="0.2">
      <c r="A1053" s="6" t="s">
        <v>81</v>
      </c>
      <c r="B1053" s="6" t="s">
        <v>82</v>
      </c>
      <c r="C1053" s="6" t="s">
        <v>83</v>
      </c>
      <c r="D1053" s="11">
        <v>629.95000000000005</v>
      </c>
      <c r="E1053" s="11">
        <v>1403.5</v>
      </c>
      <c r="F1053" s="8">
        <f t="shared" si="22"/>
        <v>2033.45</v>
      </c>
      <c r="G1053" s="9">
        <v>1529.5</v>
      </c>
      <c r="H1053" s="10">
        <v>1598</v>
      </c>
    </row>
    <row r="1054" spans="1:8" ht="15" x14ac:dyDescent="0.2">
      <c r="A1054" s="6" t="s">
        <v>84</v>
      </c>
      <c r="B1054" s="6" t="s">
        <v>85</v>
      </c>
      <c r="C1054" s="6" t="s">
        <v>86</v>
      </c>
      <c r="D1054" s="11">
        <v>2139.1999999999998</v>
      </c>
      <c r="E1054" s="11">
        <v>2497.62</v>
      </c>
      <c r="F1054" s="8">
        <f t="shared" si="22"/>
        <v>4636.82</v>
      </c>
      <c r="G1054" s="9">
        <v>5724.83</v>
      </c>
      <c r="H1054" s="10">
        <v>5441.8600000000006</v>
      </c>
    </row>
    <row r="1055" spans="1:8" ht="15" x14ac:dyDescent="0.2">
      <c r="A1055" s="6" t="s">
        <v>87</v>
      </c>
      <c r="B1055" s="6" t="s">
        <v>88</v>
      </c>
      <c r="C1055" s="6" t="s">
        <v>89</v>
      </c>
      <c r="D1055" s="11">
        <v>253</v>
      </c>
      <c r="E1055" s="11">
        <v>0</v>
      </c>
      <c r="F1055" s="8">
        <f t="shared" si="22"/>
        <v>253</v>
      </c>
      <c r="G1055" s="9">
        <v>120</v>
      </c>
      <c r="H1055" s="10">
        <v>120</v>
      </c>
    </row>
    <row r="1056" spans="1:8" ht="15" x14ac:dyDescent="0.2">
      <c r="A1056" s="6" t="s">
        <v>90</v>
      </c>
      <c r="B1056" s="6" t="s">
        <v>91</v>
      </c>
      <c r="C1056" s="6" t="s">
        <v>31</v>
      </c>
      <c r="D1056" s="11">
        <v>373.8</v>
      </c>
      <c r="E1056" s="11">
        <v>832.64</v>
      </c>
      <c r="F1056" s="8">
        <f t="shared" si="22"/>
        <v>1206.44</v>
      </c>
      <c r="G1056" s="9">
        <v>877.81</v>
      </c>
      <c r="H1056" s="10">
        <v>893.11</v>
      </c>
    </row>
    <row r="1057" spans="1:8" ht="15" x14ac:dyDescent="0.2">
      <c r="A1057" s="6" t="s">
        <v>92</v>
      </c>
      <c r="B1057" s="6" t="s">
        <v>93</v>
      </c>
      <c r="C1057" s="6" t="s">
        <v>94</v>
      </c>
      <c r="D1057" s="11">
        <v>129</v>
      </c>
      <c r="E1057" s="11">
        <v>675.72</v>
      </c>
      <c r="F1057" s="8">
        <f t="shared" si="22"/>
        <v>804.72</v>
      </c>
      <c r="G1057" s="9">
        <v>1079.1300000000001</v>
      </c>
      <c r="H1057" s="10">
        <v>1496.55</v>
      </c>
    </row>
    <row r="1058" spans="1:8" ht="15" x14ac:dyDescent="0.2">
      <c r="A1058" s="6" t="s">
        <v>95</v>
      </c>
      <c r="B1058" s="6" t="s">
        <v>96</v>
      </c>
      <c r="C1058" s="6" t="s">
        <v>97</v>
      </c>
      <c r="D1058" s="11">
        <v>1240</v>
      </c>
      <c r="E1058" s="11">
        <v>2249.9499999999998</v>
      </c>
      <c r="F1058" s="8">
        <f t="shared" si="22"/>
        <v>3489.95</v>
      </c>
      <c r="G1058" s="9">
        <v>3517.53</v>
      </c>
      <c r="H1058" s="10">
        <v>3232.34</v>
      </c>
    </row>
    <row r="1059" spans="1:8" ht="15" x14ac:dyDescent="0.2">
      <c r="A1059" s="6" t="s">
        <v>98</v>
      </c>
      <c r="B1059" s="6" t="s">
        <v>99</v>
      </c>
      <c r="C1059" s="6" t="s">
        <v>100</v>
      </c>
      <c r="D1059" s="11">
        <v>380</v>
      </c>
      <c r="E1059" s="11">
        <v>1228.02</v>
      </c>
      <c r="F1059" s="8">
        <f t="shared" si="22"/>
        <v>1608.02</v>
      </c>
      <c r="G1059" s="9">
        <v>1477.15</v>
      </c>
      <c r="H1059" s="10">
        <v>1259.6300000000001</v>
      </c>
    </row>
    <row r="1060" spans="1:8" ht="15" x14ac:dyDescent="0.2">
      <c r="A1060" s="6" t="s">
        <v>101</v>
      </c>
      <c r="B1060" s="6" t="s">
        <v>99</v>
      </c>
      <c r="C1060" s="6" t="s">
        <v>102</v>
      </c>
      <c r="D1060" s="11">
        <v>278</v>
      </c>
      <c r="E1060" s="11">
        <v>1585.63</v>
      </c>
      <c r="F1060" s="8">
        <f t="shared" si="22"/>
        <v>1863.63</v>
      </c>
      <c r="G1060" s="9">
        <v>1600.25</v>
      </c>
      <c r="H1060" s="10">
        <v>1942.91</v>
      </c>
    </row>
    <row r="1061" spans="1:8" ht="15" x14ac:dyDescent="0.2">
      <c r="A1061" s="6" t="s">
        <v>103</v>
      </c>
      <c r="B1061" s="6" t="s">
        <v>104</v>
      </c>
      <c r="C1061" s="6" t="s">
        <v>105</v>
      </c>
      <c r="D1061" s="11">
        <f>515+75</f>
        <v>590</v>
      </c>
      <c r="E1061" s="11">
        <f>2204.23+2076.18</f>
        <v>4280.41</v>
      </c>
      <c r="F1061" s="8">
        <f t="shared" si="22"/>
        <v>4870.41</v>
      </c>
      <c r="G1061" s="9">
        <v>4632.0300000000007</v>
      </c>
      <c r="H1061" s="10">
        <v>4843.8099999999995</v>
      </c>
    </row>
    <row r="1062" spans="1:8" ht="15" x14ac:dyDescent="0.2">
      <c r="A1062" s="6" t="s">
        <v>106</v>
      </c>
      <c r="B1062" s="6" t="s">
        <v>107</v>
      </c>
      <c r="C1062" s="6" t="s">
        <v>108</v>
      </c>
      <c r="D1062" s="11">
        <v>982</v>
      </c>
      <c r="E1062" s="11">
        <v>361.43</v>
      </c>
      <c r="F1062" s="8">
        <f t="shared" si="22"/>
        <v>1343.43</v>
      </c>
      <c r="G1062" s="9">
        <v>699.08999999999992</v>
      </c>
      <c r="H1062" s="10">
        <v>1093.53</v>
      </c>
    </row>
    <row r="1063" spans="1:8" ht="15" x14ac:dyDescent="0.2">
      <c r="A1063" s="6" t="s">
        <v>109</v>
      </c>
      <c r="B1063" s="6" t="s">
        <v>110</v>
      </c>
      <c r="C1063" s="6" t="s">
        <v>31</v>
      </c>
      <c r="D1063" s="11">
        <v>159.91999999999999</v>
      </c>
      <c r="E1063" s="11">
        <v>515.73</v>
      </c>
      <c r="F1063" s="8">
        <f t="shared" si="22"/>
        <v>675.65</v>
      </c>
      <c r="G1063" s="9">
        <v>2640.7599999999998</v>
      </c>
      <c r="H1063" s="10">
        <v>3088.14</v>
      </c>
    </row>
    <row r="1064" spans="1:8" ht="15" x14ac:dyDescent="0.2">
      <c r="A1064" s="6" t="s">
        <v>111</v>
      </c>
      <c r="B1064" s="6" t="s">
        <v>112</v>
      </c>
      <c r="C1064" s="6" t="s">
        <v>61</v>
      </c>
      <c r="D1064" s="11">
        <v>260</v>
      </c>
      <c r="E1064" s="11">
        <v>212.8</v>
      </c>
      <c r="F1064" s="8">
        <f t="shared" si="22"/>
        <v>472.8</v>
      </c>
      <c r="G1064" s="9">
        <v>517.15</v>
      </c>
      <c r="H1064" s="10">
        <v>363.45</v>
      </c>
    </row>
    <row r="1065" spans="1:8" ht="15" x14ac:dyDescent="0.2">
      <c r="A1065" s="6" t="s">
        <v>113</v>
      </c>
      <c r="B1065" s="6" t="s">
        <v>114</v>
      </c>
      <c r="C1065" s="6" t="s">
        <v>115</v>
      </c>
      <c r="D1065" s="11">
        <v>660</v>
      </c>
      <c r="E1065" s="11">
        <v>4096.3999999999996</v>
      </c>
      <c r="F1065" s="8">
        <f t="shared" si="22"/>
        <v>4756.3999999999996</v>
      </c>
      <c r="G1065" s="9">
        <v>4607.93</v>
      </c>
      <c r="H1065" s="10">
        <v>3687.39</v>
      </c>
    </row>
    <row r="1066" spans="1:8" ht="15" x14ac:dyDescent="0.2">
      <c r="A1066" s="6" t="s">
        <v>116</v>
      </c>
      <c r="B1066" s="6" t="s">
        <v>114</v>
      </c>
      <c r="C1066" s="6" t="s">
        <v>117</v>
      </c>
      <c r="D1066" s="11">
        <v>136</v>
      </c>
      <c r="E1066" s="11">
        <v>0</v>
      </c>
      <c r="F1066" s="8">
        <f t="shared" si="22"/>
        <v>136</v>
      </c>
      <c r="G1066" s="9">
        <v>0</v>
      </c>
      <c r="H1066" s="10">
        <v>80</v>
      </c>
    </row>
    <row r="1067" spans="1:8" ht="15" x14ac:dyDescent="0.2">
      <c r="A1067" s="6" t="s">
        <v>118</v>
      </c>
      <c r="B1067" s="6" t="s">
        <v>114</v>
      </c>
      <c r="C1067" s="6" t="s">
        <v>119</v>
      </c>
      <c r="D1067" s="11">
        <v>150</v>
      </c>
      <c r="E1067" s="11">
        <v>0</v>
      </c>
      <c r="F1067" s="8">
        <f t="shared" si="22"/>
        <v>150</v>
      </c>
      <c r="G1067" s="9">
        <v>100</v>
      </c>
      <c r="H1067" s="10">
        <v>100</v>
      </c>
    </row>
    <row r="1068" spans="1:8" ht="15" x14ac:dyDescent="0.2">
      <c r="A1068" s="6" t="s">
        <v>120</v>
      </c>
      <c r="B1068" s="6" t="s">
        <v>121</v>
      </c>
      <c r="C1068" s="6" t="s">
        <v>61</v>
      </c>
      <c r="D1068" s="11">
        <f>780+25</f>
        <v>805</v>
      </c>
      <c r="E1068" s="11">
        <v>1650.9</v>
      </c>
      <c r="F1068" s="8">
        <f t="shared" si="22"/>
        <v>2455.9</v>
      </c>
      <c r="G1068" s="9">
        <v>2993.33</v>
      </c>
      <c r="H1068" s="10">
        <v>2244.65</v>
      </c>
    </row>
    <row r="1069" spans="1:8" ht="15" x14ac:dyDescent="0.2">
      <c r="A1069" s="6" t="s">
        <v>122</v>
      </c>
      <c r="B1069" s="6" t="s">
        <v>123</v>
      </c>
      <c r="C1069" s="6" t="s">
        <v>124</v>
      </c>
      <c r="D1069" s="11">
        <v>873.45</v>
      </c>
      <c r="E1069" s="11">
        <v>0</v>
      </c>
      <c r="F1069" s="8">
        <f t="shared" si="22"/>
        <v>873.45</v>
      </c>
      <c r="G1069" s="9">
        <v>654</v>
      </c>
      <c r="H1069" s="10">
        <v>633</v>
      </c>
    </row>
    <row r="1070" spans="1:8" ht="15" x14ac:dyDescent="0.2">
      <c r="A1070" s="6" t="s">
        <v>125</v>
      </c>
      <c r="B1070" s="6" t="s">
        <v>126</v>
      </c>
      <c r="C1070" s="6" t="s">
        <v>127</v>
      </c>
      <c r="D1070" s="11">
        <v>150</v>
      </c>
      <c r="E1070" s="11">
        <v>173.35</v>
      </c>
      <c r="F1070" s="8">
        <f t="shared" si="22"/>
        <v>323.35000000000002</v>
      </c>
      <c r="G1070" s="9">
        <v>193.11</v>
      </c>
      <c r="H1070" s="10">
        <v>217.26</v>
      </c>
    </row>
    <row r="1071" spans="1:8" ht="15" x14ac:dyDescent="0.2">
      <c r="A1071" s="6" t="s">
        <v>128</v>
      </c>
      <c r="B1071" s="6" t="s">
        <v>129</v>
      </c>
      <c r="C1071" s="6" t="s">
        <v>130</v>
      </c>
      <c r="D1071" s="11">
        <v>0</v>
      </c>
      <c r="E1071" s="11">
        <v>1515.5</v>
      </c>
      <c r="F1071" s="8">
        <f t="shared" si="22"/>
        <v>1515.5</v>
      </c>
      <c r="G1071" s="9">
        <v>2207.02</v>
      </c>
      <c r="H1071" s="10">
        <v>1801.3400000000001</v>
      </c>
    </row>
    <row r="1072" spans="1:8" ht="15" x14ac:dyDescent="0.2">
      <c r="A1072" s="6" t="s">
        <v>131</v>
      </c>
      <c r="B1072" s="6" t="s">
        <v>132</v>
      </c>
      <c r="C1072" s="6" t="s">
        <v>133</v>
      </c>
      <c r="D1072" s="11">
        <v>40</v>
      </c>
      <c r="E1072" s="11">
        <v>1012.12</v>
      </c>
      <c r="F1072" s="8">
        <f t="shared" si="22"/>
        <v>1052.1199999999999</v>
      </c>
      <c r="G1072" s="9">
        <v>1142.69</v>
      </c>
      <c r="H1072" s="10">
        <v>1422.98</v>
      </c>
    </row>
    <row r="1073" spans="1:8" ht="15" x14ac:dyDescent="0.2">
      <c r="A1073" s="6" t="s">
        <v>134</v>
      </c>
      <c r="B1073" s="6" t="s">
        <v>135</v>
      </c>
      <c r="C1073" s="6" t="s">
        <v>136</v>
      </c>
      <c r="D1073" s="11">
        <v>400</v>
      </c>
      <c r="E1073" s="11">
        <v>0</v>
      </c>
      <c r="F1073" s="8">
        <f t="shared" si="22"/>
        <v>400</v>
      </c>
      <c r="G1073" s="9">
        <v>932</v>
      </c>
      <c r="H1073" s="10">
        <v>1043.1399999999999</v>
      </c>
    </row>
    <row r="1074" spans="1:8" ht="15" x14ac:dyDescent="0.2">
      <c r="A1074" s="6" t="s">
        <v>137</v>
      </c>
      <c r="B1074" s="6" t="s">
        <v>138</v>
      </c>
      <c r="C1074" s="6" t="s">
        <v>56</v>
      </c>
      <c r="D1074" s="11">
        <v>50</v>
      </c>
      <c r="E1074" s="11">
        <v>184.99</v>
      </c>
      <c r="F1074" s="8">
        <f t="shared" si="22"/>
        <v>234.99</v>
      </c>
      <c r="G1074" s="9">
        <v>247.34</v>
      </c>
      <c r="H1074" s="10">
        <v>352.49</v>
      </c>
    </row>
    <row r="1075" spans="1:8" ht="15" x14ac:dyDescent="0.2">
      <c r="A1075" s="6" t="s">
        <v>139</v>
      </c>
      <c r="B1075" s="6" t="s">
        <v>140</v>
      </c>
      <c r="C1075" s="6" t="s">
        <v>141</v>
      </c>
      <c r="D1075" s="11">
        <v>90</v>
      </c>
      <c r="E1075" s="11">
        <v>976.48</v>
      </c>
      <c r="F1075" s="8">
        <f t="shared" si="22"/>
        <v>1066.48</v>
      </c>
      <c r="G1075" s="9">
        <v>1281.3399999999999</v>
      </c>
      <c r="H1075" s="10">
        <v>1190.3800000000001</v>
      </c>
    </row>
    <row r="1076" spans="1:8" ht="15" x14ac:dyDescent="0.2">
      <c r="A1076" s="12" t="s">
        <v>142</v>
      </c>
      <c r="B1076" s="6" t="s">
        <v>143</v>
      </c>
      <c r="C1076" s="6" t="s">
        <v>144</v>
      </c>
      <c r="D1076" s="11">
        <v>373</v>
      </c>
      <c r="E1076" s="11">
        <v>0</v>
      </c>
      <c r="F1076" s="8">
        <f t="shared" si="22"/>
        <v>373</v>
      </c>
      <c r="G1076" s="9">
        <v>1845.47</v>
      </c>
      <c r="H1076" s="10">
        <v>1878.57</v>
      </c>
    </row>
    <row r="1077" spans="1:8" ht="15" x14ac:dyDescent="0.2">
      <c r="A1077" s="6" t="s">
        <v>145</v>
      </c>
      <c r="B1077" s="6" t="s">
        <v>143</v>
      </c>
      <c r="C1077" s="6" t="s">
        <v>146</v>
      </c>
      <c r="D1077" s="11">
        <v>285</v>
      </c>
      <c r="E1077" s="11">
        <v>1224.3599999999999</v>
      </c>
      <c r="F1077" s="8">
        <f t="shared" si="22"/>
        <v>1509.36</v>
      </c>
      <c r="G1077" s="9">
        <v>168</v>
      </c>
      <c r="H1077" s="10" t="s">
        <v>147</v>
      </c>
    </row>
    <row r="1078" spans="1:8" ht="15" x14ac:dyDescent="0.2">
      <c r="A1078" s="6" t="s">
        <v>148</v>
      </c>
      <c r="B1078" s="6" t="s">
        <v>149</v>
      </c>
      <c r="C1078" s="6" t="s">
        <v>150</v>
      </c>
      <c r="D1078" s="11">
        <v>205</v>
      </c>
      <c r="E1078" s="11">
        <v>0</v>
      </c>
      <c r="F1078" s="8">
        <f t="shared" si="22"/>
        <v>205</v>
      </c>
      <c r="G1078" s="9">
        <v>640</v>
      </c>
      <c r="H1078" s="10">
        <v>240</v>
      </c>
    </row>
    <row r="1079" spans="1:8" ht="15" x14ac:dyDescent="0.2">
      <c r="A1079" s="6" t="s">
        <v>151</v>
      </c>
      <c r="B1079" s="6" t="s">
        <v>143</v>
      </c>
      <c r="C1079" s="6" t="s">
        <v>152</v>
      </c>
      <c r="D1079" s="11">
        <v>115</v>
      </c>
      <c r="E1079" s="11">
        <v>520</v>
      </c>
      <c r="F1079" s="8">
        <f t="shared" si="22"/>
        <v>635</v>
      </c>
      <c r="G1079" s="9">
        <v>686</v>
      </c>
      <c r="H1079" s="10">
        <v>753.4</v>
      </c>
    </row>
    <row r="1080" spans="1:8" ht="15" x14ac:dyDescent="0.2">
      <c r="A1080" s="6" t="s">
        <v>153</v>
      </c>
      <c r="B1080" s="6" t="s">
        <v>154</v>
      </c>
      <c r="C1080" s="6" t="s">
        <v>155</v>
      </c>
      <c r="D1080" s="11">
        <v>264</v>
      </c>
      <c r="E1080" s="11">
        <v>548</v>
      </c>
      <c r="F1080" s="8">
        <f t="shared" si="22"/>
        <v>812</v>
      </c>
      <c r="G1080" s="9">
        <v>1328</v>
      </c>
      <c r="H1080" s="10">
        <v>1313</v>
      </c>
    </row>
    <row r="1081" spans="1:8" ht="15" x14ac:dyDescent="0.2">
      <c r="A1081" s="6" t="s">
        <v>156</v>
      </c>
      <c r="B1081" s="6" t="s">
        <v>157</v>
      </c>
      <c r="C1081" s="6" t="s">
        <v>158</v>
      </c>
      <c r="D1081" s="11">
        <v>255</v>
      </c>
      <c r="E1081" s="11">
        <v>2092.44</v>
      </c>
      <c r="F1081" s="8">
        <f t="shared" si="22"/>
        <v>2347.44</v>
      </c>
      <c r="G1081" s="9">
        <v>2862.69</v>
      </c>
      <c r="H1081" s="10">
        <v>2816.38</v>
      </c>
    </row>
    <row r="1082" spans="1:8" ht="15" x14ac:dyDescent="0.2">
      <c r="A1082" s="6" t="s">
        <v>159</v>
      </c>
      <c r="B1082" s="6" t="s">
        <v>160</v>
      </c>
      <c r="C1082" s="6" t="s">
        <v>161</v>
      </c>
      <c r="D1082" s="11">
        <v>30</v>
      </c>
      <c r="E1082" s="11">
        <v>369.2</v>
      </c>
      <c r="F1082" s="8">
        <f t="shared" si="22"/>
        <v>399.2</v>
      </c>
      <c r="G1082" s="9">
        <v>674.45</v>
      </c>
      <c r="H1082" s="10">
        <v>347.38</v>
      </c>
    </row>
    <row r="1083" spans="1:8" ht="15" x14ac:dyDescent="0.2">
      <c r="A1083" s="6" t="s">
        <v>162</v>
      </c>
      <c r="B1083" s="6" t="s">
        <v>163</v>
      </c>
      <c r="C1083" s="6" t="s">
        <v>164</v>
      </c>
      <c r="D1083" s="11">
        <v>0</v>
      </c>
      <c r="E1083" s="11">
        <v>0</v>
      </c>
      <c r="F1083" s="8">
        <f t="shared" si="22"/>
        <v>0</v>
      </c>
      <c r="G1083" s="9">
        <v>702.42</v>
      </c>
      <c r="H1083" s="10">
        <v>1096.5</v>
      </c>
    </row>
    <row r="1084" spans="1:8" ht="15" x14ac:dyDescent="0.2">
      <c r="A1084" s="6" t="s">
        <v>165</v>
      </c>
      <c r="B1084" s="6" t="s">
        <v>166</v>
      </c>
      <c r="C1084" s="6" t="s">
        <v>167</v>
      </c>
      <c r="D1084" s="11">
        <v>421.96</v>
      </c>
      <c r="E1084" s="11">
        <v>296.64</v>
      </c>
      <c r="F1084" s="8">
        <f t="shared" si="22"/>
        <v>718.59999999999991</v>
      </c>
      <c r="G1084" s="9">
        <v>437.3</v>
      </c>
      <c r="H1084" s="10">
        <v>698.65000000000009</v>
      </c>
    </row>
    <row r="1085" spans="1:8" ht="15" x14ac:dyDescent="0.2">
      <c r="A1085" s="6" t="s">
        <v>168</v>
      </c>
      <c r="B1085" s="6" t="s">
        <v>169</v>
      </c>
      <c r="C1085" s="6" t="s">
        <v>170</v>
      </c>
      <c r="D1085" s="11">
        <v>0</v>
      </c>
      <c r="E1085" s="11">
        <v>174.96</v>
      </c>
      <c r="F1085" s="8">
        <f t="shared" si="22"/>
        <v>174.96</v>
      </c>
      <c r="G1085" s="9">
        <v>100</v>
      </c>
      <c r="H1085" s="10">
        <v>154.97</v>
      </c>
    </row>
    <row r="1086" spans="1:8" ht="15" x14ac:dyDescent="0.2">
      <c r="A1086" s="6" t="s">
        <v>171</v>
      </c>
      <c r="B1086" s="6" t="s">
        <v>172</v>
      </c>
      <c r="C1086" s="6" t="s">
        <v>173</v>
      </c>
      <c r="D1086" s="11">
        <v>4960</v>
      </c>
      <c r="E1086" s="11">
        <v>1308.43</v>
      </c>
      <c r="F1086" s="8">
        <f t="shared" si="22"/>
        <v>6268.43</v>
      </c>
      <c r="G1086" s="9">
        <v>1402.72</v>
      </c>
      <c r="H1086" s="10">
        <v>1217.42</v>
      </c>
    </row>
    <row r="1087" spans="1:8" ht="15" x14ac:dyDescent="0.2">
      <c r="A1087" s="6" t="s">
        <v>174</v>
      </c>
      <c r="B1087" s="6" t="s">
        <v>175</v>
      </c>
      <c r="C1087" s="6" t="s">
        <v>176</v>
      </c>
      <c r="D1087" s="11">
        <v>50</v>
      </c>
      <c r="E1087" s="11">
        <v>369.6</v>
      </c>
      <c r="F1087" s="8">
        <f t="shared" si="22"/>
        <v>419.6</v>
      </c>
      <c r="G1087" s="9">
        <v>274.49</v>
      </c>
      <c r="H1087" s="10">
        <v>314.75</v>
      </c>
    </row>
    <row r="1088" spans="1:8" ht="15" x14ac:dyDescent="0.2">
      <c r="A1088" s="6" t="s">
        <v>177</v>
      </c>
      <c r="B1088" s="6" t="s">
        <v>178</v>
      </c>
      <c r="C1088" s="6" t="s">
        <v>15</v>
      </c>
      <c r="D1088" s="11">
        <v>1728</v>
      </c>
      <c r="E1088" s="11">
        <v>1837.69</v>
      </c>
      <c r="F1088" s="8">
        <f t="shared" ref="F1088:F1140" si="23">(D1088+E1088)</f>
        <v>3565.69</v>
      </c>
      <c r="G1088" s="9">
        <v>3753.76</v>
      </c>
      <c r="H1088" s="10">
        <v>4181.8500000000004</v>
      </c>
    </row>
    <row r="1089" spans="1:8" ht="15" x14ac:dyDescent="0.2">
      <c r="A1089" s="6" t="s">
        <v>179</v>
      </c>
      <c r="B1089" s="6" t="s">
        <v>178</v>
      </c>
      <c r="C1089" s="6" t="s">
        <v>180</v>
      </c>
      <c r="D1089" s="11">
        <v>96</v>
      </c>
      <c r="E1089" s="11">
        <v>1067.1099999999999</v>
      </c>
      <c r="F1089" s="8">
        <f t="shared" si="23"/>
        <v>1163.1099999999999</v>
      </c>
      <c r="G1089" s="9">
        <v>1472.28</v>
      </c>
      <c r="H1089" s="10">
        <v>756.28</v>
      </c>
    </row>
    <row r="1090" spans="1:8" ht="15" x14ac:dyDescent="0.2">
      <c r="A1090" s="6" t="s">
        <v>181</v>
      </c>
      <c r="B1090" s="6" t="s">
        <v>182</v>
      </c>
      <c r="C1090" s="6" t="s">
        <v>183</v>
      </c>
      <c r="D1090" s="11">
        <v>636</v>
      </c>
      <c r="E1090" s="11">
        <v>0</v>
      </c>
      <c r="F1090" s="8">
        <f t="shared" si="23"/>
        <v>636</v>
      </c>
      <c r="G1090" s="9">
        <v>537</v>
      </c>
      <c r="H1090" s="10">
        <v>701</v>
      </c>
    </row>
    <row r="1091" spans="1:8" ht="15" x14ac:dyDescent="0.2">
      <c r="A1091" s="6" t="s">
        <v>184</v>
      </c>
      <c r="B1091" s="6" t="s">
        <v>185</v>
      </c>
      <c r="C1091" s="6" t="s">
        <v>186</v>
      </c>
      <c r="D1091" s="11">
        <v>250</v>
      </c>
      <c r="E1091" s="11">
        <v>190.95</v>
      </c>
      <c r="F1091" s="8">
        <f t="shared" si="23"/>
        <v>440.95</v>
      </c>
      <c r="G1091" s="9">
        <v>180</v>
      </c>
      <c r="H1091" s="10">
        <v>290</v>
      </c>
    </row>
    <row r="1092" spans="1:8" ht="15" x14ac:dyDescent="0.2">
      <c r="A1092" s="6" t="s">
        <v>187</v>
      </c>
      <c r="B1092" s="6" t="s">
        <v>188</v>
      </c>
      <c r="C1092" s="6" t="s">
        <v>15</v>
      </c>
      <c r="D1092" s="11">
        <v>82</v>
      </c>
      <c r="E1092" s="11">
        <v>1588.32</v>
      </c>
      <c r="F1092" s="8">
        <f t="shared" si="23"/>
        <v>1670.32</v>
      </c>
      <c r="G1092" s="9">
        <v>1468.54</v>
      </c>
      <c r="H1092" s="10">
        <v>1819.07</v>
      </c>
    </row>
    <row r="1093" spans="1:8" ht="15" x14ac:dyDescent="0.2">
      <c r="A1093" s="6" t="s">
        <v>189</v>
      </c>
      <c r="B1093" s="6" t="s">
        <v>188</v>
      </c>
      <c r="C1093" s="6" t="s">
        <v>190</v>
      </c>
      <c r="D1093" s="11">
        <v>1187.94</v>
      </c>
      <c r="E1093" s="11">
        <v>0</v>
      </c>
      <c r="F1093" s="8">
        <f t="shared" si="23"/>
        <v>1187.94</v>
      </c>
      <c r="G1093" s="9">
        <v>977</v>
      </c>
      <c r="H1093" s="10">
        <v>1383.19</v>
      </c>
    </row>
    <row r="1094" spans="1:8" ht="15" x14ac:dyDescent="0.2">
      <c r="A1094" s="6" t="s">
        <v>191</v>
      </c>
      <c r="B1094" s="6" t="s">
        <v>192</v>
      </c>
      <c r="C1094" s="6" t="s">
        <v>193</v>
      </c>
      <c r="D1094" s="11">
        <v>140</v>
      </c>
      <c r="E1094" s="11">
        <v>177.67</v>
      </c>
      <c r="F1094" s="8">
        <f t="shared" si="23"/>
        <v>317.66999999999996</v>
      </c>
      <c r="G1094" s="9">
        <v>445.03</v>
      </c>
      <c r="H1094" s="10">
        <v>583.77</v>
      </c>
    </row>
    <row r="1095" spans="1:8" ht="15" x14ac:dyDescent="0.2">
      <c r="A1095" s="6" t="s">
        <v>194</v>
      </c>
      <c r="B1095" s="6" t="s">
        <v>195</v>
      </c>
      <c r="C1095" s="6" t="s">
        <v>78</v>
      </c>
      <c r="D1095" s="11">
        <v>390</v>
      </c>
      <c r="E1095" s="11">
        <v>812.55</v>
      </c>
      <c r="F1095" s="8">
        <f t="shared" si="23"/>
        <v>1202.55</v>
      </c>
      <c r="G1095" s="9">
        <v>1049.9000000000001</v>
      </c>
      <c r="H1095" s="10">
        <v>1230.74</v>
      </c>
    </row>
    <row r="1096" spans="1:8" ht="15" x14ac:dyDescent="0.2">
      <c r="A1096" s="6" t="s">
        <v>196</v>
      </c>
      <c r="B1096" s="6" t="s">
        <v>197</v>
      </c>
      <c r="C1096" s="6" t="s">
        <v>198</v>
      </c>
      <c r="D1096" s="11">
        <v>319</v>
      </c>
      <c r="E1096" s="11">
        <v>732.87</v>
      </c>
      <c r="F1096" s="8">
        <f t="shared" si="23"/>
        <v>1051.8699999999999</v>
      </c>
      <c r="G1096" s="9">
        <v>1298.46</v>
      </c>
      <c r="H1096" s="10">
        <v>1551.44</v>
      </c>
    </row>
    <row r="1097" spans="1:8" ht="15" x14ac:dyDescent="0.2">
      <c r="A1097" s="6" t="s">
        <v>199</v>
      </c>
      <c r="B1097" s="6" t="s">
        <v>200</v>
      </c>
      <c r="C1097" s="6" t="s">
        <v>201</v>
      </c>
      <c r="D1097" s="11">
        <v>405</v>
      </c>
      <c r="E1097" s="11">
        <v>1728.1</v>
      </c>
      <c r="F1097" s="8">
        <f t="shared" si="23"/>
        <v>2133.1</v>
      </c>
      <c r="G1097" s="9">
        <v>2095.75</v>
      </c>
      <c r="H1097" s="10">
        <v>2655</v>
      </c>
    </row>
    <row r="1098" spans="1:8" ht="15" x14ac:dyDescent="0.2">
      <c r="A1098" s="6" t="s">
        <v>202</v>
      </c>
      <c r="B1098" s="6" t="s">
        <v>203</v>
      </c>
      <c r="C1098" s="6" t="s">
        <v>204</v>
      </c>
      <c r="D1098" s="11">
        <v>419</v>
      </c>
      <c r="E1098" s="11">
        <v>993.88</v>
      </c>
      <c r="F1098" s="8">
        <f t="shared" si="23"/>
        <v>1412.88</v>
      </c>
      <c r="G1098" s="9">
        <v>1460.3</v>
      </c>
      <c r="H1098" s="10">
        <v>1691.97</v>
      </c>
    </row>
    <row r="1099" spans="1:8" ht="15" x14ac:dyDescent="0.2">
      <c r="A1099" s="6" t="s">
        <v>205</v>
      </c>
      <c r="B1099" s="6" t="s">
        <v>206</v>
      </c>
      <c r="C1099" s="6" t="s">
        <v>207</v>
      </c>
      <c r="D1099" s="11">
        <v>45</v>
      </c>
      <c r="E1099" s="11">
        <v>0</v>
      </c>
      <c r="F1099" s="8">
        <f t="shared" si="23"/>
        <v>45</v>
      </c>
      <c r="G1099" s="9">
        <v>30</v>
      </c>
      <c r="H1099" s="10">
        <v>30</v>
      </c>
    </row>
    <row r="1100" spans="1:8" ht="15" x14ac:dyDescent="0.2">
      <c r="A1100" s="6" t="s">
        <v>208</v>
      </c>
      <c r="B1100" s="6" t="s">
        <v>209</v>
      </c>
      <c r="C1100" s="6" t="s">
        <v>210</v>
      </c>
      <c r="D1100" s="11">
        <v>60</v>
      </c>
      <c r="E1100" s="11">
        <v>0</v>
      </c>
      <c r="F1100" s="8">
        <f t="shared" si="23"/>
        <v>60</v>
      </c>
      <c r="G1100" s="9">
        <v>60</v>
      </c>
      <c r="H1100" s="10">
        <v>60</v>
      </c>
    </row>
    <row r="1101" spans="1:8" ht="15" x14ac:dyDescent="0.2">
      <c r="A1101" s="6" t="s">
        <v>211</v>
      </c>
      <c r="B1101" s="6" t="s">
        <v>85</v>
      </c>
      <c r="C1101" s="6" t="s">
        <v>212</v>
      </c>
      <c r="D1101" s="11">
        <v>843</v>
      </c>
      <c r="E1101" s="11">
        <v>1077.3</v>
      </c>
      <c r="F1101" s="8">
        <f t="shared" si="23"/>
        <v>1920.3</v>
      </c>
      <c r="G1101" s="9">
        <v>1657.88</v>
      </c>
      <c r="H1101" s="10">
        <v>1754.04</v>
      </c>
    </row>
    <row r="1102" spans="1:8" ht="15" x14ac:dyDescent="0.2">
      <c r="A1102" s="6" t="s">
        <v>213</v>
      </c>
      <c r="B1102" s="6" t="s">
        <v>85</v>
      </c>
      <c r="C1102" s="6" t="s">
        <v>214</v>
      </c>
      <c r="D1102" s="11">
        <v>90</v>
      </c>
      <c r="E1102" s="11">
        <v>908.5</v>
      </c>
      <c r="F1102" s="8">
        <f t="shared" si="23"/>
        <v>998.5</v>
      </c>
      <c r="G1102" s="9">
        <v>1298.99</v>
      </c>
      <c r="H1102" s="10">
        <v>1309.48</v>
      </c>
    </row>
    <row r="1103" spans="1:8" ht="15" x14ac:dyDescent="0.2">
      <c r="A1103" s="6" t="s">
        <v>215</v>
      </c>
      <c r="B1103" s="6" t="s">
        <v>85</v>
      </c>
      <c r="C1103" s="6" t="s">
        <v>216</v>
      </c>
      <c r="D1103" s="11">
        <v>491.5</v>
      </c>
      <c r="E1103" s="11">
        <v>4768</v>
      </c>
      <c r="F1103" s="8">
        <f t="shared" si="23"/>
        <v>5259.5</v>
      </c>
      <c r="G1103" s="9">
        <v>4905.45</v>
      </c>
      <c r="H1103" s="10">
        <v>4721.5</v>
      </c>
    </row>
    <row r="1104" spans="1:8" ht="15" x14ac:dyDescent="0.2">
      <c r="A1104" s="6" t="s">
        <v>217</v>
      </c>
      <c r="B1104" s="6" t="s">
        <v>85</v>
      </c>
      <c r="C1104" s="6" t="s">
        <v>15</v>
      </c>
      <c r="D1104" s="11">
        <v>145</v>
      </c>
      <c r="E1104" s="11">
        <v>275.85000000000002</v>
      </c>
      <c r="F1104" s="8">
        <f t="shared" si="23"/>
        <v>420.85</v>
      </c>
      <c r="G1104" s="9">
        <v>1859.68</v>
      </c>
      <c r="H1104" s="10">
        <v>1789.3400000000001</v>
      </c>
    </row>
    <row r="1105" spans="1:8" ht="15" x14ac:dyDescent="0.2">
      <c r="A1105" s="6" t="s">
        <v>218</v>
      </c>
      <c r="B1105" s="6" t="s">
        <v>219</v>
      </c>
      <c r="C1105" s="6" t="s">
        <v>220</v>
      </c>
      <c r="D1105" s="11">
        <v>220</v>
      </c>
      <c r="E1105" s="11">
        <v>1043.6199999999999</v>
      </c>
      <c r="F1105" s="8">
        <f t="shared" si="23"/>
        <v>1263.6199999999999</v>
      </c>
      <c r="G1105" s="9">
        <v>945.04</v>
      </c>
      <c r="H1105" s="10">
        <v>1125.3</v>
      </c>
    </row>
    <row r="1106" spans="1:8" ht="15" x14ac:dyDescent="0.2">
      <c r="A1106" s="6" t="s">
        <v>221</v>
      </c>
      <c r="B1106" s="6" t="s">
        <v>222</v>
      </c>
      <c r="C1106" s="6" t="s">
        <v>223</v>
      </c>
      <c r="D1106" s="11">
        <v>415</v>
      </c>
      <c r="E1106" s="11">
        <v>0</v>
      </c>
      <c r="F1106" s="8">
        <f t="shared" si="23"/>
        <v>415</v>
      </c>
      <c r="G1106" s="9">
        <v>1287.95</v>
      </c>
      <c r="H1106" s="10">
        <v>450</v>
      </c>
    </row>
    <row r="1107" spans="1:8" ht="15" x14ac:dyDescent="0.2">
      <c r="A1107" s="6" t="s">
        <v>224</v>
      </c>
      <c r="B1107" s="6" t="s">
        <v>225</v>
      </c>
      <c r="C1107" s="6" t="s">
        <v>226</v>
      </c>
      <c r="D1107" s="11">
        <v>506</v>
      </c>
      <c r="E1107" s="11">
        <v>0</v>
      </c>
      <c r="F1107" s="8">
        <f t="shared" si="23"/>
        <v>506</v>
      </c>
      <c r="G1107" s="9">
        <v>520</v>
      </c>
      <c r="H1107" s="10">
        <v>520</v>
      </c>
    </row>
    <row r="1108" spans="1:8" ht="15" x14ac:dyDescent="0.2">
      <c r="A1108" s="6" t="s">
        <v>227</v>
      </c>
      <c r="B1108" s="6" t="s">
        <v>228</v>
      </c>
      <c r="C1108" s="6" t="s">
        <v>124</v>
      </c>
      <c r="D1108" s="11">
        <v>120</v>
      </c>
      <c r="E1108" s="11">
        <v>217.07</v>
      </c>
      <c r="F1108" s="8">
        <f t="shared" si="23"/>
        <v>337.07</v>
      </c>
      <c r="G1108" s="9">
        <v>568.96</v>
      </c>
      <c r="H1108" s="10">
        <v>605.5</v>
      </c>
    </row>
    <row r="1109" spans="1:8" ht="15" x14ac:dyDescent="0.2">
      <c r="A1109" s="6" t="s">
        <v>229</v>
      </c>
      <c r="B1109" s="6" t="s">
        <v>230</v>
      </c>
      <c r="C1109" s="6" t="s">
        <v>231</v>
      </c>
      <c r="D1109" s="11">
        <v>2240.77</v>
      </c>
      <c r="E1109" s="11">
        <v>0</v>
      </c>
      <c r="F1109" s="8">
        <f t="shared" si="23"/>
        <v>2240.77</v>
      </c>
      <c r="G1109" s="9">
        <v>35</v>
      </c>
      <c r="H1109" s="10">
        <v>45</v>
      </c>
    </row>
    <row r="1110" spans="1:8" ht="15" x14ac:dyDescent="0.2">
      <c r="A1110" s="6" t="s">
        <v>232</v>
      </c>
      <c r="B1110" s="6" t="s">
        <v>233</v>
      </c>
      <c r="C1110" s="6" t="s">
        <v>234</v>
      </c>
      <c r="D1110" s="11">
        <v>730</v>
      </c>
      <c r="E1110" s="11">
        <v>150.81</v>
      </c>
      <c r="F1110" s="8">
        <f t="shared" si="23"/>
        <v>880.81</v>
      </c>
      <c r="G1110" s="9">
        <v>1013.37</v>
      </c>
      <c r="H1110" s="10">
        <v>1131.98</v>
      </c>
    </row>
    <row r="1111" spans="1:8" ht="15" x14ac:dyDescent="0.2">
      <c r="A1111" s="6" t="s">
        <v>235</v>
      </c>
      <c r="B1111" s="6" t="s">
        <v>233</v>
      </c>
      <c r="C1111" s="6" t="s">
        <v>236</v>
      </c>
      <c r="D1111" s="11">
        <v>145</v>
      </c>
      <c r="E1111" s="11">
        <v>1362.6</v>
      </c>
      <c r="F1111" s="8">
        <f t="shared" si="23"/>
        <v>1507.6</v>
      </c>
      <c r="G1111" s="9">
        <v>1225.3900000000001</v>
      </c>
      <c r="H1111" s="10">
        <v>1266.8900000000001</v>
      </c>
    </row>
    <row r="1112" spans="1:8" ht="15" x14ac:dyDescent="0.2">
      <c r="A1112" s="6" t="s">
        <v>237</v>
      </c>
      <c r="B1112" s="6" t="s">
        <v>233</v>
      </c>
      <c r="C1112" s="6" t="s">
        <v>238</v>
      </c>
      <c r="D1112" s="11">
        <v>130</v>
      </c>
      <c r="E1112" s="11">
        <v>0</v>
      </c>
      <c r="F1112" s="8">
        <f t="shared" si="23"/>
        <v>130</v>
      </c>
      <c r="G1112" s="9">
        <v>130</v>
      </c>
      <c r="H1112" s="10">
        <v>130</v>
      </c>
    </row>
    <row r="1113" spans="1:8" ht="15" x14ac:dyDescent="0.2">
      <c r="A1113" s="6" t="s">
        <v>239</v>
      </c>
      <c r="B1113" s="6" t="s">
        <v>233</v>
      </c>
      <c r="C1113" s="6" t="s">
        <v>240</v>
      </c>
      <c r="D1113" s="11">
        <v>70</v>
      </c>
      <c r="E1113" s="11">
        <v>674.17</v>
      </c>
      <c r="F1113" s="8">
        <f t="shared" si="23"/>
        <v>744.17</v>
      </c>
      <c r="G1113" s="9">
        <v>30</v>
      </c>
      <c r="H1113" s="10">
        <v>70</v>
      </c>
    </row>
    <row r="1114" spans="1:8" ht="15" x14ac:dyDescent="0.2">
      <c r="A1114" s="6" t="s">
        <v>241</v>
      </c>
      <c r="B1114" s="6" t="s">
        <v>233</v>
      </c>
      <c r="C1114" s="6" t="s">
        <v>242</v>
      </c>
      <c r="D1114" s="11">
        <v>240</v>
      </c>
      <c r="E1114" s="11">
        <v>990.19</v>
      </c>
      <c r="F1114" s="8">
        <f t="shared" si="23"/>
        <v>1230.19</v>
      </c>
      <c r="G1114" s="9">
        <v>180</v>
      </c>
      <c r="H1114" s="10">
        <v>1403.27</v>
      </c>
    </row>
    <row r="1115" spans="1:8" ht="15" x14ac:dyDescent="0.2">
      <c r="A1115" s="6" t="s">
        <v>243</v>
      </c>
      <c r="B1115" s="6" t="s">
        <v>233</v>
      </c>
      <c r="C1115" s="6" t="s">
        <v>244</v>
      </c>
      <c r="D1115" s="11">
        <v>30</v>
      </c>
      <c r="E1115" s="11">
        <v>1255.76</v>
      </c>
      <c r="F1115" s="8">
        <f t="shared" si="23"/>
        <v>1285.76</v>
      </c>
      <c r="G1115" s="9">
        <v>1297.6300000000001</v>
      </c>
      <c r="H1115" s="10">
        <v>1450.95</v>
      </c>
    </row>
    <row r="1116" spans="1:8" ht="15" x14ac:dyDescent="0.2">
      <c r="A1116" s="6" t="s">
        <v>245</v>
      </c>
      <c r="B1116" s="6" t="s">
        <v>233</v>
      </c>
      <c r="C1116" s="6" t="s">
        <v>246</v>
      </c>
      <c r="D1116" s="11">
        <v>511</v>
      </c>
      <c r="E1116" s="11">
        <v>620.42999999999995</v>
      </c>
      <c r="F1116" s="8">
        <f t="shared" si="23"/>
        <v>1131.4299999999998</v>
      </c>
      <c r="G1116" s="9">
        <v>1003.93</v>
      </c>
      <c r="H1116" s="10">
        <v>790.39</v>
      </c>
    </row>
    <row r="1117" spans="1:8" ht="15" x14ac:dyDescent="0.2">
      <c r="A1117" s="6" t="s">
        <v>247</v>
      </c>
      <c r="B1117" s="6" t="s">
        <v>248</v>
      </c>
      <c r="C1117" s="6" t="s">
        <v>249</v>
      </c>
      <c r="D1117" s="11">
        <v>529.91999999999996</v>
      </c>
      <c r="E1117" s="11">
        <v>0</v>
      </c>
      <c r="F1117" s="8">
        <f t="shared" si="23"/>
        <v>529.91999999999996</v>
      </c>
      <c r="G1117" s="9">
        <v>1899.41</v>
      </c>
      <c r="H1117" s="10">
        <v>1567.88</v>
      </c>
    </row>
    <row r="1118" spans="1:8" ht="15" x14ac:dyDescent="0.2">
      <c r="A1118" s="6" t="s">
        <v>250</v>
      </c>
      <c r="B1118" s="6" t="s">
        <v>251</v>
      </c>
      <c r="C1118" s="6" t="s">
        <v>252</v>
      </c>
      <c r="D1118" s="11">
        <v>490</v>
      </c>
      <c r="E1118" s="11">
        <v>730.57</v>
      </c>
      <c r="F1118" s="8">
        <f t="shared" si="23"/>
        <v>1220.5700000000002</v>
      </c>
      <c r="G1118" s="9">
        <v>1175.8200000000002</v>
      </c>
      <c r="H1118" s="10">
        <v>780.28</v>
      </c>
    </row>
    <row r="1119" spans="1:8" ht="15" x14ac:dyDescent="0.2">
      <c r="A1119" s="6" t="s">
        <v>253</v>
      </c>
      <c r="B1119" s="6" t="s">
        <v>254</v>
      </c>
      <c r="C1119" s="6" t="s">
        <v>127</v>
      </c>
      <c r="D1119" s="11">
        <v>369</v>
      </c>
      <c r="E1119" s="11">
        <v>301</v>
      </c>
      <c r="F1119" s="8">
        <f t="shared" si="23"/>
        <v>670</v>
      </c>
      <c r="G1119" s="9">
        <v>369</v>
      </c>
      <c r="H1119" s="10">
        <v>224</v>
      </c>
    </row>
    <row r="1120" spans="1:8" ht="15" x14ac:dyDescent="0.2">
      <c r="A1120" s="6" t="s">
        <v>255</v>
      </c>
      <c r="B1120" s="6" t="s">
        <v>256</v>
      </c>
      <c r="C1120" s="6" t="s">
        <v>257</v>
      </c>
      <c r="D1120" s="11">
        <v>750</v>
      </c>
      <c r="E1120" s="11">
        <v>0</v>
      </c>
      <c r="F1120" s="8">
        <f t="shared" si="23"/>
        <v>750</v>
      </c>
      <c r="G1120" s="9">
        <v>780</v>
      </c>
      <c r="H1120" s="10">
        <v>679</v>
      </c>
    </row>
    <row r="1121" spans="1:8" ht="15" x14ac:dyDescent="0.2">
      <c r="A1121" s="6" t="s">
        <v>258</v>
      </c>
      <c r="B1121" s="6" t="s">
        <v>259</v>
      </c>
      <c r="C1121" s="6" t="s">
        <v>260</v>
      </c>
      <c r="D1121" s="11">
        <v>790</v>
      </c>
      <c r="E1121" s="11">
        <v>608.41</v>
      </c>
      <c r="F1121" s="8">
        <f t="shared" si="23"/>
        <v>1398.4099999999999</v>
      </c>
      <c r="G1121" s="9">
        <v>854.15</v>
      </c>
      <c r="H1121" s="10">
        <v>799.75</v>
      </c>
    </row>
    <row r="1122" spans="1:8" ht="15" x14ac:dyDescent="0.2">
      <c r="A1122" s="6" t="s">
        <v>261</v>
      </c>
      <c r="B1122" s="6" t="s">
        <v>262</v>
      </c>
      <c r="C1122" s="6" t="s">
        <v>56</v>
      </c>
      <c r="D1122" s="11">
        <v>398.63</v>
      </c>
      <c r="E1122" s="11">
        <v>1472.49</v>
      </c>
      <c r="F1122" s="8">
        <f t="shared" si="23"/>
        <v>1871.12</v>
      </c>
      <c r="G1122" s="9">
        <v>1710.12</v>
      </c>
      <c r="H1122" s="10">
        <v>1703.05</v>
      </c>
    </row>
    <row r="1123" spans="1:8" ht="15" x14ac:dyDescent="0.2">
      <c r="A1123" s="6" t="s">
        <v>263</v>
      </c>
      <c r="B1123" s="6" t="s">
        <v>264</v>
      </c>
      <c r="C1123" s="6" t="s">
        <v>265</v>
      </c>
      <c r="D1123" s="11">
        <v>276</v>
      </c>
      <c r="E1123" s="11">
        <v>0</v>
      </c>
      <c r="F1123" s="8">
        <f t="shared" si="23"/>
        <v>276</v>
      </c>
      <c r="G1123" s="9">
        <v>326</v>
      </c>
      <c r="H1123" s="10">
        <v>306</v>
      </c>
    </row>
    <row r="1124" spans="1:8" ht="15" x14ac:dyDescent="0.2">
      <c r="A1124" s="6" t="s">
        <v>266</v>
      </c>
      <c r="B1124" s="6" t="s">
        <v>267</v>
      </c>
      <c r="C1124" s="6" t="s">
        <v>164</v>
      </c>
      <c r="D1124" s="11">
        <v>1041.1500000000001</v>
      </c>
      <c r="E1124" s="11">
        <v>0</v>
      </c>
      <c r="F1124" s="8">
        <f t="shared" si="23"/>
        <v>1041.1500000000001</v>
      </c>
      <c r="G1124" s="9">
        <v>1083</v>
      </c>
      <c r="H1124" s="10">
        <v>1133</v>
      </c>
    </row>
    <row r="1125" spans="1:8" ht="15" x14ac:dyDescent="0.2">
      <c r="A1125" s="6" t="s">
        <v>268</v>
      </c>
      <c r="B1125" s="6" t="s">
        <v>269</v>
      </c>
      <c r="C1125" s="6" t="s">
        <v>270</v>
      </c>
      <c r="D1125" s="11">
        <v>105</v>
      </c>
      <c r="E1125" s="11">
        <v>1104.5999999999999</v>
      </c>
      <c r="F1125" s="8">
        <f t="shared" si="23"/>
        <v>1209.5999999999999</v>
      </c>
      <c r="G1125" s="9">
        <v>1625.62</v>
      </c>
      <c r="H1125" s="10">
        <v>1324.43</v>
      </c>
    </row>
    <row r="1126" spans="1:8" ht="15" x14ac:dyDescent="0.2">
      <c r="A1126" s="6" t="s">
        <v>271</v>
      </c>
      <c r="B1126" s="6" t="s">
        <v>272</v>
      </c>
      <c r="C1126" s="6" t="s">
        <v>273</v>
      </c>
      <c r="D1126" s="11">
        <v>531</v>
      </c>
      <c r="E1126" s="11">
        <v>0</v>
      </c>
      <c r="F1126" s="8">
        <f t="shared" si="23"/>
        <v>531</v>
      </c>
      <c r="G1126" s="9">
        <v>717</v>
      </c>
      <c r="H1126" s="10">
        <v>690.34</v>
      </c>
    </row>
    <row r="1127" spans="1:8" ht="15" x14ac:dyDescent="0.2">
      <c r="A1127" s="6" t="s">
        <v>274</v>
      </c>
      <c r="B1127" s="6" t="s">
        <v>275</v>
      </c>
      <c r="C1127" s="6" t="s">
        <v>276</v>
      </c>
      <c r="D1127" s="11">
        <v>3072.5</v>
      </c>
      <c r="E1127" s="11">
        <v>2079.08</v>
      </c>
      <c r="F1127" s="8">
        <f t="shared" si="23"/>
        <v>5151.58</v>
      </c>
      <c r="G1127" s="9">
        <v>7024.6399999999994</v>
      </c>
      <c r="H1127" s="10">
        <v>4079.92</v>
      </c>
    </row>
    <row r="1128" spans="1:8" ht="15" x14ac:dyDescent="0.2">
      <c r="A1128" s="6" t="s">
        <v>277</v>
      </c>
      <c r="B1128" s="6" t="s">
        <v>278</v>
      </c>
      <c r="C1128" s="6" t="s">
        <v>279</v>
      </c>
      <c r="D1128" s="11">
        <v>763.89</v>
      </c>
      <c r="E1128" s="11">
        <v>1306.21</v>
      </c>
      <c r="F1128" s="8">
        <f t="shared" si="23"/>
        <v>2070.1</v>
      </c>
      <c r="G1128" s="9">
        <v>2389.21</v>
      </c>
      <c r="H1128" s="10">
        <v>3017.79</v>
      </c>
    </row>
    <row r="1129" spans="1:8" ht="15" x14ac:dyDescent="0.2">
      <c r="A1129" s="6" t="s">
        <v>280</v>
      </c>
      <c r="B1129" s="6" t="s">
        <v>281</v>
      </c>
      <c r="C1129" s="6" t="s">
        <v>11</v>
      </c>
      <c r="D1129" s="11">
        <v>1276</v>
      </c>
      <c r="E1129" s="11">
        <v>795</v>
      </c>
      <c r="F1129" s="8">
        <f t="shared" si="23"/>
        <v>2071</v>
      </c>
      <c r="G1129" s="9">
        <v>3179.0299999999997</v>
      </c>
      <c r="H1129" s="10">
        <v>1402.8400000000001</v>
      </c>
    </row>
    <row r="1130" spans="1:8" ht="15" x14ac:dyDescent="0.2">
      <c r="A1130" s="6" t="s">
        <v>282</v>
      </c>
      <c r="B1130" s="6" t="s">
        <v>283</v>
      </c>
      <c r="C1130" s="6" t="s">
        <v>284</v>
      </c>
      <c r="D1130" s="11">
        <v>590</v>
      </c>
      <c r="E1130" s="11">
        <v>2271.2199999999998</v>
      </c>
      <c r="F1130" s="8">
        <f t="shared" si="23"/>
        <v>2861.22</v>
      </c>
      <c r="G1130" s="9">
        <v>2368.4</v>
      </c>
      <c r="H1130" s="10">
        <v>2121.54</v>
      </c>
    </row>
    <row r="1131" spans="1:8" ht="15" x14ac:dyDescent="0.2">
      <c r="A1131" s="6" t="s">
        <v>285</v>
      </c>
      <c r="B1131" s="6" t="s">
        <v>286</v>
      </c>
      <c r="C1131" s="6" t="s">
        <v>31</v>
      </c>
      <c r="D1131" s="11">
        <v>760</v>
      </c>
      <c r="E1131" s="11">
        <v>326.91000000000003</v>
      </c>
      <c r="F1131" s="8">
        <f t="shared" si="23"/>
        <v>1086.9100000000001</v>
      </c>
      <c r="G1131" s="9">
        <v>1026.3800000000001</v>
      </c>
      <c r="H1131" s="10">
        <v>839.02</v>
      </c>
    </row>
    <row r="1132" spans="1:8" ht="15" x14ac:dyDescent="0.2">
      <c r="A1132" s="6" t="s">
        <v>287</v>
      </c>
      <c r="B1132" s="6" t="s">
        <v>288</v>
      </c>
      <c r="C1132" s="6" t="s">
        <v>289</v>
      </c>
      <c r="D1132" s="11">
        <v>1500</v>
      </c>
      <c r="E1132" s="11">
        <v>378.84</v>
      </c>
      <c r="F1132" s="8">
        <f t="shared" si="23"/>
        <v>1878.84</v>
      </c>
      <c r="G1132" s="9">
        <v>0</v>
      </c>
      <c r="H1132" s="10">
        <v>549.96</v>
      </c>
    </row>
    <row r="1133" spans="1:8" ht="15" x14ac:dyDescent="0.2">
      <c r="A1133" s="6" t="s">
        <v>290</v>
      </c>
      <c r="B1133" s="6" t="s">
        <v>286</v>
      </c>
      <c r="C1133" s="6" t="s">
        <v>291</v>
      </c>
      <c r="D1133" s="11">
        <v>0</v>
      </c>
      <c r="E1133" s="11">
        <v>240</v>
      </c>
      <c r="F1133" s="8">
        <f t="shared" si="23"/>
        <v>240</v>
      </c>
      <c r="G1133" s="9">
        <v>230</v>
      </c>
      <c r="H1133" s="10">
        <v>151</v>
      </c>
    </row>
    <row r="1134" spans="1:8" ht="15" x14ac:dyDescent="0.2">
      <c r="A1134" s="6" t="s">
        <v>292</v>
      </c>
      <c r="B1134" s="6" t="s">
        <v>293</v>
      </c>
      <c r="C1134" s="6" t="s">
        <v>294</v>
      </c>
      <c r="D1134" s="11">
        <v>218</v>
      </c>
      <c r="E1134" s="11">
        <v>306.56</v>
      </c>
      <c r="F1134" s="8">
        <f t="shared" si="23"/>
        <v>524.55999999999995</v>
      </c>
      <c r="G1134" s="9">
        <v>329.39</v>
      </c>
      <c r="H1134" s="10">
        <v>261.3</v>
      </c>
    </row>
    <row r="1135" spans="1:8" ht="15" x14ac:dyDescent="0.2">
      <c r="A1135" s="6" t="s">
        <v>295</v>
      </c>
      <c r="B1135" s="6" t="s">
        <v>296</v>
      </c>
      <c r="C1135" s="6" t="s">
        <v>297</v>
      </c>
      <c r="D1135" s="11">
        <v>110</v>
      </c>
      <c r="E1135" s="11">
        <v>2443.75</v>
      </c>
      <c r="F1135" s="8">
        <f t="shared" si="23"/>
        <v>2553.75</v>
      </c>
      <c r="G1135" s="9">
        <v>1501.5</v>
      </c>
      <c r="H1135" s="10">
        <v>1687.93</v>
      </c>
    </row>
    <row r="1136" spans="1:8" ht="15" x14ac:dyDescent="0.2">
      <c r="A1136" s="6" t="s">
        <v>298</v>
      </c>
      <c r="B1136" s="6" t="s">
        <v>286</v>
      </c>
      <c r="C1136" s="6" t="s">
        <v>299</v>
      </c>
      <c r="D1136" s="11">
        <v>0</v>
      </c>
      <c r="E1136" s="11">
        <v>0</v>
      </c>
      <c r="F1136" s="8">
        <f t="shared" si="23"/>
        <v>0</v>
      </c>
      <c r="G1136" s="9">
        <v>270.82</v>
      </c>
      <c r="H1136" s="10">
        <v>235.75</v>
      </c>
    </row>
    <row r="1137" spans="1:8" ht="15" x14ac:dyDescent="0.2">
      <c r="A1137" s="6" t="s">
        <v>300</v>
      </c>
      <c r="B1137" s="6" t="s">
        <v>110</v>
      </c>
      <c r="C1137" s="6" t="s">
        <v>301</v>
      </c>
      <c r="D1137" s="11">
        <v>0</v>
      </c>
      <c r="E1137" s="11">
        <v>1076.1099999999999</v>
      </c>
      <c r="F1137" s="8">
        <f t="shared" si="23"/>
        <v>1076.1099999999999</v>
      </c>
      <c r="G1137" s="9">
        <v>1136.6400000000001</v>
      </c>
      <c r="H1137" s="10">
        <v>1210.3600000000001</v>
      </c>
    </row>
    <row r="1138" spans="1:8" ht="15" x14ac:dyDescent="0.2">
      <c r="A1138" s="6" t="s">
        <v>302</v>
      </c>
      <c r="B1138" s="6" t="s">
        <v>286</v>
      </c>
      <c r="C1138" s="6" t="s">
        <v>303</v>
      </c>
      <c r="D1138" s="11">
        <v>0</v>
      </c>
      <c r="E1138" s="11">
        <v>115.07</v>
      </c>
      <c r="F1138" s="8">
        <f t="shared" si="23"/>
        <v>115.07</v>
      </c>
      <c r="G1138" s="9">
        <v>0</v>
      </c>
      <c r="H1138" s="10">
        <v>79.100000000000009</v>
      </c>
    </row>
    <row r="1139" spans="1:8" ht="15" x14ac:dyDescent="0.2">
      <c r="A1139" s="6" t="s">
        <v>304</v>
      </c>
      <c r="B1139" s="6"/>
      <c r="C1139" s="6" t="s">
        <v>305</v>
      </c>
      <c r="D1139" s="11">
        <v>769.99</v>
      </c>
      <c r="E1139" s="11">
        <f>203.91-70.32</f>
        <v>133.59</v>
      </c>
      <c r="F1139" s="8">
        <f t="shared" si="23"/>
        <v>903.58</v>
      </c>
      <c r="G1139" s="9">
        <v>1259.51</v>
      </c>
      <c r="H1139" s="10">
        <v>1744.04</v>
      </c>
    </row>
    <row r="1140" spans="1:8" ht="15" x14ac:dyDescent="0.2">
      <c r="A1140" s="6" t="s">
        <v>306</v>
      </c>
      <c r="B1140" s="6"/>
      <c r="C1140" s="6"/>
      <c r="D1140" s="7"/>
      <c r="E1140" s="7">
        <v>0</v>
      </c>
      <c r="F1140" s="8">
        <f t="shared" si="23"/>
        <v>0</v>
      </c>
      <c r="G1140" s="9">
        <v>77.5</v>
      </c>
      <c r="H1140" s="10"/>
    </row>
    <row r="1141" spans="1:8" ht="15.75" x14ac:dyDescent="0.2">
      <c r="A1141" s="13" t="s">
        <v>307</v>
      </c>
      <c r="B1141" s="14"/>
      <c r="C1141" s="14"/>
      <c r="D1141" s="15">
        <f>SUM(D1023:D1140)</f>
        <v>61054.499999999993</v>
      </c>
      <c r="E1141" s="15">
        <f>SUM(E1023:E1140)</f>
        <v>94468.320000000036</v>
      </c>
      <c r="F1141" s="16">
        <f>(D1141+E1141)</f>
        <v>155522.82000000004</v>
      </c>
      <c r="G1141" s="16">
        <v>152081.07000000004</v>
      </c>
      <c r="H1141" s="17">
        <v>151869.59999999998</v>
      </c>
    </row>
    <row r="1142" spans="1:8" s="62" customFormat="1" x14ac:dyDescent="0.2">
      <c r="A1142" s="60" t="s">
        <v>7262</v>
      </c>
      <c r="B1142" s="60"/>
      <c r="C1142" s="60"/>
      <c r="D1142" s="60"/>
      <c r="E1142" s="60"/>
      <c r="F1142" s="61"/>
      <c r="G1142" s="61"/>
      <c r="H1142" s="60"/>
    </row>
    <row r="1143" spans="1:8" ht="20.25" x14ac:dyDescent="0.2">
      <c r="A1143" s="248" t="s">
        <v>7808</v>
      </c>
      <c r="B1143" s="248"/>
      <c r="C1143" s="248"/>
      <c r="D1143" s="248"/>
      <c r="E1143" s="248"/>
      <c r="F1143" s="248"/>
      <c r="G1143" s="248"/>
      <c r="H1143" s="86"/>
    </row>
    <row r="1144" spans="1:8" ht="15.75" x14ac:dyDescent="0.2">
      <c r="A1144" s="203" t="s">
        <v>1</v>
      </c>
      <c r="B1144" s="191" t="s">
        <v>7809</v>
      </c>
      <c r="C1144" s="191" t="s">
        <v>3</v>
      </c>
      <c r="D1144" s="190" t="s">
        <v>7687</v>
      </c>
      <c r="E1144" s="191" t="s">
        <v>7466</v>
      </c>
      <c r="F1144" s="4">
        <v>2018</v>
      </c>
      <c r="G1144" s="4">
        <v>2017</v>
      </c>
      <c r="H1144" s="204" t="s">
        <v>7178</v>
      </c>
    </row>
    <row r="1145" spans="1:8" ht="15" x14ac:dyDescent="0.2">
      <c r="A1145" s="205" t="s">
        <v>5056</v>
      </c>
      <c r="B1145" s="89" t="s">
        <v>5059</v>
      </c>
      <c r="C1145" s="89" t="s">
        <v>7810</v>
      </c>
      <c r="D1145" s="90">
        <v>1220</v>
      </c>
      <c r="E1145" s="206">
        <v>790.95</v>
      </c>
      <c r="F1145" s="207">
        <f>D1145+E1145</f>
        <v>2010.95</v>
      </c>
      <c r="G1145" s="208">
        <v>1873.36</v>
      </c>
      <c r="H1145" s="92">
        <v>1842.8400000000001</v>
      </c>
    </row>
    <row r="1146" spans="1:8" ht="15" x14ac:dyDescent="0.2">
      <c r="A1146" s="205" t="s">
        <v>5061</v>
      </c>
      <c r="B1146" s="89" t="s">
        <v>5059</v>
      </c>
      <c r="C1146" s="89" t="s">
        <v>5063</v>
      </c>
      <c r="D1146" s="90">
        <v>25</v>
      </c>
      <c r="E1146" s="206">
        <v>776</v>
      </c>
      <c r="F1146" s="207">
        <f t="shared" ref="F1146:F1209" si="24">D1146+E1146</f>
        <v>801</v>
      </c>
      <c r="G1146" s="208">
        <v>926.98</v>
      </c>
      <c r="H1146" s="92">
        <v>942.05000000000007</v>
      </c>
    </row>
    <row r="1147" spans="1:8" ht="15" x14ac:dyDescent="0.2">
      <c r="A1147" s="205" t="s">
        <v>5064</v>
      </c>
      <c r="B1147" s="89" t="s">
        <v>5059</v>
      </c>
      <c r="C1147" s="89" t="s">
        <v>5066</v>
      </c>
      <c r="D1147" s="90">
        <v>70</v>
      </c>
      <c r="E1147" s="206">
        <v>729.45</v>
      </c>
      <c r="F1147" s="207">
        <f t="shared" si="24"/>
        <v>799.45</v>
      </c>
      <c r="G1147" s="208">
        <v>759.72</v>
      </c>
      <c r="H1147" s="92">
        <v>957.30000000000007</v>
      </c>
    </row>
    <row r="1148" spans="1:8" ht="15" x14ac:dyDescent="0.2">
      <c r="A1148" s="205" t="s">
        <v>5067</v>
      </c>
      <c r="B1148" s="89" t="s">
        <v>5070</v>
      </c>
      <c r="C1148" s="89" t="s">
        <v>5069</v>
      </c>
      <c r="D1148" s="90">
        <v>250</v>
      </c>
      <c r="E1148" s="206">
        <v>320.45</v>
      </c>
      <c r="F1148" s="207">
        <f t="shared" si="24"/>
        <v>570.45000000000005</v>
      </c>
      <c r="G1148" s="208">
        <v>630.79999999999995</v>
      </c>
      <c r="H1148" s="92">
        <v>1328</v>
      </c>
    </row>
    <row r="1149" spans="1:8" ht="15" x14ac:dyDescent="0.2">
      <c r="A1149" s="205" t="s">
        <v>5072</v>
      </c>
      <c r="B1149" s="89" t="s">
        <v>5075</v>
      </c>
      <c r="C1149" s="89" t="s">
        <v>5074</v>
      </c>
      <c r="D1149" s="90">
        <v>735</v>
      </c>
      <c r="E1149" s="206">
        <v>2826.3799999999997</v>
      </c>
      <c r="F1149" s="207">
        <f t="shared" si="24"/>
        <v>3561.3799999999997</v>
      </c>
      <c r="G1149" s="208">
        <v>3535.8199999999993</v>
      </c>
      <c r="H1149" s="92">
        <v>1353.79</v>
      </c>
    </row>
    <row r="1150" spans="1:8" ht="15" x14ac:dyDescent="0.2">
      <c r="A1150" s="205" t="s">
        <v>5077</v>
      </c>
      <c r="B1150" s="89" t="s">
        <v>5080</v>
      </c>
      <c r="C1150" s="89" t="s">
        <v>5079</v>
      </c>
      <c r="D1150" s="90">
        <v>1357</v>
      </c>
      <c r="E1150" s="206">
        <v>2927.17</v>
      </c>
      <c r="F1150" s="207">
        <f t="shared" si="24"/>
        <v>4284.17</v>
      </c>
      <c r="G1150" s="208">
        <v>3796</v>
      </c>
      <c r="H1150" s="92">
        <v>3649</v>
      </c>
    </row>
    <row r="1151" spans="1:8" ht="15" x14ac:dyDescent="0.2">
      <c r="A1151" s="205" t="s">
        <v>5082</v>
      </c>
      <c r="B1151" s="89" t="s">
        <v>5080</v>
      </c>
      <c r="C1151" s="89" t="s">
        <v>246</v>
      </c>
      <c r="D1151" s="90">
        <f>1058+60</f>
        <v>1118</v>
      </c>
      <c r="E1151" s="206">
        <v>5431.86</v>
      </c>
      <c r="F1151" s="207">
        <f t="shared" si="24"/>
        <v>6549.86</v>
      </c>
      <c r="G1151" s="208">
        <v>7772.9299999999994</v>
      </c>
      <c r="H1151" s="92">
        <v>7461.56</v>
      </c>
    </row>
    <row r="1152" spans="1:8" ht="15" x14ac:dyDescent="0.2">
      <c r="A1152" s="205" t="s">
        <v>5084</v>
      </c>
      <c r="B1152" s="89" t="s">
        <v>5087</v>
      </c>
      <c r="C1152" s="89" t="s">
        <v>740</v>
      </c>
      <c r="D1152" s="90">
        <v>84</v>
      </c>
      <c r="E1152" s="206">
        <v>317.64</v>
      </c>
      <c r="F1152" s="207">
        <f t="shared" si="24"/>
        <v>401.64</v>
      </c>
      <c r="G1152" s="208">
        <v>503.66</v>
      </c>
      <c r="H1152" s="92">
        <v>423.46000000000004</v>
      </c>
    </row>
    <row r="1153" spans="1:8" ht="15" x14ac:dyDescent="0.2">
      <c r="A1153" s="205" t="s">
        <v>5089</v>
      </c>
      <c r="B1153" s="89" t="s">
        <v>5092</v>
      </c>
      <c r="C1153" s="89" t="s">
        <v>5091</v>
      </c>
      <c r="D1153" s="90">
        <v>289.95</v>
      </c>
      <c r="E1153" s="206">
        <v>1579.17</v>
      </c>
      <c r="F1153" s="207">
        <f t="shared" si="24"/>
        <v>1869.1200000000001</v>
      </c>
      <c r="G1153" s="208">
        <v>1900.3400000000001</v>
      </c>
      <c r="H1153" s="92">
        <v>1914.13</v>
      </c>
    </row>
    <row r="1154" spans="1:8" ht="15" x14ac:dyDescent="0.2">
      <c r="A1154" s="205" t="s">
        <v>5093</v>
      </c>
      <c r="B1154" s="89" t="s">
        <v>5096</v>
      </c>
      <c r="C1154" s="89" t="s">
        <v>5095</v>
      </c>
      <c r="D1154" s="90">
        <v>453</v>
      </c>
      <c r="E1154" s="206">
        <v>248.87</v>
      </c>
      <c r="F1154" s="207">
        <f t="shared" si="24"/>
        <v>701.87</v>
      </c>
      <c r="G1154" s="208">
        <v>647.95000000000005</v>
      </c>
      <c r="H1154" s="92">
        <v>776.9</v>
      </c>
    </row>
    <row r="1155" spans="1:8" ht="15" x14ac:dyDescent="0.2">
      <c r="A1155" s="205" t="s">
        <v>5097</v>
      </c>
      <c r="B1155" s="89" t="s">
        <v>5096</v>
      </c>
      <c r="C1155" s="89" t="s">
        <v>7811</v>
      </c>
      <c r="D1155" s="90">
        <v>146</v>
      </c>
      <c r="E1155" s="206">
        <v>544.42999999999995</v>
      </c>
      <c r="F1155" s="207">
        <f t="shared" si="24"/>
        <v>690.43</v>
      </c>
      <c r="G1155" s="208">
        <v>747.64</v>
      </c>
      <c r="H1155" s="92">
        <v>970.18000000000006</v>
      </c>
    </row>
    <row r="1156" spans="1:8" ht="15" x14ac:dyDescent="0.2">
      <c r="A1156" s="205" t="s">
        <v>5100</v>
      </c>
      <c r="B1156" s="89" t="s">
        <v>5096</v>
      </c>
      <c r="C1156" s="89" t="s">
        <v>839</v>
      </c>
      <c r="D1156" s="90">
        <v>1530</v>
      </c>
      <c r="E1156" s="206">
        <v>1264.3</v>
      </c>
      <c r="F1156" s="207">
        <f t="shared" si="24"/>
        <v>2794.3</v>
      </c>
      <c r="G1156" s="208">
        <v>2299.54</v>
      </c>
      <c r="H1156" s="92">
        <v>1276.92</v>
      </c>
    </row>
    <row r="1157" spans="1:8" ht="15" x14ac:dyDescent="0.2">
      <c r="A1157" s="205" t="s">
        <v>5103</v>
      </c>
      <c r="B1157" s="89" t="s">
        <v>5096</v>
      </c>
      <c r="C1157" s="89" t="s">
        <v>532</v>
      </c>
      <c r="D1157" s="90">
        <v>283</v>
      </c>
      <c r="E1157" s="206">
        <v>511.59000000000003</v>
      </c>
      <c r="F1157" s="207">
        <f t="shared" si="24"/>
        <v>794.59</v>
      </c>
      <c r="G1157" s="208">
        <v>643.49</v>
      </c>
      <c r="H1157" s="92">
        <v>729.86</v>
      </c>
    </row>
    <row r="1158" spans="1:8" ht="15" x14ac:dyDescent="0.2">
      <c r="A1158" s="205" t="s">
        <v>5106</v>
      </c>
      <c r="B1158" s="89" t="s">
        <v>5096</v>
      </c>
      <c r="C1158" s="89" t="s">
        <v>5108</v>
      </c>
      <c r="D1158" s="90">
        <v>50</v>
      </c>
      <c r="E1158" s="206">
        <v>213</v>
      </c>
      <c r="F1158" s="207">
        <f t="shared" si="24"/>
        <v>263</v>
      </c>
      <c r="G1158" s="208">
        <v>670.65</v>
      </c>
      <c r="H1158" s="92">
        <v>382.5</v>
      </c>
    </row>
    <row r="1159" spans="1:8" ht="15" x14ac:dyDescent="0.2">
      <c r="A1159" s="205" t="s">
        <v>5109</v>
      </c>
      <c r="B1159" s="89" t="s">
        <v>5096</v>
      </c>
      <c r="C1159" s="89" t="s">
        <v>2667</v>
      </c>
      <c r="D1159" s="90">
        <v>55</v>
      </c>
      <c r="E1159" s="206">
        <v>154</v>
      </c>
      <c r="F1159" s="207">
        <f t="shared" si="24"/>
        <v>209</v>
      </c>
      <c r="G1159" s="208">
        <v>295.60000000000002</v>
      </c>
      <c r="H1159" s="92">
        <v>346</v>
      </c>
    </row>
    <row r="1160" spans="1:8" ht="15" x14ac:dyDescent="0.2">
      <c r="A1160" s="205" t="s">
        <v>5115</v>
      </c>
      <c r="B1160" s="89" t="s">
        <v>5096</v>
      </c>
      <c r="C1160" s="89" t="s">
        <v>5117</v>
      </c>
      <c r="D1160" s="90">
        <v>30</v>
      </c>
      <c r="E1160" s="206">
        <v>256.21000000000004</v>
      </c>
      <c r="F1160" s="207">
        <f t="shared" si="24"/>
        <v>286.21000000000004</v>
      </c>
      <c r="G1160" s="208">
        <v>341.25</v>
      </c>
      <c r="H1160" s="92">
        <v>269.49</v>
      </c>
    </row>
    <row r="1161" spans="1:8" ht="15" x14ac:dyDescent="0.2">
      <c r="A1161" s="205" t="s">
        <v>5118</v>
      </c>
      <c r="B1161" s="89" t="s">
        <v>5120</v>
      </c>
      <c r="C1161" s="89" t="s">
        <v>476</v>
      </c>
      <c r="D1161" s="90">
        <v>245</v>
      </c>
      <c r="E1161" s="206">
        <v>961</v>
      </c>
      <c r="F1161" s="207">
        <f t="shared" si="24"/>
        <v>1206</v>
      </c>
      <c r="G1161" s="208">
        <v>530</v>
      </c>
      <c r="H1161" s="92">
        <v>525</v>
      </c>
    </row>
    <row r="1162" spans="1:8" ht="15" x14ac:dyDescent="0.2">
      <c r="A1162" s="205" t="s">
        <v>5121</v>
      </c>
      <c r="B1162" s="89" t="s">
        <v>5123</v>
      </c>
      <c r="C1162" s="89" t="s">
        <v>246</v>
      </c>
      <c r="D1162" s="90">
        <v>445</v>
      </c>
      <c r="E1162" s="206">
        <v>961</v>
      </c>
      <c r="F1162" s="207">
        <f t="shared" si="24"/>
        <v>1406</v>
      </c>
      <c r="G1162" s="208">
        <v>1469</v>
      </c>
      <c r="H1162" s="92">
        <v>1493</v>
      </c>
    </row>
    <row r="1163" spans="1:8" ht="15" x14ac:dyDescent="0.2">
      <c r="A1163" s="205" t="s">
        <v>5124</v>
      </c>
      <c r="B1163" s="89" t="s">
        <v>5126</v>
      </c>
      <c r="C1163" s="89" t="s">
        <v>164</v>
      </c>
      <c r="D1163" s="90">
        <v>150</v>
      </c>
      <c r="E1163" s="206">
        <v>898.93000000000006</v>
      </c>
      <c r="F1163" s="207">
        <f t="shared" si="24"/>
        <v>1048.93</v>
      </c>
      <c r="G1163" s="208">
        <v>986.56000000000006</v>
      </c>
      <c r="H1163" s="92">
        <v>694.56000000000006</v>
      </c>
    </row>
    <row r="1164" spans="1:8" ht="15" x14ac:dyDescent="0.2">
      <c r="A1164" s="205" t="s">
        <v>5128</v>
      </c>
      <c r="B1164" s="89" t="s">
        <v>5130</v>
      </c>
      <c r="C1164" s="89" t="s">
        <v>916</v>
      </c>
      <c r="D1164" s="90">
        <v>388</v>
      </c>
      <c r="E1164" s="206">
        <v>1898.56</v>
      </c>
      <c r="F1164" s="207">
        <f t="shared" si="24"/>
        <v>2286.56</v>
      </c>
      <c r="G1164" s="208">
        <v>1695.22</v>
      </c>
      <c r="H1164" s="92">
        <v>1651.47</v>
      </c>
    </row>
    <row r="1165" spans="1:8" ht="15" x14ac:dyDescent="0.2">
      <c r="A1165" s="205" t="s">
        <v>5131</v>
      </c>
      <c r="B1165" s="89" t="s">
        <v>7812</v>
      </c>
      <c r="C1165" s="89" t="s">
        <v>5133</v>
      </c>
      <c r="D1165" s="90">
        <v>556</v>
      </c>
      <c r="E1165" s="206">
        <v>1369.18</v>
      </c>
      <c r="F1165" s="207">
        <f t="shared" si="24"/>
        <v>1925.18</v>
      </c>
      <c r="G1165" s="208">
        <v>2484.2800000000002</v>
      </c>
      <c r="H1165" s="92">
        <v>3066.37</v>
      </c>
    </row>
    <row r="1166" spans="1:8" ht="15" x14ac:dyDescent="0.2">
      <c r="A1166" s="205" t="s">
        <v>5136</v>
      </c>
      <c r="B1166" s="89" t="s">
        <v>1128</v>
      </c>
      <c r="C1166" s="89" t="s">
        <v>5138</v>
      </c>
      <c r="D1166" s="90">
        <v>112</v>
      </c>
      <c r="E1166" s="206">
        <v>304.94</v>
      </c>
      <c r="F1166" s="207">
        <f t="shared" si="24"/>
        <v>416.94</v>
      </c>
      <c r="G1166" s="208">
        <v>396</v>
      </c>
      <c r="H1166" s="92">
        <v>426</v>
      </c>
    </row>
    <row r="1167" spans="1:8" ht="15" x14ac:dyDescent="0.2">
      <c r="A1167" s="205" t="s">
        <v>5139</v>
      </c>
      <c r="B1167" s="89" t="s">
        <v>1128</v>
      </c>
      <c r="C1167" s="89" t="s">
        <v>5141</v>
      </c>
      <c r="D1167" s="90">
        <v>610</v>
      </c>
      <c r="E1167" s="206">
        <v>671.33</v>
      </c>
      <c r="F1167" s="207">
        <f t="shared" si="24"/>
        <v>1281.33</v>
      </c>
      <c r="G1167" s="208">
        <v>1855.3</v>
      </c>
      <c r="H1167" s="92">
        <v>813.5</v>
      </c>
    </row>
    <row r="1168" spans="1:8" ht="15" x14ac:dyDescent="0.2">
      <c r="A1168" s="205" t="s">
        <v>5143</v>
      </c>
      <c r="B1168" s="89" t="s">
        <v>5146</v>
      </c>
      <c r="C1168" s="89" t="s">
        <v>5145</v>
      </c>
      <c r="D1168" s="90">
        <v>870</v>
      </c>
      <c r="E1168" s="206">
        <v>1108.8599999999999</v>
      </c>
      <c r="F1168" s="207">
        <f t="shared" si="24"/>
        <v>1978.86</v>
      </c>
      <c r="G1168" s="208">
        <v>2126.81</v>
      </c>
      <c r="H1168" s="92">
        <v>2113.2600000000002</v>
      </c>
    </row>
    <row r="1169" spans="1:8" ht="15" x14ac:dyDescent="0.2">
      <c r="A1169" s="205" t="s">
        <v>5148</v>
      </c>
      <c r="B1169" s="89" t="s">
        <v>5146</v>
      </c>
      <c r="C1169" s="89" t="s">
        <v>301</v>
      </c>
      <c r="D1169" s="90">
        <v>391</v>
      </c>
      <c r="E1169" s="206">
        <v>453.46999999999997</v>
      </c>
      <c r="F1169" s="207">
        <f t="shared" si="24"/>
        <v>844.47</v>
      </c>
      <c r="G1169" s="208">
        <v>1697.4</v>
      </c>
      <c r="H1169" s="92">
        <v>1734</v>
      </c>
    </row>
    <row r="1170" spans="1:8" ht="15" x14ac:dyDescent="0.2">
      <c r="A1170" s="205" t="s">
        <v>5150</v>
      </c>
      <c r="B1170" s="89" t="s">
        <v>5146</v>
      </c>
      <c r="C1170" s="89" t="s">
        <v>5152</v>
      </c>
      <c r="D1170" s="90">
        <v>0</v>
      </c>
      <c r="E1170" s="206">
        <v>0</v>
      </c>
      <c r="F1170" s="207">
        <f t="shared" si="24"/>
        <v>0</v>
      </c>
      <c r="G1170" s="208">
        <v>0</v>
      </c>
      <c r="H1170" s="92">
        <v>200</v>
      </c>
    </row>
    <row r="1171" spans="1:8" ht="15" x14ac:dyDescent="0.2">
      <c r="A1171" s="205" t="s">
        <v>5153</v>
      </c>
      <c r="B1171" s="89" t="s">
        <v>5146</v>
      </c>
      <c r="C1171" s="89" t="s">
        <v>5155</v>
      </c>
      <c r="D1171" s="90">
        <v>20</v>
      </c>
      <c r="E1171" s="206">
        <v>402.19</v>
      </c>
      <c r="F1171" s="207">
        <f t="shared" si="24"/>
        <v>422.19</v>
      </c>
      <c r="G1171" s="208">
        <v>589.66</v>
      </c>
      <c r="H1171" s="92">
        <v>437.33</v>
      </c>
    </row>
    <row r="1172" spans="1:8" ht="15" x14ac:dyDescent="0.2">
      <c r="A1172" s="205" t="s">
        <v>5156</v>
      </c>
      <c r="B1172" s="89" t="s">
        <v>5146</v>
      </c>
      <c r="C1172" s="89" t="s">
        <v>5158</v>
      </c>
      <c r="D1172" s="90">
        <v>235</v>
      </c>
      <c r="E1172" s="206">
        <v>3080.7300000000005</v>
      </c>
      <c r="F1172" s="207">
        <f t="shared" si="24"/>
        <v>3315.7300000000005</v>
      </c>
      <c r="G1172" s="208">
        <v>2730.6899999999996</v>
      </c>
      <c r="H1172" s="92">
        <v>2583.69</v>
      </c>
    </row>
    <row r="1173" spans="1:8" ht="15" x14ac:dyDescent="0.2">
      <c r="A1173" s="205" t="s">
        <v>5163</v>
      </c>
      <c r="B1173" s="89" t="s">
        <v>5166</v>
      </c>
      <c r="C1173" s="89" t="s">
        <v>7813</v>
      </c>
      <c r="D1173" s="90">
        <v>115</v>
      </c>
      <c r="E1173" s="206">
        <v>437.07</v>
      </c>
      <c r="F1173" s="207">
        <f t="shared" si="24"/>
        <v>552.06999999999994</v>
      </c>
      <c r="G1173" s="208">
        <v>597.52</v>
      </c>
      <c r="H1173" s="92">
        <v>679.38</v>
      </c>
    </row>
    <row r="1174" spans="1:8" ht="15" x14ac:dyDescent="0.2">
      <c r="A1174" s="205" t="s">
        <v>5171</v>
      </c>
      <c r="B1174" s="89" t="s">
        <v>5173</v>
      </c>
      <c r="C1174" s="89" t="s">
        <v>226</v>
      </c>
      <c r="D1174" s="90">
        <v>200</v>
      </c>
      <c r="E1174" s="206">
        <v>1277.58</v>
      </c>
      <c r="F1174" s="207">
        <f t="shared" si="24"/>
        <v>1477.58</v>
      </c>
      <c r="G1174" s="208">
        <v>1177.44</v>
      </c>
      <c r="H1174" s="92">
        <v>1025</v>
      </c>
    </row>
    <row r="1175" spans="1:8" ht="15" x14ac:dyDescent="0.2">
      <c r="A1175" s="205" t="s">
        <v>5174</v>
      </c>
      <c r="B1175" s="89" t="s">
        <v>5177</v>
      </c>
      <c r="C1175" s="89" t="s">
        <v>5176</v>
      </c>
      <c r="D1175" s="90">
        <v>703</v>
      </c>
      <c r="E1175" s="206">
        <v>1191.27</v>
      </c>
      <c r="F1175" s="207">
        <f t="shared" si="24"/>
        <v>1894.27</v>
      </c>
      <c r="G1175" s="208">
        <v>2057.83</v>
      </c>
      <c r="H1175" s="92">
        <v>1564.57</v>
      </c>
    </row>
    <row r="1176" spans="1:8" ht="15" x14ac:dyDescent="0.2">
      <c r="A1176" s="205" t="s">
        <v>5178</v>
      </c>
      <c r="B1176" s="89" t="s">
        <v>5180</v>
      </c>
      <c r="C1176" s="89" t="s">
        <v>226</v>
      </c>
      <c r="D1176" s="90">
        <v>190</v>
      </c>
      <c r="E1176" s="206">
        <v>854.49</v>
      </c>
      <c r="F1176" s="207">
        <f t="shared" si="24"/>
        <v>1044.49</v>
      </c>
      <c r="G1176" s="208">
        <v>1224.22</v>
      </c>
      <c r="H1176" s="92">
        <v>881.15</v>
      </c>
    </row>
    <row r="1177" spans="1:8" ht="15" x14ac:dyDescent="0.2">
      <c r="A1177" s="205" t="s">
        <v>5181</v>
      </c>
      <c r="B1177" s="89" t="s">
        <v>5183</v>
      </c>
      <c r="C1177" s="89" t="s">
        <v>1489</v>
      </c>
      <c r="D1177" s="90">
        <v>40</v>
      </c>
      <c r="E1177" s="206">
        <v>0</v>
      </c>
      <c r="F1177" s="207">
        <f t="shared" si="24"/>
        <v>40</v>
      </c>
      <c r="G1177" s="208">
        <v>43</v>
      </c>
      <c r="H1177" s="92">
        <v>189.13</v>
      </c>
    </row>
    <row r="1178" spans="1:8" ht="15" x14ac:dyDescent="0.2">
      <c r="A1178" s="205" t="s">
        <v>5184</v>
      </c>
      <c r="B1178" s="89" t="s">
        <v>5187</v>
      </c>
      <c r="C1178" s="89" t="s">
        <v>1032</v>
      </c>
      <c r="D1178" s="90">
        <v>230</v>
      </c>
      <c r="E1178" s="206">
        <v>1079.94</v>
      </c>
      <c r="F1178" s="207">
        <f t="shared" si="24"/>
        <v>1309.94</v>
      </c>
      <c r="G1178" s="208">
        <v>1080.3600000000001</v>
      </c>
      <c r="H1178" s="92">
        <v>1081.77</v>
      </c>
    </row>
    <row r="1179" spans="1:8" ht="15" x14ac:dyDescent="0.2">
      <c r="A1179" s="205" t="s">
        <v>7814</v>
      </c>
      <c r="B1179" s="89" t="s">
        <v>5190</v>
      </c>
      <c r="C1179" s="89" t="s">
        <v>4210</v>
      </c>
      <c r="D1179" s="90">
        <f>297+70</f>
        <v>367</v>
      </c>
      <c r="E1179" s="209">
        <v>1617.56</v>
      </c>
      <c r="F1179" s="207">
        <f t="shared" si="24"/>
        <v>1984.56</v>
      </c>
      <c r="G1179" s="208">
        <v>1959.4900000000002</v>
      </c>
      <c r="H1179" s="92">
        <v>2198.02</v>
      </c>
    </row>
    <row r="1180" spans="1:8" ht="15" x14ac:dyDescent="0.2">
      <c r="A1180" s="205" t="s">
        <v>5194</v>
      </c>
      <c r="B1180" s="89" t="s">
        <v>5196</v>
      </c>
      <c r="C1180" s="89" t="s">
        <v>299</v>
      </c>
      <c r="D1180" s="90">
        <v>540</v>
      </c>
      <c r="E1180" s="206">
        <v>894.25</v>
      </c>
      <c r="F1180" s="207">
        <f t="shared" si="24"/>
        <v>1434.25</v>
      </c>
      <c r="G1180" s="208">
        <v>1317.6599999999999</v>
      </c>
      <c r="H1180" s="92">
        <v>1474.15</v>
      </c>
    </row>
    <row r="1181" spans="1:8" ht="15" x14ac:dyDescent="0.2">
      <c r="A1181" s="205" t="s">
        <v>5197</v>
      </c>
      <c r="B1181" s="89" t="s">
        <v>5199</v>
      </c>
      <c r="C1181" s="89" t="s">
        <v>5063</v>
      </c>
      <c r="D1181" s="90">
        <v>871</v>
      </c>
      <c r="E1181" s="206">
        <v>2197.0700000000002</v>
      </c>
      <c r="F1181" s="207">
        <f t="shared" si="24"/>
        <v>3068.07</v>
      </c>
      <c r="G1181" s="208">
        <v>2960.38</v>
      </c>
      <c r="H1181" s="92">
        <v>2606</v>
      </c>
    </row>
    <row r="1182" spans="1:8" ht="15" x14ac:dyDescent="0.2">
      <c r="A1182" s="205" t="s">
        <v>5201</v>
      </c>
      <c r="B1182" s="89" t="s">
        <v>5190</v>
      </c>
      <c r="C1182" s="89" t="s">
        <v>1076</v>
      </c>
      <c r="D1182" s="90">
        <v>335</v>
      </c>
      <c r="E1182" s="206">
        <v>1591.3900000000003</v>
      </c>
      <c r="F1182" s="207">
        <f t="shared" si="24"/>
        <v>1926.3900000000003</v>
      </c>
      <c r="G1182" s="208">
        <v>1948.6700000000003</v>
      </c>
      <c r="H1182" s="92">
        <v>1484.48</v>
      </c>
    </row>
    <row r="1183" spans="1:8" ht="15" x14ac:dyDescent="0.2">
      <c r="A1183" s="205" t="s">
        <v>5204</v>
      </c>
      <c r="B1183" s="89" t="s">
        <v>5207</v>
      </c>
      <c r="C1183" s="89" t="s">
        <v>5206</v>
      </c>
      <c r="D1183" s="90">
        <v>842</v>
      </c>
      <c r="E1183" s="206">
        <v>0</v>
      </c>
      <c r="F1183" s="207">
        <f t="shared" si="24"/>
        <v>842</v>
      </c>
      <c r="G1183" s="208">
        <v>1336.54</v>
      </c>
      <c r="H1183" s="92">
        <v>1017.41</v>
      </c>
    </row>
    <row r="1184" spans="1:8" ht="15" x14ac:dyDescent="0.2">
      <c r="A1184" s="205" t="s">
        <v>5209</v>
      </c>
      <c r="B1184" s="89" t="s">
        <v>5212</v>
      </c>
      <c r="C1184" s="89" t="s">
        <v>5211</v>
      </c>
      <c r="D1184" s="90">
        <v>50</v>
      </c>
      <c r="E1184" s="206">
        <v>969.17</v>
      </c>
      <c r="F1184" s="207">
        <f t="shared" si="24"/>
        <v>1019.17</v>
      </c>
      <c r="G1184" s="208">
        <v>850.85</v>
      </c>
      <c r="H1184" s="92">
        <v>872.06000000000006</v>
      </c>
    </row>
    <row r="1185" spans="1:8" ht="15" x14ac:dyDescent="0.2">
      <c r="A1185" s="205" t="s">
        <v>5213</v>
      </c>
      <c r="B1185" s="89" t="s">
        <v>5216</v>
      </c>
      <c r="C1185" s="89" t="s">
        <v>5215</v>
      </c>
      <c r="D1185" s="90">
        <v>179.53</v>
      </c>
      <c r="E1185" s="206">
        <v>0</v>
      </c>
      <c r="F1185" s="207">
        <f t="shared" si="24"/>
        <v>179.53</v>
      </c>
      <c r="G1185" s="208">
        <v>356</v>
      </c>
      <c r="H1185" s="92">
        <v>115.16</v>
      </c>
    </row>
    <row r="1186" spans="1:8" ht="15" x14ac:dyDescent="0.2">
      <c r="A1186" s="205" t="s">
        <v>5217</v>
      </c>
      <c r="B1186" s="89" t="s">
        <v>5219</v>
      </c>
      <c r="C1186" s="89" t="s">
        <v>1065</v>
      </c>
      <c r="D1186" s="90">
        <v>470</v>
      </c>
      <c r="E1186" s="206">
        <v>6010</v>
      </c>
      <c r="F1186" s="207">
        <f t="shared" si="24"/>
        <v>6480</v>
      </c>
      <c r="G1186" s="208">
        <v>6555</v>
      </c>
      <c r="H1186" s="92">
        <v>6435</v>
      </c>
    </row>
    <row r="1187" spans="1:8" ht="15" x14ac:dyDescent="0.2">
      <c r="A1187" s="205" t="s">
        <v>5221</v>
      </c>
      <c r="B1187" s="89" t="s">
        <v>5223</v>
      </c>
      <c r="C1187" s="89" t="s">
        <v>1244</v>
      </c>
      <c r="D1187" s="90">
        <v>385</v>
      </c>
      <c r="E1187" s="206">
        <v>353.5</v>
      </c>
      <c r="F1187" s="207">
        <f t="shared" si="24"/>
        <v>738.5</v>
      </c>
      <c r="G1187" s="208">
        <v>388</v>
      </c>
      <c r="H1187" s="92">
        <v>892</v>
      </c>
    </row>
    <row r="1188" spans="1:8" ht="15" x14ac:dyDescent="0.2">
      <c r="A1188" s="205" t="s">
        <v>5225</v>
      </c>
      <c r="B1188" s="89" t="s">
        <v>5227</v>
      </c>
      <c r="C1188" s="89" t="s">
        <v>1004</v>
      </c>
      <c r="D1188" s="90">
        <v>480</v>
      </c>
      <c r="E1188" s="206">
        <v>235.91000000000003</v>
      </c>
      <c r="F1188" s="207">
        <f t="shared" si="24"/>
        <v>715.91000000000008</v>
      </c>
      <c r="G1188" s="208">
        <v>788.78</v>
      </c>
      <c r="H1188" s="92">
        <v>645.11</v>
      </c>
    </row>
    <row r="1189" spans="1:8" ht="15" x14ac:dyDescent="0.2">
      <c r="A1189" s="205" t="s">
        <v>5229</v>
      </c>
      <c r="B1189" s="89" t="s">
        <v>5232</v>
      </c>
      <c r="C1189" s="89" t="s">
        <v>5231</v>
      </c>
      <c r="D1189" s="90">
        <v>228</v>
      </c>
      <c r="E1189" s="206">
        <v>512.73</v>
      </c>
      <c r="F1189" s="207">
        <f t="shared" si="24"/>
        <v>740.73</v>
      </c>
      <c r="G1189" s="208">
        <v>946.29000000000008</v>
      </c>
      <c r="H1189" s="92">
        <v>955.63</v>
      </c>
    </row>
    <row r="1190" spans="1:8" ht="15" x14ac:dyDescent="0.2">
      <c r="A1190" s="205" t="s">
        <v>5233</v>
      </c>
      <c r="B1190" s="89" t="s">
        <v>5235</v>
      </c>
      <c r="C1190" s="89" t="s">
        <v>2667</v>
      </c>
      <c r="D1190" s="90">
        <v>135</v>
      </c>
      <c r="E1190" s="206">
        <v>526.95000000000005</v>
      </c>
      <c r="F1190" s="207">
        <f t="shared" si="24"/>
        <v>661.95</v>
      </c>
      <c r="G1190" s="208">
        <v>814</v>
      </c>
      <c r="H1190" s="92">
        <v>1237.8800000000001</v>
      </c>
    </row>
    <row r="1191" spans="1:8" ht="15" x14ac:dyDescent="0.2">
      <c r="A1191" s="205" t="s">
        <v>5236</v>
      </c>
      <c r="B1191" s="89" t="s">
        <v>5238</v>
      </c>
      <c r="C1191" s="89" t="s">
        <v>246</v>
      </c>
      <c r="D1191" s="90">
        <v>1578.27</v>
      </c>
      <c r="E1191" s="206">
        <v>215.65</v>
      </c>
      <c r="F1191" s="207">
        <f t="shared" si="24"/>
        <v>1793.92</v>
      </c>
      <c r="G1191" s="208">
        <v>1364.23</v>
      </c>
      <c r="H1191" s="92">
        <v>1290.2</v>
      </c>
    </row>
    <row r="1192" spans="1:8" ht="15" x14ac:dyDescent="0.2">
      <c r="A1192" s="205" t="s">
        <v>5240</v>
      </c>
      <c r="B1192" s="89" t="s">
        <v>5243</v>
      </c>
      <c r="C1192" s="89" t="s">
        <v>5242</v>
      </c>
      <c r="D1192" s="90">
        <v>474</v>
      </c>
      <c r="E1192" s="206">
        <v>999.37</v>
      </c>
      <c r="F1192" s="207">
        <f t="shared" si="24"/>
        <v>1473.37</v>
      </c>
      <c r="G1192" s="208">
        <v>869.53</v>
      </c>
      <c r="H1192" s="92">
        <v>1651.7</v>
      </c>
    </row>
    <row r="1193" spans="1:8" ht="15" x14ac:dyDescent="0.2">
      <c r="A1193" s="205" t="s">
        <v>5244</v>
      </c>
      <c r="B1193" s="89" t="s">
        <v>5246</v>
      </c>
      <c r="C1193" s="89" t="s">
        <v>1065</v>
      </c>
      <c r="D1193" s="90">
        <v>70</v>
      </c>
      <c r="E1193" s="206">
        <v>0</v>
      </c>
      <c r="F1193" s="207">
        <f t="shared" si="24"/>
        <v>70</v>
      </c>
      <c r="G1193" s="208">
        <v>368</v>
      </c>
      <c r="H1193" s="92">
        <v>689.31000000000006</v>
      </c>
    </row>
    <row r="1194" spans="1:8" ht="15" x14ac:dyDescent="0.2">
      <c r="A1194" s="205" t="s">
        <v>5247</v>
      </c>
      <c r="B1194" s="89" t="s">
        <v>5250</v>
      </c>
      <c r="C1194" s="89" t="s">
        <v>5249</v>
      </c>
      <c r="D1194" s="90">
        <v>0</v>
      </c>
      <c r="E1194" s="206">
        <v>205.89</v>
      </c>
      <c r="F1194" s="207">
        <f t="shared" si="24"/>
        <v>205.89</v>
      </c>
      <c r="G1194" s="208">
        <v>190.84</v>
      </c>
      <c r="H1194" s="92">
        <v>168.22</v>
      </c>
    </row>
    <row r="1195" spans="1:8" ht="15" x14ac:dyDescent="0.2">
      <c r="A1195" s="205" t="s">
        <v>5251</v>
      </c>
      <c r="B1195" s="89" t="s">
        <v>5253</v>
      </c>
      <c r="C1195" s="89" t="s">
        <v>5066</v>
      </c>
      <c r="D1195" s="90">
        <v>370</v>
      </c>
      <c r="E1195" s="206">
        <v>960.23</v>
      </c>
      <c r="F1195" s="207">
        <f t="shared" si="24"/>
        <v>1330.23</v>
      </c>
      <c r="G1195" s="208">
        <v>1158.02</v>
      </c>
      <c r="H1195" s="92">
        <v>1149.25</v>
      </c>
    </row>
    <row r="1196" spans="1:8" ht="15" x14ac:dyDescent="0.2">
      <c r="A1196" s="205" t="s">
        <v>5254</v>
      </c>
      <c r="B1196" s="89" t="s">
        <v>5257</v>
      </c>
      <c r="C1196" s="89" t="s">
        <v>5256</v>
      </c>
      <c r="D1196" s="90">
        <v>544</v>
      </c>
      <c r="E1196" s="206">
        <v>1244.5300000000002</v>
      </c>
      <c r="F1196" s="207">
        <f t="shared" si="24"/>
        <v>1788.5300000000002</v>
      </c>
      <c r="G1196" s="208">
        <v>2878.9700000000003</v>
      </c>
      <c r="H1196" s="92">
        <v>1686.83</v>
      </c>
    </row>
    <row r="1197" spans="1:8" ht="15" x14ac:dyDescent="0.2">
      <c r="A1197" s="205" t="s">
        <v>5259</v>
      </c>
      <c r="B1197" s="89" t="s">
        <v>5257</v>
      </c>
      <c r="C1197" s="89" t="s">
        <v>72</v>
      </c>
      <c r="D1197" s="90">
        <v>340.95</v>
      </c>
      <c r="E1197" s="206">
        <v>680</v>
      </c>
      <c r="F1197" s="207">
        <f t="shared" si="24"/>
        <v>1020.95</v>
      </c>
      <c r="G1197" s="208">
        <v>879</v>
      </c>
      <c r="H1197" s="92">
        <v>793.85</v>
      </c>
    </row>
    <row r="1198" spans="1:8" ht="15" x14ac:dyDescent="0.2">
      <c r="A1198" s="205" t="s">
        <v>5261</v>
      </c>
      <c r="B1198" s="210" t="s">
        <v>7815</v>
      </c>
      <c r="C1198" s="89" t="s">
        <v>7816</v>
      </c>
      <c r="D1198" s="90">
        <v>25</v>
      </c>
      <c r="E1198" s="206">
        <v>0</v>
      </c>
      <c r="F1198" s="207">
        <f t="shared" si="24"/>
        <v>25</v>
      </c>
      <c r="G1198" s="208">
        <v>25</v>
      </c>
      <c r="H1198" s="92">
        <v>25</v>
      </c>
    </row>
    <row r="1199" spans="1:8" ht="15" x14ac:dyDescent="0.2">
      <c r="A1199" s="205" t="s">
        <v>5264</v>
      </c>
      <c r="B1199" s="89" t="s">
        <v>5267</v>
      </c>
      <c r="C1199" s="89" t="s">
        <v>5266</v>
      </c>
      <c r="D1199" s="90">
        <v>215.24</v>
      </c>
      <c r="E1199" s="206">
        <v>0</v>
      </c>
      <c r="F1199" s="207">
        <f t="shared" si="24"/>
        <v>215.24</v>
      </c>
      <c r="G1199" s="208">
        <v>236.44</v>
      </c>
      <c r="H1199" s="92">
        <v>223.36</v>
      </c>
    </row>
    <row r="1200" spans="1:8" ht="15" x14ac:dyDescent="0.2">
      <c r="A1200" s="205" t="s">
        <v>5268</v>
      </c>
      <c r="B1200" s="89" t="s">
        <v>5271</v>
      </c>
      <c r="C1200" s="89" t="s">
        <v>5270</v>
      </c>
      <c r="D1200" s="90">
        <v>1238.2</v>
      </c>
      <c r="E1200" s="206">
        <v>0</v>
      </c>
      <c r="F1200" s="207">
        <f t="shared" si="24"/>
        <v>1238.2</v>
      </c>
      <c r="G1200" s="208">
        <v>640</v>
      </c>
      <c r="H1200" s="92">
        <v>650</v>
      </c>
    </row>
    <row r="1201" spans="1:8" ht="15" x14ac:dyDescent="0.2">
      <c r="A1201" s="205" t="s">
        <v>5272</v>
      </c>
      <c r="B1201" s="89" t="s">
        <v>5274</v>
      </c>
      <c r="C1201" s="89" t="s">
        <v>226</v>
      </c>
      <c r="D1201" s="90">
        <v>1295</v>
      </c>
      <c r="E1201" s="206">
        <v>256.54000000000002</v>
      </c>
      <c r="F1201" s="207">
        <f t="shared" si="24"/>
        <v>1551.54</v>
      </c>
      <c r="G1201" s="208">
        <v>340</v>
      </c>
      <c r="H1201" s="92">
        <v>574.49</v>
      </c>
    </row>
    <row r="1202" spans="1:8" ht="15" x14ac:dyDescent="0.2">
      <c r="A1202" s="205" t="s">
        <v>5283</v>
      </c>
      <c r="B1202" s="89" t="s">
        <v>5285</v>
      </c>
      <c r="C1202" s="89" t="s">
        <v>839</v>
      </c>
      <c r="D1202" s="90">
        <v>860</v>
      </c>
      <c r="E1202" s="206">
        <v>138.46</v>
      </c>
      <c r="F1202" s="207">
        <f t="shared" si="24"/>
        <v>998.46</v>
      </c>
      <c r="G1202" s="208">
        <v>1010.94</v>
      </c>
      <c r="H1202" s="92">
        <v>1181.02</v>
      </c>
    </row>
    <row r="1203" spans="1:8" ht="15" x14ac:dyDescent="0.2">
      <c r="A1203" s="205" t="s">
        <v>5286</v>
      </c>
      <c r="B1203" s="89" t="s">
        <v>5288</v>
      </c>
      <c r="C1203" s="89" t="s">
        <v>5066</v>
      </c>
      <c r="D1203" s="90">
        <v>171</v>
      </c>
      <c r="E1203" s="206">
        <v>0</v>
      </c>
      <c r="F1203" s="207">
        <f t="shared" si="24"/>
        <v>171</v>
      </c>
      <c r="G1203" s="208">
        <v>322</v>
      </c>
      <c r="H1203" s="92">
        <v>1683</v>
      </c>
    </row>
    <row r="1204" spans="1:8" ht="15" x14ac:dyDescent="0.2">
      <c r="A1204" s="205" t="s">
        <v>5289</v>
      </c>
      <c r="B1204" s="89" t="s">
        <v>5291</v>
      </c>
      <c r="C1204" s="89" t="s">
        <v>164</v>
      </c>
      <c r="D1204" s="90">
        <v>391.05</v>
      </c>
      <c r="E1204" s="206">
        <v>0</v>
      </c>
      <c r="F1204" s="207">
        <f t="shared" si="24"/>
        <v>391.05</v>
      </c>
      <c r="G1204" s="208">
        <v>494.25</v>
      </c>
      <c r="H1204" s="92">
        <v>936.27</v>
      </c>
    </row>
    <row r="1205" spans="1:8" ht="15" x14ac:dyDescent="0.2">
      <c r="A1205" s="205" t="s">
        <v>5292</v>
      </c>
      <c r="B1205" s="89" t="s">
        <v>195</v>
      </c>
      <c r="C1205" s="89" t="s">
        <v>942</v>
      </c>
      <c r="D1205" s="90">
        <v>138</v>
      </c>
      <c r="E1205" s="206">
        <v>368.21000000000004</v>
      </c>
      <c r="F1205" s="207">
        <f t="shared" si="24"/>
        <v>506.21000000000004</v>
      </c>
      <c r="G1205" s="208">
        <v>420.44</v>
      </c>
      <c r="H1205" s="92">
        <v>490.43</v>
      </c>
    </row>
    <row r="1206" spans="1:8" ht="15" x14ac:dyDescent="0.2">
      <c r="A1206" s="205" t="s">
        <v>5294</v>
      </c>
      <c r="B1206" s="89" t="s">
        <v>5297</v>
      </c>
      <c r="C1206" s="89" t="s">
        <v>7193</v>
      </c>
      <c r="D1206" s="90">
        <v>305</v>
      </c>
      <c r="E1206" s="206">
        <v>2329.0300000000002</v>
      </c>
      <c r="F1206" s="207">
        <f t="shared" si="24"/>
        <v>2634.03</v>
      </c>
      <c r="G1206" s="208">
        <v>2853.3200000000006</v>
      </c>
      <c r="H1206" s="92">
        <v>2466.7200000000003</v>
      </c>
    </row>
    <row r="1207" spans="1:8" ht="15" x14ac:dyDescent="0.2">
      <c r="A1207" s="205" t="s">
        <v>5300</v>
      </c>
      <c r="B1207" s="89" t="s">
        <v>5303</v>
      </c>
      <c r="C1207" s="89" t="s">
        <v>5302</v>
      </c>
      <c r="D1207" s="90">
        <v>205</v>
      </c>
      <c r="E1207" s="206">
        <v>650</v>
      </c>
      <c r="F1207" s="207">
        <f t="shared" si="24"/>
        <v>855</v>
      </c>
      <c r="G1207" s="208">
        <v>1033</v>
      </c>
      <c r="H1207" s="92">
        <v>936</v>
      </c>
    </row>
    <row r="1208" spans="1:8" ht="15" x14ac:dyDescent="0.2">
      <c r="A1208" s="205" t="s">
        <v>5305</v>
      </c>
      <c r="B1208" s="89" t="s">
        <v>5307</v>
      </c>
      <c r="C1208" s="89" t="s">
        <v>1203</v>
      </c>
      <c r="D1208" s="90">
        <v>70</v>
      </c>
      <c r="E1208" s="206">
        <v>0</v>
      </c>
      <c r="F1208" s="207">
        <f t="shared" si="24"/>
        <v>70</v>
      </c>
      <c r="G1208" s="208">
        <v>70</v>
      </c>
      <c r="H1208" s="92">
        <v>70</v>
      </c>
    </row>
    <row r="1209" spans="1:8" ht="15" x14ac:dyDescent="0.2">
      <c r="A1209" s="205" t="s">
        <v>5308</v>
      </c>
      <c r="B1209" s="89" t="s">
        <v>5310</v>
      </c>
      <c r="C1209" s="89" t="s">
        <v>1165</v>
      </c>
      <c r="D1209" s="90">
        <v>168.87</v>
      </c>
      <c r="E1209" s="206">
        <v>460</v>
      </c>
      <c r="F1209" s="207">
        <f t="shared" si="24"/>
        <v>628.87</v>
      </c>
      <c r="G1209" s="208">
        <v>585</v>
      </c>
      <c r="H1209" s="92">
        <v>615</v>
      </c>
    </row>
    <row r="1210" spans="1:8" ht="15" x14ac:dyDescent="0.2">
      <c r="A1210" s="205" t="s">
        <v>5311</v>
      </c>
      <c r="B1210" s="89" t="s">
        <v>5313</v>
      </c>
      <c r="C1210" s="89" t="s">
        <v>2667</v>
      </c>
      <c r="D1210" s="90">
        <v>190</v>
      </c>
      <c r="E1210" s="206">
        <v>174.85</v>
      </c>
      <c r="F1210" s="207">
        <f t="shared" ref="F1210:F1252" si="25">D1210+E1210</f>
        <v>364.85</v>
      </c>
      <c r="G1210" s="208">
        <v>505.4</v>
      </c>
      <c r="H1210" s="92">
        <v>663</v>
      </c>
    </row>
    <row r="1211" spans="1:8" ht="15" x14ac:dyDescent="0.2">
      <c r="A1211" s="205" t="s">
        <v>5314</v>
      </c>
      <c r="B1211" s="89" t="s">
        <v>5317</v>
      </c>
      <c r="C1211" s="89" t="s">
        <v>5316</v>
      </c>
      <c r="D1211" s="90">
        <v>45</v>
      </c>
      <c r="E1211" s="206">
        <v>2491.7399999999998</v>
      </c>
      <c r="F1211" s="207">
        <f t="shared" si="25"/>
        <v>2536.7399999999998</v>
      </c>
      <c r="G1211" s="208">
        <v>2269.86</v>
      </c>
      <c r="H1211" s="92">
        <v>2315.91</v>
      </c>
    </row>
    <row r="1212" spans="1:8" ht="15" x14ac:dyDescent="0.2">
      <c r="A1212" s="205" t="s">
        <v>5323</v>
      </c>
      <c r="B1212" s="89" t="s">
        <v>5322</v>
      </c>
      <c r="C1212" s="89" t="s">
        <v>7817</v>
      </c>
      <c r="D1212" s="90">
        <v>155</v>
      </c>
      <c r="E1212" s="206">
        <v>753.6</v>
      </c>
      <c r="F1212" s="207">
        <f t="shared" si="25"/>
        <v>908.6</v>
      </c>
      <c r="G1212" s="208">
        <v>155</v>
      </c>
      <c r="H1212" s="92">
        <v>577.91</v>
      </c>
    </row>
    <row r="1213" spans="1:8" ht="15" x14ac:dyDescent="0.2">
      <c r="A1213" s="205" t="s">
        <v>5326</v>
      </c>
      <c r="B1213" s="89" t="s">
        <v>5322</v>
      </c>
      <c r="C1213" s="89" t="s">
        <v>1160</v>
      </c>
      <c r="D1213" s="90">
        <v>35</v>
      </c>
      <c r="E1213" s="206">
        <f>883.13</f>
        <v>883.13</v>
      </c>
      <c r="F1213" s="207">
        <f t="shared" si="25"/>
        <v>918.13</v>
      </c>
      <c r="G1213" s="208">
        <v>386.18</v>
      </c>
      <c r="H1213" s="92">
        <v>468.76</v>
      </c>
    </row>
    <row r="1214" spans="1:8" ht="15" x14ac:dyDescent="0.2">
      <c r="A1214" s="211" t="s">
        <v>7818</v>
      </c>
      <c r="B1214" s="89" t="s">
        <v>5322</v>
      </c>
      <c r="C1214" s="94" t="s">
        <v>7819</v>
      </c>
      <c r="D1214" s="90">
        <f>221+120</f>
        <v>341</v>
      </c>
      <c r="E1214" s="206">
        <f>1686.25+150</f>
        <v>1836.25</v>
      </c>
      <c r="F1214" s="207">
        <f t="shared" si="25"/>
        <v>2177.25</v>
      </c>
      <c r="G1214" s="208">
        <v>942.68</v>
      </c>
      <c r="H1214" s="92">
        <v>1019.69</v>
      </c>
    </row>
    <row r="1215" spans="1:8" ht="15" x14ac:dyDescent="0.2">
      <c r="A1215" s="205" t="s">
        <v>5333</v>
      </c>
      <c r="B1215" s="89" t="s">
        <v>5322</v>
      </c>
      <c r="C1215" s="89" t="s">
        <v>3742</v>
      </c>
      <c r="D1215" s="90">
        <v>20</v>
      </c>
      <c r="E1215" s="206">
        <v>425.67</v>
      </c>
      <c r="F1215" s="207">
        <f t="shared" si="25"/>
        <v>445.67</v>
      </c>
      <c r="G1215" s="208">
        <v>282.60000000000002</v>
      </c>
      <c r="H1215" s="92">
        <v>368.1</v>
      </c>
    </row>
    <row r="1216" spans="1:8" ht="15" x14ac:dyDescent="0.2">
      <c r="A1216" s="205" t="s">
        <v>5336</v>
      </c>
      <c r="B1216" s="89" t="s">
        <v>5338</v>
      </c>
      <c r="C1216" s="89" t="s">
        <v>1871</v>
      </c>
      <c r="D1216" s="90">
        <v>79.900000000000006</v>
      </c>
      <c r="E1216" s="206">
        <v>310</v>
      </c>
      <c r="F1216" s="207">
        <f t="shared" si="25"/>
        <v>389.9</v>
      </c>
      <c r="G1216" s="208">
        <v>285</v>
      </c>
      <c r="H1216" s="92">
        <v>621.19000000000005</v>
      </c>
    </row>
    <row r="1217" spans="1:8" ht="15" x14ac:dyDescent="0.2">
      <c r="A1217" s="205" t="s">
        <v>5339</v>
      </c>
      <c r="B1217" s="89" t="s">
        <v>5338</v>
      </c>
      <c r="C1217" s="89" t="s">
        <v>5277</v>
      </c>
      <c r="D1217" s="90">
        <v>300</v>
      </c>
      <c r="E1217" s="206">
        <v>225</v>
      </c>
      <c r="F1217" s="207">
        <f t="shared" si="25"/>
        <v>525</v>
      </c>
      <c r="G1217" s="208">
        <v>391</v>
      </c>
      <c r="H1217" s="92">
        <v>447</v>
      </c>
    </row>
    <row r="1218" spans="1:8" ht="15" x14ac:dyDescent="0.2">
      <c r="A1218" s="205" t="s">
        <v>5341</v>
      </c>
      <c r="B1218" s="89" t="s">
        <v>5338</v>
      </c>
      <c r="C1218" s="89" t="s">
        <v>532</v>
      </c>
      <c r="D1218" s="90">
        <v>445</v>
      </c>
      <c r="E1218" s="206">
        <v>5869.25</v>
      </c>
      <c r="F1218" s="207">
        <f t="shared" si="25"/>
        <v>6314.25</v>
      </c>
      <c r="G1218" s="208">
        <v>6750.1</v>
      </c>
      <c r="H1218" s="92">
        <v>6293</v>
      </c>
    </row>
    <row r="1219" spans="1:8" ht="15" x14ac:dyDescent="0.2">
      <c r="A1219" s="205" t="s">
        <v>5343</v>
      </c>
      <c r="B1219" s="89" t="s">
        <v>5345</v>
      </c>
      <c r="C1219" s="89" t="s">
        <v>1165</v>
      </c>
      <c r="D1219" s="90">
        <v>60</v>
      </c>
      <c r="E1219" s="206">
        <v>1986.52</v>
      </c>
      <c r="F1219" s="207">
        <f t="shared" si="25"/>
        <v>2046.52</v>
      </c>
      <c r="G1219" s="208">
        <v>2171.8900000000003</v>
      </c>
      <c r="H1219" s="92">
        <v>2443.9</v>
      </c>
    </row>
    <row r="1220" spans="1:8" ht="15" x14ac:dyDescent="0.2">
      <c r="A1220" s="205" t="s">
        <v>5347</v>
      </c>
      <c r="B1220" s="89" t="s">
        <v>5349</v>
      </c>
      <c r="C1220" s="89" t="s">
        <v>5066</v>
      </c>
      <c r="D1220" s="90">
        <v>342</v>
      </c>
      <c r="E1220" s="206">
        <v>531.69000000000005</v>
      </c>
      <c r="F1220" s="207">
        <f t="shared" si="25"/>
        <v>873.69</v>
      </c>
      <c r="G1220" s="208">
        <v>702.72</v>
      </c>
      <c r="H1220" s="92">
        <v>728.41</v>
      </c>
    </row>
    <row r="1221" spans="1:8" ht="15" x14ac:dyDescent="0.2">
      <c r="A1221" s="205" t="s">
        <v>5350</v>
      </c>
      <c r="B1221" s="89" t="s">
        <v>5352</v>
      </c>
      <c r="C1221" s="89" t="s">
        <v>226</v>
      </c>
      <c r="D1221" s="90">
        <v>40</v>
      </c>
      <c r="E1221" s="206">
        <v>1276.4599999999998</v>
      </c>
      <c r="F1221" s="207">
        <f t="shared" si="25"/>
        <v>1316.4599999999998</v>
      </c>
      <c r="G1221" s="208">
        <v>1119.8</v>
      </c>
      <c r="H1221" s="92">
        <v>1086.1400000000001</v>
      </c>
    </row>
    <row r="1222" spans="1:8" ht="15" x14ac:dyDescent="0.2">
      <c r="A1222" s="205" t="s">
        <v>7820</v>
      </c>
      <c r="B1222" s="89" t="s">
        <v>5360</v>
      </c>
      <c r="C1222" s="89" t="s">
        <v>7821</v>
      </c>
      <c r="D1222" s="90">
        <v>500</v>
      </c>
      <c r="E1222" s="206">
        <v>832.13000000000011</v>
      </c>
      <c r="F1222" s="207">
        <f t="shared" si="25"/>
        <v>1332.13</v>
      </c>
      <c r="G1222" s="208">
        <v>1617.8799999999999</v>
      </c>
      <c r="H1222" s="92">
        <v>1736.37</v>
      </c>
    </row>
    <row r="1223" spans="1:8" ht="15" x14ac:dyDescent="0.2">
      <c r="A1223" s="205" t="s">
        <v>5365</v>
      </c>
      <c r="B1223" s="89" t="s">
        <v>5368</v>
      </c>
      <c r="C1223" s="89" t="s">
        <v>7822</v>
      </c>
      <c r="D1223" s="90">
        <v>644.47</v>
      </c>
      <c r="E1223" s="206">
        <v>223</v>
      </c>
      <c r="F1223" s="207">
        <f t="shared" si="25"/>
        <v>867.47</v>
      </c>
      <c r="G1223" s="208">
        <v>438</v>
      </c>
      <c r="H1223" s="92">
        <v>506.63</v>
      </c>
    </row>
    <row r="1224" spans="1:8" ht="15" x14ac:dyDescent="0.2">
      <c r="A1224" s="205" t="s">
        <v>5369</v>
      </c>
      <c r="B1224" s="89" t="s">
        <v>5368</v>
      </c>
      <c r="C1224" s="89" t="s">
        <v>5371</v>
      </c>
      <c r="D1224" s="90">
        <v>60</v>
      </c>
      <c r="E1224" s="206">
        <v>314.47000000000003</v>
      </c>
      <c r="F1224" s="207">
        <f t="shared" si="25"/>
        <v>374.47</v>
      </c>
      <c r="G1224" s="208">
        <v>1097.23</v>
      </c>
      <c r="H1224" s="92">
        <v>1056.06</v>
      </c>
    </row>
    <row r="1225" spans="1:8" ht="15" x14ac:dyDescent="0.2">
      <c r="A1225" s="205" t="s">
        <v>5373</v>
      </c>
      <c r="B1225" s="89" t="s">
        <v>5368</v>
      </c>
      <c r="C1225" s="89" t="s">
        <v>2896</v>
      </c>
      <c r="D1225" s="90">
        <v>0</v>
      </c>
      <c r="E1225" s="206">
        <v>353.88</v>
      </c>
      <c r="F1225" s="207">
        <f t="shared" si="25"/>
        <v>353.88</v>
      </c>
      <c r="G1225" s="208">
        <v>351.24</v>
      </c>
      <c r="H1225" s="92">
        <v>245.3</v>
      </c>
    </row>
    <row r="1226" spans="1:8" ht="15" x14ac:dyDescent="0.2">
      <c r="A1226" s="205" t="s">
        <v>5375</v>
      </c>
      <c r="B1226" s="89" t="s">
        <v>5368</v>
      </c>
      <c r="C1226" s="89" t="s">
        <v>532</v>
      </c>
      <c r="D1226" s="90">
        <v>394.19</v>
      </c>
      <c r="E1226" s="206">
        <v>0</v>
      </c>
      <c r="F1226" s="207">
        <f t="shared" si="25"/>
        <v>394.19</v>
      </c>
      <c r="G1226" s="208">
        <v>375</v>
      </c>
      <c r="H1226" s="92">
        <v>295</v>
      </c>
    </row>
    <row r="1227" spans="1:8" ht="15" x14ac:dyDescent="0.2">
      <c r="A1227" s="205" t="s">
        <v>5377</v>
      </c>
      <c r="B1227" s="89" t="s">
        <v>5368</v>
      </c>
      <c r="C1227" s="89" t="s">
        <v>7823</v>
      </c>
      <c r="D1227" s="90">
        <v>312.27</v>
      </c>
      <c r="E1227" s="206">
        <v>0</v>
      </c>
      <c r="F1227" s="207">
        <f t="shared" si="25"/>
        <v>312.27</v>
      </c>
      <c r="G1227" s="208">
        <v>501</v>
      </c>
      <c r="H1227" s="92">
        <v>612.51</v>
      </c>
    </row>
    <row r="1228" spans="1:8" ht="15" x14ac:dyDescent="0.2">
      <c r="A1228" s="205" t="s">
        <v>5380</v>
      </c>
      <c r="B1228" s="89" t="s">
        <v>5383</v>
      </c>
      <c r="C1228" s="89" t="s">
        <v>5382</v>
      </c>
      <c r="D1228" s="90">
        <v>330</v>
      </c>
      <c r="E1228" s="206">
        <v>2085.87</v>
      </c>
      <c r="F1228" s="207">
        <f t="shared" si="25"/>
        <v>2415.87</v>
      </c>
      <c r="G1228" s="208">
        <v>2725.98</v>
      </c>
      <c r="H1228" s="92">
        <v>2469.66</v>
      </c>
    </row>
    <row r="1229" spans="1:8" ht="15" x14ac:dyDescent="0.2">
      <c r="A1229" s="205" t="s">
        <v>5384</v>
      </c>
      <c r="B1229" s="89" t="s">
        <v>5387</v>
      </c>
      <c r="C1229" s="89" t="s">
        <v>5386</v>
      </c>
      <c r="D1229" s="90">
        <v>235</v>
      </c>
      <c r="E1229" s="206">
        <v>848.5</v>
      </c>
      <c r="F1229" s="207">
        <f t="shared" si="25"/>
        <v>1083.5</v>
      </c>
      <c r="G1229" s="208">
        <v>1002</v>
      </c>
      <c r="H1229" s="92">
        <v>1035</v>
      </c>
    </row>
    <row r="1230" spans="1:8" ht="15" x14ac:dyDescent="0.2">
      <c r="A1230" s="205" t="s">
        <v>5392</v>
      </c>
      <c r="B1230" s="89" t="s">
        <v>5394</v>
      </c>
      <c r="C1230" s="89" t="s">
        <v>158</v>
      </c>
      <c r="D1230" s="90">
        <v>325</v>
      </c>
      <c r="E1230" s="206">
        <v>1124.5</v>
      </c>
      <c r="F1230" s="207">
        <f t="shared" si="25"/>
        <v>1449.5</v>
      </c>
      <c r="G1230" s="208">
        <v>1104.46</v>
      </c>
      <c r="H1230" s="92">
        <v>1617.24</v>
      </c>
    </row>
    <row r="1231" spans="1:8" ht="15" x14ac:dyDescent="0.2">
      <c r="A1231" s="205" t="s">
        <v>5395</v>
      </c>
      <c r="B1231" s="89" t="s">
        <v>5394</v>
      </c>
      <c r="C1231" s="89" t="s">
        <v>198</v>
      </c>
      <c r="D1231" s="90">
        <v>20</v>
      </c>
      <c r="E1231" s="206">
        <v>401.5</v>
      </c>
      <c r="F1231" s="207">
        <f t="shared" si="25"/>
        <v>421.5</v>
      </c>
      <c r="G1231" s="208">
        <v>510</v>
      </c>
      <c r="H1231" s="92">
        <v>597.5</v>
      </c>
    </row>
    <row r="1232" spans="1:8" ht="15" x14ac:dyDescent="0.2">
      <c r="A1232" s="205" t="s">
        <v>5401</v>
      </c>
      <c r="B1232" s="89" t="s">
        <v>5394</v>
      </c>
      <c r="C1232" s="89" t="s">
        <v>2530</v>
      </c>
      <c r="D1232" s="90">
        <v>535.89</v>
      </c>
      <c r="E1232" s="206">
        <v>240.16</v>
      </c>
      <c r="F1232" s="207">
        <f t="shared" si="25"/>
        <v>776.05</v>
      </c>
      <c r="G1232" s="208">
        <v>1104.1199999999999</v>
      </c>
      <c r="H1232" s="92">
        <v>623.21</v>
      </c>
    </row>
    <row r="1233" spans="1:8" ht="15" x14ac:dyDescent="0.2">
      <c r="A1233" s="205" t="s">
        <v>5407</v>
      </c>
      <c r="B1233" s="89" t="s">
        <v>5409</v>
      </c>
      <c r="C1233" s="89" t="s">
        <v>532</v>
      </c>
      <c r="D1233" s="90">
        <f>379.6+250</f>
        <v>629.6</v>
      </c>
      <c r="E1233" s="206">
        <v>824.46999999999991</v>
      </c>
      <c r="F1233" s="207">
        <f t="shared" si="25"/>
        <v>1454.07</v>
      </c>
      <c r="G1233" s="208">
        <v>1773.58</v>
      </c>
      <c r="H1233" s="92">
        <v>1971.25</v>
      </c>
    </row>
    <row r="1234" spans="1:8" ht="15" x14ac:dyDescent="0.2">
      <c r="A1234" s="205" t="s">
        <v>7824</v>
      </c>
      <c r="B1234" s="89" t="s">
        <v>5412</v>
      </c>
      <c r="C1234" s="89" t="s">
        <v>161</v>
      </c>
      <c r="D1234" s="90">
        <f>25+30</f>
        <v>55</v>
      </c>
      <c r="E1234" s="206">
        <v>0</v>
      </c>
      <c r="F1234" s="207">
        <f t="shared" si="25"/>
        <v>55</v>
      </c>
      <c r="G1234" s="208">
        <v>605.25</v>
      </c>
      <c r="H1234" s="92">
        <f>902.74+50</f>
        <v>952.74</v>
      </c>
    </row>
    <row r="1235" spans="1:8" ht="15" x14ac:dyDescent="0.2">
      <c r="A1235" s="205" t="s">
        <v>5413</v>
      </c>
      <c r="B1235" s="89" t="s">
        <v>5412</v>
      </c>
      <c r="C1235" s="89" t="s">
        <v>3238</v>
      </c>
      <c r="D1235" s="90">
        <v>45</v>
      </c>
      <c r="E1235" s="206">
        <v>0</v>
      </c>
      <c r="F1235" s="207">
        <f t="shared" si="25"/>
        <v>45</v>
      </c>
      <c r="G1235" s="208">
        <v>50</v>
      </c>
      <c r="H1235" s="92">
        <v>60</v>
      </c>
    </row>
    <row r="1236" spans="1:8" ht="15" x14ac:dyDescent="0.2">
      <c r="A1236" s="205" t="s">
        <v>5419</v>
      </c>
      <c r="B1236" s="89" t="s">
        <v>5412</v>
      </c>
      <c r="C1236" s="89" t="s">
        <v>5256</v>
      </c>
      <c r="D1236" s="90">
        <v>172</v>
      </c>
      <c r="E1236" s="206">
        <v>0</v>
      </c>
      <c r="F1236" s="207">
        <f t="shared" si="25"/>
        <v>172</v>
      </c>
      <c r="G1236" s="208">
        <v>1483.8099999999997</v>
      </c>
      <c r="H1236" s="92">
        <v>1523.31</v>
      </c>
    </row>
    <row r="1237" spans="1:8" ht="15" x14ac:dyDescent="0.2">
      <c r="A1237" s="205" t="s">
        <v>7825</v>
      </c>
      <c r="B1237" s="89" t="s">
        <v>5412</v>
      </c>
      <c r="C1237" s="89" t="s">
        <v>7826</v>
      </c>
      <c r="D1237" s="90">
        <f>135+540</f>
        <v>675</v>
      </c>
      <c r="E1237" s="206">
        <v>606.98</v>
      </c>
      <c r="F1237" s="207">
        <f t="shared" si="25"/>
        <v>1281.98</v>
      </c>
      <c r="G1237" s="208">
        <v>1928.7999999999997</v>
      </c>
      <c r="H1237" s="92">
        <v>1671.6</v>
      </c>
    </row>
    <row r="1238" spans="1:8" ht="15" x14ac:dyDescent="0.2">
      <c r="A1238" s="205" t="s">
        <v>5430</v>
      </c>
      <c r="B1238" s="89" t="s">
        <v>5433</v>
      </c>
      <c r="C1238" s="89" t="s">
        <v>3774</v>
      </c>
      <c r="D1238" s="90">
        <v>340</v>
      </c>
      <c r="E1238" s="206">
        <v>259.96999999999997</v>
      </c>
      <c r="F1238" s="207">
        <f t="shared" si="25"/>
        <v>599.97</v>
      </c>
      <c r="G1238" s="208">
        <v>685.8900000000001</v>
      </c>
      <c r="H1238" s="92">
        <v>583.64</v>
      </c>
    </row>
    <row r="1239" spans="1:8" ht="15" x14ac:dyDescent="0.2">
      <c r="A1239" s="205" t="s">
        <v>5434</v>
      </c>
      <c r="B1239" s="89" t="s">
        <v>5437</v>
      </c>
      <c r="C1239" s="89" t="s">
        <v>5436</v>
      </c>
      <c r="D1239" s="90">
        <v>1980</v>
      </c>
      <c r="E1239" s="206">
        <v>1501.73</v>
      </c>
      <c r="F1239" s="207">
        <f t="shared" si="25"/>
        <v>3481.73</v>
      </c>
      <c r="G1239" s="208">
        <v>3444.1300000000006</v>
      </c>
      <c r="H1239" s="92">
        <v>3357.65</v>
      </c>
    </row>
    <row r="1240" spans="1:8" ht="15" x14ac:dyDescent="0.2">
      <c r="A1240" s="205" t="s">
        <v>5439</v>
      </c>
      <c r="B1240" s="89" t="s">
        <v>5441</v>
      </c>
      <c r="C1240" s="89" t="s">
        <v>1284</v>
      </c>
      <c r="D1240" s="90">
        <v>120</v>
      </c>
      <c r="E1240" s="206">
        <v>298.08</v>
      </c>
      <c r="F1240" s="207">
        <f t="shared" si="25"/>
        <v>418.08</v>
      </c>
      <c r="G1240" s="208">
        <v>780.56999999999994</v>
      </c>
      <c r="H1240" s="92">
        <v>323.78000000000003</v>
      </c>
    </row>
    <row r="1241" spans="1:8" ht="15" x14ac:dyDescent="0.2">
      <c r="A1241" s="205" t="s">
        <v>5446</v>
      </c>
      <c r="B1241" s="89" t="s">
        <v>5449</v>
      </c>
      <c r="C1241" s="89" t="s">
        <v>2900</v>
      </c>
      <c r="D1241" s="90">
        <v>45</v>
      </c>
      <c r="E1241" s="206">
        <v>146.13999999999999</v>
      </c>
      <c r="F1241" s="207">
        <f t="shared" si="25"/>
        <v>191.14</v>
      </c>
      <c r="G1241" s="208">
        <v>176.05</v>
      </c>
      <c r="H1241" s="92">
        <v>84.67</v>
      </c>
    </row>
    <row r="1242" spans="1:8" ht="15" x14ac:dyDescent="0.2">
      <c r="A1242" s="205" t="s">
        <v>5450</v>
      </c>
      <c r="B1242" s="89" t="s">
        <v>5453</v>
      </c>
      <c r="C1242" s="89" t="s">
        <v>5452</v>
      </c>
      <c r="D1242" s="90">
        <v>410</v>
      </c>
      <c r="E1242" s="206">
        <v>258</v>
      </c>
      <c r="F1242" s="207">
        <f t="shared" si="25"/>
        <v>668</v>
      </c>
      <c r="G1242" s="208">
        <v>1115</v>
      </c>
      <c r="H1242" s="92">
        <v>654.5</v>
      </c>
    </row>
    <row r="1243" spans="1:8" ht="15" x14ac:dyDescent="0.2">
      <c r="A1243" s="205" t="s">
        <v>5454</v>
      </c>
      <c r="B1243" s="89" t="s">
        <v>5456</v>
      </c>
      <c r="C1243" s="89" t="s">
        <v>532</v>
      </c>
      <c r="D1243" s="90">
        <v>205</v>
      </c>
      <c r="E1243" s="212">
        <v>1363.79</v>
      </c>
      <c r="F1243" s="207">
        <f t="shared" si="25"/>
        <v>1568.79</v>
      </c>
      <c r="G1243" s="208">
        <v>1584.83</v>
      </c>
      <c r="H1243" s="92">
        <v>561.19000000000005</v>
      </c>
    </row>
    <row r="1244" spans="1:8" ht="15" x14ac:dyDescent="0.2">
      <c r="A1244" s="205" t="s">
        <v>5458</v>
      </c>
      <c r="B1244" s="89" t="s">
        <v>5461</v>
      </c>
      <c r="C1244" s="89" t="s">
        <v>7827</v>
      </c>
      <c r="D1244" s="90">
        <v>175</v>
      </c>
      <c r="E1244" s="206">
        <v>927.25</v>
      </c>
      <c r="F1244" s="207">
        <f t="shared" si="25"/>
        <v>1102.25</v>
      </c>
      <c r="G1244" s="208">
        <v>2015.9300000000003</v>
      </c>
      <c r="H1244" s="92">
        <v>1541</v>
      </c>
    </row>
    <row r="1245" spans="1:8" ht="15" x14ac:dyDescent="0.2">
      <c r="A1245" s="205" t="s">
        <v>5462</v>
      </c>
      <c r="B1245" s="89" t="s">
        <v>5461</v>
      </c>
      <c r="C1245" s="89" t="s">
        <v>3715</v>
      </c>
      <c r="D1245" s="90">
        <v>0</v>
      </c>
      <c r="E1245" s="206">
        <v>359.45</v>
      </c>
      <c r="F1245" s="207">
        <f t="shared" si="25"/>
        <v>359.45</v>
      </c>
      <c r="G1245" s="208">
        <v>331</v>
      </c>
      <c r="H1245" s="92">
        <v>610</v>
      </c>
    </row>
    <row r="1246" spans="1:8" ht="15" x14ac:dyDescent="0.2">
      <c r="A1246" s="205" t="s">
        <v>5465</v>
      </c>
      <c r="B1246" s="89" t="s">
        <v>5461</v>
      </c>
      <c r="C1246" s="89" t="s">
        <v>7828</v>
      </c>
      <c r="D1246" s="90">
        <v>70</v>
      </c>
      <c r="E1246" s="206">
        <v>2032.2</v>
      </c>
      <c r="F1246" s="207">
        <f t="shared" si="25"/>
        <v>2102.1999999999998</v>
      </c>
      <c r="G1246" s="208">
        <v>2318</v>
      </c>
      <c r="H1246" s="92">
        <v>1466.48</v>
      </c>
    </row>
    <row r="1247" spans="1:8" ht="15" x14ac:dyDescent="0.2">
      <c r="A1247" s="205" t="s">
        <v>5468</v>
      </c>
      <c r="B1247" s="89" t="s">
        <v>5461</v>
      </c>
      <c r="C1247" s="89" t="s">
        <v>5249</v>
      </c>
      <c r="D1247" s="90">
        <v>80</v>
      </c>
      <c r="E1247" s="206">
        <v>666.35</v>
      </c>
      <c r="F1247" s="207">
        <f t="shared" si="25"/>
        <v>746.35</v>
      </c>
      <c r="G1247" s="208">
        <v>914.69</v>
      </c>
      <c r="H1247" s="92">
        <v>635.85</v>
      </c>
    </row>
    <row r="1248" spans="1:8" ht="15" x14ac:dyDescent="0.2">
      <c r="A1248" s="205" t="s">
        <v>5471</v>
      </c>
      <c r="B1248" s="89" t="s">
        <v>5461</v>
      </c>
      <c r="C1248" s="89" t="s">
        <v>7829</v>
      </c>
      <c r="D1248" s="90">
        <v>145</v>
      </c>
      <c r="E1248" s="206">
        <v>442.65</v>
      </c>
      <c r="F1248" s="207">
        <f t="shared" si="25"/>
        <v>587.65</v>
      </c>
      <c r="G1248" s="208">
        <v>626.85</v>
      </c>
      <c r="H1248" s="92">
        <v>642.66</v>
      </c>
    </row>
    <row r="1249" spans="1:8" ht="15" x14ac:dyDescent="0.2">
      <c r="A1249" s="205" t="s">
        <v>5474</v>
      </c>
      <c r="B1249" s="89" t="s">
        <v>5461</v>
      </c>
      <c r="C1249" s="89" t="s">
        <v>1087</v>
      </c>
      <c r="D1249" s="90">
        <v>15</v>
      </c>
      <c r="E1249" s="206">
        <v>46.239999999999995</v>
      </c>
      <c r="F1249" s="207">
        <f t="shared" si="25"/>
        <v>61.239999999999995</v>
      </c>
      <c r="G1249" s="208">
        <v>144</v>
      </c>
      <c r="H1249" s="92">
        <v>420</v>
      </c>
    </row>
    <row r="1250" spans="1:8" ht="15" x14ac:dyDescent="0.2">
      <c r="A1250" s="205" t="s">
        <v>7830</v>
      </c>
      <c r="B1250" s="89" t="s">
        <v>7831</v>
      </c>
      <c r="C1250" s="89" t="s">
        <v>7261</v>
      </c>
      <c r="D1250" s="90">
        <v>901</v>
      </c>
      <c r="E1250" s="89">
        <f>886.86-460</f>
        <v>426.86</v>
      </c>
      <c r="F1250" s="207">
        <f t="shared" si="25"/>
        <v>1327.8600000000001</v>
      </c>
      <c r="G1250" s="208">
        <v>1337.82</v>
      </c>
      <c r="H1250" s="213">
        <v>1489.47</v>
      </c>
    </row>
    <row r="1251" spans="1:8" ht="15" x14ac:dyDescent="0.2">
      <c r="A1251" s="153"/>
      <c r="B1251" s="89"/>
      <c r="C1251" s="89" t="s">
        <v>7832</v>
      </c>
      <c r="D1251" s="90"/>
      <c r="E1251" s="89"/>
      <c r="F1251" s="207">
        <f t="shared" si="25"/>
        <v>0</v>
      </c>
      <c r="G1251" s="207"/>
      <c r="H1251" s="119"/>
    </row>
    <row r="1252" spans="1:8" ht="16.5" thickBot="1" x14ac:dyDescent="0.25">
      <c r="A1252" s="214" t="s">
        <v>307</v>
      </c>
      <c r="B1252" s="95"/>
      <c r="C1252" s="95"/>
      <c r="D1252" s="96">
        <f>SUM(D1145:D1251)</f>
        <v>38010.380000000005</v>
      </c>
      <c r="E1252" s="184">
        <f>SUM(E1145:E1250)</f>
        <v>92606.78</v>
      </c>
      <c r="F1252" s="215">
        <f t="shared" si="25"/>
        <v>130617.16</v>
      </c>
      <c r="G1252" s="215">
        <v>134153.00000000006</v>
      </c>
      <c r="H1252" s="201">
        <v>129373.99</v>
      </c>
    </row>
    <row r="1253" spans="1:8" s="62" customFormat="1" x14ac:dyDescent="0.2">
      <c r="A1253" s="60" t="s">
        <v>7262</v>
      </c>
      <c r="B1253" s="60"/>
      <c r="C1253" s="60"/>
      <c r="D1253" s="60"/>
      <c r="E1253" s="60"/>
      <c r="F1253" s="61"/>
      <c r="G1253" s="61"/>
      <c r="H1253" s="60"/>
    </row>
    <row r="1254" spans="1:8" ht="20.25" x14ac:dyDescent="0.2">
      <c r="A1254" s="260" t="s">
        <v>7833</v>
      </c>
      <c r="B1254" s="261"/>
      <c r="C1254" s="261"/>
      <c r="D1254" s="261"/>
      <c r="E1254" s="261"/>
      <c r="F1254" s="261"/>
      <c r="G1254" s="262"/>
      <c r="H1254" s="217"/>
    </row>
    <row r="1255" spans="1:8" ht="15.75" x14ac:dyDescent="0.2">
      <c r="A1255" s="218" t="s">
        <v>1</v>
      </c>
      <c r="B1255" s="218" t="s">
        <v>7809</v>
      </c>
      <c r="C1255" s="218" t="s">
        <v>3</v>
      </c>
      <c r="D1255" s="219" t="s">
        <v>7687</v>
      </c>
      <c r="E1255" s="219" t="s">
        <v>7834</v>
      </c>
      <c r="F1255" s="218">
        <v>2018</v>
      </c>
      <c r="G1255" s="218">
        <v>2017</v>
      </c>
      <c r="H1255" s="220" t="s">
        <v>7178</v>
      </c>
    </row>
    <row r="1256" spans="1:8" ht="15" x14ac:dyDescent="0.2">
      <c r="A1256" s="89" t="s">
        <v>5483</v>
      </c>
      <c r="B1256" s="89" t="s">
        <v>5486</v>
      </c>
      <c r="C1256" s="89" t="s">
        <v>7835</v>
      </c>
      <c r="D1256" s="90">
        <v>225</v>
      </c>
      <c r="E1256" s="90">
        <v>0</v>
      </c>
      <c r="F1256" s="90">
        <f>(D1256+E1256)</f>
        <v>225</v>
      </c>
      <c r="G1256" s="91">
        <v>320</v>
      </c>
      <c r="H1256" s="92">
        <v>340</v>
      </c>
    </row>
    <row r="1257" spans="1:8" ht="15" x14ac:dyDescent="0.2">
      <c r="A1257" s="89" t="s">
        <v>5487</v>
      </c>
      <c r="B1257" s="89" t="s">
        <v>7836</v>
      </c>
      <c r="C1257" s="89" t="s">
        <v>7837</v>
      </c>
      <c r="D1257" s="90">
        <v>130</v>
      </c>
      <c r="E1257" s="90">
        <v>0</v>
      </c>
      <c r="F1257" s="90">
        <f t="shared" ref="F1257:F1320" si="26">(D1257+E1257)</f>
        <v>130</v>
      </c>
      <c r="G1257" s="91">
        <v>130</v>
      </c>
      <c r="H1257" s="92">
        <v>130</v>
      </c>
    </row>
    <row r="1258" spans="1:8" ht="15" x14ac:dyDescent="0.2">
      <c r="A1258" s="89" t="s">
        <v>5493</v>
      </c>
      <c r="B1258" s="89" t="s">
        <v>5489</v>
      </c>
      <c r="C1258" s="89" t="s">
        <v>7838</v>
      </c>
      <c r="D1258" s="90">
        <v>250</v>
      </c>
      <c r="E1258" s="90">
        <v>1103.69</v>
      </c>
      <c r="F1258" s="90">
        <f t="shared" si="26"/>
        <v>1353.69</v>
      </c>
      <c r="G1258" s="91">
        <v>1767.09</v>
      </c>
      <c r="H1258" s="92">
        <v>1662.83</v>
      </c>
    </row>
    <row r="1259" spans="1:8" ht="15" x14ac:dyDescent="0.2">
      <c r="A1259" s="89" t="s">
        <v>5495</v>
      </c>
      <c r="B1259" s="89" t="s">
        <v>5497</v>
      </c>
      <c r="C1259" s="89" t="s">
        <v>3215</v>
      </c>
      <c r="D1259" s="90">
        <v>210</v>
      </c>
      <c r="E1259" s="90">
        <v>1833.88</v>
      </c>
      <c r="F1259" s="90">
        <f t="shared" si="26"/>
        <v>2043.88</v>
      </c>
      <c r="G1259" s="91">
        <v>2110.3199999999997</v>
      </c>
      <c r="H1259" s="92">
        <v>2246.84</v>
      </c>
    </row>
    <row r="1260" spans="1:8" ht="15" x14ac:dyDescent="0.2">
      <c r="A1260" s="89" t="s">
        <v>5499</v>
      </c>
      <c r="B1260" s="89" t="s">
        <v>5501</v>
      </c>
      <c r="C1260" s="89" t="s">
        <v>7660</v>
      </c>
      <c r="D1260" s="90">
        <v>355.01</v>
      </c>
      <c r="E1260" s="90">
        <v>0</v>
      </c>
      <c r="F1260" s="90">
        <f t="shared" si="26"/>
        <v>355.01</v>
      </c>
      <c r="G1260" s="91">
        <v>506</v>
      </c>
      <c r="H1260" s="92">
        <v>494.08</v>
      </c>
    </row>
    <row r="1261" spans="1:8" ht="15" x14ac:dyDescent="0.2">
      <c r="A1261" s="89" t="s">
        <v>5502</v>
      </c>
      <c r="B1261" s="89" t="s">
        <v>5505</v>
      </c>
      <c r="C1261" s="89" t="s">
        <v>556</v>
      </c>
      <c r="D1261" s="90">
        <v>375</v>
      </c>
      <c r="E1261" s="90">
        <v>1177.49</v>
      </c>
      <c r="F1261" s="90">
        <f t="shared" si="26"/>
        <v>1552.49</v>
      </c>
      <c r="G1261" s="91">
        <v>1605</v>
      </c>
      <c r="H1261" s="92">
        <v>1940.52</v>
      </c>
    </row>
    <row r="1262" spans="1:8" ht="15" x14ac:dyDescent="0.2">
      <c r="A1262" s="89" t="s">
        <v>5510</v>
      </c>
      <c r="B1262" s="89" t="s">
        <v>5513</v>
      </c>
      <c r="C1262" s="89" t="s">
        <v>5512</v>
      </c>
      <c r="D1262" s="90">
        <v>0</v>
      </c>
      <c r="E1262" s="90">
        <v>324.81</v>
      </c>
      <c r="F1262" s="90">
        <f t="shared" si="26"/>
        <v>324.81</v>
      </c>
      <c r="G1262" s="91">
        <v>318.67</v>
      </c>
      <c r="H1262" s="92">
        <v>404.75</v>
      </c>
    </row>
    <row r="1263" spans="1:8" ht="15" x14ac:dyDescent="0.2">
      <c r="A1263" s="89" t="s">
        <v>5515</v>
      </c>
      <c r="B1263" s="89" t="s">
        <v>5518</v>
      </c>
      <c r="C1263" s="89" t="s">
        <v>7839</v>
      </c>
      <c r="D1263" s="90">
        <v>61</v>
      </c>
      <c r="E1263" s="90">
        <v>0</v>
      </c>
      <c r="F1263" s="90">
        <f t="shared" si="26"/>
        <v>61</v>
      </c>
      <c r="G1263" s="91">
        <v>205</v>
      </c>
      <c r="H1263" s="92">
        <v>215.87</v>
      </c>
    </row>
    <row r="1264" spans="1:8" ht="15" x14ac:dyDescent="0.2">
      <c r="A1264" s="89" t="s">
        <v>5528</v>
      </c>
      <c r="B1264" s="89" t="s">
        <v>5531</v>
      </c>
      <c r="C1264" s="89" t="s">
        <v>5530</v>
      </c>
      <c r="D1264" s="90">
        <v>1115</v>
      </c>
      <c r="E1264" s="90">
        <v>2489</v>
      </c>
      <c r="F1264" s="90">
        <f t="shared" si="26"/>
        <v>3604</v>
      </c>
      <c r="G1264" s="91">
        <v>4262</v>
      </c>
      <c r="H1264" s="92">
        <v>4304.63</v>
      </c>
    </row>
    <row r="1265" spans="1:8" ht="15" x14ac:dyDescent="0.2">
      <c r="A1265" s="89" t="s">
        <v>5532</v>
      </c>
      <c r="B1265" s="89" t="s">
        <v>5534</v>
      </c>
      <c r="C1265" s="89" t="s">
        <v>2824</v>
      </c>
      <c r="D1265" s="90">
        <v>1451</v>
      </c>
      <c r="E1265" s="90">
        <v>0</v>
      </c>
      <c r="F1265" s="90">
        <f t="shared" si="26"/>
        <v>1451</v>
      </c>
      <c r="G1265" s="91">
        <v>2717</v>
      </c>
      <c r="H1265" s="92">
        <v>175</v>
      </c>
    </row>
    <row r="1266" spans="1:8" ht="15" x14ac:dyDescent="0.2">
      <c r="A1266" s="89" t="s">
        <v>5535</v>
      </c>
      <c r="B1266" s="89" t="s">
        <v>5538</v>
      </c>
      <c r="C1266" s="89" t="s">
        <v>5537</v>
      </c>
      <c r="D1266" s="90">
        <v>470</v>
      </c>
      <c r="E1266" s="90">
        <v>0</v>
      </c>
      <c r="F1266" s="90">
        <f t="shared" si="26"/>
        <v>470</v>
      </c>
      <c r="G1266" s="91">
        <v>670</v>
      </c>
      <c r="H1266" s="92">
        <v>670</v>
      </c>
    </row>
    <row r="1267" spans="1:8" ht="15" x14ac:dyDescent="0.2">
      <c r="A1267" s="89" t="s">
        <v>5539</v>
      </c>
      <c r="B1267" s="89" t="s">
        <v>5541</v>
      </c>
      <c r="C1267" s="89" t="s">
        <v>1284</v>
      </c>
      <c r="D1267" s="90">
        <v>209</v>
      </c>
      <c r="E1267" s="90">
        <v>900</v>
      </c>
      <c r="F1267" s="90">
        <f t="shared" si="26"/>
        <v>1109</v>
      </c>
      <c r="G1267" s="91">
        <v>1330</v>
      </c>
      <c r="H1267" s="92">
        <v>1340</v>
      </c>
    </row>
    <row r="1268" spans="1:8" ht="15" x14ac:dyDescent="0.2">
      <c r="A1268" s="89" t="s">
        <v>5543</v>
      </c>
      <c r="B1268" s="89" t="s">
        <v>7840</v>
      </c>
      <c r="C1268" s="89" t="s">
        <v>7841</v>
      </c>
      <c r="D1268" s="90">
        <v>109</v>
      </c>
      <c r="E1268" s="90">
        <v>299.89999999999998</v>
      </c>
      <c r="F1268" s="90">
        <f t="shared" si="26"/>
        <v>408.9</v>
      </c>
      <c r="G1268" s="91">
        <v>458.38</v>
      </c>
      <c r="H1268" s="92">
        <v>380.38</v>
      </c>
    </row>
    <row r="1269" spans="1:8" ht="15" x14ac:dyDescent="0.2">
      <c r="A1269" s="89" t="s">
        <v>5550</v>
      </c>
      <c r="B1269" s="89" t="s">
        <v>5553</v>
      </c>
      <c r="C1269" s="89" t="s">
        <v>5552</v>
      </c>
      <c r="D1269" s="90">
        <v>441.84</v>
      </c>
      <c r="E1269" s="90">
        <v>1525.47</v>
      </c>
      <c r="F1269" s="90">
        <f t="shared" si="26"/>
        <v>1967.31</v>
      </c>
      <c r="G1269" s="91">
        <v>2405.65</v>
      </c>
      <c r="H1269" s="92">
        <v>1844.69</v>
      </c>
    </row>
    <row r="1270" spans="1:8" ht="15" x14ac:dyDescent="0.2">
      <c r="A1270" s="89" t="s">
        <v>5554</v>
      </c>
      <c r="B1270" s="89" t="s">
        <v>5557</v>
      </c>
      <c r="C1270" s="89" t="s">
        <v>7842</v>
      </c>
      <c r="D1270" s="90">
        <v>175</v>
      </c>
      <c r="E1270" s="90">
        <v>1239.76</v>
      </c>
      <c r="F1270" s="90">
        <f t="shared" si="26"/>
        <v>1414.76</v>
      </c>
      <c r="G1270" s="91">
        <v>1348.5</v>
      </c>
      <c r="H1270" s="92">
        <v>970.5</v>
      </c>
    </row>
    <row r="1271" spans="1:8" ht="15" x14ac:dyDescent="0.2">
      <c r="A1271" s="89" t="s">
        <v>5558</v>
      </c>
      <c r="B1271" s="89" t="s">
        <v>5560</v>
      </c>
      <c r="C1271" s="89" t="s">
        <v>2347</v>
      </c>
      <c r="D1271" s="90">
        <v>0</v>
      </c>
      <c r="E1271" s="90">
        <v>0</v>
      </c>
      <c r="F1271" s="90">
        <f t="shared" si="26"/>
        <v>0</v>
      </c>
      <c r="G1271" s="91">
        <v>94</v>
      </c>
      <c r="H1271" s="92">
        <v>0</v>
      </c>
    </row>
    <row r="1272" spans="1:8" ht="15" x14ac:dyDescent="0.2">
      <c r="A1272" s="89" t="s">
        <v>5561</v>
      </c>
      <c r="B1272" s="89" t="s">
        <v>7843</v>
      </c>
      <c r="C1272" s="89" t="s">
        <v>5563</v>
      </c>
      <c r="D1272" s="90">
        <v>1475</v>
      </c>
      <c r="E1272" s="90"/>
      <c r="F1272" s="90">
        <f t="shared" si="26"/>
        <v>1475</v>
      </c>
      <c r="G1272" s="91">
        <v>1470</v>
      </c>
      <c r="H1272" s="92">
        <v>602</v>
      </c>
    </row>
    <row r="1273" spans="1:8" ht="15" x14ac:dyDescent="0.2">
      <c r="A1273" s="89" t="s">
        <v>5566</v>
      </c>
      <c r="B1273" s="89" t="s">
        <v>5560</v>
      </c>
      <c r="C1273" s="89" t="s">
        <v>7844</v>
      </c>
      <c r="D1273" s="90">
        <v>100.18</v>
      </c>
      <c r="E1273" s="90">
        <v>0</v>
      </c>
      <c r="F1273" s="90">
        <f t="shared" si="26"/>
        <v>100.18</v>
      </c>
      <c r="G1273" s="91">
        <v>223</v>
      </c>
      <c r="H1273" s="92">
        <v>106</v>
      </c>
    </row>
    <row r="1274" spans="1:8" ht="15" x14ac:dyDescent="0.2">
      <c r="A1274" s="89" t="s">
        <v>5570</v>
      </c>
      <c r="B1274" s="89" t="s">
        <v>5572</v>
      </c>
      <c r="C1274" s="89" t="s">
        <v>2578</v>
      </c>
      <c r="D1274" s="90">
        <v>255</v>
      </c>
      <c r="E1274" s="90">
        <v>0</v>
      </c>
      <c r="F1274" s="90">
        <f t="shared" si="26"/>
        <v>255</v>
      </c>
      <c r="G1274" s="91">
        <v>493</v>
      </c>
      <c r="H1274" s="92">
        <v>978.58</v>
      </c>
    </row>
    <row r="1275" spans="1:8" ht="15" x14ac:dyDescent="0.2">
      <c r="A1275" s="89" t="s">
        <v>5573</v>
      </c>
      <c r="B1275" s="89" t="s">
        <v>5575</v>
      </c>
      <c r="C1275" s="89" t="s">
        <v>270</v>
      </c>
      <c r="D1275" s="90">
        <v>550</v>
      </c>
      <c r="E1275" s="90">
        <v>635.57000000000005</v>
      </c>
      <c r="F1275" s="90">
        <f t="shared" si="26"/>
        <v>1185.5700000000002</v>
      </c>
      <c r="G1275" s="91">
        <v>1227.46</v>
      </c>
      <c r="H1275" s="92">
        <v>1661.93</v>
      </c>
    </row>
    <row r="1276" spans="1:8" ht="15" x14ac:dyDescent="0.2">
      <c r="A1276" s="89" t="s">
        <v>5576</v>
      </c>
      <c r="B1276" s="89" t="s">
        <v>5578</v>
      </c>
      <c r="C1276" s="89" t="s">
        <v>453</v>
      </c>
      <c r="D1276" s="90">
        <v>130</v>
      </c>
      <c r="E1276" s="90">
        <v>840.37</v>
      </c>
      <c r="F1276" s="90">
        <f t="shared" si="26"/>
        <v>970.37</v>
      </c>
      <c r="G1276" s="91">
        <v>958.14</v>
      </c>
      <c r="H1276" s="92">
        <v>788.9</v>
      </c>
    </row>
    <row r="1277" spans="1:8" ht="15" x14ac:dyDescent="0.2">
      <c r="A1277" s="89" t="s">
        <v>5579</v>
      </c>
      <c r="B1277" s="89" t="s">
        <v>5582</v>
      </c>
      <c r="C1277" s="89" t="s">
        <v>5581</v>
      </c>
      <c r="D1277" s="90">
        <v>50</v>
      </c>
      <c r="E1277" s="90">
        <v>551.98</v>
      </c>
      <c r="F1277" s="90">
        <f t="shared" si="26"/>
        <v>601.98</v>
      </c>
      <c r="G1277" s="91">
        <v>1394.14</v>
      </c>
      <c r="H1277" s="92">
        <v>1421.68</v>
      </c>
    </row>
    <row r="1278" spans="1:8" ht="15" x14ac:dyDescent="0.2">
      <c r="A1278" s="89" t="s">
        <v>5583</v>
      </c>
      <c r="B1278" s="89" t="s">
        <v>5586</v>
      </c>
      <c r="C1278" s="89" t="s">
        <v>7845</v>
      </c>
      <c r="D1278" s="90">
        <v>0</v>
      </c>
      <c r="E1278" s="90">
        <v>1033.9100000000001</v>
      </c>
      <c r="F1278" s="90">
        <f t="shared" si="26"/>
        <v>1033.9100000000001</v>
      </c>
      <c r="G1278" s="91">
        <v>1651.69</v>
      </c>
      <c r="H1278" s="92">
        <v>847.71</v>
      </c>
    </row>
    <row r="1279" spans="1:8" ht="15" x14ac:dyDescent="0.2">
      <c r="A1279" s="89" t="s">
        <v>5591</v>
      </c>
      <c r="B1279" s="89" t="s">
        <v>5593</v>
      </c>
      <c r="C1279" s="89" t="s">
        <v>198</v>
      </c>
      <c r="D1279" s="90">
        <v>525</v>
      </c>
      <c r="E1279" s="90">
        <v>0</v>
      </c>
      <c r="F1279" s="90">
        <f t="shared" si="26"/>
        <v>525</v>
      </c>
      <c r="G1279" s="91">
        <v>513</v>
      </c>
      <c r="H1279" s="92">
        <v>515</v>
      </c>
    </row>
    <row r="1280" spans="1:8" ht="15" x14ac:dyDescent="0.2">
      <c r="A1280" s="89" t="s">
        <v>5594</v>
      </c>
      <c r="B1280" s="89" t="s">
        <v>5596</v>
      </c>
      <c r="C1280" s="89" t="s">
        <v>783</v>
      </c>
      <c r="D1280" s="90">
        <v>405</v>
      </c>
      <c r="E1280" s="90">
        <v>0</v>
      </c>
      <c r="F1280" s="90">
        <f t="shared" si="26"/>
        <v>405</v>
      </c>
      <c r="G1280" s="91">
        <v>425</v>
      </c>
      <c r="H1280" s="92">
        <v>762.69</v>
      </c>
    </row>
    <row r="1281" spans="1:8" ht="15" x14ac:dyDescent="0.2">
      <c r="A1281" s="89" t="s">
        <v>5597</v>
      </c>
      <c r="B1281" s="89" t="s">
        <v>5600</v>
      </c>
      <c r="C1281" s="89" t="s">
        <v>7846</v>
      </c>
      <c r="D1281" s="90">
        <v>60</v>
      </c>
      <c r="E1281" s="90">
        <v>0</v>
      </c>
      <c r="F1281" s="90">
        <f t="shared" si="26"/>
        <v>60</v>
      </c>
      <c r="G1281" s="91">
        <v>60</v>
      </c>
      <c r="H1281" s="92">
        <v>60</v>
      </c>
    </row>
    <row r="1282" spans="1:8" ht="15" x14ac:dyDescent="0.2">
      <c r="A1282" s="89" t="s">
        <v>5601</v>
      </c>
      <c r="B1282" s="89" t="s">
        <v>5603</v>
      </c>
      <c r="C1282" s="89" t="s">
        <v>7216</v>
      </c>
      <c r="D1282" s="90">
        <v>318.89999999999998</v>
      </c>
      <c r="E1282" s="90">
        <v>724.03</v>
      </c>
      <c r="F1282" s="90">
        <f t="shared" si="26"/>
        <v>1042.9299999999998</v>
      </c>
      <c r="G1282" s="91">
        <v>442.42</v>
      </c>
      <c r="H1282" s="92">
        <v>339</v>
      </c>
    </row>
    <row r="1283" spans="1:8" ht="15" x14ac:dyDescent="0.2">
      <c r="A1283" s="89" t="s">
        <v>5605</v>
      </c>
      <c r="B1283" s="89" t="s">
        <v>5607</v>
      </c>
      <c r="C1283" s="89" t="s">
        <v>119</v>
      </c>
      <c r="D1283" s="90">
        <v>5</v>
      </c>
      <c r="E1283" s="90">
        <v>199.3</v>
      </c>
      <c r="F1283" s="90">
        <f t="shared" si="26"/>
        <v>204.3</v>
      </c>
      <c r="G1283" s="91">
        <v>114.88</v>
      </c>
      <c r="H1283" s="92">
        <v>128.52000000000001</v>
      </c>
    </row>
    <row r="1284" spans="1:8" ht="15" x14ac:dyDescent="0.2">
      <c r="A1284" s="89" t="s">
        <v>5608</v>
      </c>
      <c r="B1284" s="89" t="s">
        <v>5611</v>
      </c>
      <c r="C1284" s="89" t="s">
        <v>5610</v>
      </c>
      <c r="D1284" s="90">
        <v>522.22</v>
      </c>
      <c r="E1284" s="90">
        <v>0</v>
      </c>
      <c r="F1284" s="90">
        <f t="shared" si="26"/>
        <v>522.22</v>
      </c>
      <c r="G1284" s="91">
        <v>633</v>
      </c>
      <c r="H1284" s="92">
        <v>1406.3500000000001</v>
      </c>
    </row>
    <row r="1285" spans="1:8" ht="15" x14ac:dyDescent="0.2">
      <c r="A1285" s="89" t="s">
        <v>5612</v>
      </c>
      <c r="B1285" s="89" t="s">
        <v>5614</v>
      </c>
      <c r="C1285" s="89" t="s">
        <v>532</v>
      </c>
      <c r="D1285" s="90">
        <v>1385</v>
      </c>
      <c r="E1285" s="90">
        <v>1119.07</v>
      </c>
      <c r="F1285" s="90">
        <f t="shared" si="26"/>
        <v>2504.0699999999997</v>
      </c>
      <c r="G1285" s="91">
        <v>2110.4299999999998</v>
      </c>
      <c r="H1285" s="92">
        <v>2544.83</v>
      </c>
    </row>
    <row r="1286" spans="1:8" ht="15" x14ac:dyDescent="0.2">
      <c r="A1286" s="89" t="s">
        <v>5615</v>
      </c>
      <c r="B1286" s="89" t="s">
        <v>5618</v>
      </c>
      <c r="C1286" s="89" t="s">
        <v>5617</v>
      </c>
      <c r="D1286" s="90">
        <v>120</v>
      </c>
      <c r="E1286" s="90">
        <v>557.33000000000004</v>
      </c>
      <c r="F1286" s="90">
        <f t="shared" si="26"/>
        <v>677.33</v>
      </c>
      <c r="G1286" s="91">
        <v>556.54</v>
      </c>
      <c r="H1286" s="92">
        <v>628.57000000000005</v>
      </c>
    </row>
    <row r="1287" spans="1:8" ht="15" x14ac:dyDescent="0.2">
      <c r="A1287" s="89" t="s">
        <v>5620</v>
      </c>
      <c r="B1287" s="89" t="s">
        <v>5623</v>
      </c>
      <c r="C1287" s="89" t="s">
        <v>5622</v>
      </c>
      <c r="D1287" s="90">
        <v>200</v>
      </c>
      <c r="E1287" s="90">
        <v>557.77</v>
      </c>
      <c r="F1287" s="90">
        <f t="shared" si="26"/>
        <v>757.77</v>
      </c>
      <c r="G1287" s="91">
        <v>814.19</v>
      </c>
      <c r="H1287" s="92">
        <v>864.7</v>
      </c>
    </row>
    <row r="1288" spans="1:8" ht="15" x14ac:dyDescent="0.2">
      <c r="A1288" s="89" t="s">
        <v>5629</v>
      </c>
      <c r="B1288" s="89" t="s">
        <v>5631</v>
      </c>
      <c r="C1288" s="89" t="s">
        <v>231</v>
      </c>
      <c r="D1288" s="90">
        <v>185</v>
      </c>
      <c r="E1288" s="90">
        <v>0</v>
      </c>
      <c r="F1288" s="90">
        <f t="shared" si="26"/>
        <v>185</v>
      </c>
      <c r="G1288" s="91">
        <v>171</v>
      </c>
      <c r="H1288" s="92">
        <v>1061.96</v>
      </c>
    </row>
    <row r="1289" spans="1:8" ht="15" x14ac:dyDescent="0.2">
      <c r="A1289" s="89" t="s">
        <v>5632</v>
      </c>
      <c r="B1289" s="89" t="s">
        <v>5634</v>
      </c>
      <c r="C1289" s="89" t="s">
        <v>78</v>
      </c>
      <c r="D1289" s="90">
        <v>50</v>
      </c>
      <c r="E1289" s="90">
        <v>1329.13</v>
      </c>
      <c r="F1289" s="90">
        <f t="shared" si="26"/>
        <v>1379.13</v>
      </c>
      <c r="G1289" s="91">
        <v>1762.5</v>
      </c>
      <c r="H1289" s="92">
        <v>1195</v>
      </c>
    </row>
    <row r="1290" spans="1:8" ht="15" x14ac:dyDescent="0.2">
      <c r="A1290" s="89" t="s">
        <v>5636</v>
      </c>
      <c r="B1290" s="89" t="s">
        <v>5638</v>
      </c>
      <c r="C1290" s="89" t="s">
        <v>1349</v>
      </c>
      <c r="D1290" s="90">
        <v>835</v>
      </c>
      <c r="E1290" s="90">
        <v>1716.98</v>
      </c>
      <c r="F1290" s="90">
        <f t="shared" si="26"/>
        <v>2551.98</v>
      </c>
      <c r="G1290" s="91">
        <v>1635.28</v>
      </c>
      <c r="H1290" s="92">
        <v>1781.26</v>
      </c>
    </row>
    <row r="1291" spans="1:8" ht="15" x14ac:dyDescent="0.2">
      <c r="A1291" s="89" t="s">
        <v>5640</v>
      </c>
      <c r="B1291" s="89" t="s">
        <v>5643</v>
      </c>
      <c r="C1291" s="89" t="s">
        <v>7847</v>
      </c>
      <c r="D1291" s="90">
        <v>1000</v>
      </c>
      <c r="E1291" s="90">
        <v>725.35</v>
      </c>
      <c r="F1291" s="90">
        <f t="shared" si="26"/>
        <v>1725.35</v>
      </c>
      <c r="G1291" s="91">
        <v>1933.9</v>
      </c>
      <c r="H1291" s="92">
        <v>1335</v>
      </c>
    </row>
    <row r="1292" spans="1:8" ht="15" x14ac:dyDescent="0.2">
      <c r="A1292" s="89" t="s">
        <v>5644</v>
      </c>
      <c r="B1292" s="89" t="s">
        <v>5646</v>
      </c>
      <c r="C1292" s="89" t="s">
        <v>1349</v>
      </c>
      <c r="D1292" s="90">
        <v>220</v>
      </c>
      <c r="E1292" s="90">
        <v>118.54</v>
      </c>
      <c r="F1292" s="90">
        <f t="shared" si="26"/>
        <v>338.54</v>
      </c>
      <c r="G1292" s="91">
        <v>551.35</v>
      </c>
      <c r="H1292" s="92">
        <v>637</v>
      </c>
    </row>
    <row r="1293" spans="1:8" ht="15" x14ac:dyDescent="0.2">
      <c r="A1293" s="89" t="s">
        <v>5647</v>
      </c>
      <c r="B1293" s="89" t="s">
        <v>5649</v>
      </c>
      <c r="C1293" s="89" t="s">
        <v>3974</v>
      </c>
      <c r="D1293" s="90">
        <v>75</v>
      </c>
      <c r="E1293" s="90">
        <v>0</v>
      </c>
      <c r="F1293" s="90">
        <f t="shared" si="26"/>
        <v>75</v>
      </c>
      <c r="G1293" s="91">
        <v>95</v>
      </c>
      <c r="H1293" s="92">
        <v>117</v>
      </c>
    </row>
    <row r="1294" spans="1:8" ht="15" x14ac:dyDescent="0.2">
      <c r="A1294" s="89" t="s">
        <v>5650</v>
      </c>
      <c r="B1294" s="89" t="s">
        <v>5653</v>
      </c>
      <c r="C1294" s="89" t="s">
        <v>5652</v>
      </c>
      <c r="D1294" s="90">
        <v>101</v>
      </c>
      <c r="E1294" s="90">
        <v>0</v>
      </c>
      <c r="F1294" s="90">
        <f t="shared" si="26"/>
        <v>101</v>
      </c>
      <c r="G1294" s="91">
        <v>85</v>
      </c>
      <c r="H1294" s="92">
        <v>85</v>
      </c>
    </row>
    <row r="1295" spans="1:8" ht="15" x14ac:dyDescent="0.2">
      <c r="A1295" s="89" t="s">
        <v>5660</v>
      </c>
      <c r="B1295" s="89" t="s">
        <v>5663</v>
      </c>
      <c r="C1295" s="89" t="s">
        <v>1762</v>
      </c>
      <c r="D1295" s="90">
        <v>97</v>
      </c>
      <c r="E1295" s="90">
        <v>627.72</v>
      </c>
      <c r="F1295" s="90">
        <f t="shared" si="26"/>
        <v>724.72</v>
      </c>
      <c r="G1295" s="91">
        <v>1374.19</v>
      </c>
      <c r="H1295" s="92">
        <v>1349.04</v>
      </c>
    </row>
    <row r="1296" spans="1:8" ht="15" x14ac:dyDescent="0.2">
      <c r="A1296" s="89" t="s">
        <v>5665</v>
      </c>
      <c r="B1296" s="89" t="s">
        <v>5668</v>
      </c>
      <c r="C1296" s="89" t="s">
        <v>5667</v>
      </c>
      <c r="D1296" s="90">
        <v>130</v>
      </c>
      <c r="E1296" s="90">
        <v>0</v>
      </c>
      <c r="F1296" s="90">
        <f t="shared" si="26"/>
        <v>130</v>
      </c>
      <c r="G1296" s="91">
        <v>550</v>
      </c>
      <c r="H1296" s="92">
        <v>533.72</v>
      </c>
    </row>
    <row r="1297" spans="1:8" ht="15" x14ac:dyDescent="0.2">
      <c r="A1297" s="89" t="s">
        <v>5669</v>
      </c>
      <c r="B1297" s="89" t="s">
        <v>5671</v>
      </c>
      <c r="C1297" s="89" t="s">
        <v>226</v>
      </c>
      <c r="D1297" s="90">
        <v>180</v>
      </c>
      <c r="E1297" s="90">
        <v>560.54</v>
      </c>
      <c r="F1297" s="90">
        <f t="shared" si="26"/>
        <v>740.54</v>
      </c>
      <c r="G1297" s="91">
        <v>856.96</v>
      </c>
      <c r="H1297" s="92">
        <v>760.5</v>
      </c>
    </row>
    <row r="1298" spans="1:8" ht="15" x14ac:dyDescent="0.2">
      <c r="A1298" s="89" t="s">
        <v>5673</v>
      </c>
      <c r="B1298" s="89" t="s">
        <v>5675</v>
      </c>
      <c r="C1298" s="89" t="s">
        <v>158</v>
      </c>
      <c r="D1298" s="90">
        <v>193</v>
      </c>
      <c r="E1298" s="90">
        <v>518.49</v>
      </c>
      <c r="F1298" s="90">
        <f t="shared" si="26"/>
        <v>711.49</v>
      </c>
      <c r="G1298" s="91">
        <v>1154.6199999999999</v>
      </c>
      <c r="H1298" s="92">
        <v>842.46</v>
      </c>
    </row>
    <row r="1299" spans="1:8" ht="15" x14ac:dyDescent="0.2">
      <c r="A1299" s="89" t="s">
        <v>5677</v>
      </c>
      <c r="B1299" s="89" t="s">
        <v>5680</v>
      </c>
      <c r="C1299" s="89" t="s">
        <v>7848</v>
      </c>
      <c r="D1299" s="90">
        <v>1440</v>
      </c>
      <c r="E1299" s="90">
        <v>0</v>
      </c>
      <c r="F1299" s="90">
        <f t="shared" si="26"/>
        <v>1440</v>
      </c>
      <c r="G1299" s="91">
        <v>1035</v>
      </c>
      <c r="H1299" s="92">
        <v>1250</v>
      </c>
    </row>
    <row r="1300" spans="1:8" ht="15" x14ac:dyDescent="0.2">
      <c r="A1300" s="89" t="s">
        <v>5681</v>
      </c>
      <c r="B1300" s="89" t="s">
        <v>7849</v>
      </c>
      <c r="C1300" s="89" t="s">
        <v>246</v>
      </c>
      <c r="D1300" s="90">
        <v>60</v>
      </c>
      <c r="E1300" s="90">
        <v>0</v>
      </c>
      <c r="F1300" s="90">
        <f t="shared" si="26"/>
        <v>60</v>
      </c>
      <c r="G1300" s="91">
        <v>67</v>
      </c>
      <c r="H1300" s="92">
        <v>60</v>
      </c>
    </row>
    <row r="1301" spans="1:8" ht="15" x14ac:dyDescent="0.2">
      <c r="A1301" s="89" t="s">
        <v>5688</v>
      </c>
      <c r="B1301" s="89" t="s">
        <v>5690</v>
      </c>
      <c r="C1301" s="89" t="s">
        <v>7850</v>
      </c>
      <c r="D1301" s="90">
        <v>930.9</v>
      </c>
      <c r="E1301" s="90">
        <v>0</v>
      </c>
      <c r="F1301" s="90">
        <f t="shared" si="26"/>
        <v>930.9</v>
      </c>
      <c r="G1301" s="91">
        <v>1014.14</v>
      </c>
      <c r="H1301" s="92">
        <v>76</v>
      </c>
    </row>
    <row r="1302" spans="1:8" ht="15" x14ac:dyDescent="0.2">
      <c r="A1302" s="89" t="s">
        <v>5691</v>
      </c>
      <c r="B1302" s="89" t="s">
        <v>5694</v>
      </c>
      <c r="C1302" s="89" t="s">
        <v>839</v>
      </c>
      <c r="D1302" s="90">
        <v>35</v>
      </c>
      <c r="E1302" s="90">
        <v>436.66</v>
      </c>
      <c r="F1302" s="90">
        <f t="shared" si="26"/>
        <v>471.66</v>
      </c>
      <c r="G1302" s="91">
        <v>701.44</v>
      </c>
      <c r="H1302" s="92">
        <v>559.24</v>
      </c>
    </row>
    <row r="1303" spans="1:8" ht="15" x14ac:dyDescent="0.2">
      <c r="A1303" s="89" t="s">
        <v>5695</v>
      </c>
      <c r="B1303" s="89" t="s">
        <v>5697</v>
      </c>
      <c r="C1303" s="89" t="s">
        <v>532</v>
      </c>
      <c r="D1303" s="90">
        <v>10</v>
      </c>
      <c r="E1303" s="90">
        <v>1250</v>
      </c>
      <c r="F1303" s="90">
        <f t="shared" si="26"/>
        <v>1260</v>
      </c>
      <c r="G1303" s="91">
        <v>1445</v>
      </c>
      <c r="H1303" s="92">
        <v>1240</v>
      </c>
    </row>
    <row r="1304" spans="1:8" ht="15" x14ac:dyDescent="0.2">
      <c r="A1304" s="89" t="s">
        <v>5698</v>
      </c>
      <c r="B1304" s="89" t="s">
        <v>5701</v>
      </c>
      <c r="C1304" s="89" t="s">
        <v>3715</v>
      </c>
      <c r="D1304" s="90">
        <v>715.69</v>
      </c>
      <c r="E1304" s="90">
        <v>0</v>
      </c>
      <c r="F1304" s="90">
        <f t="shared" si="26"/>
        <v>715.69</v>
      </c>
      <c r="G1304" s="91">
        <v>455</v>
      </c>
      <c r="H1304" s="92">
        <v>523.46</v>
      </c>
    </row>
    <row r="1305" spans="1:8" ht="15" x14ac:dyDescent="0.2">
      <c r="A1305" s="89" t="s">
        <v>5702</v>
      </c>
      <c r="B1305" s="89" t="s">
        <v>5705</v>
      </c>
      <c r="C1305" s="89" t="s">
        <v>7851</v>
      </c>
      <c r="D1305" s="90">
        <v>440</v>
      </c>
      <c r="E1305" s="90">
        <v>971.33</v>
      </c>
      <c r="F1305" s="90">
        <f t="shared" si="26"/>
        <v>1411.33</v>
      </c>
      <c r="G1305" s="91">
        <v>1078.54</v>
      </c>
      <c r="H1305" s="92">
        <v>870.92000000000007</v>
      </c>
    </row>
    <row r="1306" spans="1:8" ht="15" x14ac:dyDescent="0.2">
      <c r="A1306" s="89" t="s">
        <v>5710</v>
      </c>
      <c r="B1306" s="89" t="s">
        <v>5713</v>
      </c>
      <c r="C1306" s="89" t="s">
        <v>7852</v>
      </c>
      <c r="D1306" s="90">
        <v>95</v>
      </c>
      <c r="E1306" s="90">
        <v>949.31</v>
      </c>
      <c r="F1306" s="90">
        <f t="shared" si="26"/>
        <v>1044.31</v>
      </c>
      <c r="G1306" s="91">
        <v>1330.01</v>
      </c>
      <c r="H1306" s="92">
        <v>1040.8700000000001</v>
      </c>
    </row>
    <row r="1307" spans="1:8" ht="15" x14ac:dyDescent="0.2">
      <c r="A1307" s="89" t="s">
        <v>5714</v>
      </c>
      <c r="B1307" s="89" t="s">
        <v>5717</v>
      </c>
      <c r="C1307" s="89" t="s">
        <v>5716</v>
      </c>
      <c r="D1307" s="90">
        <v>816.53</v>
      </c>
      <c r="E1307" s="90">
        <v>786</v>
      </c>
      <c r="F1307" s="90">
        <f t="shared" si="26"/>
        <v>1602.53</v>
      </c>
      <c r="G1307" s="91">
        <v>1215</v>
      </c>
      <c r="H1307" s="92">
        <v>1310</v>
      </c>
    </row>
    <row r="1308" spans="1:8" ht="15" x14ac:dyDescent="0.2">
      <c r="A1308" s="89" t="s">
        <v>5718</v>
      </c>
      <c r="B1308" s="89" t="s">
        <v>7853</v>
      </c>
      <c r="C1308" s="89" t="s">
        <v>5563</v>
      </c>
      <c r="D1308" s="90">
        <v>356.05</v>
      </c>
      <c r="E1308" s="90">
        <v>660.56</v>
      </c>
      <c r="F1308" s="90">
        <f t="shared" si="26"/>
        <v>1016.6099999999999</v>
      </c>
      <c r="G1308" s="91">
        <v>1228.98</v>
      </c>
      <c r="H1308" s="92">
        <v>1401.03</v>
      </c>
    </row>
    <row r="1309" spans="1:8" ht="15" x14ac:dyDescent="0.2">
      <c r="A1309" s="89" t="s">
        <v>5722</v>
      </c>
      <c r="B1309" s="89" t="s">
        <v>5724</v>
      </c>
      <c r="C1309" s="89" t="s">
        <v>3659</v>
      </c>
      <c r="D1309" s="90">
        <v>545</v>
      </c>
      <c r="E1309" s="90">
        <v>5163.12</v>
      </c>
      <c r="F1309" s="90">
        <f t="shared" si="26"/>
        <v>5708.12</v>
      </c>
      <c r="G1309" s="91">
        <v>5203.04</v>
      </c>
      <c r="H1309" s="92">
        <v>5411.37</v>
      </c>
    </row>
    <row r="1310" spans="1:8" ht="15" x14ac:dyDescent="0.2">
      <c r="A1310" s="89" t="s">
        <v>5729</v>
      </c>
      <c r="B1310" s="89" t="s">
        <v>5724</v>
      </c>
      <c r="C1310" s="89" t="s">
        <v>7854</v>
      </c>
      <c r="D1310" s="90">
        <v>90</v>
      </c>
      <c r="E1310" s="90">
        <v>660.4</v>
      </c>
      <c r="F1310" s="90">
        <f t="shared" si="26"/>
        <v>750.4</v>
      </c>
      <c r="G1310" s="91">
        <v>1167.97</v>
      </c>
      <c r="H1310" s="92">
        <v>947.71</v>
      </c>
    </row>
    <row r="1311" spans="1:8" ht="15" x14ac:dyDescent="0.2">
      <c r="A1311" s="89" t="s">
        <v>5733</v>
      </c>
      <c r="B1311" s="89" t="s">
        <v>5735</v>
      </c>
      <c r="C1311" s="89" t="s">
        <v>78</v>
      </c>
      <c r="D1311" s="90">
        <v>425</v>
      </c>
      <c r="E1311" s="90">
        <v>3002.96</v>
      </c>
      <c r="F1311" s="90">
        <f t="shared" si="26"/>
        <v>3427.96</v>
      </c>
      <c r="G1311" s="91">
        <v>3614.81</v>
      </c>
      <c r="H1311" s="92">
        <v>3496.9500000000003</v>
      </c>
    </row>
    <row r="1312" spans="1:8" ht="15" x14ac:dyDescent="0.2">
      <c r="A1312" s="89" t="s">
        <v>5736</v>
      </c>
      <c r="B1312" s="89" t="s">
        <v>5738</v>
      </c>
      <c r="C1312" s="89" t="s">
        <v>7511</v>
      </c>
      <c r="D1312" s="90">
        <v>200</v>
      </c>
      <c r="E1312" s="90">
        <v>735.53</v>
      </c>
      <c r="F1312" s="90">
        <f t="shared" si="26"/>
        <v>935.53</v>
      </c>
      <c r="G1312" s="91">
        <v>740.35</v>
      </c>
      <c r="H1312" s="92">
        <v>836.38</v>
      </c>
    </row>
    <row r="1313" spans="1:8" ht="15" x14ac:dyDescent="0.2">
      <c r="A1313" s="89" t="s">
        <v>5740</v>
      </c>
      <c r="B1313" s="89" t="s">
        <v>5743</v>
      </c>
      <c r="C1313" s="89" t="s">
        <v>2667</v>
      </c>
      <c r="D1313" s="90">
        <v>35</v>
      </c>
      <c r="E1313" s="90">
        <v>1107.72</v>
      </c>
      <c r="F1313" s="90">
        <f t="shared" si="26"/>
        <v>1142.72</v>
      </c>
      <c r="G1313" s="91">
        <v>1161.21</v>
      </c>
      <c r="H1313" s="92">
        <v>885</v>
      </c>
    </row>
    <row r="1314" spans="1:8" ht="15" x14ac:dyDescent="0.2">
      <c r="A1314" s="89" t="s">
        <v>5745</v>
      </c>
      <c r="B1314" s="89" t="s">
        <v>5748</v>
      </c>
      <c r="C1314" s="89" t="s">
        <v>2530</v>
      </c>
      <c r="D1314" s="90">
        <v>50</v>
      </c>
      <c r="E1314" s="90">
        <v>896.93</v>
      </c>
      <c r="F1314" s="90">
        <f t="shared" si="26"/>
        <v>946.93</v>
      </c>
      <c r="G1314" s="91">
        <v>1318.54</v>
      </c>
      <c r="H1314" s="92">
        <v>1217.95</v>
      </c>
    </row>
    <row r="1315" spans="1:8" ht="15" x14ac:dyDescent="0.2">
      <c r="A1315" s="89" t="s">
        <v>5750</v>
      </c>
      <c r="B1315" s="89" t="s">
        <v>7855</v>
      </c>
      <c r="C1315" s="89" t="s">
        <v>453</v>
      </c>
      <c r="D1315" s="90">
        <v>165</v>
      </c>
      <c r="E1315" s="90">
        <v>513</v>
      </c>
      <c r="F1315" s="90">
        <f t="shared" si="26"/>
        <v>678</v>
      </c>
      <c r="G1315" s="91">
        <v>1202</v>
      </c>
      <c r="H1315" s="92">
        <v>824.47</v>
      </c>
    </row>
    <row r="1316" spans="1:8" ht="15" x14ac:dyDescent="0.2">
      <c r="A1316" s="89" t="s">
        <v>5754</v>
      </c>
      <c r="B1316" s="89" t="s">
        <v>5756</v>
      </c>
      <c r="C1316" s="89" t="s">
        <v>7847</v>
      </c>
      <c r="D1316" s="90">
        <v>190</v>
      </c>
      <c r="E1316" s="90">
        <v>0</v>
      </c>
      <c r="F1316" s="90">
        <f t="shared" si="26"/>
        <v>190</v>
      </c>
      <c r="G1316" s="91">
        <v>120</v>
      </c>
      <c r="H1316" s="92">
        <v>65</v>
      </c>
    </row>
    <row r="1317" spans="1:8" ht="15" x14ac:dyDescent="0.2">
      <c r="A1317" s="89" t="s">
        <v>5757</v>
      </c>
      <c r="B1317" s="89" t="s">
        <v>5759</v>
      </c>
      <c r="C1317" s="89" t="s">
        <v>476</v>
      </c>
      <c r="D1317" s="90">
        <v>178</v>
      </c>
      <c r="E1317" s="90">
        <v>779</v>
      </c>
      <c r="F1317" s="90">
        <f t="shared" si="26"/>
        <v>957</v>
      </c>
      <c r="G1317" s="91">
        <v>922</v>
      </c>
      <c r="H1317" s="92">
        <v>1178</v>
      </c>
    </row>
    <row r="1318" spans="1:8" ht="15" x14ac:dyDescent="0.2">
      <c r="A1318" s="89" t="s">
        <v>5760</v>
      </c>
      <c r="B1318" s="89" t="s">
        <v>5762</v>
      </c>
      <c r="C1318" s="89" t="s">
        <v>3436</v>
      </c>
      <c r="D1318" s="90">
        <v>88</v>
      </c>
      <c r="E1318" s="90">
        <v>0</v>
      </c>
      <c r="F1318" s="90">
        <f t="shared" si="26"/>
        <v>88</v>
      </c>
      <c r="G1318" s="91">
        <v>341</v>
      </c>
      <c r="H1318" s="92">
        <v>143</v>
      </c>
    </row>
    <row r="1319" spans="1:8" ht="15" x14ac:dyDescent="0.2">
      <c r="A1319" s="89" t="s">
        <v>5763</v>
      </c>
      <c r="B1319" s="89" t="s">
        <v>5766</v>
      </c>
      <c r="C1319" s="89" t="s">
        <v>2663</v>
      </c>
      <c r="D1319" s="90">
        <v>1290</v>
      </c>
      <c r="E1319" s="90">
        <v>150</v>
      </c>
      <c r="F1319" s="90">
        <f t="shared" si="26"/>
        <v>1440</v>
      </c>
      <c r="G1319" s="91">
        <v>512.6</v>
      </c>
      <c r="H1319" s="92">
        <v>295</v>
      </c>
    </row>
    <row r="1320" spans="1:8" ht="15" x14ac:dyDescent="0.2">
      <c r="A1320" s="89" t="s">
        <v>5767</v>
      </c>
      <c r="B1320" s="89" t="s">
        <v>5770</v>
      </c>
      <c r="C1320" s="89" t="s">
        <v>5133</v>
      </c>
      <c r="D1320" s="90">
        <v>480</v>
      </c>
      <c r="E1320" s="90">
        <v>0</v>
      </c>
      <c r="F1320" s="90">
        <f t="shared" si="26"/>
        <v>480</v>
      </c>
      <c r="G1320" s="91">
        <v>490</v>
      </c>
      <c r="H1320" s="92">
        <v>210</v>
      </c>
    </row>
    <row r="1321" spans="1:8" ht="15" x14ac:dyDescent="0.2">
      <c r="A1321" s="89" t="s">
        <v>5771</v>
      </c>
      <c r="B1321" s="89" t="s">
        <v>5770</v>
      </c>
      <c r="C1321" s="89" t="s">
        <v>1087</v>
      </c>
      <c r="D1321" s="90">
        <v>85</v>
      </c>
      <c r="E1321" s="90">
        <v>0</v>
      </c>
      <c r="F1321" s="90">
        <f t="shared" ref="F1321:F1384" si="27">(D1321+E1321)</f>
        <v>85</v>
      </c>
      <c r="G1321" s="91">
        <v>45</v>
      </c>
      <c r="H1321" s="92">
        <v>195</v>
      </c>
    </row>
    <row r="1322" spans="1:8" ht="15" x14ac:dyDescent="0.2">
      <c r="A1322" s="89" t="s">
        <v>5774</v>
      </c>
      <c r="B1322" s="89" t="s">
        <v>5492</v>
      </c>
      <c r="C1322" s="89" t="s">
        <v>1376</v>
      </c>
      <c r="D1322" s="90">
        <v>310</v>
      </c>
      <c r="E1322" s="90">
        <v>0</v>
      </c>
      <c r="F1322" s="90">
        <f t="shared" si="27"/>
        <v>310</v>
      </c>
      <c r="G1322" s="91">
        <v>280</v>
      </c>
      <c r="H1322" s="92">
        <v>575</v>
      </c>
    </row>
    <row r="1323" spans="1:8" ht="15" x14ac:dyDescent="0.2">
      <c r="A1323" s="89" t="s">
        <v>5776</v>
      </c>
      <c r="B1323" s="89" t="s">
        <v>99</v>
      </c>
      <c r="C1323" s="89" t="s">
        <v>5108</v>
      </c>
      <c r="D1323" s="90">
        <v>95</v>
      </c>
      <c r="E1323" s="90">
        <v>761.64</v>
      </c>
      <c r="F1323" s="90">
        <f t="shared" si="27"/>
        <v>856.64</v>
      </c>
      <c r="G1323" s="91">
        <v>1010.5</v>
      </c>
      <c r="H1323" s="92">
        <v>1188.8600000000001</v>
      </c>
    </row>
    <row r="1324" spans="1:8" ht="15" x14ac:dyDescent="0.2">
      <c r="A1324" s="89" t="s">
        <v>5779</v>
      </c>
      <c r="B1324" s="89" t="s">
        <v>5781</v>
      </c>
      <c r="C1324" s="89" t="s">
        <v>3222</v>
      </c>
      <c r="D1324" s="90">
        <v>115</v>
      </c>
      <c r="E1324" s="90">
        <v>0</v>
      </c>
      <c r="F1324" s="90">
        <f t="shared" si="27"/>
        <v>115</v>
      </c>
      <c r="G1324" s="91">
        <v>105</v>
      </c>
      <c r="H1324" s="92">
        <v>105</v>
      </c>
    </row>
    <row r="1325" spans="1:8" ht="15" x14ac:dyDescent="0.2">
      <c r="A1325" s="89" t="s">
        <v>5786</v>
      </c>
      <c r="B1325" s="89" t="s">
        <v>5789</v>
      </c>
      <c r="C1325" s="89" t="s">
        <v>783</v>
      </c>
      <c r="D1325" s="90">
        <v>60</v>
      </c>
      <c r="E1325" s="90">
        <v>1050.0999999999999</v>
      </c>
      <c r="F1325" s="90">
        <f t="shared" si="27"/>
        <v>1110.0999999999999</v>
      </c>
      <c r="G1325" s="91">
        <v>1085</v>
      </c>
      <c r="H1325" s="92">
        <v>400.1</v>
      </c>
    </row>
    <row r="1326" spans="1:8" ht="15" x14ac:dyDescent="0.2">
      <c r="A1326" s="89" t="s">
        <v>5790</v>
      </c>
      <c r="B1326" s="89" t="s">
        <v>5793</v>
      </c>
      <c r="C1326" s="89" t="s">
        <v>532</v>
      </c>
      <c r="D1326" s="90">
        <v>175</v>
      </c>
      <c r="E1326" s="90">
        <v>1537.23</v>
      </c>
      <c r="F1326" s="90">
        <f t="shared" si="27"/>
        <v>1712.23</v>
      </c>
      <c r="G1326" s="91">
        <v>1578.03</v>
      </c>
      <c r="H1326" s="92">
        <v>1402.04</v>
      </c>
    </row>
    <row r="1327" spans="1:8" ht="15" x14ac:dyDescent="0.2">
      <c r="A1327" s="89" t="s">
        <v>5794</v>
      </c>
      <c r="B1327" s="89" t="s">
        <v>5797</v>
      </c>
      <c r="C1327" s="89" t="s">
        <v>5796</v>
      </c>
      <c r="D1327" s="90">
        <v>1023.22</v>
      </c>
      <c r="E1327" s="90">
        <v>0</v>
      </c>
      <c r="F1327" s="90">
        <f t="shared" si="27"/>
        <v>1023.22</v>
      </c>
      <c r="G1327" s="91">
        <v>1055</v>
      </c>
      <c r="H1327" s="92">
        <v>1219</v>
      </c>
    </row>
    <row r="1328" spans="1:8" ht="15" x14ac:dyDescent="0.2">
      <c r="A1328" s="89" t="s">
        <v>5798</v>
      </c>
      <c r="B1328" s="89" t="s">
        <v>3000</v>
      </c>
      <c r="C1328" s="89" t="s">
        <v>5800</v>
      </c>
      <c r="D1328" s="90">
        <v>335</v>
      </c>
      <c r="E1328" s="90">
        <v>2280.41</v>
      </c>
      <c r="F1328" s="90">
        <f t="shared" si="27"/>
        <v>2615.41</v>
      </c>
      <c r="G1328" s="91">
        <v>2262</v>
      </c>
      <c r="H1328" s="92">
        <v>2502.91</v>
      </c>
    </row>
    <row r="1329" spans="1:8" ht="15" x14ac:dyDescent="0.2">
      <c r="A1329" s="89" t="s">
        <v>5801</v>
      </c>
      <c r="B1329" s="89" t="s">
        <v>5803</v>
      </c>
      <c r="C1329" s="89" t="s">
        <v>231</v>
      </c>
      <c r="D1329" s="90">
        <f>321.52+100</f>
        <v>421.52</v>
      </c>
      <c r="E1329" s="90">
        <v>0</v>
      </c>
      <c r="F1329" s="90">
        <f t="shared" si="27"/>
        <v>421.52</v>
      </c>
      <c r="G1329" s="91">
        <v>851</v>
      </c>
      <c r="H1329" s="92">
        <v>911.52</v>
      </c>
    </row>
    <row r="1330" spans="1:8" ht="15" x14ac:dyDescent="0.2">
      <c r="A1330" s="89" t="s">
        <v>5808</v>
      </c>
      <c r="B1330" s="89" t="s">
        <v>5810</v>
      </c>
      <c r="C1330" s="89" t="s">
        <v>164</v>
      </c>
      <c r="D1330" s="90">
        <v>264</v>
      </c>
      <c r="E1330" s="90">
        <v>478</v>
      </c>
      <c r="F1330" s="90">
        <f t="shared" si="27"/>
        <v>742</v>
      </c>
      <c r="G1330" s="91">
        <v>665</v>
      </c>
      <c r="H1330" s="92">
        <v>1086</v>
      </c>
    </row>
    <row r="1331" spans="1:8" ht="15" x14ac:dyDescent="0.2">
      <c r="A1331" s="89" t="s">
        <v>5811</v>
      </c>
      <c r="B1331" s="89" t="s">
        <v>5813</v>
      </c>
      <c r="C1331" s="89" t="s">
        <v>2667</v>
      </c>
      <c r="D1331" s="90">
        <v>3274.92</v>
      </c>
      <c r="E1331" s="90">
        <v>0</v>
      </c>
      <c r="F1331" s="90">
        <f t="shared" si="27"/>
        <v>3274.92</v>
      </c>
      <c r="G1331" s="91">
        <v>3012</v>
      </c>
      <c r="H1331" s="92">
        <v>2680.63</v>
      </c>
    </row>
    <row r="1332" spans="1:8" ht="15" x14ac:dyDescent="0.2">
      <c r="A1332" s="89" t="s">
        <v>5817</v>
      </c>
      <c r="B1332" s="89" t="s">
        <v>5819</v>
      </c>
      <c r="C1332" s="89" t="s">
        <v>119</v>
      </c>
      <c r="D1332" s="90">
        <v>86.26</v>
      </c>
      <c r="E1332" s="90">
        <v>0</v>
      </c>
      <c r="F1332" s="90">
        <f t="shared" si="27"/>
        <v>86.26</v>
      </c>
      <c r="G1332" s="91">
        <v>189</v>
      </c>
      <c r="H1332" s="92">
        <v>150</v>
      </c>
    </row>
    <row r="1333" spans="1:8" ht="15" x14ac:dyDescent="0.2">
      <c r="A1333" s="89" t="s">
        <v>5820</v>
      </c>
      <c r="B1333" s="89" t="s">
        <v>5819</v>
      </c>
      <c r="C1333" s="89" t="s">
        <v>532</v>
      </c>
      <c r="D1333" s="90">
        <v>180</v>
      </c>
      <c r="E1333" s="90">
        <v>0</v>
      </c>
      <c r="F1333" s="90">
        <f t="shared" si="27"/>
        <v>180</v>
      </c>
      <c r="G1333" s="91">
        <v>200</v>
      </c>
      <c r="H1333" s="92">
        <v>60</v>
      </c>
    </row>
    <row r="1334" spans="1:8" ht="15" x14ac:dyDescent="0.2">
      <c r="A1334" s="89" t="s">
        <v>5822</v>
      </c>
      <c r="B1334" s="89" t="s">
        <v>5825</v>
      </c>
      <c r="C1334" s="89" t="s">
        <v>5824</v>
      </c>
      <c r="D1334" s="90">
        <v>71</v>
      </c>
      <c r="E1334" s="90">
        <v>738.25</v>
      </c>
      <c r="F1334" s="90">
        <f t="shared" si="27"/>
        <v>809.25</v>
      </c>
      <c r="G1334" s="91">
        <v>855.39</v>
      </c>
      <c r="H1334" s="92">
        <v>906.82</v>
      </c>
    </row>
    <row r="1335" spans="1:8" ht="15" x14ac:dyDescent="0.2">
      <c r="A1335" s="89" t="s">
        <v>5826</v>
      </c>
      <c r="B1335" s="89" t="s">
        <v>5828</v>
      </c>
      <c r="C1335" s="89" t="s">
        <v>198</v>
      </c>
      <c r="D1335" s="90">
        <v>647.24</v>
      </c>
      <c r="E1335" s="90">
        <v>0</v>
      </c>
      <c r="F1335" s="90">
        <f t="shared" si="27"/>
        <v>647.24</v>
      </c>
      <c r="G1335" s="91">
        <v>716</v>
      </c>
      <c r="H1335" s="92">
        <v>885.78</v>
      </c>
    </row>
    <row r="1336" spans="1:8" ht="15" x14ac:dyDescent="0.2">
      <c r="A1336" s="89" t="s">
        <v>5829</v>
      </c>
      <c r="B1336" s="89" t="s">
        <v>5831</v>
      </c>
      <c r="C1336" s="89" t="s">
        <v>1696</v>
      </c>
      <c r="D1336" s="90">
        <v>236</v>
      </c>
      <c r="E1336" s="90">
        <v>2461.66</v>
      </c>
      <c r="F1336" s="90">
        <f t="shared" si="27"/>
        <v>2697.66</v>
      </c>
      <c r="G1336" s="91">
        <v>2385.7600000000002</v>
      </c>
      <c r="H1336" s="92">
        <v>2729.7400000000002</v>
      </c>
    </row>
    <row r="1337" spans="1:8" ht="15" x14ac:dyDescent="0.2">
      <c r="A1337" s="89" t="s">
        <v>5833</v>
      </c>
      <c r="B1337" s="89" t="s">
        <v>5835</v>
      </c>
      <c r="C1337" s="89" t="s">
        <v>3574</v>
      </c>
      <c r="D1337" s="90">
        <v>1320</v>
      </c>
      <c r="E1337" s="90">
        <v>0</v>
      </c>
      <c r="F1337" s="90">
        <f t="shared" si="27"/>
        <v>1320</v>
      </c>
      <c r="G1337" s="91">
        <v>520</v>
      </c>
      <c r="H1337" s="92">
        <v>584.58000000000004</v>
      </c>
    </row>
    <row r="1338" spans="1:8" ht="15" x14ac:dyDescent="0.2">
      <c r="A1338" s="89" t="s">
        <v>5836</v>
      </c>
      <c r="B1338" s="89" t="s">
        <v>5838</v>
      </c>
      <c r="C1338" s="89" t="s">
        <v>2759</v>
      </c>
      <c r="D1338" s="90">
        <v>225</v>
      </c>
      <c r="E1338" s="90">
        <v>254.86</v>
      </c>
      <c r="F1338" s="90">
        <f t="shared" si="27"/>
        <v>479.86</v>
      </c>
      <c r="G1338" s="91">
        <v>504.26</v>
      </c>
      <c r="H1338" s="92">
        <v>478.74</v>
      </c>
    </row>
    <row r="1339" spans="1:8" ht="15" x14ac:dyDescent="0.2">
      <c r="A1339" s="89" t="s">
        <v>5839</v>
      </c>
      <c r="B1339" s="89" t="s">
        <v>4863</v>
      </c>
      <c r="C1339" s="89" t="s">
        <v>7856</v>
      </c>
      <c r="D1339" s="90">
        <v>255</v>
      </c>
      <c r="E1339" s="90">
        <v>749.7</v>
      </c>
      <c r="F1339" s="90">
        <f t="shared" si="27"/>
        <v>1004.7</v>
      </c>
      <c r="G1339" s="91">
        <v>1036.55</v>
      </c>
      <c r="H1339" s="92">
        <v>1470.1000000000001</v>
      </c>
    </row>
    <row r="1340" spans="1:8" ht="15" x14ac:dyDescent="0.2">
      <c r="A1340" s="89" t="s">
        <v>5848</v>
      </c>
      <c r="B1340" s="89" t="s">
        <v>5851</v>
      </c>
      <c r="C1340" s="89" t="s">
        <v>7857</v>
      </c>
      <c r="D1340" s="90">
        <v>100</v>
      </c>
      <c r="E1340" s="90">
        <v>341.27</v>
      </c>
      <c r="F1340" s="90">
        <f t="shared" si="27"/>
        <v>441.27</v>
      </c>
      <c r="G1340" s="91">
        <v>572.52</v>
      </c>
      <c r="H1340" s="92">
        <v>564.74</v>
      </c>
    </row>
    <row r="1341" spans="1:8" ht="15" x14ac:dyDescent="0.2">
      <c r="A1341" s="89" t="s">
        <v>5852</v>
      </c>
      <c r="B1341" s="89" t="s">
        <v>5854</v>
      </c>
      <c r="C1341" s="89" t="s">
        <v>2578</v>
      </c>
      <c r="D1341" s="90">
        <v>50</v>
      </c>
      <c r="E1341" s="90">
        <v>249.24</v>
      </c>
      <c r="F1341" s="90">
        <f t="shared" si="27"/>
        <v>299.24</v>
      </c>
      <c r="G1341" s="91">
        <v>583.05999999999995</v>
      </c>
      <c r="H1341" s="92">
        <v>751.66</v>
      </c>
    </row>
    <row r="1342" spans="1:8" ht="15" x14ac:dyDescent="0.2">
      <c r="A1342" s="89" t="s">
        <v>5855</v>
      </c>
      <c r="B1342" s="89" t="s">
        <v>5857</v>
      </c>
      <c r="C1342" s="89" t="s">
        <v>5138</v>
      </c>
      <c r="D1342" s="90">
        <v>110</v>
      </c>
      <c r="E1342" s="90"/>
      <c r="F1342" s="90">
        <f t="shared" si="27"/>
        <v>110</v>
      </c>
      <c r="G1342" s="91">
        <v>337</v>
      </c>
      <c r="H1342" s="92">
        <v>324.45</v>
      </c>
    </row>
    <row r="1343" spans="1:8" ht="15" x14ac:dyDescent="0.2">
      <c r="A1343" s="89" t="s">
        <v>5858</v>
      </c>
      <c r="B1343" s="89" t="s">
        <v>6115</v>
      </c>
      <c r="C1343" s="89" t="s">
        <v>4476</v>
      </c>
      <c r="D1343" s="90">
        <v>366</v>
      </c>
      <c r="E1343" s="90">
        <v>855.45</v>
      </c>
      <c r="F1343" s="90">
        <f t="shared" si="27"/>
        <v>1221.45</v>
      </c>
      <c r="G1343" s="91">
        <v>1466.91</v>
      </c>
      <c r="H1343" s="92">
        <v>1381.8600000000001</v>
      </c>
    </row>
    <row r="1344" spans="1:8" ht="15" x14ac:dyDescent="0.2">
      <c r="A1344" s="89" t="s">
        <v>5862</v>
      </c>
      <c r="B1344" s="89" t="s">
        <v>5865</v>
      </c>
      <c r="C1344" s="89" t="s">
        <v>7858</v>
      </c>
      <c r="D1344" s="90">
        <v>0</v>
      </c>
      <c r="E1344" s="90">
        <v>397.77</v>
      </c>
      <c r="F1344" s="90">
        <f t="shared" si="27"/>
        <v>397.77</v>
      </c>
      <c r="G1344" s="91">
        <v>262.61</v>
      </c>
      <c r="H1344" s="92">
        <v>785.11</v>
      </c>
    </row>
    <row r="1345" spans="1:8" ht="15" x14ac:dyDescent="0.2">
      <c r="A1345" s="89" t="s">
        <v>5866</v>
      </c>
      <c r="B1345" s="89" t="s">
        <v>5868</v>
      </c>
      <c r="C1345" s="89" t="s">
        <v>1203</v>
      </c>
      <c r="D1345" s="90">
        <v>1010.92</v>
      </c>
      <c r="E1345" s="90">
        <v>1230.99</v>
      </c>
      <c r="F1345" s="90">
        <f t="shared" si="27"/>
        <v>2241.91</v>
      </c>
      <c r="G1345" s="91">
        <v>2148.1999999999998</v>
      </c>
      <c r="H1345" s="92">
        <v>1941.03</v>
      </c>
    </row>
    <row r="1346" spans="1:8" ht="15" x14ac:dyDescent="0.2">
      <c r="A1346" s="89" t="s">
        <v>5869</v>
      </c>
      <c r="B1346" s="89" t="s">
        <v>5872</v>
      </c>
      <c r="C1346" s="89" t="s">
        <v>5871</v>
      </c>
      <c r="D1346" s="90">
        <v>365</v>
      </c>
      <c r="E1346" s="90">
        <v>401.49</v>
      </c>
      <c r="F1346" s="90">
        <f t="shared" si="27"/>
        <v>766.49</v>
      </c>
      <c r="G1346" s="91">
        <v>1126.7</v>
      </c>
      <c r="H1346" s="92">
        <v>780</v>
      </c>
    </row>
    <row r="1347" spans="1:8" ht="15" x14ac:dyDescent="0.2">
      <c r="A1347" s="89" t="s">
        <v>5873</v>
      </c>
      <c r="B1347" s="89" t="s">
        <v>5876</v>
      </c>
      <c r="C1347" s="89" t="s">
        <v>5152</v>
      </c>
      <c r="D1347" s="90">
        <v>819.78</v>
      </c>
      <c r="E1347" s="90">
        <v>38.619999999999997</v>
      </c>
      <c r="F1347" s="90">
        <f t="shared" si="27"/>
        <v>858.4</v>
      </c>
      <c r="G1347" s="91">
        <v>1381.46</v>
      </c>
      <c r="H1347" s="92">
        <v>1219.0899999999999</v>
      </c>
    </row>
    <row r="1348" spans="1:8" ht="15" x14ac:dyDescent="0.2">
      <c r="A1348" s="89" t="s">
        <v>5889</v>
      </c>
      <c r="B1348" s="89" t="s">
        <v>5892</v>
      </c>
      <c r="C1348" s="89" t="s">
        <v>7859</v>
      </c>
      <c r="D1348" s="90">
        <v>190</v>
      </c>
      <c r="E1348" s="90">
        <v>842.66</v>
      </c>
      <c r="F1348" s="90">
        <f t="shared" si="27"/>
        <v>1032.6599999999999</v>
      </c>
      <c r="G1348" s="91">
        <v>1185.19</v>
      </c>
      <c r="H1348" s="92">
        <v>1201.95</v>
      </c>
    </row>
    <row r="1349" spans="1:8" ht="15" x14ac:dyDescent="0.2">
      <c r="A1349" s="89" t="s">
        <v>5893</v>
      </c>
      <c r="B1349" s="89" t="s">
        <v>5895</v>
      </c>
      <c r="C1349" s="89" t="s">
        <v>2578</v>
      </c>
      <c r="D1349" s="90">
        <v>805</v>
      </c>
      <c r="E1349" s="90">
        <v>2884.49</v>
      </c>
      <c r="F1349" s="90">
        <f t="shared" si="27"/>
        <v>3689.49</v>
      </c>
      <c r="G1349" s="91">
        <v>3922.64</v>
      </c>
      <c r="H1349" s="92">
        <v>4145.08</v>
      </c>
    </row>
    <row r="1350" spans="1:8" ht="15" x14ac:dyDescent="0.2">
      <c r="A1350" s="89" t="s">
        <v>5896</v>
      </c>
      <c r="B1350" s="89" t="s">
        <v>5898</v>
      </c>
      <c r="C1350" s="89" t="s">
        <v>942</v>
      </c>
      <c r="D1350" s="90">
        <v>5</v>
      </c>
      <c r="E1350" s="90"/>
      <c r="F1350" s="90">
        <f t="shared" si="27"/>
        <v>5</v>
      </c>
      <c r="G1350" s="91">
        <v>44.23</v>
      </c>
      <c r="H1350" s="92">
        <v>524.33000000000004</v>
      </c>
    </row>
    <row r="1351" spans="1:8" ht="15" x14ac:dyDescent="0.2">
      <c r="A1351" s="89" t="s">
        <v>5899</v>
      </c>
      <c r="B1351" s="89" t="s">
        <v>5901</v>
      </c>
      <c r="C1351" s="89" t="s">
        <v>7860</v>
      </c>
      <c r="D1351" s="90">
        <v>140</v>
      </c>
      <c r="E1351" s="90">
        <v>102.26</v>
      </c>
      <c r="F1351" s="90">
        <f t="shared" si="27"/>
        <v>242.26</v>
      </c>
      <c r="G1351" s="91">
        <v>374</v>
      </c>
      <c r="H1351" s="92">
        <v>270</v>
      </c>
    </row>
    <row r="1352" spans="1:8" ht="15" x14ac:dyDescent="0.2">
      <c r="A1352" s="89" t="s">
        <v>5905</v>
      </c>
      <c r="B1352" s="89" t="s">
        <v>5907</v>
      </c>
      <c r="C1352" s="89" t="s">
        <v>934</v>
      </c>
      <c r="D1352" s="90">
        <v>1200</v>
      </c>
      <c r="E1352" s="90">
        <v>989.17</v>
      </c>
      <c r="F1352" s="90">
        <f t="shared" si="27"/>
        <v>2189.17</v>
      </c>
      <c r="G1352" s="91">
        <v>1121.68</v>
      </c>
      <c r="H1352" s="92">
        <v>665.6</v>
      </c>
    </row>
    <row r="1353" spans="1:8" ht="15" x14ac:dyDescent="0.2">
      <c r="A1353" s="89" t="s">
        <v>5909</v>
      </c>
      <c r="B1353" s="89" t="s">
        <v>5911</v>
      </c>
      <c r="C1353" s="89" t="s">
        <v>5610</v>
      </c>
      <c r="D1353" s="90">
        <v>486</v>
      </c>
      <c r="E1353" s="90">
        <v>284.45999999999998</v>
      </c>
      <c r="F1353" s="90">
        <f t="shared" si="27"/>
        <v>770.46</v>
      </c>
      <c r="G1353" s="91">
        <v>845</v>
      </c>
      <c r="H1353" s="92">
        <v>436</v>
      </c>
    </row>
    <row r="1354" spans="1:8" ht="15" x14ac:dyDescent="0.2">
      <c r="A1354" s="89" t="s">
        <v>5913</v>
      </c>
      <c r="B1354" s="89" t="s">
        <v>5915</v>
      </c>
      <c r="C1354" s="89" t="s">
        <v>783</v>
      </c>
      <c r="D1354" s="90">
        <v>5776.2</v>
      </c>
      <c r="E1354" s="90">
        <v>0</v>
      </c>
      <c r="F1354" s="90">
        <f t="shared" si="27"/>
        <v>5776.2</v>
      </c>
      <c r="G1354" s="91">
        <v>1211</v>
      </c>
      <c r="H1354" s="92">
        <v>1298.4000000000001</v>
      </c>
    </row>
    <row r="1355" spans="1:8" ht="15" x14ac:dyDescent="0.2">
      <c r="A1355" s="89" t="s">
        <v>5919</v>
      </c>
      <c r="B1355" s="89" t="s">
        <v>5922</v>
      </c>
      <c r="C1355" s="89" t="s">
        <v>5548</v>
      </c>
      <c r="D1355" s="90">
        <v>160</v>
      </c>
      <c r="E1355" s="90">
        <v>657.9</v>
      </c>
      <c r="F1355" s="90">
        <f t="shared" si="27"/>
        <v>817.9</v>
      </c>
      <c r="G1355" s="91">
        <v>484.88</v>
      </c>
      <c r="H1355" s="92">
        <v>757.64</v>
      </c>
    </row>
    <row r="1356" spans="1:8" ht="15" x14ac:dyDescent="0.2">
      <c r="A1356" s="89" t="s">
        <v>5923</v>
      </c>
      <c r="B1356" s="89" t="s">
        <v>5925</v>
      </c>
      <c r="C1356" s="89" t="s">
        <v>7193</v>
      </c>
      <c r="D1356" s="90">
        <v>0</v>
      </c>
      <c r="E1356" s="90">
        <v>375.57</v>
      </c>
      <c r="F1356" s="90">
        <f t="shared" si="27"/>
        <v>375.57</v>
      </c>
      <c r="G1356" s="91">
        <v>689.17</v>
      </c>
      <c r="H1356" s="92">
        <v>151.54</v>
      </c>
    </row>
    <row r="1357" spans="1:8" ht="15" x14ac:dyDescent="0.2">
      <c r="A1357" s="89" t="s">
        <v>5926</v>
      </c>
      <c r="B1357" s="89" t="s">
        <v>5928</v>
      </c>
      <c r="C1357" s="89" t="s">
        <v>532</v>
      </c>
      <c r="D1357" s="90">
        <v>1232.04</v>
      </c>
      <c r="E1357" s="90">
        <v>0</v>
      </c>
      <c r="F1357" s="90">
        <f t="shared" si="27"/>
        <v>1232.04</v>
      </c>
      <c r="G1357" s="91">
        <v>1818</v>
      </c>
      <c r="H1357" s="92">
        <v>1499.73</v>
      </c>
    </row>
    <row r="1358" spans="1:8" ht="15" x14ac:dyDescent="0.2">
      <c r="A1358" s="89" t="s">
        <v>5929</v>
      </c>
      <c r="B1358" s="89" t="s">
        <v>5931</v>
      </c>
      <c r="C1358" s="89" t="s">
        <v>5069</v>
      </c>
      <c r="D1358" s="90">
        <v>131</v>
      </c>
      <c r="E1358" s="90">
        <v>942.85</v>
      </c>
      <c r="F1358" s="90">
        <f t="shared" si="27"/>
        <v>1073.8499999999999</v>
      </c>
      <c r="G1358" s="91">
        <v>1279.1199999999999</v>
      </c>
      <c r="H1358" s="92">
        <v>945.17000000000007</v>
      </c>
    </row>
    <row r="1359" spans="1:8" ht="15" x14ac:dyDescent="0.2">
      <c r="A1359" s="89" t="s">
        <v>5933</v>
      </c>
      <c r="B1359" s="89" t="s">
        <v>5936</v>
      </c>
      <c r="C1359" s="89" t="s">
        <v>7861</v>
      </c>
      <c r="D1359" s="90">
        <v>778</v>
      </c>
      <c r="E1359" s="90">
        <v>5254.22</v>
      </c>
      <c r="F1359" s="90">
        <f t="shared" si="27"/>
        <v>6032.22</v>
      </c>
      <c r="G1359" s="91">
        <v>8504.92</v>
      </c>
      <c r="H1359" s="92">
        <v>9361.66</v>
      </c>
    </row>
    <row r="1360" spans="1:8" ht="15" x14ac:dyDescent="0.2">
      <c r="A1360" s="89" t="s">
        <v>5937</v>
      </c>
      <c r="B1360" s="89" t="s">
        <v>5939</v>
      </c>
      <c r="C1360" s="89" t="s">
        <v>7862</v>
      </c>
      <c r="D1360" s="90">
        <v>135</v>
      </c>
      <c r="E1360" s="90">
        <v>722.87</v>
      </c>
      <c r="F1360" s="90">
        <f t="shared" si="27"/>
        <v>857.87</v>
      </c>
      <c r="G1360" s="91">
        <v>533.39</v>
      </c>
      <c r="H1360" s="92">
        <v>666.32</v>
      </c>
    </row>
    <row r="1361" spans="1:8" ht="15" x14ac:dyDescent="0.2">
      <c r="A1361" s="89" t="s">
        <v>5941</v>
      </c>
      <c r="B1361" s="89" t="s">
        <v>5943</v>
      </c>
      <c r="C1361" s="89" t="s">
        <v>127</v>
      </c>
      <c r="D1361" s="90">
        <v>544.34</v>
      </c>
      <c r="E1361" s="90"/>
      <c r="F1361" s="90">
        <f t="shared" si="27"/>
        <v>544.34</v>
      </c>
      <c r="G1361" s="91">
        <v>671</v>
      </c>
      <c r="H1361" s="92">
        <v>504.12</v>
      </c>
    </row>
    <row r="1362" spans="1:8" ht="15" x14ac:dyDescent="0.2">
      <c r="A1362" s="89" t="s">
        <v>5944</v>
      </c>
      <c r="B1362" s="89" t="s">
        <v>5947</v>
      </c>
      <c r="C1362" s="89" t="s">
        <v>7863</v>
      </c>
      <c r="D1362" s="90">
        <v>400</v>
      </c>
      <c r="E1362" s="90">
        <v>416.12</v>
      </c>
      <c r="F1362" s="90">
        <f t="shared" si="27"/>
        <v>816.12</v>
      </c>
      <c r="G1362" s="91">
        <v>933.2</v>
      </c>
      <c r="H1362" s="92">
        <v>460.47</v>
      </c>
    </row>
    <row r="1363" spans="1:8" ht="15" x14ac:dyDescent="0.2">
      <c r="A1363" s="89" t="s">
        <v>5948</v>
      </c>
      <c r="B1363" s="89" t="s">
        <v>5951</v>
      </c>
      <c r="C1363" s="89" t="s">
        <v>7864</v>
      </c>
      <c r="D1363" s="90">
        <v>242</v>
      </c>
      <c r="E1363" s="90"/>
      <c r="F1363" s="90">
        <f t="shared" si="27"/>
        <v>242</v>
      </c>
      <c r="G1363" s="91">
        <v>970</v>
      </c>
      <c r="H1363" s="92">
        <v>195</v>
      </c>
    </row>
    <row r="1364" spans="1:8" ht="15" x14ac:dyDescent="0.2">
      <c r="A1364" s="89" t="s">
        <v>5952</v>
      </c>
      <c r="B1364" s="89" t="s">
        <v>5955</v>
      </c>
      <c r="C1364" s="89" t="s">
        <v>155</v>
      </c>
      <c r="D1364" s="90">
        <v>399.82</v>
      </c>
      <c r="E1364" s="90"/>
      <c r="F1364" s="90">
        <f t="shared" si="27"/>
        <v>399.82</v>
      </c>
      <c r="G1364" s="91">
        <v>366</v>
      </c>
      <c r="H1364" s="92">
        <v>1193.06</v>
      </c>
    </row>
    <row r="1365" spans="1:8" ht="15" x14ac:dyDescent="0.2">
      <c r="A1365" s="89" t="s">
        <v>5956</v>
      </c>
      <c r="B1365" s="89" t="s">
        <v>5959</v>
      </c>
      <c r="C1365" s="89" t="s">
        <v>5958</v>
      </c>
      <c r="D1365" s="90">
        <v>190</v>
      </c>
      <c r="E1365" s="90"/>
      <c r="F1365" s="90">
        <f t="shared" si="27"/>
        <v>190</v>
      </c>
      <c r="G1365" s="91">
        <v>170</v>
      </c>
      <c r="H1365" s="92">
        <v>270</v>
      </c>
    </row>
    <row r="1366" spans="1:8" ht="15" x14ac:dyDescent="0.2">
      <c r="A1366" s="89" t="s">
        <v>5960</v>
      </c>
      <c r="B1366" s="89" t="s">
        <v>5963</v>
      </c>
      <c r="C1366" s="89" t="s">
        <v>7865</v>
      </c>
      <c r="D1366" s="90">
        <v>135</v>
      </c>
      <c r="E1366" s="90">
        <v>294.76</v>
      </c>
      <c r="F1366" s="90">
        <f t="shared" si="27"/>
        <v>429.76</v>
      </c>
      <c r="G1366" s="91">
        <v>436.21</v>
      </c>
      <c r="H1366" s="92">
        <v>674.64</v>
      </c>
    </row>
    <row r="1367" spans="1:8" ht="15" x14ac:dyDescent="0.2">
      <c r="A1367" s="89" t="s">
        <v>5964</v>
      </c>
      <c r="B1367" s="89" t="s">
        <v>5967</v>
      </c>
      <c r="C1367" s="89" t="s">
        <v>7866</v>
      </c>
      <c r="D1367" s="90">
        <v>345</v>
      </c>
      <c r="E1367" s="90">
        <v>416.93</v>
      </c>
      <c r="F1367" s="90">
        <f t="shared" si="27"/>
        <v>761.93000000000006</v>
      </c>
      <c r="G1367" s="91">
        <v>1468.27</v>
      </c>
      <c r="H1367" s="92">
        <v>1717.48</v>
      </c>
    </row>
    <row r="1368" spans="1:8" ht="15" x14ac:dyDescent="0.2">
      <c r="A1368" s="89" t="s">
        <v>5968</v>
      </c>
      <c r="B1368" s="89" t="s">
        <v>5970</v>
      </c>
      <c r="C1368" s="89" t="s">
        <v>1584</v>
      </c>
      <c r="D1368" s="90">
        <v>237</v>
      </c>
      <c r="E1368" s="90">
        <v>298.57</v>
      </c>
      <c r="F1368" s="90">
        <f t="shared" si="27"/>
        <v>535.56999999999994</v>
      </c>
      <c r="G1368" s="91">
        <v>835.25</v>
      </c>
      <c r="H1368" s="92">
        <v>358.49</v>
      </c>
    </row>
    <row r="1369" spans="1:8" ht="15" x14ac:dyDescent="0.2">
      <c r="A1369" s="89" t="s">
        <v>5975</v>
      </c>
      <c r="B1369" s="89" t="s">
        <v>5977</v>
      </c>
      <c r="C1369" s="89" t="s">
        <v>382</v>
      </c>
      <c r="D1369" s="90">
        <v>25</v>
      </c>
      <c r="E1369" s="90">
        <v>857.24</v>
      </c>
      <c r="F1369" s="90">
        <f t="shared" si="27"/>
        <v>882.24</v>
      </c>
      <c r="G1369" s="91">
        <v>15</v>
      </c>
      <c r="H1369" s="92">
        <v>30</v>
      </c>
    </row>
    <row r="1370" spans="1:8" ht="15" x14ac:dyDescent="0.2">
      <c r="A1370" s="89" t="s">
        <v>5978</v>
      </c>
      <c r="B1370" s="89" t="s">
        <v>5981</v>
      </c>
      <c r="C1370" s="89" t="s">
        <v>5215</v>
      </c>
      <c r="D1370" s="90">
        <v>52</v>
      </c>
      <c r="E1370" s="90"/>
      <c r="F1370" s="90">
        <f t="shared" si="27"/>
        <v>52</v>
      </c>
      <c r="G1370" s="91">
        <v>0</v>
      </c>
      <c r="H1370" s="92">
        <v>3000</v>
      </c>
    </row>
    <row r="1371" spans="1:8" ht="15" x14ac:dyDescent="0.2">
      <c r="A1371" s="89" t="s">
        <v>5982</v>
      </c>
      <c r="B1371" s="89" t="s">
        <v>5985</v>
      </c>
      <c r="C1371" s="89" t="s">
        <v>5984</v>
      </c>
      <c r="D1371" s="90">
        <v>429</v>
      </c>
      <c r="E1371" s="90"/>
      <c r="F1371" s="90">
        <f t="shared" si="27"/>
        <v>429</v>
      </c>
      <c r="G1371" s="91">
        <v>610</v>
      </c>
      <c r="H1371" s="92">
        <v>805</v>
      </c>
    </row>
    <row r="1372" spans="1:8" ht="15" x14ac:dyDescent="0.2">
      <c r="A1372" s="89" t="s">
        <v>5986</v>
      </c>
      <c r="B1372" s="89" t="s">
        <v>5989</v>
      </c>
      <c r="C1372" s="89" t="s">
        <v>7867</v>
      </c>
      <c r="D1372" s="90">
        <v>185</v>
      </c>
      <c r="E1372" s="90">
        <v>1220.8399999999999</v>
      </c>
      <c r="F1372" s="90">
        <f t="shared" si="27"/>
        <v>1405.84</v>
      </c>
      <c r="G1372" s="91">
        <v>2105.0100000000002</v>
      </c>
      <c r="H1372" s="92">
        <v>1528.72</v>
      </c>
    </row>
    <row r="1373" spans="1:8" ht="15" x14ac:dyDescent="0.2">
      <c r="A1373" s="89" t="s">
        <v>5990</v>
      </c>
      <c r="B1373" s="89" t="s">
        <v>5993</v>
      </c>
      <c r="C1373" s="89" t="s">
        <v>158</v>
      </c>
      <c r="D1373" s="90">
        <v>275</v>
      </c>
      <c r="E1373" s="90">
        <v>1174.8800000000001</v>
      </c>
      <c r="F1373" s="90">
        <f t="shared" si="27"/>
        <v>1449.88</v>
      </c>
      <c r="G1373" s="91">
        <v>1422.46</v>
      </c>
      <c r="H1373" s="92">
        <v>1198.9100000000001</v>
      </c>
    </row>
    <row r="1374" spans="1:8" ht="15" x14ac:dyDescent="0.2">
      <c r="A1374" s="89" t="s">
        <v>5995</v>
      </c>
      <c r="B1374" s="89" t="s">
        <v>5998</v>
      </c>
      <c r="C1374" s="89" t="s">
        <v>7868</v>
      </c>
      <c r="D1374" s="90">
        <v>305</v>
      </c>
      <c r="E1374" s="90">
        <v>1304.43</v>
      </c>
      <c r="F1374" s="90">
        <f t="shared" si="27"/>
        <v>1609.43</v>
      </c>
      <c r="G1374" s="91">
        <v>1991.27</v>
      </c>
      <c r="H1374" s="92">
        <v>1793.05</v>
      </c>
    </row>
    <row r="1375" spans="1:8" ht="15" x14ac:dyDescent="0.2">
      <c r="A1375" s="89" t="s">
        <v>6000</v>
      </c>
      <c r="B1375" s="89" t="s">
        <v>6002</v>
      </c>
      <c r="C1375" s="89" t="s">
        <v>1489</v>
      </c>
      <c r="D1375" s="90"/>
      <c r="E1375" s="90">
        <v>340</v>
      </c>
      <c r="F1375" s="90">
        <f t="shared" si="27"/>
        <v>340</v>
      </c>
      <c r="G1375" s="91">
        <v>30</v>
      </c>
      <c r="H1375" s="92">
        <v>394</v>
      </c>
    </row>
    <row r="1376" spans="1:8" ht="15" x14ac:dyDescent="0.2">
      <c r="A1376" s="89" t="s">
        <v>6003</v>
      </c>
      <c r="B1376" s="89" t="s">
        <v>6005</v>
      </c>
      <c r="C1376" s="89" t="s">
        <v>1008</v>
      </c>
      <c r="D1376" s="90">
        <v>2155.23</v>
      </c>
      <c r="E1376" s="90">
        <v>6082.33</v>
      </c>
      <c r="F1376" s="90">
        <f t="shared" si="27"/>
        <v>8237.56</v>
      </c>
      <c r="G1376" s="91">
        <v>10150.709999999999</v>
      </c>
      <c r="H1376" s="92">
        <v>6514.14</v>
      </c>
    </row>
    <row r="1377" spans="1:8" ht="15" x14ac:dyDescent="0.2">
      <c r="A1377" s="89" t="s">
        <v>6010</v>
      </c>
      <c r="B1377" s="89" t="s">
        <v>6013</v>
      </c>
      <c r="C1377" s="89" t="s">
        <v>7869</v>
      </c>
      <c r="D1377" s="90">
        <v>923</v>
      </c>
      <c r="E1377" s="90">
        <v>3003.92</v>
      </c>
      <c r="F1377" s="90">
        <f t="shared" si="27"/>
        <v>3926.92</v>
      </c>
      <c r="G1377" s="91">
        <v>2731.88</v>
      </c>
      <c r="H1377" s="92">
        <v>5647.97</v>
      </c>
    </row>
    <row r="1378" spans="1:8" ht="15" x14ac:dyDescent="0.2">
      <c r="A1378" s="89" t="s">
        <v>6018</v>
      </c>
      <c r="B1378" s="89" t="s">
        <v>2076</v>
      </c>
      <c r="C1378" s="89" t="s">
        <v>78</v>
      </c>
      <c r="D1378" s="90">
        <v>1451.32</v>
      </c>
      <c r="E1378" s="90"/>
      <c r="F1378" s="90">
        <f t="shared" si="27"/>
        <v>1451.32</v>
      </c>
      <c r="G1378" s="91">
        <v>1191</v>
      </c>
      <c r="H1378" s="92">
        <v>1339.18</v>
      </c>
    </row>
    <row r="1379" spans="1:8" ht="15" x14ac:dyDescent="0.2">
      <c r="A1379" s="89" t="s">
        <v>6021</v>
      </c>
      <c r="B1379" s="89" t="s">
        <v>6023</v>
      </c>
      <c r="C1379" s="89" t="s">
        <v>1546</v>
      </c>
      <c r="D1379" s="90">
        <v>350</v>
      </c>
      <c r="E1379" s="90">
        <v>2779.36</v>
      </c>
      <c r="F1379" s="90">
        <f t="shared" si="27"/>
        <v>3129.36</v>
      </c>
      <c r="G1379" s="91">
        <v>2987.61</v>
      </c>
      <c r="H1379" s="92">
        <v>2806.4</v>
      </c>
    </row>
    <row r="1380" spans="1:8" ht="15" x14ac:dyDescent="0.2">
      <c r="A1380" s="89" t="s">
        <v>6024</v>
      </c>
      <c r="B1380" s="89" t="s">
        <v>6027</v>
      </c>
      <c r="C1380" s="89" t="s">
        <v>7870</v>
      </c>
      <c r="D1380" s="90">
        <v>427</v>
      </c>
      <c r="E1380" s="90">
        <v>1603.86</v>
      </c>
      <c r="F1380" s="90">
        <f t="shared" si="27"/>
        <v>2030.86</v>
      </c>
      <c r="G1380" s="91">
        <v>2613.19</v>
      </c>
      <c r="H1380" s="92">
        <v>2638.33</v>
      </c>
    </row>
    <row r="1381" spans="1:8" ht="15" x14ac:dyDescent="0.2">
      <c r="A1381" s="89" t="s">
        <v>6029</v>
      </c>
      <c r="B1381" s="89" t="s">
        <v>6032</v>
      </c>
      <c r="C1381" s="89" t="s">
        <v>7871</v>
      </c>
      <c r="D1381" s="90">
        <v>815</v>
      </c>
      <c r="E1381" s="90">
        <v>1633.5</v>
      </c>
      <c r="F1381" s="90">
        <f t="shared" si="27"/>
        <v>2448.5</v>
      </c>
      <c r="G1381" s="91">
        <v>2171.4</v>
      </c>
      <c r="H1381" s="92">
        <v>1593.67</v>
      </c>
    </row>
    <row r="1382" spans="1:8" ht="15" x14ac:dyDescent="0.2">
      <c r="A1382" s="89" t="s">
        <v>6034</v>
      </c>
      <c r="B1382" s="89" t="s">
        <v>6037</v>
      </c>
      <c r="C1382" s="89" t="s">
        <v>6036</v>
      </c>
      <c r="D1382" s="90">
        <v>200</v>
      </c>
      <c r="E1382" s="90">
        <v>374.55</v>
      </c>
      <c r="F1382" s="90">
        <f t="shared" si="27"/>
        <v>574.54999999999995</v>
      </c>
      <c r="G1382" s="91">
        <v>1289.1500000000001</v>
      </c>
      <c r="H1382" s="92">
        <v>788.35</v>
      </c>
    </row>
    <row r="1383" spans="1:8" ht="15" x14ac:dyDescent="0.2">
      <c r="A1383" s="89" t="s">
        <v>6038</v>
      </c>
      <c r="B1383" s="89" t="s">
        <v>6040</v>
      </c>
      <c r="C1383" s="89" t="s">
        <v>2578</v>
      </c>
      <c r="D1383" s="90">
        <v>45</v>
      </c>
      <c r="E1383" s="90">
        <f>918.57+156.13</f>
        <v>1074.7</v>
      </c>
      <c r="F1383" s="90">
        <f t="shared" si="27"/>
        <v>1119.7</v>
      </c>
      <c r="G1383" s="91">
        <v>1123.0899999999999</v>
      </c>
      <c r="H1383" s="92">
        <v>889.25</v>
      </c>
    </row>
    <row r="1384" spans="1:8" ht="15" x14ac:dyDescent="0.2">
      <c r="A1384" s="89" t="s">
        <v>6042</v>
      </c>
      <c r="B1384" s="89" t="s">
        <v>6044</v>
      </c>
      <c r="C1384" s="89" t="s">
        <v>532</v>
      </c>
      <c r="D1384" s="90">
        <v>50</v>
      </c>
      <c r="E1384" s="90">
        <v>432.08</v>
      </c>
      <c r="F1384" s="90">
        <f t="shared" si="27"/>
        <v>482.08</v>
      </c>
      <c r="G1384" s="91">
        <v>728.05</v>
      </c>
      <c r="H1384" s="92">
        <v>707.91</v>
      </c>
    </row>
    <row r="1385" spans="1:8" ht="15" x14ac:dyDescent="0.2">
      <c r="A1385" s="89" t="s">
        <v>6045</v>
      </c>
      <c r="B1385" s="89" t="s">
        <v>6048</v>
      </c>
      <c r="C1385" s="89" t="s">
        <v>7872</v>
      </c>
      <c r="D1385" s="90">
        <v>533.32000000000005</v>
      </c>
      <c r="E1385" s="90"/>
      <c r="F1385" s="90">
        <f t="shared" ref="F1385:F1438" si="28">(D1385+E1385)</f>
        <v>533.32000000000005</v>
      </c>
      <c r="G1385" s="91">
        <v>857</v>
      </c>
      <c r="H1385" s="92">
        <v>487.91</v>
      </c>
    </row>
    <row r="1386" spans="1:8" ht="15" x14ac:dyDescent="0.2">
      <c r="A1386" s="89" t="s">
        <v>6049</v>
      </c>
      <c r="B1386" s="89" t="s">
        <v>6052</v>
      </c>
      <c r="C1386" s="89" t="s">
        <v>6051</v>
      </c>
      <c r="D1386" s="90">
        <v>375</v>
      </c>
      <c r="E1386" s="90">
        <v>86.44</v>
      </c>
      <c r="F1386" s="90">
        <f t="shared" si="28"/>
        <v>461.44</v>
      </c>
      <c r="G1386" s="91">
        <v>735.8900000000001</v>
      </c>
      <c r="H1386" s="92">
        <v>631.20000000000005</v>
      </c>
    </row>
    <row r="1387" spans="1:8" ht="15" x14ac:dyDescent="0.2">
      <c r="A1387" s="89" t="s">
        <v>6053</v>
      </c>
      <c r="B1387" s="89" t="s">
        <v>6055</v>
      </c>
      <c r="C1387" s="89" t="s">
        <v>1584</v>
      </c>
      <c r="D1387" s="90">
        <v>813</v>
      </c>
      <c r="E1387" s="90">
        <v>1194.8900000000001</v>
      </c>
      <c r="F1387" s="90">
        <f t="shared" si="28"/>
        <v>2007.89</v>
      </c>
      <c r="G1387" s="91">
        <v>2281.5699999999997</v>
      </c>
      <c r="H1387" s="92">
        <v>2353.89</v>
      </c>
    </row>
    <row r="1388" spans="1:8" ht="15" x14ac:dyDescent="0.2">
      <c r="A1388" s="89" t="s">
        <v>6057</v>
      </c>
      <c r="B1388" s="89" t="s">
        <v>6059</v>
      </c>
      <c r="C1388" s="89" t="s">
        <v>301</v>
      </c>
      <c r="D1388" s="90">
        <v>25</v>
      </c>
      <c r="E1388" s="90">
        <v>1238.77</v>
      </c>
      <c r="F1388" s="90">
        <f t="shared" si="28"/>
        <v>1263.77</v>
      </c>
      <c r="G1388" s="91">
        <v>1618.02</v>
      </c>
      <c r="H1388" s="92">
        <v>1802</v>
      </c>
    </row>
    <row r="1389" spans="1:8" ht="15" x14ac:dyDescent="0.2">
      <c r="A1389" s="89" t="s">
        <v>6061</v>
      </c>
      <c r="B1389" s="89" t="s">
        <v>6063</v>
      </c>
      <c r="C1389" s="89" t="s">
        <v>78</v>
      </c>
      <c r="D1389" s="90">
        <v>890</v>
      </c>
      <c r="E1389" s="90">
        <v>1719.97</v>
      </c>
      <c r="F1389" s="90">
        <f t="shared" si="28"/>
        <v>2609.9700000000003</v>
      </c>
      <c r="G1389" s="91">
        <v>2537.0100000000002</v>
      </c>
      <c r="H1389" s="92">
        <v>2149.1</v>
      </c>
    </row>
    <row r="1390" spans="1:8" ht="15" x14ac:dyDescent="0.2">
      <c r="A1390" s="89" t="s">
        <v>6064</v>
      </c>
      <c r="B1390" s="89" t="s">
        <v>6066</v>
      </c>
      <c r="C1390" s="89" t="s">
        <v>1371</v>
      </c>
      <c r="D1390" s="90">
        <v>50</v>
      </c>
      <c r="E1390" s="90"/>
      <c r="F1390" s="90">
        <f t="shared" si="28"/>
        <v>50</v>
      </c>
      <c r="G1390" s="91">
        <v>80</v>
      </c>
      <c r="H1390" s="92">
        <v>25</v>
      </c>
    </row>
    <row r="1391" spans="1:8" ht="15" x14ac:dyDescent="0.2">
      <c r="A1391" s="89" t="s">
        <v>6074</v>
      </c>
      <c r="B1391" s="89" t="s">
        <v>6077</v>
      </c>
      <c r="C1391" s="89" t="s">
        <v>6076</v>
      </c>
      <c r="D1391" s="90">
        <v>500</v>
      </c>
      <c r="E1391" s="90">
        <v>374.3</v>
      </c>
      <c r="F1391" s="90">
        <f t="shared" si="28"/>
        <v>874.3</v>
      </c>
      <c r="G1391" s="91">
        <v>717.84</v>
      </c>
      <c r="H1391" s="92">
        <v>785.35</v>
      </c>
    </row>
    <row r="1392" spans="1:8" ht="15" x14ac:dyDescent="0.2">
      <c r="A1392" s="89" t="s">
        <v>6082</v>
      </c>
      <c r="B1392" s="89" t="s">
        <v>6084</v>
      </c>
      <c r="C1392" s="89" t="s">
        <v>532</v>
      </c>
      <c r="D1392" s="90">
        <v>300</v>
      </c>
      <c r="E1392" s="90">
        <v>63.9</v>
      </c>
      <c r="F1392" s="90">
        <f t="shared" si="28"/>
        <v>363.9</v>
      </c>
      <c r="G1392" s="91">
        <v>864.87</v>
      </c>
      <c r="H1392" s="92">
        <v>327.38</v>
      </c>
    </row>
    <row r="1393" spans="1:8" ht="15" x14ac:dyDescent="0.2">
      <c r="A1393" s="89" t="s">
        <v>6085</v>
      </c>
      <c r="B1393" s="89" t="s">
        <v>6088</v>
      </c>
      <c r="C1393" s="89" t="s">
        <v>6087</v>
      </c>
      <c r="D1393" s="90">
        <v>1002</v>
      </c>
      <c r="E1393" s="90">
        <v>784.11</v>
      </c>
      <c r="F1393" s="90">
        <f t="shared" si="28"/>
        <v>1786.1100000000001</v>
      </c>
      <c r="G1393" s="91">
        <v>2227.31</v>
      </c>
      <c r="H1393" s="92">
        <v>1437.15</v>
      </c>
    </row>
    <row r="1394" spans="1:8" ht="15" x14ac:dyDescent="0.2">
      <c r="A1394" s="89" t="s">
        <v>6089</v>
      </c>
      <c r="B1394" s="89" t="s">
        <v>6091</v>
      </c>
      <c r="C1394" s="89" t="s">
        <v>1284</v>
      </c>
      <c r="D1394" s="90">
        <v>325</v>
      </c>
      <c r="E1394" s="90">
        <v>1751.08</v>
      </c>
      <c r="F1394" s="90">
        <f t="shared" si="28"/>
        <v>2076.08</v>
      </c>
      <c r="G1394" s="91">
        <v>1571.83</v>
      </c>
      <c r="H1394" s="92">
        <v>1487.77</v>
      </c>
    </row>
    <row r="1395" spans="1:8" ht="15" x14ac:dyDescent="0.2">
      <c r="A1395" s="89" t="s">
        <v>6092</v>
      </c>
      <c r="B1395" s="89" t="s">
        <v>6095</v>
      </c>
      <c r="C1395" s="89" t="s">
        <v>2759</v>
      </c>
      <c r="D1395" s="90">
        <v>134.94999999999999</v>
      </c>
      <c r="E1395" s="90">
        <v>388.41</v>
      </c>
      <c r="F1395" s="90">
        <f t="shared" si="28"/>
        <v>523.36</v>
      </c>
      <c r="G1395" s="91">
        <v>879.78</v>
      </c>
      <c r="H1395" s="92">
        <v>878.87</v>
      </c>
    </row>
    <row r="1396" spans="1:8" ht="15" x14ac:dyDescent="0.2">
      <c r="A1396" s="89" t="s">
        <v>6097</v>
      </c>
      <c r="B1396" s="89" t="s">
        <v>6099</v>
      </c>
      <c r="C1396" s="89" t="s">
        <v>2554</v>
      </c>
      <c r="D1396" s="90">
        <v>330</v>
      </c>
      <c r="E1396" s="90"/>
      <c r="F1396" s="90">
        <f t="shared" si="28"/>
        <v>330</v>
      </c>
      <c r="G1396" s="91">
        <v>15</v>
      </c>
      <c r="H1396" s="92">
        <v>110</v>
      </c>
    </row>
    <row r="1397" spans="1:8" ht="15" x14ac:dyDescent="0.2">
      <c r="A1397" s="89" t="s">
        <v>6100</v>
      </c>
      <c r="B1397" s="89" t="s">
        <v>6102</v>
      </c>
      <c r="C1397" s="89" t="s">
        <v>1047</v>
      </c>
      <c r="D1397" s="90">
        <v>25</v>
      </c>
      <c r="E1397" s="90">
        <v>2498.39</v>
      </c>
      <c r="F1397" s="90">
        <f t="shared" si="28"/>
        <v>2523.39</v>
      </c>
      <c r="G1397" s="91">
        <v>2467.1999999999998</v>
      </c>
      <c r="H1397" s="92">
        <v>2991</v>
      </c>
    </row>
    <row r="1398" spans="1:8" ht="15" x14ac:dyDescent="0.2">
      <c r="A1398" s="89" t="s">
        <v>6103</v>
      </c>
      <c r="B1398" s="89" t="s">
        <v>6106</v>
      </c>
      <c r="C1398" s="89" t="s">
        <v>6105</v>
      </c>
      <c r="D1398" s="90">
        <v>270</v>
      </c>
      <c r="E1398" s="90">
        <f>645.71+42.32</f>
        <v>688.03000000000009</v>
      </c>
      <c r="F1398" s="90">
        <f t="shared" si="28"/>
        <v>958.03000000000009</v>
      </c>
      <c r="G1398" s="91">
        <v>1155.9299999999998</v>
      </c>
      <c r="H1398" s="92">
        <v>903.19</v>
      </c>
    </row>
    <row r="1399" spans="1:8" ht="15" x14ac:dyDescent="0.2">
      <c r="A1399" s="89" t="s">
        <v>6107</v>
      </c>
      <c r="B1399" s="89" t="s">
        <v>6109</v>
      </c>
      <c r="C1399" s="89" t="s">
        <v>1047</v>
      </c>
      <c r="D1399" s="90">
        <v>70</v>
      </c>
      <c r="E1399" s="90">
        <v>0</v>
      </c>
      <c r="F1399" s="90">
        <f t="shared" si="28"/>
        <v>70</v>
      </c>
      <c r="G1399" s="91">
        <v>60</v>
      </c>
      <c r="H1399" s="92">
        <v>432.42</v>
      </c>
    </row>
    <row r="1400" spans="1:8" ht="15" x14ac:dyDescent="0.2">
      <c r="A1400" s="89" t="s">
        <v>6112</v>
      </c>
      <c r="B1400" s="89" t="s">
        <v>7873</v>
      </c>
      <c r="C1400" s="89" t="s">
        <v>7874</v>
      </c>
      <c r="D1400" s="90">
        <v>231.3</v>
      </c>
      <c r="E1400" s="90"/>
      <c r="F1400" s="90">
        <f t="shared" si="28"/>
        <v>231.3</v>
      </c>
      <c r="G1400" s="91">
        <v>214</v>
      </c>
      <c r="H1400" s="92">
        <v>407.75</v>
      </c>
    </row>
    <row r="1401" spans="1:8" ht="15" x14ac:dyDescent="0.2">
      <c r="A1401" s="89" t="s">
        <v>6120</v>
      </c>
      <c r="B1401" s="89" t="s">
        <v>6122</v>
      </c>
      <c r="C1401" s="89" t="s">
        <v>198</v>
      </c>
      <c r="D1401" s="90">
        <v>396.85</v>
      </c>
      <c r="E1401" s="90">
        <v>870.16</v>
      </c>
      <c r="F1401" s="90">
        <f t="shared" si="28"/>
        <v>1267.01</v>
      </c>
      <c r="G1401" s="91">
        <v>1345.54</v>
      </c>
      <c r="H1401" s="92">
        <v>1040.23</v>
      </c>
    </row>
    <row r="1402" spans="1:8" ht="15" x14ac:dyDescent="0.2">
      <c r="A1402" s="89" t="s">
        <v>6124</v>
      </c>
      <c r="B1402" s="89" t="s">
        <v>6126</v>
      </c>
      <c r="C1402" s="89" t="s">
        <v>1165</v>
      </c>
      <c r="D1402" s="90">
        <v>597.03</v>
      </c>
      <c r="E1402" s="90"/>
      <c r="F1402" s="90">
        <f t="shared" si="28"/>
        <v>597.03</v>
      </c>
      <c r="G1402" s="91">
        <v>485</v>
      </c>
      <c r="H1402" s="92">
        <v>1017.9300000000001</v>
      </c>
    </row>
    <row r="1403" spans="1:8" ht="15" x14ac:dyDescent="0.2">
      <c r="A1403" s="89" t="s">
        <v>6127</v>
      </c>
      <c r="B1403" s="89" t="s">
        <v>6130</v>
      </c>
      <c r="C1403" s="89" t="s">
        <v>6129</v>
      </c>
      <c r="D1403" s="90">
        <v>255</v>
      </c>
      <c r="E1403" s="90">
        <v>1205.33</v>
      </c>
      <c r="F1403" s="90">
        <f t="shared" si="28"/>
        <v>1460.33</v>
      </c>
      <c r="G1403" s="91">
        <v>1464.14</v>
      </c>
      <c r="H1403" s="92">
        <v>1569.82</v>
      </c>
    </row>
    <row r="1404" spans="1:8" ht="15" x14ac:dyDescent="0.2">
      <c r="A1404" s="89" t="s">
        <v>6131</v>
      </c>
      <c r="B1404" s="89" t="s">
        <v>6133</v>
      </c>
      <c r="C1404" s="89" t="s">
        <v>7875</v>
      </c>
      <c r="D1404" s="90">
        <v>554</v>
      </c>
      <c r="E1404" s="90">
        <v>174.23</v>
      </c>
      <c r="F1404" s="90">
        <f t="shared" si="28"/>
        <v>728.23</v>
      </c>
      <c r="G1404" s="91">
        <v>704</v>
      </c>
      <c r="H1404" s="92">
        <v>436</v>
      </c>
    </row>
    <row r="1405" spans="1:8" ht="15" x14ac:dyDescent="0.2">
      <c r="A1405" s="89" t="s">
        <v>6134</v>
      </c>
      <c r="B1405" s="89" t="s">
        <v>6136</v>
      </c>
      <c r="C1405" s="89" t="s">
        <v>5984</v>
      </c>
      <c r="D1405" s="90">
        <v>0</v>
      </c>
      <c r="E1405" s="90"/>
      <c r="F1405" s="90">
        <f t="shared" si="28"/>
        <v>0</v>
      </c>
      <c r="G1405" s="91">
        <v>0</v>
      </c>
      <c r="H1405" s="92">
        <v>37.96</v>
      </c>
    </row>
    <row r="1406" spans="1:8" ht="15" x14ac:dyDescent="0.2">
      <c r="A1406" s="89" t="s">
        <v>6137</v>
      </c>
      <c r="B1406" s="89" t="s">
        <v>6140</v>
      </c>
      <c r="C1406" s="89" t="s">
        <v>6139</v>
      </c>
      <c r="D1406" s="90">
        <v>10</v>
      </c>
      <c r="E1406" s="90"/>
      <c r="F1406" s="90">
        <f t="shared" si="28"/>
        <v>10</v>
      </c>
      <c r="G1406" s="91">
        <v>70</v>
      </c>
      <c r="H1406" s="92">
        <v>147.45000000000002</v>
      </c>
    </row>
    <row r="1407" spans="1:8" ht="15" x14ac:dyDescent="0.2">
      <c r="A1407" s="89" t="s">
        <v>6141</v>
      </c>
      <c r="B1407" s="89" t="s">
        <v>6143</v>
      </c>
      <c r="C1407" s="89" t="s">
        <v>5904</v>
      </c>
      <c r="D1407" s="90">
        <v>40</v>
      </c>
      <c r="E1407" s="90"/>
      <c r="F1407" s="90">
        <f t="shared" si="28"/>
        <v>40</v>
      </c>
      <c r="G1407" s="91">
        <v>85</v>
      </c>
      <c r="H1407" s="92">
        <v>25</v>
      </c>
    </row>
    <row r="1408" spans="1:8" ht="15" x14ac:dyDescent="0.2">
      <c r="A1408" s="89" t="s">
        <v>6144</v>
      </c>
      <c r="B1408" s="89" t="s">
        <v>6146</v>
      </c>
      <c r="C1408" s="89" t="s">
        <v>2667</v>
      </c>
      <c r="D1408" s="90">
        <v>190</v>
      </c>
      <c r="E1408" s="90">
        <v>350</v>
      </c>
      <c r="F1408" s="90">
        <f t="shared" si="28"/>
        <v>540</v>
      </c>
      <c r="G1408" s="91">
        <v>256</v>
      </c>
      <c r="H1408" s="92">
        <v>259.10000000000002</v>
      </c>
    </row>
    <row r="1409" spans="1:8" ht="15" x14ac:dyDescent="0.2">
      <c r="A1409" s="89" t="s">
        <v>6147</v>
      </c>
      <c r="B1409" s="89" t="s">
        <v>6150</v>
      </c>
      <c r="C1409" s="89" t="s">
        <v>7876</v>
      </c>
      <c r="D1409" s="90">
        <v>265</v>
      </c>
      <c r="E1409" s="90">
        <v>266.45999999999998</v>
      </c>
      <c r="F1409" s="90">
        <f t="shared" si="28"/>
        <v>531.46</v>
      </c>
      <c r="G1409" s="91">
        <v>904.48</v>
      </c>
      <c r="H1409" s="92">
        <v>921.91</v>
      </c>
    </row>
    <row r="1410" spans="1:8" ht="15" x14ac:dyDescent="0.2">
      <c r="A1410" s="89" t="s">
        <v>6151</v>
      </c>
      <c r="B1410" s="89" t="s">
        <v>6153</v>
      </c>
      <c r="C1410" s="89" t="s">
        <v>4774</v>
      </c>
      <c r="D1410" s="90">
        <v>415</v>
      </c>
      <c r="E1410" s="90">
        <v>509.37</v>
      </c>
      <c r="F1410" s="90">
        <f t="shared" si="28"/>
        <v>924.37</v>
      </c>
      <c r="G1410" s="91">
        <v>1434.65</v>
      </c>
      <c r="H1410" s="92">
        <v>1368.17</v>
      </c>
    </row>
    <row r="1411" spans="1:8" ht="15" x14ac:dyDescent="0.2">
      <c r="A1411" s="89" t="s">
        <v>6154</v>
      </c>
      <c r="B1411" s="89" t="s">
        <v>6156</v>
      </c>
      <c r="C1411" s="89" t="s">
        <v>7216</v>
      </c>
      <c r="D1411" s="90">
        <v>360</v>
      </c>
      <c r="E1411" s="90">
        <v>802.39</v>
      </c>
      <c r="F1411" s="90">
        <f t="shared" si="28"/>
        <v>1162.3899999999999</v>
      </c>
      <c r="G1411" s="91">
        <v>1207.94</v>
      </c>
      <c r="H1411" s="92">
        <v>1401.99</v>
      </c>
    </row>
    <row r="1412" spans="1:8" ht="15" x14ac:dyDescent="0.2">
      <c r="A1412" s="89" t="s">
        <v>6161</v>
      </c>
      <c r="B1412" s="89" t="s">
        <v>6163</v>
      </c>
      <c r="C1412" s="89" t="s">
        <v>2981</v>
      </c>
      <c r="D1412" s="90">
        <v>116.5</v>
      </c>
      <c r="E1412" s="90">
        <v>397.21</v>
      </c>
      <c r="F1412" s="90">
        <f t="shared" si="28"/>
        <v>513.71</v>
      </c>
      <c r="G1412" s="91">
        <v>988.1</v>
      </c>
      <c r="H1412" s="92">
        <v>1254.8900000000001</v>
      </c>
    </row>
    <row r="1413" spans="1:8" ht="15" x14ac:dyDescent="0.2">
      <c r="A1413" s="89" t="s">
        <v>6164</v>
      </c>
      <c r="B1413" s="89" t="s">
        <v>6163</v>
      </c>
      <c r="C1413" s="89" t="s">
        <v>127</v>
      </c>
      <c r="D1413" s="90">
        <v>212</v>
      </c>
      <c r="E1413" s="90"/>
      <c r="F1413" s="90">
        <f t="shared" si="28"/>
        <v>212</v>
      </c>
      <c r="G1413" s="91">
        <v>410</v>
      </c>
      <c r="H1413" s="92">
        <v>0</v>
      </c>
    </row>
    <row r="1414" spans="1:8" ht="15" x14ac:dyDescent="0.2">
      <c r="A1414" s="89" t="s">
        <v>6167</v>
      </c>
      <c r="B1414" s="89" t="s">
        <v>6169</v>
      </c>
      <c r="C1414" s="89" t="s">
        <v>3659</v>
      </c>
      <c r="D1414" s="90">
        <v>559.01</v>
      </c>
      <c r="E1414" s="90"/>
      <c r="F1414" s="90">
        <f t="shared" si="28"/>
        <v>559.01</v>
      </c>
      <c r="G1414" s="91">
        <v>171</v>
      </c>
      <c r="H1414" s="92">
        <v>580</v>
      </c>
    </row>
    <row r="1415" spans="1:8" ht="15" x14ac:dyDescent="0.2">
      <c r="A1415" s="89" t="s">
        <v>6170</v>
      </c>
      <c r="B1415" s="89" t="s">
        <v>6172</v>
      </c>
      <c r="C1415" s="89" t="s">
        <v>1160</v>
      </c>
      <c r="D1415" s="90">
        <v>1277.27</v>
      </c>
      <c r="E1415" s="90"/>
      <c r="F1415" s="90">
        <f t="shared" si="28"/>
        <v>1277.27</v>
      </c>
      <c r="G1415" s="91">
        <v>1681</v>
      </c>
      <c r="H1415" s="92">
        <v>2272.88</v>
      </c>
    </row>
    <row r="1416" spans="1:8" ht="15" x14ac:dyDescent="0.2">
      <c r="A1416" s="89" t="s">
        <v>6173</v>
      </c>
      <c r="B1416" s="89" t="s">
        <v>6175</v>
      </c>
      <c r="C1416" s="89" t="s">
        <v>839</v>
      </c>
      <c r="D1416" s="90">
        <v>115</v>
      </c>
      <c r="E1416" s="90">
        <v>684.1</v>
      </c>
      <c r="F1416" s="90">
        <f t="shared" si="28"/>
        <v>799.1</v>
      </c>
      <c r="G1416" s="91">
        <v>727</v>
      </c>
      <c r="H1416" s="92">
        <v>783.4</v>
      </c>
    </row>
    <row r="1417" spans="1:8" ht="15" x14ac:dyDescent="0.2">
      <c r="A1417" s="89" t="s">
        <v>6177</v>
      </c>
      <c r="B1417" s="89" t="s">
        <v>6179</v>
      </c>
      <c r="C1417" s="89" t="s">
        <v>7516</v>
      </c>
      <c r="D1417" s="90">
        <v>125</v>
      </c>
      <c r="E1417" s="90">
        <v>1115</v>
      </c>
      <c r="F1417" s="90">
        <f t="shared" si="28"/>
        <v>1240</v>
      </c>
      <c r="G1417" s="91">
        <v>1497</v>
      </c>
      <c r="H1417" s="92">
        <v>1183</v>
      </c>
    </row>
    <row r="1418" spans="1:8" ht="15" x14ac:dyDescent="0.2">
      <c r="A1418" s="89" t="s">
        <v>6180</v>
      </c>
      <c r="B1418" s="89" t="s">
        <v>6183</v>
      </c>
      <c r="C1418" s="89" t="s">
        <v>5512</v>
      </c>
      <c r="D1418" s="90">
        <v>73</v>
      </c>
      <c r="E1418" s="90">
        <v>1529.76</v>
      </c>
      <c r="F1418" s="90">
        <f t="shared" si="28"/>
        <v>1602.76</v>
      </c>
      <c r="G1418" s="91">
        <v>1909.22</v>
      </c>
      <c r="H1418" s="92">
        <v>1714.6200000000001</v>
      </c>
    </row>
    <row r="1419" spans="1:8" ht="15" x14ac:dyDescent="0.2">
      <c r="A1419" s="89" t="s">
        <v>6184</v>
      </c>
      <c r="B1419" s="89" t="s">
        <v>6187</v>
      </c>
      <c r="C1419" s="89" t="s">
        <v>7877</v>
      </c>
      <c r="D1419" s="90">
        <v>2285.19</v>
      </c>
      <c r="E1419" s="90"/>
      <c r="F1419" s="90">
        <f t="shared" si="28"/>
        <v>2285.19</v>
      </c>
      <c r="G1419" s="91">
        <v>2332</v>
      </c>
      <c r="H1419" s="92">
        <v>2349.65</v>
      </c>
    </row>
    <row r="1420" spans="1:8" ht="15" x14ac:dyDescent="0.2">
      <c r="A1420" s="89" t="s">
        <v>6188</v>
      </c>
      <c r="B1420" s="89" t="s">
        <v>6190</v>
      </c>
      <c r="C1420" s="89" t="s">
        <v>1047</v>
      </c>
      <c r="D1420" s="90">
        <v>0</v>
      </c>
      <c r="E1420" s="90"/>
      <c r="F1420" s="90">
        <f t="shared" si="28"/>
        <v>0</v>
      </c>
      <c r="G1420" s="91">
        <v>50</v>
      </c>
      <c r="H1420" s="92">
        <v>50</v>
      </c>
    </row>
    <row r="1421" spans="1:8" ht="15" x14ac:dyDescent="0.2">
      <c r="A1421" s="89" t="s">
        <v>6191</v>
      </c>
      <c r="B1421" s="89" t="s">
        <v>6194</v>
      </c>
      <c r="C1421" s="89" t="s">
        <v>6193</v>
      </c>
      <c r="D1421" s="90">
        <v>510.11</v>
      </c>
      <c r="E1421" s="90"/>
      <c r="F1421" s="90">
        <f t="shared" si="28"/>
        <v>510.11</v>
      </c>
      <c r="G1421" s="91">
        <v>874</v>
      </c>
      <c r="H1421" s="92">
        <v>900.7</v>
      </c>
    </row>
    <row r="1422" spans="1:8" ht="15" x14ac:dyDescent="0.2">
      <c r="A1422" s="89" t="s">
        <v>6195</v>
      </c>
      <c r="B1422" s="89" t="s">
        <v>6197</v>
      </c>
      <c r="C1422" s="89" t="s">
        <v>5610</v>
      </c>
      <c r="D1422" s="90">
        <v>465</v>
      </c>
      <c r="E1422" s="90">
        <v>1399.65</v>
      </c>
      <c r="F1422" s="90">
        <f t="shared" si="28"/>
        <v>1864.65</v>
      </c>
      <c r="G1422" s="91">
        <v>2094</v>
      </c>
      <c r="H1422" s="92">
        <v>1858.9</v>
      </c>
    </row>
    <row r="1423" spans="1:8" ht="15" x14ac:dyDescent="0.2">
      <c r="A1423" s="89" t="s">
        <v>6198</v>
      </c>
      <c r="B1423" s="89" t="s">
        <v>6201</v>
      </c>
      <c r="C1423" s="89" t="s">
        <v>158</v>
      </c>
      <c r="D1423" s="90">
        <v>305</v>
      </c>
      <c r="E1423" s="90"/>
      <c r="F1423" s="90">
        <f t="shared" si="28"/>
        <v>305</v>
      </c>
      <c r="G1423" s="91">
        <v>180</v>
      </c>
      <c r="H1423" s="92">
        <v>476</v>
      </c>
    </row>
    <row r="1424" spans="1:8" ht="15" x14ac:dyDescent="0.2">
      <c r="A1424" s="89" t="s">
        <v>6202</v>
      </c>
      <c r="B1424" s="89" t="s">
        <v>6204</v>
      </c>
      <c r="C1424" s="89" t="s">
        <v>7535</v>
      </c>
      <c r="D1424" s="90">
        <f>430+90</f>
        <v>520</v>
      </c>
      <c r="E1424" s="90">
        <v>1708.84</v>
      </c>
      <c r="F1424" s="90">
        <f t="shared" si="28"/>
        <v>2228.84</v>
      </c>
      <c r="G1424" s="91">
        <v>2189.4499999999998</v>
      </c>
      <c r="H1424" s="92">
        <v>1858.4</v>
      </c>
    </row>
    <row r="1425" spans="1:9" ht="15" x14ac:dyDescent="0.2">
      <c r="A1425" s="89" t="s">
        <v>6205</v>
      </c>
      <c r="B1425" s="89" t="s">
        <v>6207</v>
      </c>
      <c r="C1425" s="89" t="s">
        <v>1008</v>
      </c>
      <c r="D1425" s="90">
        <v>63</v>
      </c>
      <c r="E1425" s="90"/>
      <c r="F1425" s="90">
        <f t="shared" si="28"/>
        <v>63</v>
      </c>
      <c r="G1425" s="91">
        <v>63</v>
      </c>
      <c r="H1425" s="92">
        <v>63</v>
      </c>
    </row>
    <row r="1426" spans="1:9" ht="15" x14ac:dyDescent="0.2">
      <c r="A1426" s="89" t="s">
        <v>6208</v>
      </c>
      <c r="B1426" s="89" t="s">
        <v>5590</v>
      </c>
      <c r="C1426" s="89" t="s">
        <v>7878</v>
      </c>
      <c r="D1426" s="90">
        <v>70</v>
      </c>
      <c r="E1426" s="90"/>
      <c r="F1426" s="90">
        <f t="shared" si="28"/>
        <v>70</v>
      </c>
      <c r="G1426" s="91">
        <v>70</v>
      </c>
      <c r="H1426" s="92">
        <v>70</v>
      </c>
    </row>
    <row r="1427" spans="1:9" ht="15" x14ac:dyDescent="0.2">
      <c r="A1427" s="89" t="s">
        <v>6211</v>
      </c>
      <c r="B1427" s="89" t="s">
        <v>6214</v>
      </c>
      <c r="C1427" s="89" t="s">
        <v>453</v>
      </c>
      <c r="D1427" s="90">
        <v>75</v>
      </c>
      <c r="E1427" s="90">
        <v>2171.12</v>
      </c>
      <c r="F1427" s="90">
        <f t="shared" si="28"/>
        <v>2246.12</v>
      </c>
      <c r="G1427" s="91">
        <v>2254.33</v>
      </c>
      <c r="H1427" s="92">
        <v>2137.65</v>
      </c>
    </row>
    <row r="1428" spans="1:9" ht="15" x14ac:dyDescent="0.2">
      <c r="A1428" s="89" t="s">
        <v>6215</v>
      </c>
      <c r="B1428" s="89" t="s">
        <v>6218</v>
      </c>
      <c r="C1428" s="89" t="s">
        <v>7584</v>
      </c>
      <c r="D1428" s="90">
        <v>490</v>
      </c>
      <c r="E1428" s="90">
        <v>2189.4</v>
      </c>
      <c r="F1428" s="90">
        <f t="shared" si="28"/>
        <v>2679.4</v>
      </c>
      <c r="G1428" s="91">
        <v>4098.54</v>
      </c>
      <c r="H1428" s="92">
        <v>4534.7300000000005</v>
      </c>
    </row>
    <row r="1429" spans="1:9" ht="15" x14ac:dyDescent="0.2">
      <c r="A1429" s="89" t="s">
        <v>6220</v>
      </c>
      <c r="B1429" s="89" t="s">
        <v>6222</v>
      </c>
      <c r="C1429" s="89" t="s">
        <v>4774</v>
      </c>
      <c r="D1429" s="90">
        <v>101.42</v>
      </c>
      <c r="E1429" s="90"/>
      <c r="F1429" s="90">
        <f t="shared" si="28"/>
        <v>101.42</v>
      </c>
      <c r="G1429" s="91">
        <v>10</v>
      </c>
      <c r="H1429" s="92">
        <v>10</v>
      </c>
    </row>
    <row r="1430" spans="1:9" ht="15" x14ac:dyDescent="0.2">
      <c r="A1430" s="89" t="s">
        <v>6226</v>
      </c>
      <c r="B1430" s="89" t="s">
        <v>6228</v>
      </c>
      <c r="C1430" s="89" t="s">
        <v>231</v>
      </c>
      <c r="D1430" s="90">
        <v>30</v>
      </c>
      <c r="E1430" s="90"/>
      <c r="F1430" s="90">
        <f t="shared" si="28"/>
        <v>30</v>
      </c>
      <c r="G1430" s="91">
        <v>40</v>
      </c>
      <c r="H1430" s="92">
        <v>100</v>
      </c>
    </row>
    <row r="1431" spans="1:9" ht="15" x14ac:dyDescent="0.2">
      <c r="A1431" s="89" t="s">
        <v>6232</v>
      </c>
      <c r="B1431" s="89" t="s">
        <v>6235</v>
      </c>
      <c r="C1431" s="89" t="s">
        <v>6234</v>
      </c>
      <c r="D1431" s="90">
        <f>292+73.75</f>
        <v>365.75</v>
      </c>
      <c r="E1431" s="90">
        <v>100.54</v>
      </c>
      <c r="F1431" s="90">
        <f t="shared" si="28"/>
        <v>466.29</v>
      </c>
      <c r="G1431" s="91">
        <v>481.33000000000004</v>
      </c>
      <c r="H1431" s="92">
        <v>589.47</v>
      </c>
    </row>
    <row r="1432" spans="1:9" ht="15" x14ac:dyDescent="0.2">
      <c r="A1432" s="89" t="s">
        <v>6237</v>
      </c>
      <c r="B1432" s="89" t="s">
        <v>6240</v>
      </c>
      <c r="C1432" s="89" t="s">
        <v>5066</v>
      </c>
      <c r="D1432" s="90">
        <v>326</v>
      </c>
      <c r="E1432" s="90">
        <v>1374.38</v>
      </c>
      <c r="F1432" s="90">
        <f t="shared" si="28"/>
        <v>1700.38</v>
      </c>
      <c r="G1432" s="91">
        <v>1814.41</v>
      </c>
      <c r="H1432" s="92">
        <v>1663.63</v>
      </c>
    </row>
    <row r="1433" spans="1:9" ht="15" x14ac:dyDescent="0.2">
      <c r="A1433" s="89" t="s">
        <v>6242</v>
      </c>
      <c r="B1433" s="89" t="s">
        <v>6244</v>
      </c>
      <c r="C1433" s="89" t="s">
        <v>916</v>
      </c>
      <c r="D1433" s="90">
        <v>1694.88</v>
      </c>
      <c r="E1433" s="90">
        <v>0</v>
      </c>
      <c r="F1433" s="90">
        <f t="shared" si="28"/>
        <v>1694.88</v>
      </c>
      <c r="G1433" s="91">
        <v>1542</v>
      </c>
      <c r="H1433" s="92">
        <v>1446.64</v>
      </c>
    </row>
    <row r="1434" spans="1:9" ht="15" x14ac:dyDescent="0.2">
      <c r="A1434" s="89" t="s">
        <v>7879</v>
      </c>
      <c r="B1434" s="89" t="s">
        <v>6248</v>
      </c>
      <c r="C1434" s="89" t="s">
        <v>7880</v>
      </c>
      <c r="D1434" s="90">
        <v>276.32</v>
      </c>
      <c r="E1434" s="90"/>
      <c r="F1434" s="90">
        <f t="shared" si="28"/>
        <v>276.32</v>
      </c>
      <c r="G1434" s="91">
        <v>209</v>
      </c>
      <c r="H1434" s="92">
        <v>524.74</v>
      </c>
    </row>
    <row r="1435" spans="1:9" ht="15" x14ac:dyDescent="0.2">
      <c r="A1435" s="89" t="s">
        <v>6252</v>
      </c>
      <c r="B1435" s="89" t="s">
        <v>6255</v>
      </c>
      <c r="C1435" s="89" t="s">
        <v>6254</v>
      </c>
      <c r="D1435" s="90">
        <v>73</v>
      </c>
      <c r="E1435" s="90">
        <v>1125.31</v>
      </c>
      <c r="F1435" s="90">
        <f t="shared" si="28"/>
        <v>1198.31</v>
      </c>
      <c r="G1435" s="91">
        <v>1308.77</v>
      </c>
      <c r="H1435" s="92">
        <v>1347.04</v>
      </c>
    </row>
    <row r="1436" spans="1:9" ht="15" x14ac:dyDescent="0.2">
      <c r="A1436" s="89" t="s">
        <v>6258</v>
      </c>
      <c r="B1436" s="89" t="s">
        <v>6172</v>
      </c>
      <c r="C1436" s="89" t="s">
        <v>3659</v>
      </c>
      <c r="D1436" s="90">
        <v>15</v>
      </c>
      <c r="E1436" s="90"/>
      <c r="F1436" s="90">
        <f t="shared" si="28"/>
        <v>15</v>
      </c>
      <c r="G1436" s="91"/>
      <c r="H1436" s="92"/>
    </row>
    <row r="1437" spans="1:9" ht="15" x14ac:dyDescent="0.2">
      <c r="A1437" s="183" t="s">
        <v>6262</v>
      </c>
      <c r="B1437" s="89" t="s">
        <v>7261</v>
      </c>
      <c r="C1437" s="89" t="s">
        <v>7261</v>
      </c>
      <c r="D1437" s="90">
        <v>2209.98</v>
      </c>
      <c r="E1437" s="90">
        <v>346.58</v>
      </c>
      <c r="F1437" s="90">
        <f t="shared" si="28"/>
        <v>2556.56</v>
      </c>
      <c r="G1437" s="91">
        <v>1203.7</v>
      </c>
      <c r="H1437" s="92">
        <v>1095.51</v>
      </c>
    </row>
    <row r="1438" spans="1:9" ht="15.75" x14ac:dyDescent="0.2">
      <c r="A1438" s="221" t="s">
        <v>307</v>
      </c>
      <c r="B1438" s="221"/>
      <c r="C1438" s="221"/>
      <c r="D1438" s="222">
        <f>SUM(D1256:D1437)</f>
        <v>77910.009999999995</v>
      </c>
      <c r="E1438" s="222">
        <f>SUM(E1256:E1437)</f>
        <v>120071.91999999998</v>
      </c>
      <c r="F1438" s="222">
        <f t="shared" si="28"/>
        <v>197981.93</v>
      </c>
      <c r="G1438" s="222">
        <v>209562.7</v>
      </c>
      <c r="H1438" s="223">
        <v>204868.55000000002</v>
      </c>
    </row>
    <row r="1439" spans="1:9" s="62" customFormat="1" x14ac:dyDescent="0.2">
      <c r="A1439" s="60" t="s">
        <v>7262</v>
      </c>
      <c r="B1439" s="60"/>
      <c r="C1439" s="60"/>
      <c r="D1439" s="60"/>
      <c r="E1439" s="60"/>
      <c r="F1439" s="61"/>
      <c r="G1439" s="61"/>
      <c r="H1439" s="60"/>
    </row>
    <row r="1440" spans="1:9" ht="20.25" x14ac:dyDescent="0.2">
      <c r="A1440" s="248" t="s">
        <v>7881</v>
      </c>
      <c r="B1440" s="248"/>
      <c r="C1440" s="248"/>
      <c r="D1440" s="248"/>
      <c r="E1440" s="248"/>
      <c r="F1440" s="248"/>
      <c r="G1440" s="248"/>
      <c r="H1440" s="248"/>
      <c r="I1440" s="86"/>
    </row>
    <row r="1441" spans="1:9" ht="15.75" x14ac:dyDescent="0.2">
      <c r="A1441" s="224" t="s">
        <v>1</v>
      </c>
      <c r="B1441" s="224" t="s">
        <v>2</v>
      </c>
      <c r="C1441" s="224" t="s">
        <v>7882</v>
      </c>
      <c r="D1441" s="225" t="s">
        <v>7421</v>
      </c>
      <c r="E1441" s="224" t="s">
        <v>7883</v>
      </c>
      <c r="F1441" s="226">
        <v>2018</v>
      </c>
      <c r="G1441" s="226">
        <v>2017</v>
      </c>
      <c r="H1441" s="86" t="s">
        <v>7884</v>
      </c>
      <c r="I1441" s="86"/>
    </row>
    <row r="1442" spans="1:9" ht="15" x14ac:dyDescent="0.2">
      <c r="A1442" s="89" t="s">
        <v>6266</v>
      </c>
      <c r="B1442" s="89" t="s">
        <v>7885</v>
      </c>
      <c r="C1442" s="89" t="s">
        <v>7886</v>
      </c>
      <c r="D1442" s="227">
        <v>3020.69</v>
      </c>
      <c r="E1442" s="228">
        <v>0</v>
      </c>
      <c r="F1442" s="229">
        <f>(D1442+E1442)</f>
        <v>3020.69</v>
      </c>
      <c r="G1442" s="230">
        <v>3397.23</v>
      </c>
      <c r="H1442" s="86" t="s">
        <v>7887</v>
      </c>
      <c r="I1442" s="86"/>
    </row>
    <row r="1443" spans="1:9" ht="15" x14ac:dyDescent="0.2">
      <c r="A1443" s="89" t="s">
        <v>6272</v>
      </c>
      <c r="B1443" s="89" t="s">
        <v>6275</v>
      </c>
      <c r="C1443" s="89" t="s">
        <v>7888</v>
      </c>
      <c r="D1443" s="227">
        <v>624</v>
      </c>
      <c r="E1443" s="228">
        <v>652.54</v>
      </c>
      <c r="F1443" s="229">
        <f t="shared" ref="F1443:F1506" si="29">(D1443+E1443)</f>
        <v>1276.54</v>
      </c>
      <c r="G1443" s="230">
        <v>2641.66</v>
      </c>
      <c r="H1443" s="86" t="s">
        <v>7889</v>
      </c>
      <c r="I1443" s="86"/>
    </row>
    <row r="1444" spans="1:9" ht="15" x14ac:dyDescent="0.2">
      <c r="A1444" s="89" t="s">
        <v>6276</v>
      </c>
      <c r="B1444" s="89" t="s">
        <v>7890</v>
      </c>
      <c r="C1444" s="89" t="s">
        <v>1203</v>
      </c>
      <c r="D1444" s="227">
        <v>485</v>
      </c>
      <c r="E1444" s="228">
        <v>1663.48</v>
      </c>
      <c r="F1444" s="229">
        <f t="shared" si="29"/>
        <v>2148.48</v>
      </c>
      <c r="G1444" s="230">
        <v>2514</v>
      </c>
      <c r="H1444" s="86" t="s">
        <v>7891</v>
      </c>
      <c r="I1444" s="86"/>
    </row>
    <row r="1445" spans="1:9" ht="15" x14ac:dyDescent="0.2">
      <c r="A1445" s="89" t="s">
        <v>6278</v>
      </c>
      <c r="B1445" s="89" t="s">
        <v>7892</v>
      </c>
      <c r="C1445" s="89" t="s">
        <v>6280</v>
      </c>
      <c r="D1445" s="227">
        <v>105</v>
      </c>
      <c r="E1445" s="228">
        <v>0</v>
      </c>
      <c r="F1445" s="229">
        <f t="shared" si="29"/>
        <v>105</v>
      </c>
      <c r="G1445" s="230">
        <v>1442.3400000000001</v>
      </c>
      <c r="H1445" s="86" t="s">
        <v>7891</v>
      </c>
      <c r="I1445" s="86"/>
    </row>
    <row r="1446" spans="1:9" ht="15" x14ac:dyDescent="0.2">
      <c r="A1446" s="89" t="s">
        <v>6281</v>
      </c>
      <c r="B1446" s="89" t="s">
        <v>7893</v>
      </c>
      <c r="C1446" s="89" t="s">
        <v>1584</v>
      </c>
      <c r="D1446" s="227">
        <v>500</v>
      </c>
      <c r="E1446" s="228">
        <v>0</v>
      </c>
      <c r="F1446" s="229">
        <f t="shared" si="29"/>
        <v>500</v>
      </c>
      <c r="G1446" s="230">
        <v>283.77</v>
      </c>
      <c r="H1446" s="86" t="s">
        <v>7891</v>
      </c>
      <c r="I1446" s="86"/>
    </row>
    <row r="1447" spans="1:9" ht="15" x14ac:dyDescent="0.2">
      <c r="A1447" s="89" t="s">
        <v>6283</v>
      </c>
      <c r="B1447" s="89" t="s">
        <v>5505</v>
      </c>
      <c r="C1447" s="89" t="s">
        <v>1489</v>
      </c>
      <c r="D1447" s="227">
        <v>205</v>
      </c>
      <c r="E1447" s="228">
        <v>2162.46</v>
      </c>
      <c r="F1447" s="229">
        <f t="shared" si="29"/>
        <v>2367.46</v>
      </c>
      <c r="G1447" s="230">
        <v>2611.6</v>
      </c>
      <c r="H1447" s="86" t="s">
        <v>7894</v>
      </c>
      <c r="I1447" s="86"/>
    </row>
    <row r="1448" spans="1:9" ht="15" x14ac:dyDescent="0.2">
      <c r="A1448" s="89" t="s">
        <v>6286</v>
      </c>
      <c r="B1448" s="89" t="s">
        <v>7895</v>
      </c>
      <c r="C1448" s="89" t="s">
        <v>6288</v>
      </c>
      <c r="D1448" s="227">
        <v>882.66</v>
      </c>
      <c r="E1448" s="228">
        <v>0</v>
      </c>
      <c r="F1448" s="229">
        <f t="shared" si="29"/>
        <v>882.66</v>
      </c>
      <c r="G1448" s="230">
        <v>820</v>
      </c>
      <c r="H1448" s="86" t="s">
        <v>7896</v>
      </c>
      <c r="I1448" s="86"/>
    </row>
    <row r="1449" spans="1:9" ht="15" x14ac:dyDescent="0.2">
      <c r="A1449" s="89" t="s">
        <v>6290</v>
      </c>
      <c r="B1449" s="89" t="s">
        <v>6293</v>
      </c>
      <c r="C1449" s="89" t="s">
        <v>6292</v>
      </c>
      <c r="D1449" s="227">
        <v>453.63</v>
      </c>
      <c r="E1449" s="228">
        <v>305.89</v>
      </c>
      <c r="F1449" s="229">
        <f t="shared" si="29"/>
        <v>759.52</v>
      </c>
      <c r="G1449" s="230">
        <v>1051.57</v>
      </c>
      <c r="H1449" s="86" t="s">
        <v>7897</v>
      </c>
      <c r="I1449" s="86"/>
    </row>
    <row r="1450" spans="1:9" ht="15" x14ac:dyDescent="0.2">
      <c r="A1450" s="89" t="s">
        <v>6294</v>
      </c>
      <c r="B1450" s="89" t="s">
        <v>7898</v>
      </c>
      <c r="C1450" s="89" t="s">
        <v>1004</v>
      </c>
      <c r="D1450" s="227">
        <f>190+120</f>
        <v>310</v>
      </c>
      <c r="E1450" s="228">
        <v>961.61</v>
      </c>
      <c r="F1450" s="229">
        <f t="shared" si="29"/>
        <v>1271.6100000000001</v>
      </c>
      <c r="G1450" s="230">
        <v>520.19000000000005</v>
      </c>
      <c r="H1450" s="86" t="s">
        <v>7899</v>
      </c>
      <c r="I1450" s="86"/>
    </row>
    <row r="1451" spans="1:9" ht="15" x14ac:dyDescent="0.2">
      <c r="A1451" s="89" t="s">
        <v>6296</v>
      </c>
      <c r="B1451" s="89" t="s">
        <v>7900</v>
      </c>
      <c r="C1451" s="89" t="s">
        <v>231</v>
      </c>
      <c r="D1451" s="227">
        <v>618.28</v>
      </c>
      <c r="E1451" s="228">
        <v>890</v>
      </c>
      <c r="F1451" s="229">
        <f t="shared" si="29"/>
        <v>1508.28</v>
      </c>
      <c r="G1451" s="230">
        <v>1354</v>
      </c>
      <c r="H1451" s="86" t="s">
        <v>7901</v>
      </c>
      <c r="I1451" s="86"/>
    </row>
    <row r="1452" spans="1:9" ht="15" x14ac:dyDescent="0.2">
      <c r="A1452" s="89" t="s">
        <v>6299</v>
      </c>
      <c r="B1452" s="89" t="s">
        <v>7902</v>
      </c>
      <c r="C1452" s="89" t="s">
        <v>127</v>
      </c>
      <c r="D1452" s="227">
        <v>360</v>
      </c>
      <c r="E1452" s="228">
        <v>0</v>
      </c>
      <c r="F1452" s="229">
        <f t="shared" si="29"/>
        <v>360</v>
      </c>
      <c r="G1452" s="230">
        <v>340</v>
      </c>
      <c r="H1452" s="86" t="s">
        <v>7903</v>
      </c>
      <c r="I1452" s="86"/>
    </row>
    <row r="1453" spans="1:9" ht="15" x14ac:dyDescent="0.2">
      <c r="A1453" s="89" t="s">
        <v>6301</v>
      </c>
      <c r="B1453" s="89" t="s">
        <v>7904</v>
      </c>
      <c r="C1453" s="89" t="s">
        <v>6303</v>
      </c>
      <c r="D1453" s="227">
        <v>750</v>
      </c>
      <c r="E1453" s="228">
        <v>2679.57</v>
      </c>
      <c r="F1453" s="229">
        <f t="shared" si="29"/>
        <v>3429.57</v>
      </c>
      <c r="G1453" s="230">
        <v>3547.72</v>
      </c>
      <c r="H1453" s="86" t="s">
        <v>7905</v>
      </c>
      <c r="I1453" s="86"/>
    </row>
    <row r="1454" spans="1:9" ht="15" x14ac:dyDescent="0.2">
      <c r="A1454" s="89" t="s">
        <v>6306</v>
      </c>
      <c r="B1454" s="89" t="s">
        <v>6309</v>
      </c>
      <c r="C1454" s="89" t="s">
        <v>934</v>
      </c>
      <c r="D1454" s="227">
        <v>210</v>
      </c>
      <c r="E1454" s="228">
        <v>2000</v>
      </c>
      <c r="F1454" s="229">
        <f t="shared" si="29"/>
        <v>2210</v>
      </c>
      <c r="G1454" s="230">
        <v>1422</v>
      </c>
      <c r="H1454" s="86" t="s">
        <v>7901</v>
      </c>
      <c r="I1454" s="86"/>
    </row>
    <row r="1455" spans="1:9" ht="15" x14ac:dyDescent="0.2">
      <c r="A1455" s="89" t="s">
        <v>6311</v>
      </c>
      <c r="B1455" s="89" t="s">
        <v>7906</v>
      </c>
      <c r="C1455" s="89" t="s">
        <v>7907</v>
      </c>
      <c r="D1455" s="227">
        <v>129</v>
      </c>
      <c r="E1455" s="228">
        <v>951</v>
      </c>
      <c r="F1455" s="229">
        <f t="shared" si="29"/>
        <v>1080</v>
      </c>
      <c r="G1455" s="230">
        <v>911</v>
      </c>
      <c r="H1455" s="86" t="s">
        <v>7901</v>
      </c>
      <c r="I1455" s="86"/>
    </row>
    <row r="1456" spans="1:9" ht="15" x14ac:dyDescent="0.2">
      <c r="A1456" s="89" t="s">
        <v>6314</v>
      </c>
      <c r="B1456" s="89" t="s">
        <v>7908</v>
      </c>
      <c r="C1456" s="89" t="s">
        <v>6316</v>
      </c>
      <c r="D1456" s="227">
        <v>25</v>
      </c>
      <c r="E1456" s="228">
        <v>0</v>
      </c>
      <c r="F1456" s="229">
        <f t="shared" si="29"/>
        <v>25</v>
      </c>
      <c r="G1456" s="230">
        <v>25</v>
      </c>
      <c r="H1456" s="86" t="s">
        <v>7889</v>
      </c>
      <c r="I1456" s="86"/>
    </row>
    <row r="1457" spans="1:9" ht="15" x14ac:dyDescent="0.2">
      <c r="A1457" s="89" t="s">
        <v>6318</v>
      </c>
      <c r="B1457" s="89" t="s">
        <v>7909</v>
      </c>
      <c r="C1457" s="89" t="s">
        <v>6320</v>
      </c>
      <c r="D1457" s="227">
        <v>1078.6199999999999</v>
      </c>
      <c r="E1457" s="228">
        <v>0</v>
      </c>
      <c r="F1457" s="229">
        <f t="shared" si="29"/>
        <v>1078.6199999999999</v>
      </c>
      <c r="G1457" s="230">
        <v>3180.84</v>
      </c>
      <c r="H1457" s="86" t="s">
        <v>7903</v>
      </c>
      <c r="I1457" s="86"/>
    </row>
    <row r="1458" spans="1:9" ht="15" x14ac:dyDescent="0.2">
      <c r="A1458" s="89" t="s">
        <v>6321</v>
      </c>
      <c r="B1458" s="89" t="s">
        <v>7910</v>
      </c>
      <c r="C1458" s="89" t="s">
        <v>7911</v>
      </c>
      <c r="D1458" s="227">
        <v>333.45</v>
      </c>
      <c r="E1458" s="228">
        <v>0</v>
      </c>
      <c r="F1458" s="229">
        <f t="shared" si="29"/>
        <v>333.45</v>
      </c>
      <c r="G1458" s="230">
        <v>60</v>
      </c>
      <c r="H1458" s="86" t="s">
        <v>7903</v>
      </c>
      <c r="I1458" s="86"/>
    </row>
    <row r="1459" spans="1:9" ht="15" x14ac:dyDescent="0.2">
      <c r="A1459" s="89" t="s">
        <v>6324</v>
      </c>
      <c r="B1459" s="89" t="s">
        <v>6327</v>
      </c>
      <c r="C1459" s="89" t="s">
        <v>164</v>
      </c>
      <c r="D1459" s="227">
        <v>155</v>
      </c>
      <c r="E1459" s="228">
        <v>202.7</v>
      </c>
      <c r="F1459" s="229">
        <f t="shared" si="29"/>
        <v>357.7</v>
      </c>
      <c r="G1459" s="230">
        <v>821.28</v>
      </c>
      <c r="H1459" s="86" t="s">
        <v>7912</v>
      </c>
      <c r="I1459" s="86"/>
    </row>
    <row r="1460" spans="1:9" ht="15" x14ac:dyDescent="0.2">
      <c r="A1460" s="89" t="s">
        <v>6328</v>
      </c>
      <c r="B1460" s="89" t="s">
        <v>7913</v>
      </c>
      <c r="C1460" s="89" t="s">
        <v>1371</v>
      </c>
      <c r="D1460" s="227">
        <v>10</v>
      </c>
      <c r="E1460" s="228">
        <v>0</v>
      </c>
      <c r="F1460" s="229">
        <f t="shared" si="29"/>
        <v>10</v>
      </c>
      <c r="G1460" s="230">
        <v>639.55999999999995</v>
      </c>
      <c r="H1460" s="86" t="s">
        <v>7914</v>
      </c>
      <c r="I1460" s="86"/>
    </row>
    <row r="1461" spans="1:9" ht="15" x14ac:dyDescent="0.2">
      <c r="A1461" s="89" t="s">
        <v>6330</v>
      </c>
      <c r="B1461" s="89" t="s">
        <v>7915</v>
      </c>
      <c r="C1461" s="89" t="s">
        <v>7916</v>
      </c>
      <c r="D1461" s="227">
        <v>50</v>
      </c>
      <c r="E1461" s="228">
        <v>0</v>
      </c>
      <c r="F1461" s="229">
        <f t="shared" si="29"/>
        <v>50</v>
      </c>
      <c r="G1461" s="230">
        <v>565.9</v>
      </c>
      <c r="H1461" s="86" t="s">
        <v>7917</v>
      </c>
      <c r="I1461" s="86"/>
    </row>
    <row r="1462" spans="1:9" ht="15" x14ac:dyDescent="0.2">
      <c r="A1462" s="89" t="s">
        <v>6332</v>
      </c>
      <c r="B1462" s="89" t="s">
        <v>6673</v>
      </c>
      <c r="C1462" s="89" t="s">
        <v>2907</v>
      </c>
      <c r="D1462" s="227">
        <v>190.75</v>
      </c>
      <c r="E1462" s="228">
        <v>114.36</v>
      </c>
      <c r="F1462" s="229">
        <f t="shared" si="29"/>
        <v>305.11</v>
      </c>
      <c r="G1462" s="230">
        <v>455</v>
      </c>
      <c r="H1462" s="86" t="s">
        <v>7905</v>
      </c>
      <c r="I1462" s="86"/>
    </row>
    <row r="1463" spans="1:9" ht="15" x14ac:dyDescent="0.2">
      <c r="A1463" s="89" t="s">
        <v>6335</v>
      </c>
      <c r="B1463" s="89" t="s">
        <v>7918</v>
      </c>
      <c r="C1463" s="89" t="s">
        <v>186</v>
      </c>
      <c r="D1463" s="227">
        <v>116</v>
      </c>
      <c r="E1463" s="228">
        <v>1163.69</v>
      </c>
      <c r="F1463" s="229">
        <f t="shared" si="29"/>
        <v>1279.69</v>
      </c>
      <c r="G1463" s="230">
        <v>2202.42</v>
      </c>
      <c r="H1463" s="86" t="s">
        <v>7897</v>
      </c>
      <c r="I1463" s="86"/>
    </row>
    <row r="1464" spans="1:9" ht="15" x14ac:dyDescent="0.2">
      <c r="A1464" s="89" t="s">
        <v>6338</v>
      </c>
      <c r="B1464" s="89" t="s">
        <v>7919</v>
      </c>
      <c r="C1464" s="89" t="s">
        <v>6340</v>
      </c>
      <c r="D1464" s="227">
        <v>215</v>
      </c>
      <c r="E1464" s="228">
        <v>890.53</v>
      </c>
      <c r="F1464" s="229">
        <f t="shared" si="29"/>
        <v>1105.53</v>
      </c>
      <c r="G1464" s="230">
        <v>1970.09</v>
      </c>
      <c r="H1464" s="86" t="s">
        <v>7889</v>
      </c>
      <c r="I1464" s="86"/>
    </row>
    <row r="1465" spans="1:9" ht="15" x14ac:dyDescent="0.2">
      <c r="A1465" s="89" t="s">
        <v>6342</v>
      </c>
      <c r="B1465" s="89" t="s">
        <v>7920</v>
      </c>
      <c r="C1465" s="89" t="s">
        <v>6344</v>
      </c>
      <c r="D1465" s="227">
        <v>110</v>
      </c>
      <c r="E1465" s="228">
        <v>0</v>
      </c>
      <c r="F1465" s="229">
        <f t="shared" si="29"/>
        <v>110</v>
      </c>
      <c r="G1465" s="230">
        <v>56</v>
      </c>
      <c r="H1465" s="86" t="s">
        <v>7921</v>
      </c>
      <c r="I1465" s="86"/>
    </row>
    <row r="1466" spans="1:9" ht="15" x14ac:dyDescent="0.2">
      <c r="A1466" s="89" t="s">
        <v>6345</v>
      </c>
      <c r="B1466" s="89" t="s">
        <v>7922</v>
      </c>
      <c r="C1466" s="89" t="s">
        <v>532</v>
      </c>
      <c r="D1466" s="227">
        <v>60</v>
      </c>
      <c r="E1466" s="228">
        <v>0</v>
      </c>
      <c r="F1466" s="229">
        <f t="shared" si="29"/>
        <v>60</v>
      </c>
      <c r="G1466" s="230">
        <v>60</v>
      </c>
      <c r="H1466" s="86" t="s">
        <v>7889</v>
      </c>
      <c r="I1466" s="86"/>
    </row>
    <row r="1467" spans="1:9" ht="15" x14ac:dyDescent="0.2">
      <c r="A1467" s="89" t="s">
        <v>6347</v>
      </c>
      <c r="B1467" s="89" t="s">
        <v>7923</v>
      </c>
      <c r="C1467" s="89" t="s">
        <v>7924</v>
      </c>
      <c r="D1467" s="227">
        <v>940</v>
      </c>
      <c r="E1467" s="228">
        <v>0</v>
      </c>
      <c r="F1467" s="229">
        <f t="shared" si="29"/>
        <v>940</v>
      </c>
      <c r="G1467" s="230">
        <v>1246</v>
      </c>
      <c r="H1467" s="86" t="s">
        <v>7925</v>
      </c>
      <c r="I1467" s="86"/>
    </row>
    <row r="1468" spans="1:9" ht="15" x14ac:dyDescent="0.2">
      <c r="A1468" s="89" t="s">
        <v>6349</v>
      </c>
      <c r="B1468" s="89" t="s">
        <v>7923</v>
      </c>
      <c r="C1468" s="89" t="s">
        <v>6351</v>
      </c>
      <c r="D1468" s="227">
        <v>630</v>
      </c>
      <c r="E1468" s="228">
        <v>903.89</v>
      </c>
      <c r="F1468" s="229">
        <f t="shared" si="29"/>
        <v>1533.8899999999999</v>
      </c>
      <c r="G1468" s="230">
        <v>1079</v>
      </c>
      <c r="H1468" s="86" t="s">
        <v>7925</v>
      </c>
      <c r="I1468" s="86"/>
    </row>
    <row r="1469" spans="1:9" ht="15" x14ac:dyDescent="0.2">
      <c r="A1469" s="89" t="s">
        <v>6353</v>
      </c>
      <c r="B1469" s="89" t="s">
        <v>6355</v>
      </c>
      <c r="C1469" s="89" t="s">
        <v>7926</v>
      </c>
      <c r="D1469" s="227">
        <v>45</v>
      </c>
      <c r="E1469" s="228">
        <v>0</v>
      </c>
      <c r="F1469" s="229">
        <f t="shared" si="29"/>
        <v>45</v>
      </c>
      <c r="G1469" s="230"/>
      <c r="H1469" s="86"/>
      <c r="I1469" s="86"/>
    </row>
    <row r="1470" spans="1:9" ht="15" x14ac:dyDescent="0.2">
      <c r="A1470" s="89" t="s">
        <v>6356</v>
      </c>
      <c r="B1470" s="89" t="s">
        <v>7927</v>
      </c>
      <c r="C1470" s="89" t="s">
        <v>6358</v>
      </c>
      <c r="D1470" s="227">
        <v>2200</v>
      </c>
      <c r="E1470" s="228">
        <v>0</v>
      </c>
      <c r="F1470" s="229">
        <f t="shared" si="29"/>
        <v>2200</v>
      </c>
      <c r="G1470" s="230">
        <v>1977</v>
      </c>
      <c r="H1470" s="86" t="s">
        <v>7912</v>
      </c>
      <c r="I1470" s="86"/>
    </row>
    <row r="1471" spans="1:9" ht="15" x14ac:dyDescent="0.2">
      <c r="A1471" s="89" t="s">
        <v>6359</v>
      </c>
      <c r="B1471" s="89" t="s">
        <v>7928</v>
      </c>
      <c r="C1471" s="89" t="s">
        <v>2578</v>
      </c>
      <c r="D1471" s="227">
        <v>60</v>
      </c>
      <c r="E1471" s="228">
        <v>529.33000000000004</v>
      </c>
      <c r="F1471" s="229">
        <f t="shared" si="29"/>
        <v>589.33000000000004</v>
      </c>
      <c r="G1471" s="230">
        <v>725.45</v>
      </c>
      <c r="H1471" s="86" t="s">
        <v>7889</v>
      </c>
      <c r="I1471" s="86"/>
    </row>
    <row r="1472" spans="1:9" ht="15" x14ac:dyDescent="0.2">
      <c r="A1472" s="89" t="s">
        <v>6363</v>
      </c>
      <c r="B1472" s="89" t="s">
        <v>7929</v>
      </c>
      <c r="C1472" s="89" t="s">
        <v>7930</v>
      </c>
      <c r="D1472" s="227">
        <v>1015.47</v>
      </c>
      <c r="E1472" s="228">
        <v>0</v>
      </c>
      <c r="F1472" s="229">
        <f t="shared" si="29"/>
        <v>1015.47</v>
      </c>
      <c r="G1472" s="230">
        <v>1900</v>
      </c>
      <c r="H1472" s="86" t="s">
        <v>7931</v>
      </c>
      <c r="I1472" s="86"/>
    </row>
    <row r="1473" spans="1:9" ht="15" x14ac:dyDescent="0.2">
      <c r="A1473" s="89" t="s">
        <v>6366</v>
      </c>
      <c r="B1473" s="89" t="s">
        <v>7932</v>
      </c>
      <c r="C1473" s="89" t="s">
        <v>7283</v>
      </c>
      <c r="D1473" s="227">
        <v>30</v>
      </c>
      <c r="E1473" s="228">
        <v>0</v>
      </c>
      <c r="F1473" s="229">
        <f t="shared" si="29"/>
        <v>30</v>
      </c>
      <c r="G1473" s="230">
        <v>491.56</v>
      </c>
      <c r="H1473" s="86" t="s">
        <v>7931</v>
      </c>
      <c r="I1473" s="86"/>
    </row>
    <row r="1474" spans="1:9" ht="15" x14ac:dyDescent="0.2">
      <c r="A1474" s="89" t="s">
        <v>6368</v>
      </c>
      <c r="B1474" s="89" t="s">
        <v>7933</v>
      </c>
      <c r="C1474" s="89" t="s">
        <v>7934</v>
      </c>
      <c r="D1474" s="227">
        <v>30</v>
      </c>
      <c r="E1474" s="228">
        <v>0</v>
      </c>
      <c r="F1474" s="229">
        <f t="shared" si="29"/>
        <v>30</v>
      </c>
      <c r="G1474" s="230">
        <v>944.1</v>
      </c>
      <c r="H1474" s="86" t="s">
        <v>7917</v>
      </c>
      <c r="I1474" s="86"/>
    </row>
    <row r="1475" spans="1:9" ht="15" x14ac:dyDescent="0.2">
      <c r="A1475" s="89" t="s">
        <v>6370</v>
      </c>
      <c r="B1475" s="89" t="s">
        <v>7935</v>
      </c>
      <c r="C1475" s="89" t="s">
        <v>7936</v>
      </c>
      <c r="D1475" s="227">
        <v>701</v>
      </c>
      <c r="E1475" s="228">
        <v>0</v>
      </c>
      <c r="F1475" s="229">
        <f t="shared" si="29"/>
        <v>701</v>
      </c>
      <c r="G1475" s="230">
        <v>659</v>
      </c>
      <c r="H1475" s="86" t="s">
        <v>7937</v>
      </c>
      <c r="I1475" s="86"/>
    </row>
    <row r="1476" spans="1:9" ht="15" x14ac:dyDescent="0.2">
      <c r="A1476" s="89" t="s">
        <v>6373</v>
      </c>
      <c r="B1476" s="89" t="s">
        <v>7938</v>
      </c>
      <c r="C1476" s="89" t="s">
        <v>6375</v>
      </c>
      <c r="D1476" s="227">
        <v>1523</v>
      </c>
      <c r="E1476" s="228">
        <v>0</v>
      </c>
      <c r="F1476" s="229">
        <f t="shared" si="29"/>
        <v>1523</v>
      </c>
      <c r="G1476" s="230">
        <v>2845</v>
      </c>
      <c r="H1476" s="86" t="s">
        <v>7903</v>
      </c>
      <c r="I1476" s="86"/>
    </row>
    <row r="1477" spans="1:9" ht="15" x14ac:dyDescent="0.2">
      <c r="A1477" s="89" t="s">
        <v>6379</v>
      </c>
      <c r="B1477" s="89" t="s">
        <v>7939</v>
      </c>
      <c r="C1477" s="89" t="s">
        <v>5316</v>
      </c>
      <c r="D1477" s="227">
        <v>81.98</v>
      </c>
      <c r="E1477" s="228">
        <v>0</v>
      </c>
      <c r="F1477" s="229">
        <f t="shared" si="29"/>
        <v>81.98</v>
      </c>
      <c r="G1477" s="230">
        <v>60</v>
      </c>
      <c r="H1477" s="86" t="s">
        <v>7912</v>
      </c>
      <c r="I1477" s="86"/>
    </row>
    <row r="1478" spans="1:9" ht="15" x14ac:dyDescent="0.2">
      <c r="A1478" s="89" t="s">
        <v>6383</v>
      </c>
      <c r="B1478" s="89" t="s">
        <v>7940</v>
      </c>
      <c r="C1478" s="89" t="s">
        <v>5436</v>
      </c>
      <c r="D1478" s="227">
        <v>374</v>
      </c>
      <c r="E1478" s="228">
        <v>859.07</v>
      </c>
      <c r="F1478" s="229">
        <f t="shared" si="29"/>
        <v>1233.0700000000002</v>
      </c>
      <c r="G1478" s="230">
        <v>892.64</v>
      </c>
      <c r="H1478" s="86" t="s">
        <v>7897</v>
      </c>
      <c r="I1478" s="86"/>
    </row>
    <row r="1479" spans="1:9" ht="15" x14ac:dyDescent="0.2">
      <c r="A1479" s="89" t="s">
        <v>6385</v>
      </c>
      <c r="B1479" s="89" t="s">
        <v>7941</v>
      </c>
      <c r="C1479" s="89" t="s">
        <v>3774</v>
      </c>
      <c r="D1479" s="227">
        <v>754.07</v>
      </c>
      <c r="E1479" s="228">
        <v>0</v>
      </c>
      <c r="F1479" s="229">
        <f t="shared" si="29"/>
        <v>754.07</v>
      </c>
      <c r="G1479" s="230">
        <v>1132</v>
      </c>
      <c r="H1479" s="86" t="s">
        <v>7889</v>
      </c>
      <c r="I1479" s="86"/>
    </row>
    <row r="1480" spans="1:9" ht="15" x14ac:dyDescent="0.2">
      <c r="A1480" s="89" t="s">
        <v>6387</v>
      </c>
      <c r="B1480" s="89" t="s">
        <v>7942</v>
      </c>
      <c r="C1480" s="89" t="s">
        <v>3742</v>
      </c>
      <c r="D1480" s="227">
        <v>364.9</v>
      </c>
      <c r="E1480" s="228">
        <v>0</v>
      </c>
      <c r="F1480" s="229">
        <f t="shared" si="29"/>
        <v>364.9</v>
      </c>
      <c r="G1480" s="230">
        <v>70</v>
      </c>
      <c r="H1480" s="86" t="s">
        <v>7937</v>
      </c>
      <c r="I1480" s="86"/>
    </row>
    <row r="1481" spans="1:9" ht="15" x14ac:dyDescent="0.2">
      <c r="A1481" s="89" t="s">
        <v>6390</v>
      </c>
      <c r="B1481" s="89" t="s">
        <v>7943</v>
      </c>
      <c r="C1481" s="89" t="s">
        <v>6392</v>
      </c>
      <c r="D1481" s="227">
        <v>296</v>
      </c>
      <c r="E1481" s="228">
        <v>34.5</v>
      </c>
      <c r="F1481" s="229">
        <f t="shared" si="29"/>
        <v>330.5</v>
      </c>
      <c r="G1481" s="230">
        <v>542.59</v>
      </c>
      <c r="H1481" s="86" t="s">
        <v>7944</v>
      </c>
      <c r="I1481" s="86"/>
    </row>
    <row r="1482" spans="1:9" ht="15" x14ac:dyDescent="0.2">
      <c r="A1482" s="89" t="s">
        <v>6393</v>
      </c>
      <c r="B1482" s="89" t="s">
        <v>7945</v>
      </c>
      <c r="C1482" s="89" t="s">
        <v>5211</v>
      </c>
      <c r="D1482" s="227">
        <v>2920</v>
      </c>
      <c r="E1482" s="228">
        <v>1260.2</v>
      </c>
      <c r="F1482" s="229">
        <f t="shared" si="29"/>
        <v>4180.2</v>
      </c>
      <c r="G1482" s="230">
        <v>3188.84</v>
      </c>
      <c r="H1482" s="86" t="s">
        <v>7891</v>
      </c>
      <c r="I1482" s="86"/>
    </row>
    <row r="1483" spans="1:9" ht="15" x14ac:dyDescent="0.2">
      <c r="A1483" s="89" t="s">
        <v>6397</v>
      </c>
      <c r="B1483" s="89" t="s">
        <v>7946</v>
      </c>
      <c r="C1483" s="89" t="s">
        <v>453</v>
      </c>
      <c r="D1483" s="227">
        <v>115</v>
      </c>
      <c r="E1483" s="228">
        <v>656.1</v>
      </c>
      <c r="F1483" s="229">
        <f t="shared" si="29"/>
        <v>771.1</v>
      </c>
      <c r="G1483" s="230">
        <v>964.2</v>
      </c>
      <c r="H1483" s="86" t="s">
        <v>7947</v>
      </c>
      <c r="I1483" s="86"/>
    </row>
    <row r="1484" spans="1:9" ht="15" x14ac:dyDescent="0.2">
      <c r="A1484" s="89" t="s">
        <v>6400</v>
      </c>
      <c r="B1484" s="89" t="s">
        <v>6337</v>
      </c>
      <c r="C1484" s="89" t="s">
        <v>7429</v>
      </c>
      <c r="D1484" s="227">
        <v>902.37</v>
      </c>
      <c r="E1484" s="228">
        <v>0</v>
      </c>
      <c r="F1484" s="229">
        <f t="shared" si="29"/>
        <v>902.37</v>
      </c>
      <c r="G1484" s="230">
        <v>972.91</v>
      </c>
      <c r="H1484" s="86" t="s">
        <v>7897</v>
      </c>
      <c r="I1484" s="86"/>
    </row>
    <row r="1485" spans="1:9" ht="15" x14ac:dyDescent="0.2">
      <c r="A1485" s="89" t="s">
        <v>6402</v>
      </c>
      <c r="B1485" s="89" t="s">
        <v>7948</v>
      </c>
      <c r="C1485" s="89" t="s">
        <v>6404</v>
      </c>
      <c r="D1485" s="227">
        <v>690</v>
      </c>
      <c r="E1485" s="228">
        <v>0</v>
      </c>
      <c r="F1485" s="229">
        <f t="shared" si="29"/>
        <v>690</v>
      </c>
      <c r="G1485" s="230">
        <v>602</v>
      </c>
      <c r="H1485" s="86" t="s">
        <v>7937</v>
      </c>
      <c r="I1485" s="86"/>
    </row>
    <row r="1486" spans="1:9" ht="15" x14ac:dyDescent="0.2">
      <c r="A1486" s="89" t="s">
        <v>6405</v>
      </c>
      <c r="B1486" s="89" t="s">
        <v>7949</v>
      </c>
      <c r="C1486" s="89" t="s">
        <v>7576</v>
      </c>
      <c r="D1486" s="227">
        <v>1586.25</v>
      </c>
      <c r="E1486" s="228">
        <v>0</v>
      </c>
      <c r="F1486" s="229">
        <f t="shared" si="29"/>
        <v>1586.25</v>
      </c>
      <c r="G1486" s="230">
        <v>191</v>
      </c>
      <c r="H1486" s="86" t="s">
        <v>7887</v>
      </c>
      <c r="I1486" s="86"/>
    </row>
    <row r="1487" spans="1:9" ht="15" x14ac:dyDescent="0.2">
      <c r="A1487" s="89" t="s">
        <v>6408</v>
      </c>
      <c r="B1487" s="89" t="s">
        <v>6415</v>
      </c>
      <c r="C1487" s="89" t="s">
        <v>7950</v>
      </c>
      <c r="D1487" s="227">
        <v>986</v>
      </c>
      <c r="E1487" s="228">
        <v>1076.83</v>
      </c>
      <c r="F1487" s="229">
        <f t="shared" si="29"/>
        <v>2062.83</v>
      </c>
      <c r="G1487" s="230">
        <v>3637.83</v>
      </c>
      <c r="H1487" s="86" t="s">
        <v>7937</v>
      </c>
      <c r="I1487" s="86"/>
    </row>
    <row r="1488" spans="1:9" ht="15" x14ac:dyDescent="0.2">
      <c r="A1488" s="89" t="s">
        <v>6416</v>
      </c>
      <c r="B1488" s="89" t="s">
        <v>7951</v>
      </c>
      <c r="C1488" s="89" t="s">
        <v>297</v>
      </c>
      <c r="D1488" s="227">
        <v>0</v>
      </c>
      <c r="E1488" s="228">
        <v>0</v>
      </c>
      <c r="F1488" s="229">
        <f t="shared" si="29"/>
        <v>0</v>
      </c>
      <c r="G1488" s="230">
        <v>30</v>
      </c>
      <c r="H1488" s="86" t="s">
        <v>7952</v>
      </c>
      <c r="I1488" s="86"/>
    </row>
    <row r="1489" spans="1:9" ht="15" x14ac:dyDescent="0.2">
      <c r="A1489" s="89" t="s">
        <v>6418</v>
      </c>
      <c r="B1489" s="89" t="s">
        <v>7953</v>
      </c>
      <c r="C1489" s="89" t="s">
        <v>2663</v>
      </c>
      <c r="D1489" s="227">
        <v>222.51</v>
      </c>
      <c r="E1489" s="228">
        <v>1757.51</v>
      </c>
      <c r="F1489" s="229">
        <f t="shared" si="29"/>
        <v>1980.02</v>
      </c>
      <c r="G1489" s="230">
        <v>1592.93</v>
      </c>
      <c r="H1489" s="86" t="s">
        <v>7912</v>
      </c>
      <c r="I1489" s="86"/>
    </row>
    <row r="1490" spans="1:9" ht="15" x14ac:dyDescent="0.2">
      <c r="A1490" s="89" t="s">
        <v>6421</v>
      </c>
      <c r="B1490" s="89" t="s">
        <v>7954</v>
      </c>
      <c r="C1490" s="89" t="s">
        <v>5379</v>
      </c>
      <c r="D1490" s="227">
        <v>1491</v>
      </c>
      <c r="E1490" s="228">
        <v>437.67</v>
      </c>
      <c r="F1490" s="229">
        <f t="shared" si="29"/>
        <v>1928.67</v>
      </c>
      <c r="G1490" s="230">
        <v>2730.27</v>
      </c>
      <c r="H1490" s="86" t="s">
        <v>7897</v>
      </c>
      <c r="I1490" s="86"/>
    </row>
    <row r="1491" spans="1:9" ht="15" x14ac:dyDescent="0.2">
      <c r="A1491" s="89" t="s">
        <v>6423</v>
      </c>
      <c r="B1491" s="89" t="s">
        <v>7955</v>
      </c>
      <c r="C1491" s="89" t="s">
        <v>226</v>
      </c>
      <c r="D1491" s="227">
        <v>366</v>
      </c>
      <c r="E1491" s="228">
        <v>504</v>
      </c>
      <c r="F1491" s="229">
        <f t="shared" si="29"/>
        <v>870</v>
      </c>
      <c r="G1491" s="230">
        <v>713.9</v>
      </c>
      <c r="H1491" s="86" t="s">
        <v>7897</v>
      </c>
      <c r="I1491" s="86"/>
    </row>
    <row r="1492" spans="1:9" ht="15" x14ac:dyDescent="0.2">
      <c r="A1492" s="89" t="s">
        <v>6425</v>
      </c>
      <c r="B1492" s="89" t="s">
        <v>7956</v>
      </c>
      <c r="C1492" s="89" t="s">
        <v>5256</v>
      </c>
      <c r="D1492" s="227">
        <v>295</v>
      </c>
      <c r="E1492" s="228">
        <v>0</v>
      </c>
      <c r="F1492" s="229">
        <f t="shared" si="29"/>
        <v>295</v>
      </c>
      <c r="G1492" s="230">
        <v>502.91</v>
      </c>
      <c r="H1492" s="86" t="s">
        <v>7897</v>
      </c>
      <c r="I1492" s="86"/>
    </row>
    <row r="1493" spans="1:9" ht="15" x14ac:dyDescent="0.2">
      <c r="A1493" s="89" t="s">
        <v>6427</v>
      </c>
      <c r="B1493" s="89" t="s">
        <v>7957</v>
      </c>
      <c r="C1493" s="89" t="s">
        <v>7958</v>
      </c>
      <c r="D1493" s="227">
        <v>50</v>
      </c>
      <c r="E1493" s="228"/>
      <c r="F1493" s="229">
        <f t="shared" si="29"/>
        <v>50</v>
      </c>
      <c r="G1493" s="230"/>
      <c r="H1493" s="86"/>
      <c r="I1493" s="86"/>
    </row>
    <row r="1494" spans="1:9" ht="15" x14ac:dyDescent="0.2">
      <c r="A1494" s="89" t="s">
        <v>6433</v>
      </c>
      <c r="B1494" s="89" t="s">
        <v>7959</v>
      </c>
      <c r="C1494" s="89" t="s">
        <v>78</v>
      </c>
      <c r="D1494" s="227">
        <v>342</v>
      </c>
      <c r="E1494" s="228">
        <v>0</v>
      </c>
      <c r="F1494" s="229">
        <f t="shared" si="29"/>
        <v>342</v>
      </c>
      <c r="G1494" s="230">
        <v>505</v>
      </c>
      <c r="H1494" s="86" t="s">
        <v>7914</v>
      </c>
      <c r="I1494" s="86"/>
    </row>
    <row r="1495" spans="1:9" ht="15" x14ac:dyDescent="0.2">
      <c r="A1495" s="89" t="s">
        <v>6435</v>
      </c>
      <c r="B1495" s="89" t="s">
        <v>7960</v>
      </c>
      <c r="C1495" s="89" t="s">
        <v>6530</v>
      </c>
      <c r="D1495" s="227">
        <v>0</v>
      </c>
      <c r="E1495" s="228">
        <v>0</v>
      </c>
      <c r="F1495" s="229">
        <f t="shared" si="29"/>
        <v>0</v>
      </c>
      <c r="G1495" s="230">
        <v>400</v>
      </c>
      <c r="H1495" s="86" t="s">
        <v>7925</v>
      </c>
      <c r="I1495" s="86"/>
    </row>
    <row r="1496" spans="1:9" ht="15" x14ac:dyDescent="0.2">
      <c r="A1496" s="89" t="s">
        <v>6438</v>
      </c>
      <c r="B1496" s="89" t="s">
        <v>7961</v>
      </c>
      <c r="C1496" s="89" t="s">
        <v>6440</v>
      </c>
      <c r="D1496" s="227">
        <v>255</v>
      </c>
      <c r="E1496" s="228">
        <v>1537.76</v>
      </c>
      <c r="F1496" s="229">
        <f t="shared" si="29"/>
        <v>1792.76</v>
      </c>
      <c r="G1496" s="230">
        <v>2447.5100000000002</v>
      </c>
      <c r="H1496" s="86" t="s">
        <v>7889</v>
      </c>
      <c r="I1496" s="86"/>
    </row>
    <row r="1497" spans="1:9" ht="15" x14ac:dyDescent="0.2">
      <c r="A1497" s="89" t="s">
        <v>6444</v>
      </c>
      <c r="B1497" s="89" t="s">
        <v>7962</v>
      </c>
      <c r="C1497" s="89" t="s">
        <v>72</v>
      </c>
      <c r="D1497" s="227">
        <v>340</v>
      </c>
      <c r="E1497" s="228">
        <v>302.2</v>
      </c>
      <c r="F1497" s="229">
        <f t="shared" si="29"/>
        <v>642.20000000000005</v>
      </c>
      <c r="G1497" s="230">
        <v>1543.2</v>
      </c>
      <c r="H1497" s="86" t="s">
        <v>7897</v>
      </c>
      <c r="I1497" s="86"/>
    </row>
    <row r="1498" spans="1:9" ht="15" x14ac:dyDescent="0.2">
      <c r="A1498" s="89" t="s">
        <v>6446</v>
      </c>
      <c r="B1498" s="89" t="s">
        <v>7963</v>
      </c>
      <c r="C1498" s="89" t="s">
        <v>63</v>
      </c>
      <c r="D1498" s="227">
        <v>125</v>
      </c>
      <c r="E1498" s="228">
        <v>160</v>
      </c>
      <c r="F1498" s="229">
        <f t="shared" si="29"/>
        <v>285</v>
      </c>
      <c r="G1498" s="230">
        <v>360</v>
      </c>
      <c r="H1498" s="86" t="s">
        <v>7897</v>
      </c>
      <c r="I1498" s="86"/>
    </row>
    <row r="1499" spans="1:9" ht="15" x14ac:dyDescent="0.2">
      <c r="A1499" s="89" t="s">
        <v>6448</v>
      </c>
      <c r="B1499" s="89" t="s">
        <v>6451</v>
      </c>
      <c r="C1499" s="89" t="s">
        <v>6450</v>
      </c>
      <c r="D1499" s="227">
        <v>521</v>
      </c>
      <c r="E1499" s="228">
        <v>2152.0100000000002</v>
      </c>
      <c r="F1499" s="229">
        <f t="shared" si="29"/>
        <v>2673.01</v>
      </c>
      <c r="G1499" s="230">
        <v>2602.9899999999998</v>
      </c>
      <c r="H1499" s="86" t="s">
        <v>7891</v>
      </c>
      <c r="I1499" s="86"/>
    </row>
    <row r="1500" spans="1:9" ht="15" x14ac:dyDescent="0.2">
      <c r="A1500" s="89" t="s">
        <v>6452</v>
      </c>
      <c r="B1500" s="89" t="s">
        <v>7964</v>
      </c>
      <c r="C1500" s="89" t="s">
        <v>532</v>
      </c>
      <c r="D1500" s="227">
        <v>0</v>
      </c>
      <c r="E1500" s="228">
        <v>0</v>
      </c>
      <c r="F1500" s="229">
        <f t="shared" si="29"/>
        <v>0</v>
      </c>
      <c r="G1500" s="230">
        <v>119</v>
      </c>
      <c r="H1500" s="86" t="s">
        <v>7912</v>
      </c>
      <c r="I1500" s="86"/>
    </row>
    <row r="1501" spans="1:9" ht="15" x14ac:dyDescent="0.2">
      <c r="A1501" s="89" t="s">
        <v>6454</v>
      </c>
      <c r="B1501" s="89" t="s">
        <v>7965</v>
      </c>
      <c r="C1501" s="89" t="s">
        <v>2759</v>
      </c>
      <c r="D1501" s="227">
        <v>35</v>
      </c>
      <c r="E1501" s="228">
        <v>510.12</v>
      </c>
      <c r="F1501" s="229">
        <f t="shared" si="29"/>
        <v>545.12</v>
      </c>
      <c r="G1501" s="230">
        <v>189.11</v>
      </c>
      <c r="H1501" s="86" t="s">
        <v>7912</v>
      </c>
      <c r="I1501" s="86"/>
    </row>
    <row r="1502" spans="1:9" ht="15" x14ac:dyDescent="0.2">
      <c r="A1502" s="89" t="s">
        <v>6456</v>
      </c>
      <c r="B1502" s="89" t="s">
        <v>7966</v>
      </c>
      <c r="C1502" s="89" t="s">
        <v>1008</v>
      </c>
      <c r="D1502" s="227">
        <v>100</v>
      </c>
      <c r="E1502" s="228">
        <v>0</v>
      </c>
      <c r="F1502" s="229">
        <f t="shared" si="29"/>
        <v>100</v>
      </c>
      <c r="G1502" s="230">
        <v>90</v>
      </c>
      <c r="H1502" s="86" t="s">
        <v>7931</v>
      </c>
      <c r="I1502" s="86"/>
    </row>
    <row r="1503" spans="1:9" ht="15" x14ac:dyDescent="0.2">
      <c r="A1503" s="89" t="s">
        <v>6458</v>
      </c>
      <c r="B1503" s="89" t="s">
        <v>7967</v>
      </c>
      <c r="C1503" s="89" t="s">
        <v>1160</v>
      </c>
      <c r="D1503" s="227">
        <v>20.46</v>
      </c>
      <c r="E1503" s="228">
        <v>0</v>
      </c>
      <c r="F1503" s="229">
        <f t="shared" si="29"/>
        <v>20.46</v>
      </c>
      <c r="G1503" s="230">
        <v>40</v>
      </c>
      <c r="H1503" s="86" t="s">
        <v>7914</v>
      </c>
      <c r="I1503" s="86"/>
    </row>
    <row r="1504" spans="1:9" ht="15" x14ac:dyDescent="0.2">
      <c r="A1504" s="89" t="s">
        <v>6460</v>
      </c>
      <c r="B1504" s="89" t="s">
        <v>7968</v>
      </c>
      <c r="C1504" s="89" t="s">
        <v>226</v>
      </c>
      <c r="D1504" s="227">
        <v>175</v>
      </c>
      <c r="E1504" s="228">
        <v>0</v>
      </c>
      <c r="F1504" s="229">
        <f t="shared" si="29"/>
        <v>175</v>
      </c>
      <c r="G1504" s="230">
        <v>125</v>
      </c>
      <c r="H1504" s="86" t="s">
        <v>7921</v>
      </c>
      <c r="I1504" s="86"/>
    </row>
    <row r="1505" spans="1:9" ht="15" x14ac:dyDescent="0.2">
      <c r="A1505" s="89" t="s">
        <v>6462</v>
      </c>
      <c r="B1505" s="89" t="s">
        <v>7969</v>
      </c>
      <c r="C1505" s="89" t="s">
        <v>1770</v>
      </c>
      <c r="D1505" s="227">
        <v>60</v>
      </c>
      <c r="E1505" s="228">
        <v>371.03</v>
      </c>
      <c r="F1505" s="229">
        <f t="shared" si="29"/>
        <v>431.03</v>
      </c>
      <c r="G1505" s="230">
        <v>390.8</v>
      </c>
      <c r="H1505" s="86" t="s">
        <v>7894</v>
      </c>
      <c r="I1505" s="86"/>
    </row>
    <row r="1506" spans="1:9" ht="15" x14ac:dyDescent="0.2">
      <c r="A1506" s="89" t="s">
        <v>6466</v>
      </c>
      <c r="B1506" s="89" t="s">
        <v>6465</v>
      </c>
      <c r="C1506" s="89" t="s">
        <v>460</v>
      </c>
      <c r="D1506" s="227">
        <v>549</v>
      </c>
      <c r="E1506" s="228">
        <v>2162.79</v>
      </c>
      <c r="F1506" s="229">
        <f t="shared" si="29"/>
        <v>2711.79</v>
      </c>
      <c r="G1506" s="230">
        <v>2906.71</v>
      </c>
      <c r="H1506" s="86" t="s">
        <v>7894</v>
      </c>
      <c r="I1506" s="86"/>
    </row>
    <row r="1507" spans="1:9" ht="15" x14ac:dyDescent="0.2">
      <c r="A1507" s="89" t="s">
        <v>6468</v>
      </c>
      <c r="B1507" s="89" t="s">
        <v>7970</v>
      </c>
      <c r="C1507" s="89" t="s">
        <v>3238</v>
      </c>
      <c r="D1507" s="227">
        <v>200</v>
      </c>
      <c r="E1507" s="228">
        <v>1245.73</v>
      </c>
      <c r="F1507" s="229">
        <f t="shared" ref="F1507:F1570" si="30">(D1507+E1507)</f>
        <v>1445.73</v>
      </c>
      <c r="G1507" s="230">
        <v>1921</v>
      </c>
      <c r="H1507" s="86" t="s">
        <v>7891</v>
      </c>
      <c r="I1507" s="86"/>
    </row>
    <row r="1508" spans="1:9" ht="15" x14ac:dyDescent="0.2">
      <c r="A1508" s="89" t="s">
        <v>6470</v>
      </c>
      <c r="B1508" s="89" t="s">
        <v>7971</v>
      </c>
      <c r="C1508" s="89" t="s">
        <v>2667</v>
      </c>
      <c r="D1508" s="227">
        <v>209.49</v>
      </c>
      <c r="E1508" s="228">
        <v>0</v>
      </c>
      <c r="F1508" s="229">
        <f t="shared" si="30"/>
        <v>209.49</v>
      </c>
      <c r="G1508" s="230">
        <v>524.72</v>
      </c>
      <c r="H1508" s="86" t="s">
        <v>7947</v>
      </c>
      <c r="I1508" s="86"/>
    </row>
    <row r="1509" spans="1:9" ht="15" x14ac:dyDescent="0.2">
      <c r="A1509" s="89" t="s">
        <v>6473</v>
      </c>
      <c r="B1509" s="89" t="s">
        <v>6475</v>
      </c>
      <c r="C1509" s="89" t="s">
        <v>1203</v>
      </c>
      <c r="D1509" s="227">
        <v>770</v>
      </c>
      <c r="E1509" s="228">
        <v>281</v>
      </c>
      <c r="F1509" s="229">
        <f t="shared" si="30"/>
        <v>1051</v>
      </c>
      <c r="G1509" s="230">
        <v>1282.6199999999999</v>
      </c>
      <c r="H1509" s="86" t="s">
        <v>7901</v>
      </c>
      <c r="I1509" s="86"/>
    </row>
    <row r="1510" spans="1:9" ht="15" x14ac:dyDescent="0.2">
      <c r="A1510" s="89" t="s">
        <v>6476</v>
      </c>
      <c r="B1510" s="89" t="s">
        <v>7972</v>
      </c>
      <c r="C1510" s="89" t="s">
        <v>3298</v>
      </c>
      <c r="D1510" s="227">
        <v>1003.03</v>
      </c>
      <c r="E1510" s="228">
        <v>1620.42</v>
      </c>
      <c r="F1510" s="229">
        <f t="shared" si="30"/>
        <v>2623.45</v>
      </c>
      <c r="G1510" s="230">
        <v>2025.72</v>
      </c>
      <c r="H1510" s="86" t="s">
        <v>7973</v>
      </c>
      <c r="I1510" s="86"/>
    </row>
    <row r="1511" spans="1:9" ht="15" x14ac:dyDescent="0.2">
      <c r="A1511" s="89" t="s">
        <v>6480</v>
      </c>
      <c r="B1511" s="89" t="s">
        <v>7974</v>
      </c>
      <c r="C1511" s="89" t="s">
        <v>2578</v>
      </c>
      <c r="D1511" s="227">
        <v>290</v>
      </c>
      <c r="E1511" s="228">
        <v>0</v>
      </c>
      <c r="F1511" s="229">
        <f t="shared" si="30"/>
        <v>290</v>
      </c>
      <c r="G1511" s="230">
        <v>539.78</v>
      </c>
      <c r="H1511" s="86" t="s">
        <v>7973</v>
      </c>
      <c r="I1511" s="86"/>
    </row>
    <row r="1512" spans="1:9" ht="15" x14ac:dyDescent="0.2">
      <c r="A1512" s="89" t="s">
        <v>6482</v>
      </c>
      <c r="B1512" s="89" t="s">
        <v>7975</v>
      </c>
      <c r="C1512" s="89" t="s">
        <v>7976</v>
      </c>
      <c r="D1512" s="227">
        <v>745</v>
      </c>
      <c r="E1512" s="228">
        <v>1819.99</v>
      </c>
      <c r="F1512" s="229">
        <f t="shared" si="30"/>
        <v>2564.9899999999998</v>
      </c>
      <c r="G1512" s="230">
        <v>2396.8900000000003</v>
      </c>
      <c r="H1512" s="86" t="s">
        <v>7973</v>
      </c>
      <c r="I1512" s="86"/>
    </row>
    <row r="1513" spans="1:9" ht="15" x14ac:dyDescent="0.2">
      <c r="A1513" s="89" t="s">
        <v>6489</v>
      </c>
      <c r="B1513" s="89" t="s">
        <v>7977</v>
      </c>
      <c r="C1513" s="89" t="s">
        <v>7978</v>
      </c>
      <c r="D1513" s="227">
        <v>1106.3599999999999</v>
      </c>
      <c r="E1513" s="228">
        <v>0</v>
      </c>
      <c r="F1513" s="229">
        <f t="shared" si="30"/>
        <v>1106.3599999999999</v>
      </c>
      <c r="G1513" s="230">
        <v>882.94</v>
      </c>
      <c r="H1513" s="86" t="s">
        <v>7899</v>
      </c>
      <c r="I1513" s="86" t="s">
        <v>7127</v>
      </c>
    </row>
    <row r="1514" spans="1:9" ht="15" x14ac:dyDescent="0.2">
      <c r="A1514" s="89" t="s">
        <v>6492</v>
      </c>
      <c r="B1514" s="89" t="s">
        <v>6495</v>
      </c>
      <c r="C1514" s="89" t="s">
        <v>6494</v>
      </c>
      <c r="D1514" s="227">
        <v>1501.08</v>
      </c>
      <c r="E1514" s="228">
        <v>486.66</v>
      </c>
      <c r="F1514" s="229">
        <f t="shared" si="30"/>
        <v>1987.74</v>
      </c>
      <c r="G1514" s="230">
        <v>1606.08</v>
      </c>
      <c r="H1514" s="86" t="s">
        <v>7896</v>
      </c>
      <c r="I1514" s="86"/>
    </row>
    <row r="1515" spans="1:9" ht="15" x14ac:dyDescent="0.2">
      <c r="A1515" s="89" t="s">
        <v>6499</v>
      </c>
      <c r="B1515" s="89" t="s">
        <v>7979</v>
      </c>
      <c r="C1515" s="89" t="s">
        <v>1065</v>
      </c>
      <c r="D1515" s="227">
        <v>120</v>
      </c>
      <c r="E1515" s="228">
        <v>0</v>
      </c>
      <c r="F1515" s="229">
        <f t="shared" si="30"/>
        <v>120</v>
      </c>
      <c r="G1515" s="230">
        <v>137</v>
      </c>
      <c r="H1515" s="86" t="s">
        <v>7896</v>
      </c>
      <c r="I1515" s="86"/>
    </row>
    <row r="1516" spans="1:9" ht="15" x14ac:dyDescent="0.2">
      <c r="A1516" s="89" t="s">
        <v>6503</v>
      </c>
      <c r="B1516" s="89" t="s">
        <v>7980</v>
      </c>
      <c r="C1516" s="89" t="s">
        <v>7516</v>
      </c>
      <c r="D1516" s="227">
        <v>508</v>
      </c>
      <c r="E1516" s="228">
        <v>0</v>
      </c>
      <c r="F1516" s="229">
        <f t="shared" si="30"/>
        <v>508</v>
      </c>
      <c r="G1516" s="230">
        <v>826</v>
      </c>
      <c r="H1516" s="86" t="s">
        <v>7921</v>
      </c>
      <c r="I1516" s="86"/>
    </row>
    <row r="1517" spans="1:9" ht="15" x14ac:dyDescent="0.2">
      <c r="A1517" s="89" t="s">
        <v>6506</v>
      </c>
      <c r="B1517" s="89" t="s">
        <v>5828</v>
      </c>
      <c r="C1517" s="89" t="s">
        <v>6508</v>
      </c>
      <c r="D1517" s="227">
        <v>22</v>
      </c>
      <c r="E1517" s="228">
        <v>0</v>
      </c>
      <c r="F1517" s="229">
        <f t="shared" si="30"/>
        <v>22</v>
      </c>
      <c r="G1517" s="230">
        <v>12</v>
      </c>
      <c r="H1517" s="86" t="s">
        <v>7947</v>
      </c>
      <c r="I1517" s="86"/>
    </row>
    <row r="1518" spans="1:9" ht="15" x14ac:dyDescent="0.2">
      <c r="A1518" s="89" t="s">
        <v>6510</v>
      </c>
      <c r="B1518" s="89" t="s">
        <v>7981</v>
      </c>
      <c r="C1518" s="89" t="s">
        <v>260</v>
      </c>
      <c r="D1518" s="227">
        <v>620</v>
      </c>
      <c r="E1518" s="228">
        <v>96.39</v>
      </c>
      <c r="F1518" s="229">
        <f t="shared" si="30"/>
        <v>716.39</v>
      </c>
      <c r="G1518" s="230">
        <v>745.57</v>
      </c>
      <c r="H1518" s="86" t="s">
        <v>7973</v>
      </c>
      <c r="I1518" s="86"/>
    </row>
    <row r="1519" spans="1:9" ht="15" x14ac:dyDescent="0.2">
      <c r="A1519" s="89" t="s">
        <v>6513</v>
      </c>
      <c r="B1519" s="89" t="s">
        <v>6520</v>
      </c>
      <c r="C1519" s="89" t="s">
        <v>6706</v>
      </c>
      <c r="D1519" s="227">
        <v>295</v>
      </c>
      <c r="E1519" s="228">
        <v>723.16</v>
      </c>
      <c r="F1519" s="229">
        <f t="shared" si="30"/>
        <v>1018.16</v>
      </c>
      <c r="G1519" s="230">
        <v>1927.25</v>
      </c>
      <c r="H1519" s="86" t="s">
        <v>7901</v>
      </c>
      <c r="I1519" s="86"/>
    </row>
    <row r="1520" spans="1:9" ht="15" x14ac:dyDescent="0.2">
      <c r="A1520" s="89" t="s">
        <v>6517</v>
      </c>
      <c r="B1520" s="89" t="s">
        <v>7982</v>
      </c>
      <c r="C1520" s="89" t="s">
        <v>7584</v>
      </c>
      <c r="D1520" s="227">
        <v>264.11</v>
      </c>
      <c r="E1520" s="228">
        <v>0</v>
      </c>
      <c r="F1520" s="229">
        <f t="shared" si="30"/>
        <v>264.11</v>
      </c>
      <c r="G1520" s="230">
        <v>512.71</v>
      </c>
      <c r="H1520" s="86" t="s">
        <v>7901</v>
      </c>
      <c r="I1520" s="86"/>
    </row>
    <row r="1521" spans="1:9" ht="15" x14ac:dyDescent="0.2">
      <c r="A1521" s="89" t="s">
        <v>6521</v>
      </c>
      <c r="B1521" s="89" t="s">
        <v>7983</v>
      </c>
      <c r="C1521" s="89" t="s">
        <v>7984</v>
      </c>
      <c r="D1521" s="227">
        <v>385</v>
      </c>
      <c r="E1521" s="228">
        <v>2166.56</v>
      </c>
      <c r="F1521" s="229">
        <f t="shared" si="30"/>
        <v>2551.56</v>
      </c>
      <c r="G1521" s="230">
        <v>2573.0500000000002</v>
      </c>
      <c r="H1521" s="86" t="s">
        <v>7901</v>
      </c>
      <c r="I1521" s="86"/>
    </row>
    <row r="1522" spans="1:9" ht="15" x14ac:dyDescent="0.2">
      <c r="A1522" s="89" t="s">
        <v>6525</v>
      </c>
      <c r="B1522" s="89" t="s">
        <v>7985</v>
      </c>
      <c r="C1522" s="89" t="s">
        <v>7986</v>
      </c>
      <c r="D1522" s="227">
        <v>484.65</v>
      </c>
      <c r="E1522" s="228">
        <v>0</v>
      </c>
      <c r="F1522" s="229">
        <f t="shared" si="30"/>
        <v>484.65</v>
      </c>
      <c r="G1522" s="230">
        <v>501</v>
      </c>
      <c r="H1522" s="86" t="s">
        <v>7901</v>
      </c>
      <c r="I1522" s="86"/>
    </row>
    <row r="1523" spans="1:9" ht="15" x14ac:dyDescent="0.2">
      <c r="A1523" s="89" t="s">
        <v>6528</v>
      </c>
      <c r="B1523" s="89" t="s">
        <v>7987</v>
      </c>
      <c r="C1523" s="89" t="s">
        <v>6530</v>
      </c>
      <c r="D1523" s="227">
        <v>500.46</v>
      </c>
      <c r="E1523" s="228">
        <v>0</v>
      </c>
      <c r="F1523" s="229">
        <f t="shared" si="30"/>
        <v>500.46</v>
      </c>
      <c r="G1523" s="230">
        <v>582</v>
      </c>
      <c r="H1523" s="86" t="s">
        <v>7897</v>
      </c>
      <c r="I1523" s="86"/>
    </row>
    <row r="1524" spans="1:9" ht="15" x14ac:dyDescent="0.2">
      <c r="A1524" s="89" t="s">
        <v>6531</v>
      </c>
      <c r="B1524" s="89" t="s">
        <v>7988</v>
      </c>
      <c r="C1524" s="89" t="s">
        <v>158</v>
      </c>
      <c r="D1524" s="227">
        <v>175</v>
      </c>
      <c r="E1524" s="228">
        <v>0</v>
      </c>
      <c r="F1524" s="229">
        <f t="shared" si="30"/>
        <v>175</v>
      </c>
      <c r="G1524" s="230">
        <v>212</v>
      </c>
      <c r="H1524" s="86" t="s">
        <v>7897</v>
      </c>
      <c r="I1524" s="86"/>
    </row>
    <row r="1525" spans="1:9" ht="15" x14ac:dyDescent="0.2">
      <c r="A1525" s="89" t="s">
        <v>6533</v>
      </c>
      <c r="B1525" s="89" t="s">
        <v>6536</v>
      </c>
      <c r="C1525" s="89" t="s">
        <v>7989</v>
      </c>
      <c r="D1525" s="227">
        <v>269.98</v>
      </c>
      <c r="E1525" s="228">
        <v>940.58</v>
      </c>
      <c r="F1525" s="229">
        <f t="shared" si="30"/>
        <v>1210.56</v>
      </c>
      <c r="G1525" s="230">
        <v>1570.08</v>
      </c>
      <c r="H1525" s="86" t="s">
        <v>7905</v>
      </c>
      <c r="I1525" s="86"/>
    </row>
    <row r="1526" spans="1:9" ht="15" x14ac:dyDescent="0.2">
      <c r="A1526" s="89" t="s">
        <v>6537</v>
      </c>
      <c r="B1526" s="89" t="s">
        <v>6539</v>
      </c>
      <c r="C1526" s="89" t="s">
        <v>44</v>
      </c>
      <c r="D1526" s="227">
        <v>514</v>
      </c>
      <c r="E1526" s="228">
        <v>990.25</v>
      </c>
      <c r="F1526" s="229">
        <f t="shared" si="30"/>
        <v>1504.25</v>
      </c>
      <c r="G1526" s="230">
        <v>1580</v>
      </c>
      <c r="H1526" s="86" t="s">
        <v>7912</v>
      </c>
      <c r="I1526" s="86"/>
    </row>
    <row r="1527" spans="1:9" ht="15" x14ac:dyDescent="0.2">
      <c r="A1527" s="89" t="s">
        <v>6540</v>
      </c>
      <c r="B1527" s="89" t="s">
        <v>7990</v>
      </c>
      <c r="C1527" s="89" t="s">
        <v>6542</v>
      </c>
      <c r="D1527" s="227">
        <v>30</v>
      </c>
      <c r="E1527" s="228">
        <v>542.5</v>
      </c>
      <c r="F1527" s="229">
        <f t="shared" si="30"/>
        <v>572.5</v>
      </c>
      <c r="G1527" s="230">
        <v>604</v>
      </c>
      <c r="H1527" s="86" t="s">
        <v>7917</v>
      </c>
      <c r="I1527" s="86"/>
    </row>
    <row r="1528" spans="1:9" ht="15" x14ac:dyDescent="0.2">
      <c r="A1528" s="89" t="s">
        <v>6544</v>
      </c>
      <c r="B1528" s="89" t="s">
        <v>7991</v>
      </c>
      <c r="C1528" s="89" t="s">
        <v>532</v>
      </c>
      <c r="D1528" s="227">
        <v>140.05000000000001</v>
      </c>
      <c r="E1528" s="228">
        <v>0</v>
      </c>
      <c r="F1528" s="229">
        <f t="shared" si="30"/>
        <v>140.05000000000001</v>
      </c>
      <c r="G1528" s="230">
        <v>285</v>
      </c>
      <c r="H1528" s="86" t="s">
        <v>7917</v>
      </c>
      <c r="I1528" s="86"/>
    </row>
    <row r="1529" spans="1:9" ht="15" x14ac:dyDescent="0.2">
      <c r="A1529" s="89" t="s">
        <v>6547</v>
      </c>
      <c r="B1529" s="89" t="s">
        <v>7992</v>
      </c>
      <c r="C1529" s="89" t="s">
        <v>2896</v>
      </c>
      <c r="D1529" s="227">
        <v>629.64</v>
      </c>
      <c r="E1529" s="228">
        <v>0</v>
      </c>
      <c r="F1529" s="229">
        <f t="shared" si="30"/>
        <v>629.64</v>
      </c>
      <c r="G1529" s="230">
        <v>593</v>
      </c>
      <c r="H1529" s="86" t="s">
        <v>7947</v>
      </c>
      <c r="I1529" s="86"/>
    </row>
    <row r="1530" spans="1:9" ht="15" x14ac:dyDescent="0.2">
      <c r="A1530" s="89" t="s">
        <v>6549</v>
      </c>
      <c r="B1530" s="89" t="s">
        <v>7993</v>
      </c>
      <c r="C1530" s="89" t="s">
        <v>7994</v>
      </c>
      <c r="D1530" s="227">
        <v>1351.33</v>
      </c>
      <c r="E1530" s="228">
        <v>0</v>
      </c>
      <c r="F1530" s="229">
        <f t="shared" si="30"/>
        <v>1351.33</v>
      </c>
      <c r="G1530" s="230">
        <v>2045.58</v>
      </c>
      <c r="H1530" s="86" t="s">
        <v>7896</v>
      </c>
      <c r="I1530" s="86"/>
    </row>
    <row r="1531" spans="1:9" ht="15" x14ac:dyDescent="0.2">
      <c r="A1531" s="89" t="s">
        <v>6553</v>
      </c>
      <c r="B1531" s="89" t="s">
        <v>6555</v>
      </c>
      <c r="C1531" s="89" t="s">
        <v>2176</v>
      </c>
      <c r="D1531" s="227">
        <v>528</v>
      </c>
      <c r="E1531" s="228">
        <v>532.04999999999995</v>
      </c>
      <c r="F1531" s="229">
        <f t="shared" si="30"/>
        <v>1060.05</v>
      </c>
      <c r="G1531" s="230">
        <v>1962.94</v>
      </c>
      <c r="H1531" s="86" t="s">
        <v>7905</v>
      </c>
      <c r="I1531" s="86"/>
    </row>
    <row r="1532" spans="1:9" ht="15" x14ac:dyDescent="0.2">
      <c r="A1532" s="89" t="s">
        <v>6556</v>
      </c>
      <c r="B1532" s="89" t="s">
        <v>7995</v>
      </c>
      <c r="C1532" s="89" t="s">
        <v>6593</v>
      </c>
      <c r="D1532" s="227">
        <v>140</v>
      </c>
      <c r="E1532" s="228">
        <v>0</v>
      </c>
      <c r="F1532" s="229">
        <f t="shared" si="30"/>
        <v>140</v>
      </c>
      <c r="G1532" s="230">
        <v>971.04</v>
      </c>
      <c r="H1532" s="86" t="s">
        <v>7917</v>
      </c>
      <c r="I1532" s="86"/>
    </row>
    <row r="1533" spans="1:9" ht="15" x14ac:dyDescent="0.2">
      <c r="A1533" s="89" t="s">
        <v>6558</v>
      </c>
      <c r="B1533" s="89" t="s">
        <v>7996</v>
      </c>
      <c r="C1533" s="89" t="s">
        <v>6560</v>
      </c>
      <c r="D1533" s="227">
        <v>480</v>
      </c>
      <c r="E1533" s="228">
        <v>561.16999999999996</v>
      </c>
      <c r="F1533" s="229">
        <f t="shared" si="30"/>
        <v>1041.17</v>
      </c>
      <c r="G1533" s="230">
        <v>1667.52</v>
      </c>
      <c r="H1533" s="86" t="s">
        <v>7931</v>
      </c>
      <c r="I1533" s="86"/>
    </row>
    <row r="1534" spans="1:9" ht="15" x14ac:dyDescent="0.2">
      <c r="A1534" s="89" t="s">
        <v>6561</v>
      </c>
      <c r="B1534" s="89" t="s">
        <v>6382</v>
      </c>
      <c r="C1534" s="89" t="s">
        <v>6563</v>
      </c>
      <c r="D1534" s="227">
        <v>2502.75</v>
      </c>
      <c r="E1534" s="228">
        <v>0</v>
      </c>
      <c r="F1534" s="229">
        <f t="shared" si="30"/>
        <v>2502.75</v>
      </c>
      <c r="G1534" s="230">
        <v>799</v>
      </c>
      <c r="H1534" s="86" t="s">
        <v>7912</v>
      </c>
      <c r="I1534" s="86"/>
    </row>
    <row r="1535" spans="1:9" ht="15" x14ac:dyDescent="0.2">
      <c r="A1535" s="89" t="s">
        <v>6564</v>
      </c>
      <c r="B1535" s="89" t="s">
        <v>7997</v>
      </c>
      <c r="C1535" s="89" t="s">
        <v>6566</v>
      </c>
      <c r="D1535" s="227">
        <v>625</v>
      </c>
      <c r="E1535" s="228">
        <v>1438.2</v>
      </c>
      <c r="F1535" s="229">
        <f t="shared" si="30"/>
        <v>2063.1999999999998</v>
      </c>
      <c r="G1535" s="230">
        <v>783</v>
      </c>
      <c r="H1535" s="86" t="s">
        <v>7931</v>
      </c>
      <c r="I1535" s="86"/>
    </row>
    <row r="1536" spans="1:9" ht="15" x14ac:dyDescent="0.2">
      <c r="A1536" s="89" t="s">
        <v>6567</v>
      </c>
      <c r="B1536" s="89" t="s">
        <v>6570</v>
      </c>
      <c r="C1536" s="89" t="s">
        <v>6569</v>
      </c>
      <c r="D1536" s="227">
        <v>95</v>
      </c>
      <c r="E1536" s="228">
        <v>1868.42</v>
      </c>
      <c r="F1536" s="229">
        <f t="shared" si="30"/>
        <v>1963.42</v>
      </c>
      <c r="G1536" s="230">
        <v>3676.16</v>
      </c>
      <c r="H1536" s="86" t="s">
        <v>7912</v>
      </c>
      <c r="I1536" s="86"/>
    </row>
    <row r="1537" spans="1:9" ht="15" x14ac:dyDescent="0.2">
      <c r="A1537" s="89" t="s">
        <v>6572</v>
      </c>
      <c r="B1537" s="89" t="s">
        <v>7998</v>
      </c>
      <c r="C1537" s="89" t="s">
        <v>164</v>
      </c>
      <c r="D1537" s="227">
        <v>75</v>
      </c>
      <c r="E1537" s="228">
        <v>150.55000000000001</v>
      </c>
      <c r="F1537" s="229">
        <f t="shared" si="30"/>
        <v>225.55</v>
      </c>
      <c r="G1537" s="230">
        <v>85</v>
      </c>
      <c r="H1537" s="86" t="s">
        <v>7917</v>
      </c>
      <c r="I1537" s="86"/>
    </row>
    <row r="1538" spans="1:9" ht="15" x14ac:dyDescent="0.2">
      <c r="A1538" s="89" t="s">
        <v>6576</v>
      </c>
      <c r="B1538" s="89" t="s">
        <v>7999</v>
      </c>
      <c r="C1538" s="89" t="s">
        <v>6578</v>
      </c>
      <c r="D1538" s="227">
        <v>109.48</v>
      </c>
      <c r="E1538" s="228">
        <v>1700.31</v>
      </c>
      <c r="F1538" s="229">
        <f t="shared" si="30"/>
        <v>1809.79</v>
      </c>
      <c r="G1538" s="230">
        <v>450.41</v>
      </c>
      <c r="H1538" s="86" t="s">
        <v>7899</v>
      </c>
      <c r="I1538" s="86"/>
    </row>
    <row r="1539" spans="1:9" ht="15" x14ac:dyDescent="0.2">
      <c r="A1539" s="89" t="s">
        <v>6579</v>
      </c>
      <c r="B1539" s="89" t="s">
        <v>8000</v>
      </c>
      <c r="C1539" s="89" t="s">
        <v>6581</v>
      </c>
      <c r="D1539" s="227">
        <v>300</v>
      </c>
      <c r="E1539" s="228">
        <v>566.78</v>
      </c>
      <c r="F1539" s="229">
        <f t="shared" si="30"/>
        <v>866.78</v>
      </c>
      <c r="G1539" s="230">
        <v>661.51</v>
      </c>
      <c r="H1539" s="86" t="s">
        <v>7944</v>
      </c>
      <c r="I1539" s="86"/>
    </row>
    <row r="1540" spans="1:9" ht="15" x14ac:dyDescent="0.2">
      <c r="A1540" s="89" t="s">
        <v>6582</v>
      </c>
      <c r="B1540" s="89" t="s">
        <v>8001</v>
      </c>
      <c r="C1540" s="89" t="s">
        <v>8002</v>
      </c>
      <c r="D1540" s="227">
        <f>2427.96+30</f>
        <v>2457.96</v>
      </c>
      <c r="E1540" s="228">
        <v>1426.48</v>
      </c>
      <c r="F1540" s="229">
        <f t="shared" si="30"/>
        <v>3884.44</v>
      </c>
      <c r="G1540" s="230">
        <v>3969.2400000000002</v>
      </c>
      <c r="H1540" s="86" t="s">
        <v>7925</v>
      </c>
      <c r="I1540" s="86"/>
    </row>
    <row r="1541" spans="1:9" ht="15" x14ac:dyDescent="0.2">
      <c r="A1541" s="89" t="s">
        <v>6584</v>
      </c>
      <c r="B1541" s="89" t="s">
        <v>8001</v>
      </c>
      <c r="C1541" s="89" t="s">
        <v>3222</v>
      </c>
      <c r="D1541" s="227">
        <v>146</v>
      </c>
      <c r="E1541" s="228">
        <v>0</v>
      </c>
      <c r="F1541" s="229">
        <f t="shared" si="30"/>
        <v>146</v>
      </c>
      <c r="G1541" s="230">
        <v>1420.85</v>
      </c>
      <c r="H1541" s="86" t="s">
        <v>7925</v>
      </c>
      <c r="I1541" s="86"/>
    </row>
    <row r="1542" spans="1:9" ht="15" x14ac:dyDescent="0.2">
      <c r="A1542" s="89" t="s">
        <v>6587</v>
      </c>
      <c r="B1542" s="89" t="s">
        <v>8003</v>
      </c>
      <c r="C1542" s="89" t="s">
        <v>783</v>
      </c>
      <c r="D1542" s="227">
        <v>180</v>
      </c>
      <c r="E1542" s="228">
        <v>273.56</v>
      </c>
      <c r="F1542" s="229">
        <f t="shared" si="30"/>
        <v>453.56</v>
      </c>
      <c r="G1542" s="230">
        <v>885</v>
      </c>
      <c r="H1542" s="86" t="s">
        <v>7921</v>
      </c>
      <c r="I1542" s="86"/>
    </row>
    <row r="1543" spans="1:9" ht="15" x14ac:dyDescent="0.2">
      <c r="A1543" s="89" t="s">
        <v>6589</v>
      </c>
      <c r="B1543" s="89" t="s">
        <v>8004</v>
      </c>
      <c r="C1543" s="89" t="s">
        <v>1871</v>
      </c>
      <c r="D1543" s="227">
        <v>865</v>
      </c>
      <c r="E1543" s="228">
        <v>1647.31</v>
      </c>
      <c r="F1543" s="229">
        <f t="shared" si="30"/>
        <v>2512.31</v>
      </c>
      <c r="G1543" s="230">
        <v>2756.01</v>
      </c>
      <c r="H1543" s="86" t="s">
        <v>7944</v>
      </c>
      <c r="I1543" s="86"/>
    </row>
    <row r="1544" spans="1:9" ht="15" x14ac:dyDescent="0.2">
      <c r="A1544" s="89" t="s">
        <v>6591</v>
      </c>
      <c r="B1544" s="89" t="s">
        <v>8005</v>
      </c>
      <c r="C1544" s="89" t="s">
        <v>6593</v>
      </c>
      <c r="D1544" s="227">
        <v>285</v>
      </c>
      <c r="E1544" s="228">
        <v>0</v>
      </c>
      <c r="F1544" s="229">
        <f t="shared" si="30"/>
        <v>285</v>
      </c>
      <c r="G1544" s="230">
        <v>340</v>
      </c>
      <c r="H1544" s="86" t="s">
        <v>7921</v>
      </c>
      <c r="I1544" s="86"/>
    </row>
    <row r="1545" spans="1:9" ht="15" x14ac:dyDescent="0.2">
      <c r="A1545" s="89" t="s">
        <v>6596</v>
      </c>
      <c r="B1545" s="89" t="s">
        <v>8006</v>
      </c>
      <c r="C1545" s="89" t="s">
        <v>8007</v>
      </c>
      <c r="D1545" s="227">
        <v>1118</v>
      </c>
      <c r="E1545" s="228">
        <v>300</v>
      </c>
      <c r="F1545" s="229">
        <f t="shared" si="30"/>
        <v>1418</v>
      </c>
      <c r="G1545" s="230">
        <v>1576.25</v>
      </c>
      <c r="H1545" s="86" t="s">
        <v>7944</v>
      </c>
      <c r="I1545" s="86"/>
    </row>
    <row r="1546" spans="1:9" ht="15" x14ac:dyDescent="0.2">
      <c r="A1546" s="89" t="s">
        <v>6599</v>
      </c>
      <c r="B1546" s="89" t="s">
        <v>8008</v>
      </c>
      <c r="C1546" s="89" t="s">
        <v>3238</v>
      </c>
      <c r="D1546" s="227">
        <v>1631.27</v>
      </c>
      <c r="E1546" s="228">
        <v>0</v>
      </c>
      <c r="F1546" s="229">
        <f t="shared" si="30"/>
        <v>1631.27</v>
      </c>
      <c r="G1546" s="230">
        <v>890</v>
      </c>
      <c r="H1546" s="86" t="s">
        <v>7931</v>
      </c>
      <c r="I1546" s="86"/>
    </row>
    <row r="1547" spans="1:9" ht="15" x14ac:dyDescent="0.2">
      <c r="A1547" s="131" t="s">
        <v>6601</v>
      </c>
      <c r="B1547" s="131" t="s">
        <v>6603</v>
      </c>
      <c r="C1547" s="131" t="s">
        <v>453</v>
      </c>
      <c r="D1547" s="227">
        <v>643.6</v>
      </c>
      <c r="E1547" s="228">
        <v>369.51</v>
      </c>
      <c r="F1547" s="229">
        <f t="shared" si="30"/>
        <v>1013.11</v>
      </c>
      <c r="G1547" s="230">
        <v>963.31</v>
      </c>
      <c r="H1547" s="86" t="s">
        <v>7896</v>
      </c>
      <c r="I1547" s="86"/>
    </row>
    <row r="1548" spans="1:9" ht="15" x14ac:dyDescent="0.2">
      <c r="A1548" s="89" t="s">
        <v>6604</v>
      </c>
      <c r="B1548" s="89" t="s">
        <v>8009</v>
      </c>
      <c r="C1548" s="89" t="s">
        <v>3880</v>
      </c>
      <c r="D1548" s="227">
        <f>1135.88+49.6</f>
        <v>1185.48</v>
      </c>
      <c r="E1548" s="228">
        <v>0</v>
      </c>
      <c r="F1548" s="229">
        <f t="shared" si="30"/>
        <v>1185.48</v>
      </c>
      <c r="G1548" s="230">
        <v>1932</v>
      </c>
      <c r="H1548" s="86" t="s">
        <v>7896</v>
      </c>
      <c r="I1548" s="86"/>
    </row>
    <row r="1549" spans="1:9" ht="15" x14ac:dyDescent="0.2">
      <c r="A1549" s="89" t="s">
        <v>6607</v>
      </c>
      <c r="B1549" s="89" t="s">
        <v>8010</v>
      </c>
      <c r="C1549" s="89" t="s">
        <v>4774</v>
      </c>
      <c r="D1549" s="227">
        <v>218</v>
      </c>
      <c r="E1549" s="228">
        <v>0</v>
      </c>
      <c r="F1549" s="229">
        <f t="shared" si="30"/>
        <v>218</v>
      </c>
      <c r="G1549" s="230">
        <v>674.05</v>
      </c>
      <c r="H1549" s="86" t="s">
        <v>7903</v>
      </c>
      <c r="I1549" s="86"/>
    </row>
    <row r="1550" spans="1:9" ht="15" x14ac:dyDescent="0.2">
      <c r="A1550" s="89" t="s">
        <v>6610</v>
      </c>
      <c r="B1550" s="89" t="s">
        <v>8011</v>
      </c>
      <c r="C1550" s="89" t="s">
        <v>8012</v>
      </c>
      <c r="D1550" s="227">
        <f>305+30</f>
        <v>335</v>
      </c>
      <c r="E1550" s="228">
        <v>991.39</v>
      </c>
      <c r="F1550" s="229">
        <f t="shared" si="30"/>
        <v>1326.3899999999999</v>
      </c>
      <c r="G1550" s="230">
        <v>2829.93</v>
      </c>
      <c r="H1550" s="86" t="s">
        <v>7887</v>
      </c>
      <c r="I1550" s="86"/>
    </row>
    <row r="1551" spans="1:9" ht="15" x14ac:dyDescent="0.2">
      <c r="A1551" s="89" t="s">
        <v>6613</v>
      </c>
      <c r="B1551" s="89" t="s">
        <v>8013</v>
      </c>
      <c r="C1551" s="89" t="s">
        <v>6615</v>
      </c>
      <c r="D1551" s="227">
        <v>30</v>
      </c>
      <c r="E1551" s="228"/>
      <c r="F1551" s="229">
        <f t="shared" si="30"/>
        <v>30</v>
      </c>
      <c r="G1551" s="230"/>
      <c r="H1551" s="86"/>
      <c r="I1551" s="86"/>
    </row>
    <row r="1552" spans="1:9" ht="15" x14ac:dyDescent="0.2">
      <c r="A1552" s="89" t="s">
        <v>6616</v>
      </c>
      <c r="B1552" s="89" t="s">
        <v>8014</v>
      </c>
      <c r="C1552" s="89" t="s">
        <v>8015</v>
      </c>
      <c r="D1552" s="227">
        <v>426.34</v>
      </c>
      <c r="E1552" s="228">
        <v>430.5</v>
      </c>
      <c r="F1552" s="229">
        <f t="shared" si="30"/>
        <v>856.83999999999992</v>
      </c>
      <c r="G1552" s="230">
        <v>1060.3399999999999</v>
      </c>
      <c r="H1552" s="86" t="s">
        <v>7901</v>
      </c>
      <c r="I1552" s="86"/>
    </row>
    <row r="1553" spans="1:9" ht="15" x14ac:dyDescent="0.2">
      <c r="A1553" s="89" t="s">
        <v>6622</v>
      </c>
      <c r="B1553" s="89" t="s">
        <v>8016</v>
      </c>
      <c r="C1553" s="89" t="s">
        <v>453</v>
      </c>
      <c r="D1553" s="227">
        <v>5</v>
      </c>
      <c r="E1553" s="228">
        <v>0</v>
      </c>
      <c r="F1553" s="229">
        <f t="shared" si="30"/>
        <v>5</v>
      </c>
      <c r="G1553" s="230">
        <v>5</v>
      </c>
      <c r="H1553" s="86" t="s">
        <v>7931</v>
      </c>
      <c r="I1553" s="86"/>
    </row>
    <row r="1554" spans="1:9" ht="15" x14ac:dyDescent="0.2">
      <c r="A1554" s="89" t="s">
        <v>6624</v>
      </c>
      <c r="B1554" s="89" t="s">
        <v>8017</v>
      </c>
      <c r="C1554" s="89" t="s">
        <v>198</v>
      </c>
      <c r="D1554" s="227">
        <v>460</v>
      </c>
      <c r="E1554" s="228">
        <v>242.02</v>
      </c>
      <c r="F1554" s="229">
        <f t="shared" si="30"/>
        <v>702.02</v>
      </c>
      <c r="G1554" s="230">
        <v>1128.8399999999999</v>
      </c>
      <c r="H1554" s="86" t="s">
        <v>7952</v>
      </c>
      <c r="I1554" s="86"/>
    </row>
    <row r="1555" spans="1:9" ht="15" x14ac:dyDescent="0.2">
      <c r="A1555" s="89" t="s">
        <v>6627</v>
      </c>
      <c r="B1555" s="89" t="s">
        <v>8018</v>
      </c>
      <c r="C1555" s="89" t="s">
        <v>7646</v>
      </c>
      <c r="D1555" s="227">
        <v>148</v>
      </c>
      <c r="E1555" s="228">
        <v>32</v>
      </c>
      <c r="F1555" s="229">
        <f t="shared" si="30"/>
        <v>180</v>
      </c>
      <c r="G1555" s="230">
        <v>341.51</v>
      </c>
      <c r="H1555" s="86" t="s">
        <v>7903</v>
      </c>
      <c r="I1555" s="86"/>
    </row>
    <row r="1556" spans="1:9" ht="15" x14ac:dyDescent="0.2">
      <c r="A1556" s="89" t="s">
        <v>6629</v>
      </c>
      <c r="B1556" s="89" t="s">
        <v>8019</v>
      </c>
      <c r="C1556" s="89" t="s">
        <v>164</v>
      </c>
      <c r="D1556" s="227">
        <v>305</v>
      </c>
      <c r="E1556" s="228">
        <v>665.6</v>
      </c>
      <c r="F1556" s="229">
        <f t="shared" si="30"/>
        <v>970.6</v>
      </c>
      <c r="G1556" s="230">
        <v>588.24</v>
      </c>
      <c r="H1556" s="86" t="s">
        <v>7889</v>
      </c>
      <c r="I1556" s="86"/>
    </row>
    <row r="1557" spans="1:9" ht="15" x14ac:dyDescent="0.2">
      <c r="A1557" s="89" t="s">
        <v>6631</v>
      </c>
      <c r="B1557" s="89" t="s">
        <v>8020</v>
      </c>
      <c r="C1557" s="89" t="s">
        <v>8021</v>
      </c>
      <c r="D1557" s="227">
        <v>1045</v>
      </c>
      <c r="E1557" s="228">
        <v>2164.2800000000002</v>
      </c>
      <c r="F1557" s="229">
        <f t="shared" si="30"/>
        <v>3209.28</v>
      </c>
      <c r="G1557" s="230">
        <v>4260.7800000000007</v>
      </c>
      <c r="H1557" s="86" t="s">
        <v>7897</v>
      </c>
      <c r="I1557" s="86"/>
    </row>
    <row r="1558" spans="1:9" ht="15" x14ac:dyDescent="0.2">
      <c r="A1558" s="89" t="s">
        <v>6634</v>
      </c>
      <c r="B1558" s="89" t="s">
        <v>8022</v>
      </c>
      <c r="C1558" s="89" t="s">
        <v>8023</v>
      </c>
      <c r="D1558" s="227">
        <v>770</v>
      </c>
      <c r="E1558" s="228">
        <v>0</v>
      </c>
      <c r="F1558" s="229">
        <f t="shared" si="30"/>
        <v>770</v>
      </c>
      <c r="G1558" s="230">
        <v>1572</v>
      </c>
      <c r="H1558" s="86" t="s">
        <v>7903</v>
      </c>
      <c r="I1558" s="86"/>
    </row>
    <row r="1559" spans="1:9" ht="15" x14ac:dyDescent="0.2">
      <c r="A1559" s="89" t="s">
        <v>6637</v>
      </c>
      <c r="B1559" s="89" t="s">
        <v>8024</v>
      </c>
      <c r="C1559" s="89" t="s">
        <v>6639</v>
      </c>
      <c r="D1559" s="227">
        <v>51</v>
      </c>
      <c r="E1559" s="228">
        <v>0</v>
      </c>
      <c r="F1559" s="229">
        <f t="shared" si="30"/>
        <v>51</v>
      </c>
      <c r="G1559" s="230">
        <v>10</v>
      </c>
      <c r="H1559" s="86" t="s">
        <v>7887</v>
      </c>
      <c r="I1559" s="86"/>
    </row>
    <row r="1560" spans="1:9" ht="15" x14ac:dyDescent="0.2">
      <c r="A1560" s="89" t="s">
        <v>6640</v>
      </c>
      <c r="B1560" s="89" t="s">
        <v>8025</v>
      </c>
      <c r="C1560" s="89" t="s">
        <v>8026</v>
      </c>
      <c r="D1560" s="227">
        <v>429.34</v>
      </c>
      <c r="E1560" s="228">
        <v>0</v>
      </c>
      <c r="F1560" s="229">
        <f t="shared" si="30"/>
        <v>429.34</v>
      </c>
      <c r="G1560" s="230">
        <v>466</v>
      </c>
      <c r="H1560" s="86" t="s">
        <v>7905</v>
      </c>
      <c r="I1560" s="86"/>
    </row>
    <row r="1561" spans="1:9" ht="15" x14ac:dyDescent="0.2">
      <c r="A1561" s="89" t="s">
        <v>6647</v>
      </c>
      <c r="B1561" s="89" t="s">
        <v>8027</v>
      </c>
      <c r="C1561" s="89" t="s">
        <v>158</v>
      </c>
      <c r="D1561" s="227">
        <v>70</v>
      </c>
      <c r="E1561" s="228">
        <v>0</v>
      </c>
      <c r="F1561" s="229">
        <f t="shared" si="30"/>
        <v>70</v>
      </c>
      <c r="G1561" s="230">
        <v>70</v>
      </c>
      <c r="H1561" s="86" t="s">
        <v>7944</v>
      </c>
      <c r="I1561" s="86"/>
    </row>
    <row r="1562" spans="1:9" ht="15" x14ac:dyDescent="0.2">
      <c r="A1562" s="89" t="s">
        <v>6649</v>
      </c>
      <c r="B1562" s="89" t="s">
        <v>8028</v>
      </c>
      <c r="C1562" s="89" t="s">
        <v>8029</v>
      </c>
      <c r="D1562" s="227">
        <v>544.16999999999996</v>
      </c>
      <c r="E1562" s="228">
        <v>0</v>
      </c>
      <c r="F1562" s="229">
        <f t="shared" si="30"/>
        <v>544.16999999999996</v>
      </c>
      <c r="G1562" s="230">
        <v>426</v>
      </c>
      <c r="H1562" s="86" t="s">
        <v>8030</v>
      </c>
      <c r="I1562" s="86"/>
    </row>
    <row r="1563" spans="1:9" ht="15" x14ac:dyDescent="0.2">
      <c r="A1563" s="89" t="s">
        <v>6652</v>
      </c>
      <c r="B1563" s="89" t="s">
        <v>8031</v>
      </c>
      <c r="C1563" s="89" t="s">
        <v>8032</v>
      </c>
      <c r="D1563" s="227">
        <v>150</v>
      </c>
      <c r="E1563" s="228">
        <v>984</v>
      </c>
      <c r="F1563" s="229">
        <f t="shared" si="30"/>
        <v>1134</v>
      </c>
      <c r="G1563" s="230">
        <v>1430</v>
      </c>
      <c r="H1563" s="86" t="s">
        <v>7897</v>
      </c>
      <c r="I1563" s="86"/>
    </row>
    <row r="1564" spans="1:9" ht="15" x14ac:dyDescent="0.2">
      <c r="A1564" s="89" t="s">
        <v>6656</v>
      </c>
      <c r="B1564" s="89" t="s">
        <v>8033</v>
      </c>
      <c r="C1564" s="89" t="s">
        <v>1203</v>
      </c>
      <c r="D1564" s="227">
        <v>524</v>
      </c>
      <c r="E1564" s="228">
        <v>0</v>
      </c>
      <c r="F1564" s="229">
        <f t="shared" si="30"/>
        <v>524</v>
      </c>
      <c r="G1564" s="230">
        <v>1069</v>
      </c>
      <c r="H1564" s="86" t="s">
        <v>7937</v>
      </c>
      <c r="I1564" s="86"/>
    </row>
    <row r="1565" spans="1:9" ht="15" x14ac:dyDescent="0.2">
      <c r="A1565" s="89" t="s">
        <v>6658</v>
      </c>
      <c r="B1565" s="89" t="s">
        <v>8034</v>
      </c>
      <c r="C1565" s="89" t="s">
        <v>942</v>
      </c>
      <c r="D1565" s="227">
        <v>616</v>
      </c>
      <c r="E1565" s="228">
        <v>0</v>
      </c>
      <c r="F1565" s="229">
        <f t="shared" si="30"/>
        <v>616</v>
      </c>
      <c r="G1565" s="230">
        <v>566</v>
      </c>
      <c r="H1565" s="86" t="s">
        <v>7891</v>
      </c>
      <c r="I1565" s="86"/>
    </row>
    <row r="1566" spans="1:9" ht="15" x14ac:dyDescent="0.2">
      <c r="A1566" s="89" t="s">
        <v>6660</v>
      </c>
      <c r="B1566" s="89" t="s">
        <v>6663</v>
      </c>
      <c r="C1566" s="89" t="s">
        <v>155</v>
      </c>
      <c r="D1566" s="227">
        <v>625</v>
      </c>
      <c r="E1566" s="228">
        <v>126</v>
      </c>
      <c r="F1566" s="229">
        <f t="shared" si="30"/>
        <v>751</v>
      </c>
      <c r="G1566" s="230">
        <v>583.98</v>
      </c>
      <c r="H1566" s="86" t="s">
        <v>7947</v>
      </c>
      <c r="I1566" s="86"/>
    </row>
    <row r="1567" spans="1:9" ht="15" x14ac:dyDescent="0.2">
      <c r="A1567" s="89" t="s">
        <v>6665</v>
      </c>
      <c r="B1567" s="89" t="s">
        <v>8035</v>
      </c>
      <c r="C1567" s="89" t="s">
        <v>896</v>
      </c>
      <c r="D1567" s="227">
        <v>0</v>
      </c>
      <c r="E1567" s="228">
        <v>0</v>
      </c>
      <c r="F1567" s="229">
        <f t="shared" si="30"/>
        <v>0</v>
      </c>
      <c r="G1567" s="230">
        <v>80</v>
      </c>
      <c r="H1567" s="86" t="s">
        <v>7899</v>
      </c>
      <c r="I1567" s="86"/>
    </row>
    <row r="1568" spans="1:9" ht="15" x14ac:dyDescent="0.2">
      <c r="A1568" s="89" t="s">
        <v>6667</v>
      </c>
      <c r="B1568" s="89" t="s">
        <v>8036</v>
      </c>
      <c r="C1568" s="89" t="s">
        <v>812</v>
      </c>
      <c r="D1568" s="227">
        <v>35</v>
      </c>
      <c r="E1568" s="228">
        <v>0</v>
      </c>
      <c r="F1568" s="229">
        <f t="shared" si="30"/>
        <v>35</v>
      </c>
      <c r="G1568" s="230">
        <v>10</v>
      </c>
      <c r="H1568" s="86" t="s">
        <v>7952</v>
      </c>
      <c r="I1568" s="86"/>
    </row>
    <row r="1569" spans="1:9" ht="15" x14ac:dyDescent="0.2">
      <c r="A1569" s="89" t="s">
        <v>6670</v>
      </c>
      <c r="B1569" s="89" t="s">
        <v>8037</v>
      </c>
      <c r="C1569" s="89" t="s">
        <v>6672</v>
      </c>
      <c r="D1569" s="227">
        <v>345</v>
      </c>
      <c r="E1569" s="228">
        <v>73.64</v>
      </c>
      <c r="F1569" s="229">
        <f t="shared" si="30"/>
        <v>418.64</v>
      </c>
      <c r="G1569" s="230">
        <v>1032.98</v>
      </c>
      <c r="H1569" s="86" t="s">
        <v>7905</v>
      </c>
      <c r="I1569" s="86"/>
    </row>
    <row r="1570" spans="1:9" ht="15" x14ac:dyDescent="0.2">
      <c r="A1570" s="89" t="s">
        <v>6677</v>
      </c>
      <c r="B1570" s="89" t="s">
        <v>8038</v>
      </c>
      <c r="C1570" s="89" t="s">
        <v>3662</v>
      </c>
      <c r="D1570" s="227">
        <v>777</v>
      </c>
      <c r="E1570" s="228">
        <v>0</v>
      </c>
      <c r="F1570" s="229">
        <f t="shared" si="30"/>
        <v>777</v>
      </c>
      <c r="G1570" s="230">
        <v>4074.18</v>
      </c>
      <c r="H1570" s="86" t="s">
        <v>7925</v>
      </c>
      <c r="I1570" s="86"/>
    </row>
    <row r="1571" spans="1:9" ht="15" x14ac:dyDescent="0.2">
      <c r="A1571" s="89" t="s">
        <v>6679</v>
      </c>
      <c r="B1571" s="89" t="s">
        <v>6681</v>
      </c>
      <c r="C1571" s="89" t="s">
        <v>2597</v>
      </c>
      <c r="D1571" s="227">
        <v>150</v>
      </c>
      <c r="E1571" s="228">
        <v>323.07</v>
      </c>
      <c r="F1571" s="229">
        <f t="shared" ref="F1571:F1634" si="31">(D1571+E1571)</f>
        <v>473.07</v>
      </c>
      <c r="G1571" s="230">
        <v>774.99</v>
      </c>
      <c r="H1571" s="86" t="s">
        <v>7912</v>
      </c>
      <c r="I1571" s="86"/>
    </row>
    <row r="1572" spans="1:9" ht="15" x14ac:dyDescent="0.2">
      <c r="A1572" s="89" t="s">
        <v>6682</v>
      </c>
      <c r="B1572" s="89" t="s">
        <v>8039</v>
      </c>
      <c r="C1572" s="89" t="s">
        <v>382</v>
      </c>
      <c r="D1572" s="227">
        <v>66</v>
      </c>
      <c r="E1572" s="228">
        <v>0</v>
      </c>
      <c r="F1572" s="229">
        <f t="shared" si="31"/>
        <v>66</v>
      </c>
      <c r="G1572" s="230">
        <v>347.15</v>
      </c>
      <c r="H1572" s="86" t="s">
        <v>7899</v>
      </c>
      <c r="I1572" s="86"/>
    </row>
    <row r="1573" spans="1:9" ht="15" x14ac:dyDescent="0.2">
      <c r="A1573" s="89" t="s">
        <v>6684</v>
      </c>
      <c r="B1573" s="89" t="s">
        <v>8040</v>
      </c>
      <c r="C1573" s="89" t="s">
        <v>5382</v>
      </c>
      <c r="D1573" s="227">
        <v>2310.88</v>
      </c>
      <c r="E1573" s="228">
        <v>482</v>
      </c>
      <c r="F1573" s="229">
        <f t="shared" si="31"/>
        <v>2792.88</v>
      </c>
      <c r="G1573" s="230">
        <v>3417.13</v>
      </c>
      <c r="H1573" s="86" t="s">
        <v>7937</v>
      </c>
      <c r="I1573" s="86"/>
    </row>
    <row r="1574" spans="1:9" ht="15" x14ac:dyDescent="0.2">
      <c r="A1574" s="89" t="s">
        <v>6688</v>
      </c>
      <c r="B1574" s="89" t="s">
        <v>8041</v>
      </c>
      <c r="C1574" s="89" t="s">
        <v>8042</v>
      </c>
      <c r="D1574" s="227">
        <f>350.16+61.96</f>
        <v>412.12</v>
      </c>
      <c r="E1574" s="228">
        <v>0</v>
      </c>
      <c r="F1574" s="229">
        <f t="shared" si="31"/>
        <v>412.12</v>
      </c>
      <c r="G1574" s="230">
        <v>170</v>
      </c>
      <c r="H1574" s="86" t="s">
        <v>7914</v>
      </c>
      <c r="I1574" s="86"/>
    </row>
    <row r="1575" spans="1:9" ht="15" x14ac:dyDescent="0.2">
      <c r="A1575" s="89" t="s">
        <v>6690</v>
      </c>
      <c r="B1575" s="89" t="s">
        <v>8043</v>
      </c>
      <c r="C1575" s="89" t="s">
        <v>2578</v>
      </c>
      <c r="D1575" s="227">
        <f>251.63+60</f>
        <v>311.63</v>
      </c>
      <c r="E1575" s="228">
        <v>694.87</v>
      </c>
      <c r="F1575" s="229">
        <f t="shared" si="31"/>
        <v>1006.5</v>
      </c>
      <c r="G1575" s="230">
        <v>1384.2</v>
      </c>
      <c r="H1575" s="86" t="s">
        <v>7891</v>
      </c>
      <c r="I1575" s="86"/>
    </row>
    <row r="1576" spans="1:9" ht="15" x14ac:dyDescent="0.2">
      <c r="A1576" s="89" t="s">
        <v>6693</v>
      </c>
      <c r="B1576" s="89" t="s">
        <v>8044</v>
      </c>
      <c r="C1576" s="89" t="s">
        <v>7565</v>
      </c>
      <c r="D1576" s="227">
        <v>921.26</v>
      </c>
      <c r="E1576" s="228">
        <v>0</v>
      </c>
      <c r="F1576" s="229">
        <f t="shared" si="31"/>
        <v>921.26</v>
      </c>
      <c r="G1576" s="230">
        <v>1883.6799999999998</v>
      </c>
      <c r="H1576" s="86" t="s">
        <v>7887</v>
      </c>
      <c r="I1576" s="86"/>
    </row>
    <row r="1577" spans="1:9" ht="15" x14ac:dyDescent="0.2">
      <c r="A1577" s="89" t="s">
        <v>6695</v>
      </c>
      <c r="B1577" s="89" t="s">
        <v>6697</v>
      </c>
      <c r="C1577" s="89" t="s">
        <v>299</v>
      </c>
      <c r="D1577" s="227">
        <v>885</v>
      </c>
      <c r="E1577" s="228">
        <v>0</v>
      </c>
      <c r="F1577" s="229">
        <f t="shared" si="31"/>
        <v>885</v>
      </c>
      <c r="G1577" s="230">
        <v>1233</v>
      </c>
      <c r="H1577" s="86" t="s">
        <v>7973</v>
      </c>
      <c r="I1577" s="86"/>
    </row>
    <row r="1578" spans="1:9" ht="15" x14ac:dyDescent="0.2">
      <c r="A1578" s="89" t="s">
        <v>6701</v>
      </c>
      <c r="B1578" s="89" t="s">
        <v>8045</v>
      </c>
      <c r="C1578" s="89" t="s">
        <v>8046</v>
      </c>
      <c r="D1578" s="227">
        <v>130</v>
      </c>
      <c r="E1578" s="228">
        <v>0</v>
      </c>
      <c r="F1578" s="229">
        <f t="shared" si="31"/>
        <v>130</v>
      </c>
      <c r="G1578" s="230">
        <v>1625</v>
      </c>
      <c r="H1578" s="86" t="s">
        <v>7937</v>
      </c>
      <c r="I1578" s="86"/>
    </row>
    <row r="1579" spans="1:9" ht="15" x14ac:dyDescent="0.2">
      <c r="A1579" s="89" t="s">
        <v>6704</v>
      </c>
      <c r="B1579" s="89" t="s">
        <v>8047</v>
      </c>
      <c r="C1579" s="89" t="s">
        <v>6706</v>
      </c>
      <c r="D1579" s="227">
        <v>583.14</v>
      </c>
      <c r="E1579" s="228">
        <v>0</v>
      </c>
      <c r="F1579" s="229">
        <f t="shared" si="31"/>
        <v>583.14</v>
      </c>
      <c r="G1579" s="230">
        <v>634</v>
      </c>
      <c r="H1579" s="86" t="s">
        <v>7903</v>
      </c>
      <c r="I1579" s="86"/>
    </row>
    <row r="1580" spans="1:9" ht="15" x14ac:dyDescent="0.2">
      <c r="A1580" s="89" t="s">
        <v>6707</v>
      </c>
      <c r="B1580" s="89" t="s">
        <v>6389</v>
      </c>
      <c r="C1580" s="89" t="s">
        <v>6709</v>
      </c>
      <c r="D1580" s="227">
        <v>207.5</v>
      </c>
      <c r="E1580" s="228">
        <v>117</v>
      </c>
      <c r="F1580" s="229">
        <f t="shared" si="31"/>
        <v>324.5</v>
      </c>
      <c r="G1580" s="230">
        <v>492.29</v>
      </c>
      <c r="H1580" s="86" t="s">
        <v>7937</v>
      </c>
      <c r="I1580" s="86"/>
    </row>
    <row r="1581" spans="1:9" ht="15" x14ac:dyDescent="0.2">
      <c r="A1581" s="89" t="s">
        <v>6710</v>
      </c>
      <c r="B1581" s="89" t="s">
        <v>8048</v>
      </c>
      <c r="C1581" s="89" t="s">
        <v>7256</v>
      </c>
      <c r="D1581" s="227">
        <v>642</v>
      </c>
      <c r="E1581" s="228">
        <v>1397.35</v>
      </c>
      <c r="F1581" s="229">
        <f t="shared" si="31"/>
        <v>2039.35</v>
      </c>
      <c r="G1581" s="230">
        <v>1773</v>
      </c>
      <c r="H1581" s="86" t="s">
        <v>7944</v>
      </c>
      <c r="I1581" s="86"/>
    </row>
    <row r="1582" spans="1:9" ht="15" x14ac:dyDescent="0.2">
      <c r="A1582" s="89" t="s">
        <v>8049</v>
      </c>
      <c r="B1582" s="89" t="s">
        <v>8050</v>
      </c>
      <c r="C1582" s="89" t="s">
        <v>1409</v>
      </c>
      <c r="D1582" s="227">
        <v>364.6</v>
      </c>
      <c r="E1582" s="228">
        <v>867.15</v>
      </c>
      <c r="F1582" s="229">
        <f t="shared" si="31"/>
        <v>1231.75</v>
      </c>
      <c r="G1582" s="230">
        <v>893.25</v>
      </c>
      <c r="H1582" s="86" t="s">
        <v>7901</v>
      </c>
      <c r="I1582" s="86"/>
    </row>
    <row r="1583" spans="1:9" ht="15" x14ac:dyDescent="0.2">
      <c r="A1583" s="89" t="s">
        <v>6719</v>
      </c>
      <c r="B1583" s="89" t="s">
        <v>8051</v>
      </c>
      <c r="C1583" s="89" t="s">
        <v>2578</v>
      </c>
      <c r="D1583" s="227">
        <v>374.12</v>
      </c>
      <c r="E1583" s="228">
        <v>0</v>
      </c>
      <c r="F1583" s="229">
        <f t="shared" si="31"/>
        <v>374.12</v>
      </c>
      <c r="G1583" s="230">
        <v>954.83999999999992</v>
      </c>
      <c r="H1583" s="86" t="s">
        <v>7901</v>
      </c>
      <c r="I1583" s="86"/>
    </row>
    <row r="1584" spans="1:9" ht="15" x14ac:dyDescent="0.2">
      <c r="A1584" s="89" t="s">
        <v>6722</v>
      </c>
      <c r="B1584" s="89" t="s">
        <v>6361</v>
      </c>
      <c r="C1584" s="89" t="s">
        <v>783</v>
      </c>
      <c r="D1584" s="227">
        <v>370</v>
      </c>
      <c r="E1584" s="228">
        <v>0</v>
      </c>
      <c r="F1584" s="229">
        <f t="shared" si="31"/>
        <v>370</v>
      </c>
      <c r="G1584" s="230">
        <v>822</v>
      </c>
      <c r="H1584" s="86" t="s">
        <v>7889</v>
      </c>
      <c r="I1584" s="86"/>
    </row>
    <row r="1585" spans="1:9" ht="15" x14ac:dyDescent="0.2">
      <c r="A1585" s="89" t="s">
        <v>6724</v>
      </c>
      <c r="B1585" s="89" t="s">
        <v>6727</v>
      </c>
      <c r="C1585" s="89" t="s">
        <v>6726</v>
      </c>
      <c r="D1585" s="227">
        <v>376.34</v>
      </c>
      <c r="E1585" s="228">
        <v>1768.86</v>
      </c>
      <c r="F1585" s="229">
        <f t="shared" si="31"/>
        <v>2145.1999999999998</v>
      </c>
      <c r="G1585" s="230">
        <v>2020.8</v>
      </c>
      <c r="H1585" s="86" t="s">
        <v>7896</v>
      </c>
      <c r="I1585" s="86"/>
    </row>
    <row r="1586" spans="1:9" ht="15" x14ac:dyDescent="0.2">
      <c r="A1586" s="89" t="s">
        <v>6729</v>
      </c>
      <c r="B1586" s="89" t="s">
        <v>6732</v>
      </c>
      <c r="C1586" s="89" t="s">
        <v>8052</v>
      </c>
      <c r="D1586" s="227">
        <v>700</v>
      </c>
      <c r="E1586" s="228">
        <v>902.84</v>
      </c>
      <c r="F1586" s="229">
        <f t="shared" si="31"/>
        <v>1602.8400000000001</v>
      </c>
      <c r="G1586" s="230">
        <v>2446.94</v>
      </c>
      <c r="H1586" s="86" t="s">
        <v>7947</v>
      </c>
      <c r="I1586" s="86"/>
    </row>
    <row r="1587" spans="1:9" ht="15" x14ac:dyDescent="0.2">
      <c r="A1587" s="89" t="s">
        <v>6733</v>
      </c>
      <c r="B1587" s="89" t="s">
        <v>8053</v>
      </c>
      <c r="C1587" s="89" t="s">
        <v>1588</v>
      </c>
      <c r="D1587" s="227">
        <v>1166.81</v>
      </c>
      <c r="E1587" s="228">
        <v>0</v>
      </c>
      <c r="F1587" s="229">
        <f t="shared" si="31"/>
        <v>1166.81</v>
      </c>
      <c r="G1587" s="230">
        <v>190</v>
      </c>
      <c r="H1587" s="86" t="s">
        <v>7947</v>
      </c>
      <c r="I1587" s="86"/>
    </row>
    <row r="1588" spans="1:9" ht="15" x14ac:dyDescent="0.2">
      <c r="A1588" s="89" t="s">
        <v>6737</v>
      </c>
      <c r="B1588" s="89" t="s">
        <v>6740</v>
      </c>
      <c r="C1588" s="89" t="s">
        <v>8054</v>
      </c>
      <c r="D1588" s="227">
        <v>1433</v>
      </c>
      <c r="E1588" s="228">
        <v>2112.75</v>
      </c>
      <c r="F1588" s="229">
        <f t="shared" si="31"/>
        <v>3545.75</v>
      </c>
      <c r="G1588" s="230">
        <v>3180.4300000000003</v>
      </c>
      <c r="H1588" s="86" t="s">
        <v>7901</v>
      </c>
      <c r="I1588" s="86"/>
    </row>
    <row r="1589" spans="1:9" ht="15" x14ac:dyDescent="0.2">
      <c r="A1589" s="89" t="s">
        <v>6744</v>
      </c>
      <c r="B1589" s="89" t="s">
        <v>6740</v>
      </c>
      <c r="C1589" s="89" t="s">
        <v>8055</v>
      </c>
      <c r="D1589" s="227">
        <v>534</v>
      </c>
      <c r="E1589" s="228">
        <v>0</v>
      </c>
      <c r="F1589" s="229">
        <f t="shared" si="31"/>
        <v>534</v>
      </c>
      <c r="G1589" s="230">
        <v>992</v>
      </c>
      <c r="H1589" s="86" t="s">
        <v>7901</v>
      </c>
      <c r="I1589" s="86"/>
    </row>
    <row r="1590" spans="1:9" ht="15" x14ac:dyDescent="0.2">
      <c r="A1590" s="89" t="s">
        <v>6747</v>
      </c>
      <c r="B1590" s="89" t="s">
        <v>8056</v>
      </c>
      <c r="C1590" s="89" t="s">
        <v>5069</v>
      </c>
      <c r="D1590" s="227">
        <v>370</v>
      </c>
      <c r="E1590" s="228">
        <v>1148.68</v>
      </c>
      <c r="F1590" s="229">
        <f t="shared" si="31"/>
        <v>1518.68</v>
      </c>
      <c r="G1590" s="230">
        <v>2083.3599999999997</v>
      </c>
      <c r="H1590" s="86" t="s">
        <v>7899</v>
      </c>
      <c r="I1590" s="86"/>
    </row>
    <row r="1591" spans="1:9" ht="15" x14ac:dyDescent="0.2">
      <c r="A1591" s="89" t="s">
        <v>6749</v>
      </c>
      <c r="B1591" s="89" t="s">
        <v>8057</v>
      </c>
      <c r="C1591" s="89" t="s">
        <v>1355</v>
      </c>
      <c r="D1591" s="227">
        <v>1691.06</v>
      </c>
      <c r="E1591" s="228">
        <v>0</v>
      </c>
      <c r="F1591" s="229">
        <f t="shared" si="31"/>
        <v>1691.06</v>
      </c>
      <c r="G1591" s="230">
        <v>1150</v>
      </c>
      <c r="H1591" s="86" t="s">
        <v>7952</v>
      </c>
      <c r="I1591" s="86"/>
    </row>
    <row r="1592" spans="1:9" ht="15" x14ac:dyDescent="0.2">
      <c r="A1592" s="89" t="s">
        <v>6751</v>
      </c>
      <c r="B1592" s="89" t="s">
        <v>8058</v>
      </c>
      <c r="C1592" s="89" t="s">
        <v>6753</v>
      </c>
      <c r="D1592" s="227">
        <v>510</v>
      </c>
      <c r="E1592" s="228">
        <v>0</v>
      </c>
      <c r="F1592" s="229">
        <f t="shared" si="31"/>
        <v>510</v>
      </c>
      <c r="G1592" s="230">
        <v>530</v>
      </c>
      <c r="H1592" s="86" t="s">
        <v>7894</v>
      </c>
      <c r="I1592" s="86"/>
    </row>
    <row r="1593" spans="1:9" ht="15" x14ac:dyDescent="0.2">
      <c r="A1593" s="89" t="s">
        <v>6755</v>
      </c>
      <c r="B1593" s="89" t="s">
        <v>6757</v>
      </c>
      <c r="C1593" s="89" t="s">
        <v>2530</v>
      </c>
      <c r="D1593" s="227">
        <v>530</v>
      </c>
      <c r="E1593" s="228">
        <v>0</v>
      </c>
      <c r="F1593" s="229">
        <f t="shared" si="31"/>
        <v>530</v>
      </c>
      <c r="G1593" s="230">
        <v>555</v>
      </c>
      <c r="H1593" s="86" t="s">
        <v>7901</v>
      </c>
      <c r="I1593" s="86"/>
    </row>
    <row r="1594" spans="1:9" ht="15" x14ac:dyDescent="0.2">
      <c r="A1594" s="89" t="s">
        <v>6758</v>
      </c>
      <c r="B1594" s="89" t="s">
        <v>8059</v>
      </c>
      <c r="C1594" s="89" t="s">
        <v>6760</v>
      </c>
      <c r="D1594" s="227">
        <v>160</v>
      </c>
      <c r="E1594" s="228">
        <v>1619</v>
      </c>
      <c r="F1594" s="229">
        <f t="shared" si="31"/>
        <v>1779</v>
      </c>
      <c r="G1594" s="230">
        <v>2339</v>
      </c>
      <c r="H1594" s="86" t="s">
        <v>7914</v>
      </c>
      <c r="I1594" s="86"/>
    </row>
    <row r="1595" spans="1:9" ht="15" x14ac:dyDescent="0.2">
      <c r="A1595" s="89" t="s">
        <v>6764</v>
      </c>
      <c r="B1595" s="89" t="s">
        <v>6766</v>
      </c>
      <c r="C1595" s="89" t="s">
        <v>2578</v>
      </c>
      <c r="D1595" s="227">
        <v>253</v>
      </c>
      <c r="E1595" s="228">
        <v>932.75</v>
      </c>
      <c r="F1595" s="229">
        <f t="shared" si="31"/>
        <v>1185.75</v>
      </c>
      <c r="G1595" s="230">
        <v>966.57</v>
      </c>
      <c r="H1595" s="86" t="s">
        <v>7894</v>
      </c>
      <c r="I1595" s="86"/>
    </row>
    <row r="1596" spans="1:9" ht="15" x14ac:dyDescent="0.2">
      <c r="A1596" s="89" t="s">
        <v>6768</v>
      </c>
      <c r="B1596" s="89" t="s">
        <v>8060</v>
      </c>
      <c r="C1596" s="89" t="s">
        <v>158</v>
      </c>
      <c r="D1596" s="227">
        <v>50</v>
      </c>
      <c r="E1596" s="228">
        <v>0</v>
      </c>
      <c r="F1596" s="229">
        <f t="shared" si="31"/>
        <v>50</v>
      </c>
      <c r="G1596" s="230">
        <v>85</v>
      </c>
      <c r="H1596" s="86" t="s">
        <v>7887</v>
      </c>
      <c r="I1596" s="86"/>
    </row>
    <row r="1597" spans="1:9" ht="15" x14ac:dyDescent="0.2">
      <c r="A1597" s="89" t="s">
        <v>6770</v>
      </c>
      <c r="B1597" s="89" t="s">
        <v>8061</v>
      </c>
      <c r="C1597" s="89" t="s">
        <v>7394</v>
      </c>
      <c r="D1597" s="227">
        <v>315</v>
      </c>
      <c r="E1597" s="228">
        <v>0</v>
      </c>
      <c r="F1597" s="229">
        <f t="shared" si="31"/>
        <v>315</v>
      </c>
      <c r="G1597" s="230">
        <v>194</v>
      </c>
      <c r="H1597" s="86" t="s">
        <v>7921</v>
      </c>
      <c r="I1597" s="86"/>
    </row>
    <row r="1598" spans="1:9" ht="15" x14ac:dyDescent="0.2">
      <c r="A1598" s="89" t="s">
        <v>6773</v>
      </c>
      <c r="B1598" s="89" t="s">
        <v>6775</v>
      </c>
      <c r="C1598" s="89" t="s">
        <v>583</v>
      </c>
      <c r="D1598" s="227">
        <v>1084.57</v>
      </c>
      <c r="E1598" s="228">
        <v>0</v>
      </c>
      <c r="F1598" s="229">
        <f t="shared" si="31"/>
        <v>1084.57</v>
      </c>
      <c r="G1598" s="230">
        <v>1303.8499999999999</v>
      </c>
      <c r="H1598" s="86" t="s">
        <v>7891</v>
      </c>
      <c r="I1598" s="86"/>
    </row>
    <row r="1599" spans="1:9" ht="15" x14ac:dyDescent="0.2">
      <c r="A1599" s="89" t="s">
        <v>6776</v>
      </c>
      <c r="B1599" s="89" t="s">
        <v>8062</v>
      </c>
      <c r="C1599" s="89" t="s">
        <v>8063</v>
      </c>
      <c r="D1599" s="227">
        <v>380</v>
      </c>
      <c r="E1599" s="228">
        <v>0</v>
      </c>
      <c r="F1599" s="229">
        <f t="shared" si="31"/>
        <v>380</v>
      </c>
      <c r="G1599" s="230">
        <v>215</v>
      </c>
      <c r="H1599" s="86" t="s">
        <v>7952</v>
      </c>
      <c r="I1599" s="86"/>
    </row>
    <row r="1600" spans="1:9" ht="15" x14ac:dyDescent="0.2">
      <c r="A1600" s="89" t="s">
        <v>6778</v>
      </c>
      <c r="B1600" s="89" t="s">
        <v>6780</v>
      </c>
      <c r="C1600" s="89" t="s">
        <v>198</v>
      </c>
      <c r="D1600" s="227">
        <v>235</v>
      </c>
      <c r="E1600" s="228">
        <v>1587.69</v>
      </c>
      <c r="F1600" s="229">
        <f t="shared" si="31"/>
        <v>1822.69</v>
      </c>
      <c r="G1600" s="230">
        <v>1424.39</v>
      </c>
      <c r="H1600" s="86" t="s">
        <v>7894</v>
      </c>
      <c r="I1600" s="86"/>
    </row>
    <row r="1601" spans="1:9" ht="15" x14ac:dyDescent="0.2">
      <c r="A1601" s="89" t="s">
        <v>6781</v>
      </c>
      <c r="B1601" s="89" t="s">
        <v>8064</v>
      </c>
      <c r="C1601" s="89" t="s">
        <v>8065</v>
      </c>
      <c r="D1601" s="227">
        <v>240.72</v>
      </c>
      <c r="E1601" s="228">
        <v>0</v>
      </c>
      <c r="F1601" s="229">
        <f t="shared" si="31"/>
        <v>240.72</v>
      </c>
      <c r="G1601" s="230">
        <v>834</v>
      </c>
      <c r="H1601" s="86" t="s">
        <v>8030</v>
      </c>
      <c r="I1601" s="86"/>
    </row>
    <row r="1602" spans="1:9" ht="15" x14ac:dyDescent="0.2">
      <c r="A1602" s="89" t="s">
        <v>6784</v>
      </c>
      <c r="B1602" s="89" t="s">
        <v>6787</v>
      </c>
      <c r="C1602" s="89" t="s">
        <v>5796</v>
      </c>
      <c r="D1602" s="227">
        <v>234</v>
      </c>
      <c r="E1602" s="228">
        <v>1713.41</v>
      </c>
      <c r="F1602" s="229">
        <f t="shared" si="31"/>
        <v>1947.41</v>
      </c>
      <c r="G1602" s="230">
        <v>2958.99</v>
      </c>
      <c r="H1602" s="86" t="s">
        <v>7973</v>
      </c>
      <c r="I1602" s="86"/>
    </row>
    <row r="1603" spans="1:9" ht="15" x14ac:dyDescent="0.2">
      <c r="A1603" s="89" t="s">
        <v>6789</v>
      </c>
      <c r="B1603" s="89" t="s">
        <v>8066</v>
      </c>
      <c r="C1603" s="89" t="s">
        <v>89</v>
      </c>
      <c r="D1603" s="227">
        <v>130</v>
      </c>
      <c r="E1603" s="228">
        <v>0</v>
      </c>
      <c r="F1603" s="229">
        <f t="shared" si="31"/>
        <v>130</v>
      </c>
      <c r="G1603" s="230">
        <v>140</v>
      </c>
      <c r="H1603" s="86" t="s">
        <v>7894</v>
      </c>
      <c r="I1603" s="86"/>
    </row>
    <row r="1604" spans="1:9" ht="15" x14ac:dyDescent="0.2">
      <c r="A1604" s="89" t="s">
        <v>6792</v>
      </c>
      <c r="B1604" s="89" t="s">
        <v>8067</v>
      </c>
      <c r="C1604" s="89" t="s">
        <v>6794</v>
      </c>
      <c r="D1604" s="227">
        <v>96.74</v>
      </c>
      <c r="E1604" s="228">
        <v>0</v>
      </c>
      <c r="F1604" s="229">
        <f t="shared" si="31"/>
        <v>96.74</v>
      </c>
      <c r="G1604" s="230">
        <v>347</v>
      </c>
      <c r="H1604" s="86" t="s">
        <v>7914</v>
      </c>
      <c r="I1604" s="86"/>
    </row>
    <row r="1605" spans="1:9" ht="15" x14ac:dyDescent="0.2">
      <c r="A1605" s="89" t="s">
        <v>6795</v>
      </c>
      <c r="B1605" s="89" t="s">
        <v>8068</v>
      </c>
      <c r="C1605" s="89" t="s">
        <v>8069</v>
      </c>
      <c r="D1605" s="227">
        <v>75</v>
      </c>
      <c r="E1605" s="228">
        <v>672.61</v>
      </c>
      <c r="F1605" s="229">
        <f t="shared" si="31"/>
        <v>747.61</v>
      </c>
      <c r="G1605" s="230">
        <v>593.92999999999995</v>
      </c>
      <c r="H1605" s="86" t="s">
        <v>7896</v>
      </c>
      <c r="I1605" s="86"/>
    </row>
    <row r="1606" spans="1:9" ht="15" x14ac:dyDescent="0.2">
      <c r="A1606" s="89" t="s">
        <v>6799</v>
      </c>
      <c r="B1606" s="89" t="s">
        <v>8070</v>
      </c>
      <c r="C1606" s="89" t="s">
        <v>532</v>
      </c>
      <c r="D1606" s="227">
        <v>439.84</v>
      </c>
      <c r="E1606" s="228">
        <v>157.31</v>
      </c>
      <c r="F1606" s="229">
        <f t="shared" si="31"/>
        <v>597.15</v>
      </c>
      <c r="G1606" s="230">
        <v>514.58000000000004</v>
      </c>
      <c r="H1606" s="86" t="s">
        <v>7896</v>
      </c>
      <c r="I1606" s="86"/>
    </row>
    <row r="1607" spans="1:9" ht="15" x14ac:dyDescent="0.2">
      <c r="A1607" s="89" t="s">
        <v>6803</v>
      </c>
      <c r="B1607" s="89" t="s">
        <v>8071</v>
      </c>
      <c r="C1607" s="89" t="s">
        <v>7829</v>
      </c>
      <c r="D1607" s="227">
        <v>980</v>
      </c>
      <c r="E1607" s="228">
        <v>1480.81</v>
      </c>
      <c r="F1607" s="229">
        <f t="shared" si="31"/>
        <v>2460.81</v>
      </c>
      <c r="G1607" s="230">
        <v>2457.25</v>
      </c>
      <c r="H1607" s="86" t="s">
        <v>7896</v>
      </c>
      <c r="I1607" s="86"/>
    </row>
    <row r="1608" spans="1:9" ht="15" x14ac:dyDescent="0.2">
      <c r="A1608" s="89" t="s">
        <v>6807</v>
      </c>
      <c r="B1608" s="89" t="s">
        <v>8072</v>
      </c>
      <c r="C1608" s="89" t="s">
        <v>4017</v>
      </c>
      <c r="D1608" s="227">
        <v>830</v>
      </c>
      <c r="E1608" s="228">
        <v>0</v>
      </c>
      <c r="F1608" s="229">
        <f t="shared" si="31"/>
        <v>830</v>
      </c>
      <c r="G1608" s="230">
        <v>923</v>
      </c>
      <c r="H1608" s="86" t="s">
        <v>7931</v>
      </c>
      <c r="I1608" s="86"/>
    </row>
    <row r="1609" spans="1:9" ht="15" x14ac:dyDescent="0.2">
      <c r="A1609" s="89" t="s">
        <v>6809</v>
      </c>
      <c r="B1609" s="89" t="s">
        <v>8073</v>
      </c>
      <c r="C1609" s="89" t="s">
        <v>8074</v>
      </c>
      <c r="D1609" s="227">
        <v>126</v>
      </c>
      <c r="E1609" s="228">
        <v>1328.4</v>
      </c>
      <c r="F1609" s="229">
        <f t="shared" si="31"/>
        <v>1454.4</v>
      </c>
      <c r="G1609" s="230">
        <v>1190.8699999999999</v>
      </c>
      <c r="H1609" s="86" t="s">
        <v>7944</v>
      </c>
      <c r="I1609" s="86"/>
    </row>
    <row r="1610" spans="1:9" ht="15" x14ac:dyDescent="0.2">
      <c r="A1610" s="89" t="s">
        <v>6812</v>
      </c>
      <c r="B1610" s="89" t="s">
        <v>8075</v>
      </c>
      <c r="C1610" s="89" t="s">
        <v>6814</v>
      </c>
      <c r="D1610" s="227">
        <v>298.99</v>
      </c>
      <c r="E1610" s="228">
        <v>0</v>
      </c>
      <c r="F1610" s="229">
        <f t="shared" si="31"/>
        <v>298.99</v>
      </c>
      <c r="G1610" s="230">
        <v>416</v>
      </c>
      <c r="H1610" s="86" t="s">
        <v>8030</v>
      </c>
      <c r="I1610" s="86"/>
    </row>
    <row r="1611" spans="1:9" ht="15" x14ac:dyDescent="0.2">
      <c r="A1611" s="89" t="s">
        <v>6815</v>
      </c>
      <c r="B1611" s="89" t="s">
        <v>3259</v>
      </c>
      <c r="C1611" s="89" t="s">
        <v>2900</v>
      </c>
      <c r="D1611" s="227">
        <v>709.12</v>
      </c>
      <c r="E1611" s="228">
        <v>0</v>
      </c>
      <c r="F1611" s="229">
        <f t="shared" si="31"/>
        <v>709.12</v>
      </c>
      <c r="G1611" s="230">
        <v>379</v>
      </c>
      <c r="H1611" s="86" t="s">
        <v>7944</v>
      </c>
      <c r="I1611" s="86"/>
    </row>
    <row r="1612" spans="1:9" ht="15" x14ac:dyDescent="0.2">
      <c r="A1612" s="89" t="s">
        <v>6817</v>
      </c>
      <c r="B1612" s="89" t="s">
        <v>6820</v>
      </c>
      <c r="C1612" s="89" t="s">
        <v>6819</v>
      </c>
      <c r="D1612" s="227">
        <v>230</v>
      </c>
      <c r="E1612" s="228">
        <v>364.74</v>
      </c>
      <c r="F1612" s="229">
        <f t="shared" si="31"/>
        <v>594.74</v>
      </c>
      <c r="G1612" s="230">
        <v>1371.6599999999999</v>
      </c>
      <c r="H1612" s="86" t="s">
        <v>7894</v>
      </c>
      <c r="I1612" s="86"/>
    </row>
    <row r="1613" spans="1:9" ht="15" x14ac:dyDescent="0.2">
      <c r="A1613" s="89" t="s">
        <v>6821</v>
      </c>
      <c r="B1613" s="89" t="s">
        <v>8076</v>
      </c>
      <c r="C1613" s="89" t="s">
        <v>453</v>
      </c>
      <c r="D1613" s="227">
        <v>1264.25</v>
      </c>
      <c r="E1613" s="228">
        <v>0</v>
      </c>
      <c r="F1613" s="229">
        <f t="shared" si="31"/>
        <v>1264.25</v>
      </c>
      <c r="G1613" s="230">
        <v>1225.75</v>
      </c>
      <c r="H1613" s="86" t="s">
        <v>7921</v>
      </c>
      <c r="I1613" s="86"/>
    </row>
    <row r="1614" spans="1:9" ht="15" x14ac:dyDescent="0.2">
      <c r="A1614" s="89" t="s">
        <v>6823</v>
      </c>
      <c r="B1614" s="89" t="s">
        <v>8077</v>
      </c>
      <c r="C1614" s="89" t="s">
        <v>1284</v>
      </c>
      <c r="D1614" s="227">
        <v>1038</v>
      </c>
      <c r="E1614" s="228">
        <v>0</v>
      </c>
      <c r="F1614" s="229">
        <f t="shared" si="31"/>
        <v>1038</v>
      </c>
      <c r="G1614" s="230">
        <v>553</v>
      </c>
      <c r="H1614" s="86" t="s">
        <v>7894</v>
      </c>
      <c r="I1614" s="86"/>
    </row>
    <row r="1615" spans="1:9" ht="15" x14ac:dyDescent="0.2">
      <c r="A1615" s="89" t="s">
        <v>6826</v>
      </c>
      <c r="B1615" s="89" t="s">
        <v>8078</v>
      </c>
      <c r="C1615" s="89" t="s">
        <v>8079</v>
      </c>
      <c r="D1615" s="227">
        <v>0</v>
      </c>
      <c r="E1615" s="228">
        <v>86.24</v>
      </c>
      <c r="F1615" s="229">
        <f t="shared" si="31"/>
        <v>86.24</v>
      </c>
      <c r="G1615" s="230">
        <v>391.65</v>
      </c>
      <c r="H1615" s="86" t="s">
        <v>7917</v>
      </c>
      <c r="I1615" s="86"/>
    </row>
    <row r="1616" spans="1:9" ht="15" x14ac:dyDescent="0.2">
      <c r="A1616" s="89" t="s">
        <v>6829</v>
      </c>
      <c r="B1616" s="89" t="s">
        <v>8080</v>
      </c>
      <c r="C1616" s="89" t="s">
        <v>1770</v>
      </c>
      <c r="D1616" s="227">
        <v>1628.06</v>
      </c>
      <c r="E1616" s="228">
        <v>15</v>
      </c>
      <c r="F1616" s="229">
        <f t="shared" si="31"/>
        <v>1643.06</v>
      </c>
      <c r="G1616" s="230">
        <v>2641.31</v>
      </c>
      <c r="H1616" s="86" t="s">
        <v>8030</v>
      </c>
      <c r="I1616" s="86"/>
    </row>
    <row r="1617" spans="1:9" ht="15" x14ac:dyDescent="0.2">
      <c r="A1617" s="89" t="s">
        <v>6831</v>
      </c>
      <c r="B1617" s="89" t="s">
        <v>8081</v>
      </c>
      <c r="C1617" s="89" t="s">
        <v>1047</v>
      </c>
      <c r="D1617" s="227">
        <v>0</v>
      </c>
      <c r="E1617" s="228">
        <v>0</v>
      </c>
      <c r="F1617" s="229">
        <f t="shared" si="31"/>
        <v>0</v>
      </c>
      <c r="G1617" s="230">
        <v>153.22999999999999</v>
      </c>
      <c r="H1617" s="86" t="s">
        <v>7903</v>
      </c>
      <c r="I1617" s="86"/>
    </row>
    <row r="1618" spans="1:9" ht="15" x14ac:dyDescent="0.2">
      <c r="A1618" s="89" t="s">
        <v>6833</v>
      </c>
      <c r="B1618" s="89" t="s">
        <v>6835</v>
      </c>
      <c r="C1618" s="89" t="s">
        <v>7216</v>
      </c>
      <c r="D1618" s="227">
        <v>120</v>
      </c>
      <c r="E1618" s="228">
        <v>341.4</v>
      </c>
      <c r="F1618" s="229">
        <f t="shared" si="31"/>
        <v>461.4</v>
      </c>
      <c r="G1618" s="230">
        <v>529.63</v>
      </c>
      <c r="H1618" s="86" t="s">
        <v>7901</v>
      </c>
      <c r="I1618" s="86"/>
    </row>
    <row r="1619" spans="1:9" ht="15" x14ac:dyDescent="0.2">
      <c r="A1619" s="89" t="s">
        <v>6836</v>
      </c>
      <c r="B1619" s="89" t="s">
        <v>6754</v>
      </c>
      <c r="C1619" s="89" t="s">
        <v>8063</v>
      </c>
      <c r="D1619" s="227">
        <v>305</v>
      </c>
      <c r="E1619" s="228">
        <v>137.57</v>
      </c>
      <c r="F1619" s="229">
        <f t="shared" si="31"/>
        <v>442.57</v>
      </c>
      <c r="G1619" s="230">
        <v>639.4</v>
      </c>
      <c r="H1619" s="86" t="s">
        <v>7894</v>
      </c>
      <c r="I1619" s="86"/>
    </row>
    <row r="1620" spans="1:9" ht="15" x14ac:dyDescent="0.2">
      <c r="A1620" s="89" t="s">
        <v>8082</v>
      </c>
      <c r="B1620" s="89" t="s">
        <v>8083</v>
      </c>
      <c r="C1620" s="89" t="s">
        <v>8084</v>
      </c>
      <c r="D1620" s="227">
        <v>0</v>
      </c>
      <c r="E1620" s="228">
        <v>0</v>
      </c>
      <c r="F1620" s="229">
        <f t="shared" si="31"/>
        <v>0</v>
      </c>
      <c r="G1620" s="230">
        <v>256.92</v>
      </c>
      <c r="H1620" s="86" t="s">
        <v>7952</v>
      </c>
      <c r="I1620" s="86"/>
    </row>
    <row r="1621" spans="1:9" ht="15" x14ac:dyDescent="0.2">
      <c r="A1621" s="89" t="s">
        <v>6840</v>
      </c>
      <c r="B1621" s="89" t="s">
        <v>8085</v>
      </c>
      <c r="C1621" s="89" t="s">
        <v>5074</v>
      </c>
      <c r="D1621" s="227">
        <v>840.86</v>
      </c>
      <c r="E1621" s="228">
        <v>0</v>
      </c>
      <c r="F1621" s="229">
        <f t="shared" si="31"/>
        <v>840.86</v>
      </c>
      <c r="G1621" s="230">
        <v>3390</v>
      </c>
      <c r="H1621" s="86" t="s">
        <v>7917</v>
      </c>
      <c r="I1621" s="86"/>
    </row>
    <row r="1622" spans="1:9" ht="15" x14ac:dyDescent="0.2">
      <c r="A1622" s="89" t="s">
        <v>6843</v>
      </c>
      <c r="B1622" s="89" t="s">
        <v>6472</v>
      </c>
      <c r="C1622" s="89" t="s">
        <v>6845</v>
      </c>
      <c r="D1622" s="227">
        <v>645</v>
      </c>
      <c r="E1622" s="228">
        <v>304.24</v>
      </c>
      <c r="F1622" s="229">
        <f t="shared" si="31"/>
        <v>949.24</v>
      </c>
      <c r="G1622" s="230">
        <v>927.9</v>
      </c>
      <c r="H1622" s="86" t="s">
        <v>7947</v>
      </c>
      <c r="I1622" s="86"/>
    </row>
    <row r="1623" spans="1:9" ht="15" x14ac:dyDescent="0.2">
      <c r="A1623" s="89" t="s">
        <v>6847</v>
      </c>
      <c r="B1623" s="89" t="s">
        <v>6355</v>
      </c>
      <c r="C1623" s="89" t="s">
        <v>3238</v>
      </c>
      <c r="D1623" s="227">
        <v>331.05</v>
      </c>
      <c r="E1623" s="228">
        <v>724.27</v>
      </c>
      <c r="F1623" s="229">
        <f t="shared" si="31"/>
        <v>1055.32</v>
      </c>
      <c r="G1623" s="230">
        <v>2654.87</v>
      </c>
      <c r="H1623" s="86" t="s">
        <v>7905</v>
      </c>
      <c r="I1623" s="86"/>
    </row>
    <row r="1624" spans="1:9" ht="15" x14ac:dyDescent="0.2">
      <c r="A1624" s="89" t="s">
        <v>6851</v>
      </c>
      <c r="B1624" s="89" t="s">
        <v>8086</v>
      </c>
      <c r="C1624" s="89" t="s">
        <v>158</v>
      </c>
      <c r="D1624" s="227">
        <v>201</v>
      </c>
      <c r="E1624" s="228">
        <v>0</v>
      </c>
      <c r="F1624" s="229">
        <f t="shared" si="31"/>
        <v>201</v>
      </c>
      <c r="G1624" s="230">
        <v>203</v>
      </c>
      <c r="H1624" s="86" t="s">
        <v>7903</v>
      </c>
      <c r="I1624" s="86"/>
    </row>
    <row r="1625" spans="1:9" ht="15" x14ac:dyDescent="0.2">
      <c r="A1625" s="89" t="s">
        <v>6853</v>
      </c>
      <c r="B1625" s="89" t="s">
        <v>6856</v>
      </c>
      <c r="C1625" s="89" t="s">
        <v>8087</v>
      </c>
      <c r="D1625" s="227">
        <v>855</v>
      </c>
      <c r="E1625" s="228">
        <v>1247.8499999999999</v>
      </c>
      <c r="F1625" s="229">
        <f t="shared" si="31"/>
        <v>2102.85</v>
      </c>
      <c r="G1625" s="230">
        <v>2135.62</v>
      </c>
      <c r="H1625" s="86" t="s">
        <v>7905</v>
      </c>
      <c r="I1625" s="86"/>
    </row>
    <row r="1626" spans="1:9" ht="15" x14ac:dyDescent="0.2">
      <c r="A1626" s="89" t="s">
        <v>6858</v>
      </c>
      <c r="B1626" s="89" t="s">
        <v>8088</v>
      </c>
      <c r="C1626" s="89" t="s">
        <v>7732</v>
      </c>
      <c r="D1626" s="227">
        <v>30</v>
      </c>
      <c r="E1626" s="228">
        <v>0</v>
      </c>
      <c r="F1626" s="229">
        <f t="shared" si="31"/>
        <v>30</v>
      </c>
      <c r="G1626" s="230">
        <v>70</v>
      </c>
      <c r="H1626" s="86" t="s">
        <v>7887</v>
      </c>
      <c r="I1626" s="86"/>
    </row>
    <row r="1627" spans="1:9" ht="15" x14ac:dyDescent="0.2">
      <c r="A1627" s="89" t="s">
        <v>6861</v>
      </c>
      <c r="B1627" s="89" t="s">
        <v>6341</v>
      </c>
      <c r="C1627" s="89" t="s">
        <v>7454</v>
      </c>
      <c r="D1627" s="227">
        <v>645</v>
      </c>
      <c r="E1627" s="228">
        <v>959.63</v>
      </c>
      <c r="F1627" s="229">
        <f t="shared" si="31"/>
        <v>1604.63</v>
      </c>
      <c r="G1627" s="230">
        <v>529.9</v>
      </c>
      <c r="H1627" s="86" t="s">
        <v>7889</v>
      </c>
      <c r="I1627" s="86"/>
    </row>
    <row r="1628" spans="1:9" ht="15" x14ac:dyDescent="0.2">
      <c r="A1628" s="89" t="s">
        <v>6864</v>
      </c>
      <c r="B1628" s="89" t="s">
        <v>8089</v>
      </c>
      <c r="C1628" s="89" t="s">
        <v>3187</v>
      </c>
      <c r="D1628" s="227">
        <v>927.93</v>
      </c>
      <c r="E1628" s="228">
        <v>0</v>
      </c>
      <c r="F1628" s="229">
        <f t="shared" si="31"/>
        <v>927.93</v>
      </c>
      <c r="G1628" s="230">
        <v>1462.3300000000002</v>
      </c>
      <c r="H1628" s="86" t="s">
        <v>7889</v>
      </c>
      <c r="I1628" s="86"/>
    </row>
    <row r="1629" spans="1:9" ht="15" x14ac:dyDescent="0.2">
      <c r="A1629" s="89" t="s">
        <v>6866</v>
      </c>
      <c r="B1629" s="89" t="s">
        <v>8090</v>
      </c>
      <c r="C1629" s="89" t="s">
        <v>532</v>
      </c>
      <c r="D1629" s="227">
        <v>567</v>
      </c>
      <c r="E1629" s="228">
        <v>81.709999999999994</v>
      </c>
      <c r="F1629" s="229">
        <f t="shared" si="31"/>
        <v>648.71</v>
      </c>
      <c r="G1629" s="230">
        <v>741.24</v>
      </c>
      <c r="H1629" s="86" t="s">
        <v>7973</v>
      </c>
      <c r="I1629" s="86"/>
    </row>
    <row r="1630" spans="1:9" ht="15" x14ac:dyDescent="0.2">
      <c r="A1630" s="89" t="s">
        <v>6868</v>
      </c>
      <c r="B1630" s="89" t="s">
        <v>6871</v>
      </c>
      <c r="C1630" s="89" t="s">
        <v>8091</v>
      </c>
      <c r="D1630" s="227">
        <v>275</v>
      </c>
      <c r="E1630" s="228">
        <v>1533.59</v>
      </c>
      <c r="F1630" s="229">
        <f t="shared" si="31"/>
        <v>1808.59</v>
      </c>
      <c r="G1630" s="230">
        <v>1610.51</v>
      </c>
      <c r="H1630" s="86" t="s">
        <v>7896</v>
      </c>
      <c r="I1630" s="86"/>
    </row>
    <row r="1631" spans="1:9" ht="15" x14ac:dyDescent="0.2">
      <c r="A1631" s="89" t="s">
        <v>6872</v>
      </c>
      <c r="B1631" s="89" t="s">
        <v>8092</v>
      </c>
      <c r="C1631" s="89" t="s">
        <v>8093</v>
      </c>
      <c r="D1631" s="227">
        <v>1186</v>
      </c>
      <c r="E1631" s="228">
        <v>1025.05</v>
      </c>
      <c r="F1631" s="229">
        <f t="shared" si="31"/>
        <v>2211.0500000000002</v>
      </c>
      <c r="G1631" s="230">
        <v>1020.26</v>
      </c>
      <c r="H1631" s="86" t="s">
        <v>7896</v>
      </c>
      <c r="I1631" s="86"/>
    </row>
    <row r="1632" spans="1:9" ht="15" x14ac:dyDescent="0.2">
      <c r="A1632" s="89" t="s">
        <v>6875</v>
      </c>
      <c r="B1632" s="89" t="s">
        <v>6871</v>
      </c>
      <c r="C1632" s="89" t="s">
        <v>1165</v>
      </c>
      <c r="D1632" s="227">
        <v>390</v>
      </c>
      <c r="E1632" s="228">
        <v>380.1</v>
      </c>
      <c r="F1632" s="229">
        <f t="shared" si="31"/>
        <v>770.1</v>
      </c>
      <c r="G1632" s="230">
        <v>301</v>
      </c>
      <c r="H1632" s="86" t="s">
        <v>7896</v>
      </c>
      <c r="I1632" s="86"/>
    </row>
    <row r="1633" spans="1:9" ht="15" x14ac:dyDescent="0.2">
      <c r="A1633" s="89" t="s">
        <v>6878</v>
      </c>
      <c r="B1633" s="89" t="s">
        <v>6712</v>
      </c>
      <c r="C1633" s="89" t="s">
        <v>532</v>
      </c>
      <c r="D1633" s="227">
        <v>680</v>
      </c>
      <c r="E1633" s="228">
        <v>19.75</v>
      </c>
      <c r="F1633" s="229">
        <f t="shared" si="31"/>
        <v>699.75</v>
      </c>
      <c r="G1633" s="230">
        <v>2000.06</v>
      </c>
      <c r="H1633" s="86" t="s">
        <v>7944</v>
      </c>
      <c r="I1633" s="86"/>
    </row>
    <row r="1634" spans="1:9" ht="15" x14ac:dyDescent="0.2">
      <c r="A1634" s="89" t="s">
        <v>6881</v>
      </c>
      <c r="B1634" s="89" t="s">
        <v>6712</v>
      </c>
      <c r="C1634" s="89" t="s">
        <v>1047</v>
      </c>
      <c r="D1634" s="227">
        <v>706</v>
      </c>
      <c r="E1634" s="228">
        <v>60</v>
      </c>
      <c r="F1634" s="229">
        <f t="shared" si="31"/>
        <v>766</v>
      </c>
      <c r="G1634" s="230">
        <v>1410.0900000000001</v>
      </c>
      <c r="H1634" s="86" t="s">
        <v>7944</v>
      </c>
      <c r="I1634" s="86"/>
    </row>
    <row r="1635" spans="1:9" ht="15" x14ac:dyDescent="0.2">
      <c r="A1635" s="89" t="s">
        <v>6883</v>
      </c>
      <c r="B1635" s="89" t="s">
        <v>8094</v>
      </c>
      <c r="C1635" s="89" t="s">
        <v>7228</v>
      </c>
      <c r="D1635" s="227">
        <v>506</v>
      </c>
      <c r="E1635" s="228">
        <v>95.7</v>
      </c>
      <c r="F1635" s="229">
        <f t="shared" ref="F1635:F1647" si="32">(D1635+E1635)</f>
        <v>601.70000000000005</v>
      </c>
      <c r="G1635" s="230">
        <v>589.12</v>
      </c>
      <c r="H1635" s="86" t="s">
        <v>7947</v>
      </c>
      <c r="I1635" s="86"/>
    </row>
    <row r="1636" spans="1:9" ht="15" x14ac:dyDescent="0.2">
      <c r="A1636" s="89" t="s">
        <v>6887</v>
      </c>
      <c r="B1636" s="89" t="s">
        <v>8095</v>
      </c>
      <c r="C1636" s="89" t="s">
        <v>270</v>
      </c>
      <c r="D1636" s="227">
        <v>761.85</v>
      </c>
      <c r="E1636" s="228">
        <v>0</v>
      </c>
      <c r="F1636" s="229">
        <f t="shared" si="32"/>
        <v>761.85</v>
      </c>
      <c r="G1636" s="230">
        <v>635</v>
      </c>
      <c r="H1636" s="86" t="s">
        <v>8030</v>
      </c>
      <c r="I1636" s="86"/>
    </row>
    <row r="1637" spans="1:9" ht="15" x14ac:dyDescent="0.2">
      <c r="A1637" s="89" t="s">
        <v>6889</v>
      </c>
      <c r="B1637" s="89" t="s">
        <v>8096</v>
      </c>
      <c r="C1637" s="89" t="s">
        <v>453</v>
      </c>
      <c r="D1637" s="227">
        <v>290</v>
      </c>
      <c r="E1637" s="228">
        <v>0</v>
      </c>
      <c r="F1637" s="229">
        <f t="shared" si="32"/>
        <v>290</v>
      </c>
      <c r="G1637" s="230">
        <v>550</v>
      </c>
      <c r="H1637" s="86" t="s">
        <v>7901</v>
      </c>
      <c r="I1637" s="86"/>
    </row>
    <row r="1638" spans="1:9" ht="15" x14ac:dyDescent="0.2">
      <c r="A1638" s="89" t="s">
        <v>6892</v>
      </c>
      <c r="B1638" s="89" t="s">
        <v>8097</v>
      </c>
      <c r="C1638" s="89" t="s">
        <v>5610</v>
      </c>
      <c r="D1638" s="227">
        <v>265</v>
      </c>
      <c r="E1638" s="228">
        <v>559.16999999999996</v>
      </c>
      <c r="F1638" s="229">
        <f t="shared" si="32"/>
        <v>824.17</v>
      </c>
      <c r="G1638" s="230">
        <v>1264.28</v>
      </c>
      <c r="H1638" s="86" t="s">
        <v>7897</v>
      </c>
      <c r="I1638" s="86"/>
    </row>
    <row r="1639" spans="1:9" ht="15" x14ac:dyDescent="0.2">
      <c r="A1639" s="89" t="s">
        <v>6894</v>
      </c>
      <c r="B1639" s="89" t="s">
        <v>8098</v>
      </c>
      <c r="C1639" s="89" t="s">
        <v>740</v>
      </c>
      <c r="D1639" s="227">
        <v>2712.19</v>
      </c>
      <c r="E1639" s="228">
        <v>0</v>
      </c>
      <c r="F1639" s="229">
        <f t="shared" si="32"/>
        <v>2712.19</v>
      </c>
      <c r="G1639" s="230">
        <v>662</v>
      </c>
      <c r="H1639" s="86" t="s">
        <v>7914</v>
      </c>
      <c r="I1639" s="86"/>
    </row>
    <row r="1640" spans="1:9" ht="15" x14ac:dyDescent="0.2">
      <c r="A1640" s="89" t="s">
        <v>6896</v>
      </c>
      <c r="B1640" s="89" t="s">
        <v>8099</v>
      </c>
      <c r="C1640" s="89" t="s">
        <v>5552</v>
      </c>
      <c r="D1640" s="227">
        <v>145.99</v>
      </c>
      <c r="E1640" s="228">
        <v>1245.6300000000001</v>
      </c>
      <c r="F1640" s="229">
        <f t="shared" si="32"/>
        <v>1391.6200000000001</v>
      </c>
      <c r="G1640" s="230">
        <v>1252.1600000000001</v>
      </c>
      <c r="H1640" s="86" t="s">
        <v>7894</v>
      </c>
      <c r="I1640" s="86"/>
    </row>
    <row r="1641" spans="1:9" ht="15" x14ac:dyDescent="0.2">
      <c r="A1641" s="89" t="s">
        <v>6898</v>
      </c>
      <c r="B1641" s="89" t="s">
        <v>8100</v>
      </c>
      <c r="C1641" s="89" t="s">
        <v>6900</v>
      </c>
      <c r="D1641" s="227">
        <v>170</v>
      </c>
      <c r="E1641" s="228">
        <v>0</v>
      </c>
      <c r="F1641" s="229">
        <f t="shared" si="32"/>
        <v>170</v>
      </c>
      <c r="G1641" s="230">
        <v>205</v>
      </c>
      <c r="H1641" s="86" t="s">
        <v>7944</v>
      </c>
      <c r="I1641" s="86"/>
    </row>
    <row r="1642" spans="1:9" ht="15" x14ac:dyDescent="0.2">
      <c r="A1642" s="89" t="s">
        <v>6901</v>
      </c>
      <c r="B1642" s="89" t="s">
        <v>8101</v>
      </c>
      <c r="C1642" s="89" t="s">
        <v>8102</v>
      </c>
      <c r="D1642" s="227">
        <v>1506.94</v>
      </c>
      <c r="E1642" s="228">
        <v>0</v>
      </c>
      <c r="F1642" s="229">
        <f t="shared" si="32"/>
        <v>1506.94</v>
      </c>
      <c r="G1642" s="230">
        <v>2690.95</v>
      </c>
      <c r="H1642" s="86" t="s">
        <v>7944</v>
      </c>
      <c r="I1642" s="86"/>
    </row>
    <row r="1643" spans="1:9" ht="15" x14ac:dyDescent="0.2">
      <c r="A1643" s="89" t="s">
        <v>6904</v>
      </c>
      <c r="B1643" s="89" t="s">
        <v>8103</v>
      </c>
      <c r="C1643" s="89" t="s">
        <v>4670</v>
      </c>
      <c r="D1643" s="227">
        <v>1271</v>
      </c>
      <c r="E1643" s="228">
        <v>939.85</v>
      </c>
      <c r="F1643" s="229">
        <f t="shared" si="32"/>
        <v>2210.85</v>
      </c>
      <c r="G1643" s="230">
        <v>1848.8600000000001</v>
      </c>
      <c r="H1643" s="86" t="s">
        <v>8030</v>
      </c>
      <c r="I1643" s="86"/>
    </row>
    <row r="1644" spans="1:9" ht="15" x14ac:dyDescent="0.2">
      <c r="A1644" s="89" t="s">
        <v>6906</v>
      </c>
      <c r="B1644" s="89" t="s">
        <v>6909</v>
      </c>
      <c r="C1644" s="89" t="s">
        <v>7874</v>
      </c>
      <c r="D1644" s="227">
        <v>330</v>
      </c>
      <c r="E1644" s="228">
        <v>0</v>
      </c>
      <c r="F1644" s="229">
        <f t="shared" si="32"/>
        <v>330</v>
      </c>
      <c r="G1644" s="230">
        <v>310</v>
      </c>
      <c r="H1644" s="86" t="s">
        <v>7947</v>
      </c>
      <c r="I1644" s="86"/>
    </row>
    <row r="1645" spans="1:9" ht="15" x14ac:dyDescent="0.2">
      <c r="A1645" s="89" t="s">
        <v>6910</v>
      </c>
      <c r="B1645" s="89" t="s">
        <v>8044</v>
      </c>
      <c r="C1645" s="89" t="s">
        <v>5806</v>
      </c>
      <c r="D1645" s="227">
        <v>0</v>
      </c>
      <c r="E1645" s="228">
        <v>0</v>
      </c>
      <c r="F1645" s="229">
        <f t="shared" si="32"/>
        <v>0</v>
      </c>
      <c r="G1645" s="230">
        <v>0</v>
      </c>
      <c r="H1645" s="86" t="s">
        <v>7887</v>
      </c>
      <c r="I1645" s="86"/>
    </row>
    <row r="1646" spans="1:9" ht="15" x14ac:dyDescent="0.2">
      <c r="A1646" s="89" t="s">
        <v>8104</v>
      </c>
      <c r="B1646" s="89" t="s">
        <v>7261</v>
      </c>
      <c r="C1646" s="89" t="s">
        <v>7261</v>
      </c>
      <c r="D1646" s="227">
        <f>3579.63+210</f>
        <v>3789.63</v>
      </c>
      <c r="E1646" s="228">
        <v>654.99</v>
      </c>
      <c r="F1646" s="229">
        <f t="shared" si="32"/>
        <v>4444.62</v>
      </c>
      <c r="G1646" s="230">
        <v>11402.130000000001</v>
      </c>
      <c r="H1646" s="86"/>
      <c r="I1646" s="86"/>
    </row>
    <row r="1647" spans="1:9" ht="15.75" x14ac:dyDescent="0.2">
      <c r="A1647" s="221" t="s">
        <v>307</v>
      </c>
      <c r="B1647" s="221"/>
      <c r="C1647" s="221"/>
      <c r="D1647" s="219">
        <f>SUM(D1442:D1646)</f>
        <v>111890.85000000002</v>
      </c>
      <c r="E1647" s="231">
        <f>SUM(E1442:E1646)</f>
        <v>87392.880000000034</v>
      </c>
      <c r="F1647" s="232">
        <f t="shared" si="32"/>
        <v>199283.73000000004</v>
      </c>
      <c r="G1647" s="232">
        <v>242722</v>
      </c>
      <c r="H1647" s="86"/>
      <c r="I1647" s="86"/>
    </row>
    <row r="1648" spans="1:9" s="62" customFormat="1" x14ac:dyDescent="0.2">
      <c r="A1648" s="60" t="s">
        <v>7262</v>
      </c>
      <c r="B1648" s="60"/>
      <c r="C1648" s="60"/>
      <c r="D1648" s="60"/>
      <c r="E1648" s="60"/>
      <c r="F1648" s="61"/>
      <c r="G1648" s="61"/>
      <c r="H1648" s="60"/>
    </row>
    <row r="1649" spans="1:9" ht="20.25" x14ac:dyDescent="0.2">
      <c r="A1649" s="248" t="s">
        <v>8105</v>
      </c>
      <c r="B1649" s="248"/>
      <c r="C1649" s="248"/>
      <c r="D1649" s="248"/>
      <c r="E1649" s="248"/>
      <c r="F1649" s="248"/>
      <c r="G1649" s="248"/>
      <c r="H1649" s="233"/>
      <c r="I1649" s="233"/>
    </row>
    <row r="1650" spans="1:9" ht="15.75" x14ac:dyDescent="0.2">
      <c r="A1650" s="218" t="s">
        <v>1</v>
      </c>
      <c r="B1650" s="218" t="s">
        <v>2</v>
      </c>
      <c r="C1650" s="218" t="s">
        <v>3</v>
      </c>
      <c r="D1650" s="219" t="s">
        <v>7687</v>
      </c>
      <c r="E1650" s="219" t="s">
        <v>7466</v>
      </c>
      <c r="F1650" s="219" t="s">
        <v>8106</v>
      </c>
      <c r="G1650" s="234">
        <v>2017</v>
      </c>
      <c r="H1650" s="235">
        <v>2016</v>
      </c>
      <c r="I1650" s="236"/>
    </row>
    <row r="1651" spans="1:9" ht="15" x14ac:dyDescent="0.2">
      <c r="A1651" s="89" t="s">
        <v>6917</v>
      </c>
      <c r="B1651" s="89" t="s">
        <v>6924</v>
      </c>
      <c r="C1651" s="89" t="s">
        <v>6919</v>
      </c>
      <c r="D1651" s="90">
        <v>550</v>
      </c>
      <c r="E1651" s="90">
        <v>1923.12</v>
      </c>
      <c r="F1651" s="90">
        <f>(D1651+E1651)</f>
        <v>2473.12</v>
      </c>
      <c r="G1651" s="91">
        <v>2416</v>
      </c>
      <c r="H1651" s="237">
        <v>1849</v>
      </c>
      <c r="I1651" s="238"/>
    </row>
    <row r="1652" spans="1:9" ht="15" x14ac:dyDescent="0.2">
      <c r="A1652" s="89" t="s">
        <v>6925</v>
      </c>
      <c r="B1652" s="89" t="s">
        <v>6924</v>
      </c>
      <c r="C1652" s="89" t="s">
        <v>839</v>
      </c>
      <c r="D1652" s="90">
        <v>390</v>
      </c>
      <c r="E1652" s="90">
        <v>20</v>
      </c>
      <c r="F1652" s="90">
        <f t="shared" ref="F1652:F1694" si="33">(D1652+E1652)</f>
        <v>410</v>
      </c>
      <c r="G1652" s="91">
        <v>290</v>
      </c>
      <c r="H1652" s="237">
        <v>502.77000000000004</v>
      </c>
      <c r="I1652" s="238"/>
    </row>
    <row r="1653" spans="1:9" ht="15" x14ac:dyDescent="0.2">
      <c r="A1653" s="89" t="s">
        <v>6929</v>
      </c>
      <c r="B1653" s="89" t="s">
        <v>6932</v>
      </c>
      <c r="C1653" s="89" t="s">
        <v>3473</v>
      </c>
      <c r="D1653" s="90">
        <v>10</v>
      </c>
      <c r="E1653" s="90">
        <v>787.61</v>
      </c>
      <c r="F1653" s="90">
        <f t="shared" si="33"/>
        <v>797.61</v>
      </c>
      <c r="G1653" s="91">
        <v>687.38</v>
      </c>
      <c r="H1653" s="237">
        <v>746.44</v>
      </c>
      <c r="I1653" s="238"/>
    </row>
    <row r="1654" spans="1:9" ht="15" x14ac:dyDescent="0.2">
      <c r="A1654" s="89" t="s">
        <v>6935</v>
      </c>
      <c r="B1654" s="89" t="s">
        <v>6938</v>
      </c>
      <c r="C1654" s="89" t="s">
        <v>8107</v>
      </c>
      <c r="D1654" s="90">
        <v>51.05</v>
      </c>
      <c r="E1654" s="90"/>
      <c r="F1654" s="90">
        <f t="shared" si="33"/>
        <v>51.05</v>
      </c>
      <c r="G1654" s="91">
        <v>51</v>
      </c>
      <c r="H1654" s="237">
        <v>51.050000000000004</v>
      </c>
      <c r="I1654" s="238"/>
    </row>
    <row r="1655" spans="1:9" ht="15" x14ac:dyDescent="0.2">
      <c r="A1655" s="89" t="s">
        <v>6946</v>
      </c>
      <c r="B1655" s="89" t="s">
        <v>6949</v>
      </c>
      <c r="C1655" s="89" t="s">
        <v>8108</v>
      </c>
      <c r="D1655" s="90">
        <v>100</v>
      </c>
      <c r="E1655" s="90">
        <v>226.53</v>
      </c>
      <c r="F1655" s="90">
        <f t="shared" si="33"/>
        <v>326.52999999999997</v>
      </c>
      <c r="G1655" s="91">
        <v>487.66</v>
      </c>
      <c r="H1655" s="237">
        <v>379.57</v>
      </c>
      <c r="I1655" s="238"/>
    </row>
    <row r="1656" spans="1:9" ht="15" x14ac:dyDescent="0.2">
      <c r="A1656" s="89" t="s">
        <v>6955</v>
      </c>
      <c r="B1656" s="89" t="s">
        <v>8109</v>
      </c>
      <c r="C1656" s="89" t="s">
        <v>8110</v>
      </c>
      <c r="D1656" s="90">
        <v>0</v>
      </c>
      <c r="E1656" s="90">
        <v>212.15</v>
      </c>
      <c r="F1656" s="90">
        <f t="shared" si="33"/>
        <v>212.15</v>
      </c>
      <c r="G1656" s="91">
        <v>119.5</v>
      </c>
      <c r="H1656" s="237">
        <v>217</v>
      </c>
      <c r="I1656" s="238"/>
    </row>
    <row r="1657" spans="1:9" ht="15" x14ac:dyDescent="0.2">
      <c r="A1657" s="89" t="s">
        <v>6963</v>
      </c>
      <c r="B1657" s="89" t="s">
        <v>6966</v>
      </c>
      <c r="C1657" s="89" t="s">
        <v>7388</v>
      </c>
      <c r="D1657" s="90">
        <v>120</v>
      </c>
      <c r="E1657" s="90">
        <v>0</v>
      </c>
      <c r="F1657" s="90">
        <f t="shared" si="33"/>
        <v>120</v>
      </c>
      <c r="G1657" s="91">
        <v>120</v>
      </c>
      <c r="H1657" s="237">
        <v>120</v>
      </c>
      <c r="I1657" s="238"/>
    </row>
    <row r="1658" spans="1:9" ht="15" x14ac:dyDescent="0.2">
      <c r="A1658" s="89" t="s">
        <v>6979</v>
      </c>
      <c r="B1658" s="89" t="s">
        <v>8111</v>
      </c>
      <c r="C1658" s="89" t="s">
        <v>7188</v>
      </c>
      <c r="D1658" s="90">
        <v>0</v>
      </c>
      <c r="E1658" s="90">
        <v>232.78</v>
      </c>
      <c r="F1658" s="90">
        <f t="shared" si="33"/>
        <v>232.78</v>
      </c>
      <c r="G1658" s="91">
        <v>136.38</v>
      </c>
      <c r="H1658" s="237">
        <v>226.94</v>
      </c>
      <c r="I1658" s="238"/>
    </row>
    <row r="1659" spans="1:9" ht="15" x14ac:dyDescent="0.2">
      <c r="A1659" s="89" t="s">
        <v>6984</v>
      </c>
      <c r="B1659" s="89" t="s">
        <v>6986</v>
      </c>
      <c r="C1659" s="89" t="s">
        <v>198</v>
      </c>
      <c r="D1659" s="90">
        <v>60</v>
      </c>
      <c r="E1659" s="90">
        <v>358.67</v>
      </c>
      <c r="F1659" s="90">
        <f t="shared" si="33"/>
        <v>418.67</v>
      </c>
      <c r="G1659" s="91">
        <v>382.3</v>
      </c>
      <c r="H1659" s="237">
        <v>300.11</v>
      </c>
      <c r="I1659" s="238"/>
    </row>
    <row r="1660" spans="1:9" ht="15" x14ac:dyDescent="0.2">
      <c r="A1660" s="89" t="s">
        <v>6988</v>
      </c>
      <c r="B1660" s="89" t="s">
        <v>8112</v>
      </c>
      <c r="C1660" s="89" t="s">
        <v>8113</v>
      </c>
      <c r="D1660" s="90">
        <v>70</v>
      </c>
      <c r="E1660" s="90">
        <v>529.32000000000005</v>
      </c>
      <c r="F1660" s="90">
        <f t="shared" si="33"/>
        <v>599.32000000000005</v>
      </c>
      <c r="G1660" s="91">
        <v>514.37</v>
      </c>
      <c r="H1660" s="237">
        <v>585.52</v>
      </c>
      <c r="I1660" s="238"/>
    </row>
    <row r="1661" spans="1:9" ht="15" x14ac:dyDescent="0.2">
      <c r="A1661" s="89" t="s">
        <v>6996</v>
      </c>
      <c r="B1661" s="89" t="s">
        <v>8114</v>
      </c>
      <c r="C1661" s="89" t="s">
        <v>6593</v>
      </c>
      <c r="D1661" s="90">
        <v>132</v>
      </c>
      <c r="E1661" s="90">
        <v>268.88</v>
      </c>
      <c r="F1661" s="90">
        <f t="shared" si="33"/>
        <v>400.88</v>
      </c>
      <c r="G1661" s="91">
        <v>447.09</v>
      </c>
      <c r="H1661" s="237">
        <v>354.26</v>
      </c>
      <c r="I1661" s="238"/>
    </row>
    <row r="1662" spans="1:9" ht="15" x14ac:dyDescent="0.2">
      <c r="A1662" s="89" t="s">
        <v>6999</v>
      </c>
      <c r="B1662" s="89" t="s">
        <v>7002</v>
      </c>
      <c r="C1662" s="89" t="s">
        <v>532</v>
      </c>
      <c r="D1662" s="90">
        <v>48</v>
      </c>
      <c r="E1662" s="90">
        <v>0</v>
      </c>
      <c r="F1662" s="90">
        <f t="shared" si="33"/>
        <v>48</v>
      </c>
      <c r="G1662" s="91">
        <v>35</v>
      </c>
      <c r="H1662" s="237">
        <v>35</v>
      </c>
      <c r="I1662" s="238"/>
    </row>
    <row r="1663" spans="1:9" ht="15" x14ac:dyDescent="0.2">
      <c r="A1663" s="89" t="s">
        <v>7003</v>
      </c>
      <c r="B1663" s="89" t="s">
        <v>8115</v>
      </c>
      <c r="C1663" s="89" t="s">
        <v>3400</v>
      </c>
      <c r="D1663" s="90">
        <v>0</v>
      </c>
      <c r="E1663" s="90">
        <v>811.04</v>
      </c>
      <c r="F1663" s="90">
        <f t="shared" si="33"/>
        <v>811.04</v>
      </c>
      <c r="G1663" s="91">
        <v>798.04</v>
      </c>
      <c r="H1663" s="237">
        <v>875.98</v>
      </c>
      <c r="I1663" s="238"/>
    </row>
    <row r="1664" spans="1:9" ht="15" x14ac:dyDescent="0.2">
      <c r="A1664" s="89" t="s">
        <v>7007</v>
      </c>
      <c r="B1664" s="89" t="s">
        <v>7010</v>
      </c>
      <c r="C1664" s="89" t="s">
        <v>8116</v>
      </c>
      <c r="D1664" s="90">
        <v>185</v>
      </c>
      <c r="E1664" s="90"/>
      <c r="F1664" s="90">
        <f t="shared" si="33"/>
        <v>185</v>
      </c>
      <c r="G1664" s="91">
        <v>75</v>
      </c>
      <c r="H1664" s="237">
        <v>75</v>
      </c>
      <c r="I1664" s="238"/>
    </row>
    <row r="1665" spans="1:9" ht="15" x14ac:dyDescent="0.2">
      <c r="A1665" s="89" t="s">
        <v>7011</v>
      </c>
      <c r="B1665" s="89" t="s">
        <v>7014</v>
      </c>
      <c r="C1665" s="89" t="s">
        <v>532</v>
      </c>
      <c r="D1665" s="90">
        <v>50</v>
      </c>
      <c r="E1665" s="90">
        <v>341.94</v>
      </c>
      <c r="F1665" s="90">
        <f t="shared" si="33"/>
        <v>391.94</v>
      </c>
      <c r="G1665" s="91">
        <v>290.77</v>
      </c>
      <c r="H1665" s="237">
        <v>379.01</v>
      </c>
      <c r="I1665" s="238"/>
    </row>
    <row r="1666" spans="1:9" ht="15" x14ac:dyDescent="0.2">
      <c r="A1666" s="89" t="s">
        <v>7016</v>
      </c>
      <c r="B1666" s="89" t="s">
        <v>8118</v>
      </c>
      <c r="C1666" s="89" t="s">
        <v>8119</v>
      </c>
      <c r="D1666" s="90">
        <v>169.59</v>
      </c>
      <c r="E1666" s="90">
        <v>0</v>
      </c>
      <c r="F1666" s="90">
        <f t="shared" si="33"/>
        <v>169.59</v>
      </c>
      <c r="G1666" s="91">
        <v>309</v>
      </c>
      <c r="H1666" s="237">
        <v>321.63</v>
      </c>
      <c r="I1666" s="238"/>
    </row>
    <row r="1667" spans="1:9" ht="15" x14ac:dyDescent="0.2">
      <c r="A1667" s="89" t="s">
        <v>7020</v>
      </c>
      <c r="B1667" s="89" t="s">
        <v>7023</v>
      </c>
      <c r="C1667" s="89" t="s">
        <v>7022</v>
      </c>
      <c r="D1667" s="90">
        <v>50</v>
      </c>
      <c r="E1667" s="90">
        <v>871.79</v>
      </c>
      <c r="F1667" s="90">
        <f t="shared" si="33"/>
        <v>921.79</v>
      </c>
      <c r="G1667" s="91">
        <v>768.47</v>
      </c>
      <c r="H1667" s="237">
        <v>1084.6500000000001</v>
      </c>
      <c r="I1667" s="238"/>
    </row>
    <row r="1668" spans="1:9" ht="15" x14ac:dyDescent="0.2">
      <c r="A1668" s="89" t="s">
        <v>7024</v>
      </c>
      <c r="B1668" s="89" t="s">
        <v>8120</v>
      </c>
      <c r="C1668" s="89" t="s">
        <v>1284</v>
      </c>
      <c r="D1668" s="90">
        <v>156</v>
      </c>
      <c r="E1668" s="90">
        <v>0</v>
      </c>
      <c r="F1668" s="90">
        <f t="shared" si="33"/>
        <v>156</v>
      </c>
      <c r="G1668" s="91">
        <v>105</v>
      </c>
      <c r="H1668" s="237">
        <v>10</v>
      </c>
      <c r="I1668" s="238"/>
    </row>
    <row r="1669" spans="1:9" ht="15" x14ac:dyDescent="0.2">
      <c r="A1669" s="89" t="s">
        <v>7027</v>
      </c>
      <c r="B1669" s="89" t="s">
        <v>8121</v>
      </c>
      <c r="C1669" s="89" t="s">
        <v>7865</v>
      </c>
      <c r="D1669" s="90">
        <v>5</v>
      </c>
      <c r="E1669" s="90">
        <v>0</v>
      </c>
      <c r="F1669" s="90">
        <f t="shared" si="33"/>
        <v>5</v>
      </c>
      <c r="G1669" s="91">
        <v>45</v>
      </c>
      <c r="H1669" s="237">
        <v>15</v>
      </c>
      <c r="I1669" s="238"/>
    </row>
    <row r="1670" spans="1:9" ht="15" x14ac:dyDescent="0.2">
      <c r="A1670" s="89" t="s">
        <v>7035</v>
      </c>
      <c r="B1670" s="89" t="s">
        <v>7037</v>
      </c>
      <c r="C1670" s="89" t="s">
        <v>5066</v>
      </c>
      <c r="D1670" s="90">
        <v>0</v>
      </c>
      <c r="E1670" s="90">
        <v>808.5</v>
      </c>
      <c r="F1670" s="90">
        <f t="shared" si="33"/>
        <v>808.5</v>
      </c>
      <c r="G1670" s="91">
        <v>663</v>
      </c>
      <c r="H1670" s="237">
        <v>893</v>
      </c>
      <c r="I1670" s="238"/>
    </row>
    <row r="1671" spans="1:9" ht="15" x14ac:dyDescent="0.2">
      <c r="A1671" s="89" t="s">
        <v>7038</v>
      </c>
      <c r="B1671" s="89" t="s">
        <v>7040</v>
      </c>
      <c r="C1671" s="89" t="s">
        <v>119</v>
      </c>
      <c r="D1671" s="90">
        <v>10</v>
      </c>
      <c r="E1671" s="90">
        <v>1028.8800000000001</v>
      </c>
      <c r="F1671" s="90">
        <f t="shared" si="33"/>
        <v>1038.8800000000001</v>
      </c>
      <c r="G1671" s="91">
        <v>856.35</v>
      </c>
      <c r="H1671" s="237">
        <v>840.98</v>
      </c>
      <c r="I1671" s="238"/>
    </row>
    <row r="1672" spans="1:9" ht="15" x14ac:dyDescent="0.2">
      <c r="A1672" s="89" t="s">
        <v>7041</v>
      </c>
      <c r="B1672" s="89" t="s">
        <v>7044</v>
      </c>
      <c r="C1672" s="89" t="s">
        <v>8122</v>
      </c>
      <c r="D1672" s="90">
        <v>60</v>
      </c>
      <c r="E1672" s="90">
        <v>528.1</v>
      </c>
      <c r="F1672" s="90">
        <f t="shared" si="33"/>
        <v>588.1</v>
      </c>
      <c r="G1672" s="91">
        <v>326.5</v>
      </c>
      <c r="H1672" s="237">
        <v>499.2</v>
      </c>
      <c r="I1672" s="238"/>
    </row>
    <row r="1673" spans="1:9" ht="15" x14ac:dyDescent="0.2">
      <c r="A1673" s="89" t="s">
        <v>7049</v>
      </c>
      <c r="B1673" s="89" t="s">
        <v>7052</v>
      </c>
      <c r="C1673" s="89" t="s">
        <v>8123</v>
      </c>
      <c r="D1673" s="90">
        <v>0</v>
      </c>
      <c r="E1673" s="90">
        <v>516.65</v>
      </c>
      <c r="F1673" s="90">
        <f t="shared" si="33"/>
        <v>516.65</v>
      </c>
      <c r="G1673" s="91">
        <v>505.46</v>
      </c>
      <c r="H1673" s="237">
        <v>530.32000000000005</v>
      </c>
      <c r="I1673" s="238"/>
    </row>
    <row r="1674" spans="1:9" ht="15" x14ac:dyDescent="0.2">
      <c r="A1674" s="89" t="s">
        <v>7053</v>
      </c>
      <c r="B1674" s="89" t="s">
        <v>7056</v>
      </c>
      <c r="C1674" s="89" t="s">
        <v>8124</v>
      </c>
      <c r="D1674" s="90">
        <v>0</v>
      </c>
      <c r="E1674" s="90">
        <v>228.16</v>
      </c>
      <c r="F1674" s="90">
        <f t="shared" si="33"/>
        <v>228.16</v>
      </c>
      <c r="G1674" s="91">
        <v>293.67</v>
      </c>
      <c r="H1674" s="237">
        <v>364.25</v>
      </c>
      <c r="I1674" s="238"/>
    </row>
    <row r="1675" spans="1:9" ht="15" x14ac:dyDescent="0.2">
      <c r="A1675" s="89" t="s">
        <v>7057</v>
      </c>
      <c r="B1675" s="89" t="s">
        <v>8125</v>
      </c>
      <c r="C1675" s="89" t="s">
        <v>896</v>
      </c>
      <c r="D1675" s="90">
        <v>103</v>
      </c>
      <c r="E1675" s="90">
        <v>1525.72</v>
      </c>
      <c r="F1675" s="90">
        <f t="shared" si="33"/>
        <v>1628.72</v>
      </c>
      <c r="G1675" s="91">
        <v>53</v>
      </c>
      <c r="H1675" s="237">
        <v>1076.77</v>
      </c>
      <c r="I1675" s="238"/>
    </row>
    <row r="1676" spans="1:9" ht="15" x14ac:dyDescent="0.2">
      <c r="A1676" s="89" t="s">
        <v>7062</v>
      </c>
      <c r="B1676" s="89" t="s">
        <v>7065</v>
      </c>
      <c r="C1676" s="89" t="s">
        <v>8126</v>
      </c>
      <c r="D1676" s="90">
        <v>40</v>
      </c>
      <c r="E1676" s="90">
        <v>156.6</v>
      </c>
      <c r="F1676" s="90">
        <f t="shared" si="33"/>
        <v>196.6</v>
      </c>
      <c r="G1676" s="91">
        <v>117.55</v>
      </c>
      <c r="H1676" s="237">
        <v>112.8</v>
      </c>
      <c r="I1676" s="238"/>
    </row>
    <row r="1677" spans="1:9" ht="15" x14ac:dyDescent="0.2">
      <c r="A1677" s="89" t="s">
        <v>7066</v>
      </c>
      <c r="B1677" s="89" t="s">
        <v>8127</v>
      </c>
      <c r="C1677" s="89" t="s">
        <v>89</v>
      </c>
      <c r="D1677" s="90">
        <v>399.95</v>
      </c>
      <c r="E1677" s="90">
        <v>328.72</v>
      </c>
      <c r="F1677" s="90">
        <f t="shared" si="33"/>
        <v>728.67000000000007</v>
      </c>
      <c r="G1677" s="91">
        <v>741.98</v>
      </c>
      <c r="H1677" s="237">
        <v>955.22</v>
      </c>
      <c r="I1677" s="238"/>
    </row>
    <row r="1678" spans="1:9" ht="15" x14ac:dyDescent="0.2">
      <c r="A1678" s="89" t="s">
        <v>7069</v>
      </c>
      <c r="B1678" s="89" t="s">
        <v>8128</v>
      </c>
      <c r="C1678" s="89" t="s">
        <v>8129</v>
      </c>
      <c r="D1678" s="90">
        <v>114</v>
      </c>
      <c r="E1678" s="90">
        <v>234</v>
      </c>
      <c r="F1678" s="90">
        <f t="shared" si="33"/>
        <v>348</v>
      </c>
      <c r="G1678" s="91">
        <v>79</v>
      </c>
      <c r="H1678" s="237">
        <v>463</v>
      </c>
      <c r="I1678" s="238"/>
    </row>
    <row r="1679" spans="1:9" ht="15" x14ac:dyDescent="0.2">
      <c r="A1679" s="89" t="s">
        <v>7077</v>
      </c>
      <c r="B1679" s="89" t="s">
        <v>8130</v>
      </c>
      <c r="C1679" s="89" t="s">
        <v>1284</v>
      </c>
      <c r="D1679" s="90">
        <v>0</v>
      </c>
      <c r="E1679" s="90">
        <v>650.99</v>
      </c>
      <c r="F1679" s="90">
        <f t="shared" si="33"/>
        <v>650.99</v>
      </c>
      <c r="G1679" s="91">
        <v>835.68</v>
      </c>
      <c r="H1679" s="237">
        <v>749.54</v>
      </c>
      <c r="I1679" s="238"/>
    </row>
    <row r="1680" spans="1:9" ht="15" x14ac:dyDescent="0.2">
      <c r="A1680" s="89" t="s">
        <v>7080</v>
      </c>
      <c r="B1680" s="89" t="s">
        <v>8131</v>
      </c>
      <c r="C1680" s="89" t="s">
        <v>8132</v>
      </c>
      <c r="D1680" s="90">
        <v>0</v>
      </c>
      <c r="E1680" s="90">
        <v>723.42</v>
      </c>
      <c r="F1680" s="90">
        <f t="shared" si="33"/>
        <v>723.42</v>
      </c>
      <c r="G1680" s="91">
        <v>419.82</v>
      </c>
      <c r="H1680" s="237">
        <v>426.90000000000003</v>
      </c>
      <c r="I1680" s="238"/>
    </row>
    <row r="1681" spans="1:9" ht="15" x14ac:dyDescent="0.2">
      <c r="A1681" s="89" t="s">
        <v>7083</v>
      </c>
      <c r="B1681" s="89" t="s">
        <v>8133</v>
      </c>
      <c r="C1681" s="89" t="s">
        <v>89</v>
      </c>
      <c r="D1681" s="90">
        <v>0</v>
      </c>
      <c r="E1681" s="90">
        <v>0</v>
      </c>
      <c r="F1681" s="90">
        <f t="shared" si="33"/>
        <v>0</v>
      </c>
      <c r="G1681" s="91">
        <v>91.5</v>
      </c>
      <c r="H1681" s="237">
        <v>107.17</v>
      </c>
      <c r="I1681" s="238"/>
    </row>
    <row r="1682" spans="1:9" ht="15" x14ac:dyDescent="0.2">
      <c r="A1682" s="89" t="s">
        <v>8134</v>
      </c>
      <c r="B1682" s="89" t="s">
        <v>8135</v>
      </c>
      <c r="C1682" s="89" t="s">
        <v>8136</v>
      </c>
      <c r="D1682" s="90">
        <v>40</v>
      </c>
      <c r="E1682" s="90">
        <v>88</v>
      </c>
      <c r="F1682" s="90">
        <f t="shared" si="33"/>
        <v>128</v>
      </c>
      <c r="G1682" s="91">
        <v>816.15</v>
      </c>
      <c r="H1682" s="237">
        <v>40</v>
      </c>
      <c r="I1682" s="238"/>
    </row>
    <row r="1683" spans="1:9" ht="15" x14ac:dyDescent="0.2">
      <c r="A1683" s="89" t="s">
        <v>7097</v>
      </c>
      <c r="B1683" s="89" t="s">
        <v>8137</v>
      </c>
      <c r="C1683" s="89" t="s">
        <v>8138</v>
      </c>
      <c r="D1683" s="90">
        <v>0</v>
      </c>
      <c r="E1683" s="90">
        <v>0</v>
      </c>
      <c r="F1683" s="90">
        <f t="shared" si="33"/>
        <v>0</v>
      </c>
      <c r="G1683" s="91">
        <v>0</v>
      </c>
      <c r="H1683" s="237">
        <v>10</v>
      </c>
      <c r="I1683" s="238"/>
    </row>
    <row r="1684" spans="1:9" ht="15" x14ac:dyDescent="0.2">
      <c r="A1684" s="89" t="s">
        <v>7101</v>
      </c>
      <c r="B1684" s="89" t="s">
        <v>8139</v>
      </c>
      <c r="C1684" s="89" t="s">
        <v>532</v>
      </c>
      <c r="D1684" s="90">
        <v>36</v>
      </c>
      <c r="E1684" s="90">
        <v>1337.76</v>
      </c>
      <c r="F1684" s="90">
        <f t="shared" si="33"/>
        <v>1373.76</v>
      </c>
      <c r="G1684" s="91">
        <v>0</v>
      </c>
      <c r="H1684" s="237">
        <v>434.85</v>
      </c>
      <c r="I1684" s="238"/>
    </row>
    <row r="1685" spans="1:9" ht="15" x14ac:dyDescent="0.2">
      <c r="A1685" s="89" t="s">
        <v>7113</v>
      </c>
      <c r="B1685" s="89" t="s">
        <v>8140</v>
      </c>
      <c r="C1685" s="89" t="s">
        <v>8141</v>
      </c>
      <c r="D1685" s="90">
        <v>0</v>
      </c>
      <c r="E1685" s="90">
        <v>66.16</v>
      </c>
      <c r="F1685" s="90">
        <f t="shared" si="33"/>
        <v>66.16</v>
      </c>
      <c r="G1685" s="91">
        <v>30.2</v>
      </c>
      <c r="H1685" s="237">
        <v>64.14</v>
      </c>
      <c r="I1685" s="238"/>
    </row>
    <row r="1686" spans="1:9" ht="15" x14ac:dyDescent="0.2">
      <c r="A1686" s="89" t="s">
        <v>7116</v>
      </c>
      <c r="B1686" s="89" t="s">
        <v>7133</v>
      </c>
      <c r="C1686" s="89" t="s">
        <v>127</v>
      </c>
      <c r="D1686" s="90">
        <v>35</v>
      </c>
      <c r="E1686" s="90">
        <v>3420.43</v>
      </c>
      <c r="F1686" s="90">
        <f t="shared" si="33"/>
        <v>3455.43</v>
      </c>
      <c r="G1686" s="91">
        <v>3556.52</v>
      </c>
      <c r="H1686" s="237">
        <v>3615.29</v>
      </c>
      <c r="I1686" s="238"/>
    </row>
    <row r="1687" spans="1:9" ht="15" x14ac:dyDescent="0.2">
      <c r="A1687" s="89" t="s">
        <v>7119</v>
      </c>
      <c r="B1687" s="89" t="s">
        <v>8142</v>
      </c>
      <c r="C1687" s="89" t="s">
        <v>8143</v>
      </c>
      <c r="D1687" s="90">
        <v>0</v>
      </c>
      <c r="E1687" s="90">
        <v>804.99</v>
      </c>
      <c r="F1687" s="90">
        <f t="shared" si="33"/>
        <v>804.99</v>
      </c>
      <c r="G1687" s="91">
        <v>808.82</v>
      </c>
      <c r="H1687" s="237">
        <v>529.03</v>
      </c>
      <c r="I1687" s="238"/>
    </row>
    <row r="1688" spans="1:9" ht="15" x14ac:dyDescent="0.2">
      <c r="A1688" s="89" t="s">
        <v>7123</v>
      </c>
      <c r="B1688" s="89" t="s">
        <v>8144</v>
      </c>
      <c r="C1688" s="89" t="s">
        <v>783</v>
      </c>
      <c r="D1688" s="90">
        <v>832.5</v>
      </c>
      <c r="E1688" s="90">
        <v>916.25</v>
      </c>
      <c r="F1688" s="90">
        <f t="shared" si="33"/>
        <v>1748.75</v>
      </c>
      <c r="G1688" s="91">
        <v>1133.67</v>
      </c>
      <c r="H1688" s="237">
        <v>946.95</v>
      </c>
      <c r="I1688" s="238"/>
    </row>
    <row r="1689" spans="1:9" ht="15" x14ac:dyDescent="0.2">
      <c r="A1689" s="89" t="s">
        <v>7128</v>
      </c>
      <c r="B1689" s="89" t="s">
        <v>7130</v>
      </c>
      <c r="C1689" s="89" t="s">
        <v>5066</v>
      </c>
      <c r="D1689" s="90">
        <v>0</v>
      </c>
      <c r="E1689" s="90">
        <v>164.1</v>
      </c>
      <c r="F1689" s="90">
        <f t="shared" si="33"/>
        <v>164.1</v>
      </c>
      <c r="G1689" s="91">
        <v>211.11</v>
      </c>
      <c r="H1689" s="237">
        <v>139.76</v>
      </c>
      <c r="I1689" s="238"/>
    </row>
    <row r="1690" spans="1:9" ht="15" x14ac:dyDescent="0.2">
      <c r="A1690" s="89" t="s">
        <v>7137</v>
      </c>
      <c r="B1690" s="89" t="s">
        <v>8145</v>
      </c>
      <c r="C1690" s="89" t="s">
        <v>1409</v>
      </c>
      <c r="D1690" s="90">
        <v>0</v>
      </c>
      <c r="E1690" s="90">
        <v>471.97</v>
      </c>
      <c r="F1690" s="90">
        <f t="shared" si="33"/>
        <v>471.97</v>
      </c>
      <c r="G1690" s="91">
        <v>541.13</v>
      </c>
      <c r="H1690" s="237">
        <v>0</v>
      </c>
      <c r="I1690" s="238"/>
    </row>
    <row r="1691" spans="1:9" ht="15" x14ac:dyDescent="0.2">
      <c r="A1691" s="89" t="s">
        <v>7140</v>
      </c>
      <c r="B1691" s="89" t="s">
        <v>8146</v>
      </c>
      <c r="C1691" s="89" t="s">
        <v>89</v>
      </c>
      <c r="D1691" s="90">
        <v>30</v>
      </c>
      <c r="E1691" s="90">
        <v>594.91</v>
      </c>
      <c r="F1691" s="90">
        <f t="shared" si="33"/>
        <v>624.91</v>
      </c>
      <c r="G1691" s="91">
        <v>627.4</v>
      </c>
      <c r="H1691" s="237">
        <v>489.96000000000004</v>
      </c>
      <c r="I1691" s="238"/>
    </row>
    <row r="1692" spans="1:9" ht="15" x14ac:dyDescent="0.2">
      <c r="A1692" s="89" t="s">
        <v>7146</v>
      </c>
      <c r="B1692" s="89" t="s">
        <v>7149</v>
      </c>
      <c r="C1692" s="89" t="s">
        <v>5066</v>
      </c>
      <c r="D1692" s="90">
        <v>644</v>
      </c>
      <c r="E1692" s="90">
        <v>0</v>
      </c>
      <c r="F1692" s="90">
        <f t="shared" si="33"/>
        <v>644</v>
      </c>
      <c r="G1692" s="91">
        <v>631</v>
      </c>
      <c r="H1692" s="237">
        <v>602.68000000000006</v>
      </c>
      <c r="I1692" s="238"/>
    </row>
    <row r="1693" spans="1:9" ht="15" x14ac:dyDescent="0.2">
      <c r="A1693" s="89" t="s">
        <v>7154</v>
      </c>
      <c r="B1693" s="89" t="s">
        <v>7261</v>
      </c>
      <c r="C1693" s="89"/>
      <c r="D1693" s="90">
        <v>170</v>
      </c>
      <c r="E1693" s="90">
        <v>0</v>
      </c>
      <c r="F1693" s="90">
        <f t="shared" si="33"/>
        <v>170</v>
      </c>
      <c r="G1693" s="91">
        <v>376.52</v>
      </c>
      <c r="H1693" s="237"/>
      <c r="I1693" s="238"/>
    </row>
    <row r="1694" spans="1:9" ht="15.75" x14ac:dyDescent="0.2">
      <c r="A1694" s="221" t="s">
        <v>307</v>
      </c>
      <c r="B1694" s="221"/>
      <c r="C1694" s="221"/>
      <c r="D1694" s="222">
        <f>SUM(D1651:D1693)</f>
        <v>4661.09</v>
      </c>
      <c r="E1694" s="222">
        <f>SUM(E1651:E1693)</f>
        <v>21178.14</v>
      </c>
      <c r="F1694" s="222">
        <f t="shared" si="33"/>
        <v>25839.23</v>
      </c>
      <c r="G1694" s="222">
        <f>SUM(G1651:G1693)</f>
        <v>21793.989999999998</v>
      </c>
      <c r="H1694" s="239">
        <v>22020.74</v>
      </c>
      <c r="I1694" s="238"/>
    </row>
    <row r="1695" spans="1:9" s="62" customFormat="1" x14ac:dyDescent="0.2">
      <c r="A1695" s="60" t="s">
        <v>7262</v>
      </c>
      <c r="B1695" s="60"/>
      <c r="C1695" s="60"/>
      <c r="D1695" s="60"/>
      <c r="E1695" s="60"/>
      <c r="F1695" s="61"/>
      <c r="G1695" s="61"/>
      <c r="H1695" s="60"/>
    </row>
  </sheetData>
  <conditionalFormatting sqref="A88:A117 A3:A86">
    <cfRule type="duplicateValues" dxfId="121" priority="10" stopIfTrue="1"/>
  </conditionalFormatting>
  <conditionalFormatting sqref="A87">
    <cfRule type="duplicateValues" dxfId="120" priority="9" stopIfTrue="1"/>
  </conditionalFormatting>
  <conditionalFormatting sqref="A120:A347">
    <cfRule type="duplicateValues" dxfId="119" priority="8" stopIfTrue="1"/>
  </conditionalFormatting>
  <conditionalFormatting sqref="A350:A445">
    <cfRule type="duplicateValues" dxfId="118" priority="7" stopIfTrue="1"/>
  </conditionalFormatting>
  <conditionalFormatting sqref="A524:A626">
    <cfRule type="duplicateValues" dxfId="117" priority="6" stopIfTrue="1"/>
  </conditionalFormatting>
  <conditionalFormatting sqref="A686">
    <cfRule type="duplicateValues" dxfId="116" priority="5" stopIfTrue="1"/>
  </conditionalFormatting>
  <conditionalFormatting sqref="D809:D922">
    <cfRule type="cellIs" dxfId="115" priority="4" stopIfTrue="1" operator="equal">
      <formula>0</formula>
    </cfRule>
  </conditionalFormatting>
  <conditionalFormatting sqref="E812:F812">
    <cfRule type="cellIs" dxfId="114" priority="1" stopIfTrue="1" operator="equal">
      <formula>0</formula>
    </cfRule>
  </conditionalFormatting>
  <conditionalFormatting sqref="E809:F809 F810:F922">
    <cfRule type="cellIs" dxfId="113" priority="3" stopIfTrue="1" operator="equal">
      <formula>0</formula>
    </cfRule>
  </conditionalFormatting>
  <conditionalFormatting sqref="E811:F811">
    <cfRule type="cellIs" dxfId="112" priority="2" stopIfTrue="1" operator="equal">
      <formula>0</formula>
    </cfRule>
  </conditionalFormatting>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249977111117893"/>
    <pageSetUpPr fitToPage="1"/>
  </sheetPr>
  <dimension ref="A1:V355"/>
  <sheetViews>
    <sheetView zoomScaleNormal="100" workbookViewId="0">
      <pane xSplit="1" ySplit="2" topLeftCell="B3" activePane="bottomRight" state="frozen"/>
      <selection pane="topRight" activeCell="B1" sqref="B1"/>
      <selection pane="bottomLeft" activeCell="A3" sqref="A3"/>
      <selection pane="bottomRight" activeCell="P47" sqref="P3:P47"/>
    </sheetView>
  </sheetViews>
  <sheetFormatPr defaultRowHeight="12.75" outlineLevelCol="1" x14ac:dyDescent="0.2"/>
  <cols>
    <col min="1" max="1" width="21.28515625" style="86" customWidth="1"/>
    <col min="2" max="2" width="32.28515625" style="86" customWidth="1"/>
    <col min="3" max="3" width="44.140625" style="86" customWidth="1"/>
    <col min="4" max="4" width="14.85546875" style="452" hidden="1" customWidth="1" outlineLevel="1"/>
    <col min="5" max="5" width="14.42578125" style="354" hidden="1" customWidth="1" outlineLevel="1"/>
    <col min="6" max="6" width="18" style="155" hidden="1" customWidth="1" outlineLevel="1"/>
    <col min="7" max="7" width="18" style="531" hidden="1" customWidth="1" collapsed="1"/>
    <col min="8" max="8" width="18" style="98" hidden="1" customWidth="1"/>
    <col min="9" max="9" width="15.28515625" style="86" hidden="1" customWidth="1"/>
    <col min="10" max="10" width="13.7109375" style="86" hidden="1" customWidth="1"/>
    <col min="11" max="11" width="0" style="86" hidden="1" customWidth="1"/>
    <col min="12" max="12" width="10.28515625" style="86" hidden="1" customWidth="1"/>
    <col min="13" max="13" width="12.85546875" style="86" bestFit="1" customWidth="1"/>
    <col min="14" max="14" width="14.85546875" style="86" bestFit="1" customWidth="1"/>
    <col min="15" max="15" width="19.5703125" style="86" bestFit="1" customWidth="1"/>
    <col min="16" max="18" width="13.7109375" style="86" bestFit="1" customWidth="1"/>
    <col min="19" max="257" width="9.140625" style="86"/>
    <col min="258" max="258" width="14.7109375" style="86" bestFit="1" customWidth="1"/>
    <col min="259" max="259" width="32.28515625" style="86" customWidth="1"/>
    <col min="260" max="260" width="44.140625" style="86" customWidth="1"/>
    <col min="261" max="262" width="0" style="86" hidden="1" customWidth="1"/>
    <col min="263" max="264" width="18" style="86" bestFit="1" customWidth="1"/>
    <col min="265" max="265" width="13.7109375" style="86" customWidth="1"/>
    <col min="266" max="513" width="9.140625" style="86"/>
    <col min="514" max="514" width="14.7109375" style="86" bestFit="1" customWidth="1"/>
    <col min="515" max="515" width="32.28515625" style="86" customWidth="1"/>
    <col min="516" max="516" width="44.140625" style="86" customWidth="1"/>
    <col min="517" max="518" width="0" style="86" hidden="1" customWidth="1"/>
    <col min="519" max="520" width="18" style="86" bestFit="1" customWidth="1"/>
    <col min="521" max="521" width="13.7109375" style="86" customWidth="1"/>
    <col min="522" max="769" width="9.140625" style="86"/>
    <col min="770" max="770" width="14.7109375" style="86" bestFit="1" customWidth="1"/>
    <col min="771" max="771" width="32.28515625" style="86" customWidth="1"/>
    <col min="772" max="772" width="44.140625" style="86" customWidth="1"/>
    <col min="773" max="774" width="0" style="86" hidden="1" customWidth="1"/>
    <col min="775" max="776" width="18" style="86" bestFit="1" customWidth="1"/>
    <col min="777" max="777" width="13.7109375" style="86" customWidth="1"/>
    <col min="778" max="1025" width="9.140625" style="86"/>
    <col min="1026" max="1026" width="14.7109375" style="86" bestFit="1" customWidth="1"/>
    <col min="1027" max="1027" width="32.28515625" style="86" customWidth="1"/>
    <col min="1028" max="1028" width="44.140625" style="86" customWidth="1"/>
    <col min="1029" max="1030" width="0" style="86" hidden="1" customWidth="1"/>
    <col min="1031" max="1032" width="18" style="86" bestFit="1" customWidth="1"/>
    <col min="1033" max="1033" width="13.7109375" style="86" customWidth="1"/>
    <col min="1034" max="1281" width="9.140625" style="86"/>
    <col min="1282" max="1282" width="14.7109375" style="86" bestFit="1" customWidth="1"/>
    <col min="1283" max="1283" width="32.28515625" style="86" customWidth="1"/>
    <col min="1284" max="1284" width="44.140625" style="86" customWidth="1"/>
    <col min="1285" max="1286" width="0" style="86" hidden="1" customWidth="1"/>
    <col min="1287" max="1288" width="18" style="86" bestFit="1" customWidth="1"/>
    <col min="1289" max="1289" width="13.7109375" style="86" customWidth="1"/>
    <col min="1290" max="1537" width="9.140625" style="86"/>
    <col min="1538" max="1538" width="14.7109375" style="86" bestFit="1" customWidth="1"/>
    <col min="1539" max="1539" width="32.28515625" style="86" customWidth="1"/>
    <col min="1540" max="1540" width="44.140625" style="86" customWidth="1"/>
    <col min="1541" max="1542" width="0" style="86" hidden="1" customWidth="1"/>
    <col min="1543" max="1544" width="18" style="86" bestFit="1" customWidth="1"/>
    <col min="1545" max="1545" width="13.7109375" style="86" customWidth="1"/>
    <col min="1546" max="1793" width="9.140625" style="86"/>
    <col min="1794" max="1794" width="14.7109375" style="86" bestFit="1" customWidth="1"/>
    <col min="1795" max="1795" width="32.28515625" style="86" customWidth="1"/>
    <col min="1796" max="1796" width="44.140625" style="86" customWidth="1"/>
    <col min="1797" max="1798" width="0" style="86" hidden="1" customWidth="1"/>
    <col min="1799" max="1800" width="18" style="86" bestFit="1" customWidth="1"/>
    <col min="1801" max="1801" width="13.7109375" style="86" customWidth="1"/>
    <col min="1802" max="2049" width="9.140625" style="86"/>
    <col min="2050" max="2050" width="14.7109375" style="86" bestFit="1" customWidth="1"/>
    <col min="2051" max="2051" width="32.28515625" style="86" customWidth="1"/>
    <col min="2052" max="2052" width="44.140625" style="86" customWidth="1"/>
    <col min="2053" max="2054" width="0" style="86" hidden="1" customWidth="1"/>
    <col min="2055" max="2056" width="18" style="86" bestFit="1" customWidth="1"/>
    <col min="2057" max="2057" width="13.7109375" style="86" customWidth="1"/>
    <col min="2058" max="2305" width="9.140625" style="86"/>
    <col min="2306" max="2306" width="14.7109375" style="86" bestFit="1" customWidth="1"/>
    <col min="2307" max="2307" width="32.28515625" style="86" customWidth="1"/>
    <col min="2308" max="2308" width="44.140625" style="86" customWidth="1"/>
    <col min="2309" max="2310" width="0" style="86" hidden="1" customWidth="1"/>
    <col min="2311" max="2312" width="18" style="86" bestFit="1" customWidth="1"/>
    <col min="2313" max="2313" width="13.7109375" style="86" customWidth="1"/>
    <col min="2314" max="2561" width="9.140625" style="86"/>
    <col min="2562" max="2562" width="14.7109375" style="86" bestFit="1" customWidth="1"/>
    <col min="2563" max="2563" width="32.28515625" style="86" customWidth="1"/>
    <col min="2564" max="2564" width="44.140625" style="86" customWidth="1"/>
    <col min="2565" max="2566" width="0" style="86" hidden="1" customWidth="1"/>
    <col min="2567" max="2568" width="18" style="86" bestFit="1" customWidth="1"/>
    <col min="2569" max="2569" width="13.7109375" style="86" customWidth="1"/>
    <col min="2570" max="2817" width="9.140625" style="86"/>
    <col min="2818" max="2818" width="14.7109375" style="86" bestFit="1" customWidth="1"/>
    <col min="2819" max="2819" width="32.28515625" style="86" customWidth="1"/>
    <col min="2820" max="2820" width="44.140625" style="86" customWidth="1"/>
    <col min="2821" max="2822" width="0" style="86" hidden="1" customWidth="1"/>
    <col min="2823" max="2824" width="18" style="86" bestFit="1" customWidth="1"/>
    <col min="2825" max="2825" width="13.7109375" style="86" customWidth="1"/>
    <col min="2826" max="3073" width="9.140625" style="86"/>
    <col min="3074" max="3074" width="14.7109375" style="86" bestFit="1" customWidth="1"/>
    <col min="3075" max="3075" width="32.28515625" style="86" customWidth="1"/>
    <col min="3076" max="3076" width="44.140625" style="86" customWidth="1"/>
    <col min="3077" max="3078" width="0" style="86" hidden="1" customWidth="1"/>
    <col min="3079" max="3080" width="18" style="86" bestFit="1" customWidth="1"/>
    <col min="3081" max="3081" width="13.7109375" style="86" customWidth="1"/>
    <col min="3082" max="3329" width="9.140625" style="86"/>
    <col min="3330" max="3330" width="14.7109375" style="86" bestFit="1" customWidth="1"/>
    <col min="3331" max="3331" width="32.28515625" style="86" customWidth="1"/>
    <col min="3332" max="3332" width="44.140625" style="86" customWidth="1"/>
    <col min="3333" max="3334" width="0" style="86" hidden="1" customWidth="1"/>
    <col min="3335" max="3336" width="18" style="86" bestFit="1" customWidth="1"/>
    <col min="3337" max="3337" width="13.7109375" style="86" customWidth="1"/>
    <col min="3338" max="3585" width="9.140625" style="86"/>
    <col min="3586" max="3586" width="14.7109375" style="86" bestFit="1" customWidth="1"/>
    <col min="3587" max="3587" width="32.28515625" style="86" customWidth="1"/>
    <col min="3588" max="3588" width="44.140625" style="86" customWidth="1"/>
    <col min="3589" max="3590" width="0" style="86" hidden="1" customWidth="1"/>
    <col min="3591" max="3592" width="18" style="86" bestFit="1" customWidth="1"/>
    <col min="3593" max="3593" width="13.7109375" style="86" customWidth="1"/>
    <col min="3594" max="3841" width="9.140625" style="86"/>
    <col min="3842" max="3842" width="14.7109375" style="86" bestFit="1" customWidth="1"/>
    <col min="3843" max="3843" width="32.28515625" style="86" customWidth="1"/>
    <col min="3844" max="3844" width="44.140625" style="86" customWidth="1"/>
    <col min="3845" max="3846" width="0" style="86" hidden="1" customWidth="1"/>
    <col min="3847" max="3848" width="18" style="86" bestFit="1" customWidth="1"/>
    <col min="3849" max="3849" width="13.7109375" style="86" customWidth="1"/>
    <col min="3850" max="4097" width="9.140625" style="86"/>
    <col min="4098" max="4098" width="14.7109375" style="86" bestFit="1" customWidth="1"/>
    <col min="4099" max="4099" width="32.28515625" style="86" customWidth="1"/>
    <col min="4100" max="4100" width="44.140625" style="86" customWidth="1"/>
    <col min="4101" max="4102" width="0" style="86" hidden="1" customWidth="1"/>
    <col min="4103" max="4104" width="18" style="86" bestFit="1" customWidth="1"/>
    <col min="4105" max="4105" width="13.7109375" style="86" customWidth="1"/>
    <col min="4106" max="4353" width="9.140625" style="86"/>
    <col min="4354" max="4354" width="14.7109375" style="86" bestFit="1" customWidth="1"/>
    <col min="4355" max="4355" width="32.28515625" style="86" customWidth="1"/>
    <col min="4356" max="4356" width="44.140625" style="86" customWidth="1"/>
    <col min="4357" max="4358" width="0" style="86" hidden="1" customWidth="1"/>
    <col min="4359" max="4360" width="18" style="86" bestFit="1" customWidth="1"/>
    <col min="4361" max="4361" width="13.7109375" style="86" customWidth="1"/>
    <col min="4362" max="4609" width="9.140625" style="86"/>
    <col min="4610" max="4610" width="14.7109375" style="86" bestFit="1" customWidth="1"/>
    <col min="4611" max="4611" width="32.28515625" style="86" customWidth="1"/>
    <col min="4612" max="4612" width="44.140625" style="86" customWidth="1"/>
    <col min="4613" max="4614" width="0" style="86" hidden="1" customWidth="1"/>
    <col min="4615" max="4616" width="18" style="86" bestFit="1" customWidth="1"/>
    <col min="4617" max="4617" width="13.7109375" style="86" customWidth="1"/>
    <col min="4618" max="4865" width="9.140625" style="86"/>
    <col min="4866" max="4866" width="14.7109375" style="86" bestFit="1" customWidth="1"/>
    <col min="4867" max="4867" width="32.28515625" style="86" customWidth="1"/>
    <col min="4868" max="4868" width="44.140625" style="86" customWidth="1"/>
    <col min="4869" max="4870" width="0" style="86" hidden="1" customWidth="1"/>
    <col min="4871" max="4872" width="18" style="86" bestFit="1" customWidth="1"/>
    <col min="4873" max="4873" width="13.7109375" style="86" customWidth="1"/>
    <col min="4874" max="5121" width="9.140625" style="86"/>
    <col min="5122" max="5122" width="14.7109375" style="86" bestFit="1" customWidth="1"/>
    <col min="5123" max="5123" width="32.28515625" style="86" customWidth="1"/>
    <col min="5124" max="5124" width="44.140625" style="86" customWidth="1"/>
    <col min="5125" max="5126" width="0" style="86" hidden="1" customWidth="1"/>
    <col min="5127" max="5128" width="18" style="86" bestFit="1" customWidth="1"/>
    <col min="5129" max="5129" width="13.7109375" style="86" customWidth="1"/>
    <col min="5130" max="5377" width="9.140625" style="86"/>
    <col min="5378" max="5378" width="14.7109375" style="86" bestFit="1" customWidth="1"/>
    <col min="5379" max="5379" width="32.28515625" style="86" customWidth="1"/>
    <col min="5380" max="5380" width="44.140625" style="86" customWidth="1"/>
    <col min="5381" max="5382" width="0" style="86" hidden="1" customWidth="1"/>
    <col min="5383" max="5384" width="18" style="86" bestFit="1" customWidth="1"/>
    <col min="5385" max="5385" width="13.7109375" style="86" customWidth="1"/>
    <col min="5386" max="5633" width="9.140625" style="86"/>
    <col min="5634" max="5634" width="14.7109375" style="86" bestFit="1" customWidth="1"/>
    <col min="5635" max="5635" width="32.28515625" style="86" customWidth="1"/>
    <col min="5636" max="5636" width="44.140625" style="86" customWidth="1"/>
    <col min="5637" max="5638" width="0" style="86" hidden="1" customWidth="1"/>
    <col min="5639" max="5640" width="18" style="86" bestFit="1" customWidth="1"/>
    <col min="5641" max="5641" width="13.7109375" style="86" customWidth="1"/>
    <col min="5642" max="5889" width="9.140625" style="86"/>
    <col min="5890" max="5890" width="14.7109375" style="86" bestFit="1" customWidth="1"/>
    <col min="5891" max="5891" width="32.28515625" style="86" customWidth="1"/>
    <col min="5892" max="5892" width="44.140625" style="86" customWidth="1"/>
    <col min="5893" max="5894" width="0" style="86" hidden="1" customWidth="1"/>
    <col min="5895" max="5896" width="18" style="86" bestFit="1" customWidth="1"/>
    <col min="5897" max="5897" width="13.7109375" style="86" customWidth="1"/>
    <col min="5898" max="6145" width="9.140625" style="86"/>
    <col min="6146" max="6146" width="14.7109375" style="86" bestFit="1" customWidth="1"/>
    <col min="6147" max="6147" width="32.28515625" style="86" customWidth="1"/>
    <col min="6148" max="6148" width="44.140625" style="86" customWidth="1"/>
    <col min="6149" max="6150" width="0" style="86" hidden="1" customWidth="1"/>
    <col min="6151" max="6152" width="18" style="86" bestFit="1" customWidth="1"/>
    <col min="6153" max="6153" width="13.7109375" style="86" customWidth="1"/>
    <col min="6154" max="6401" width="9.140625" style="86"/>
    <col min="6402" max="6402" width="14.7109375" style="86" bestFit="1" customWidth="1"/>
    <col min="6403" max="6403" width="32.28515625" style="86" customWidth="1"/>
    <col min="6404" max="6404" width="44.140625" style="86" customWidth="1"/>
    <col min="6405" max="6406" width="0" style="86" hidden="1" customWidth="1"/>
    <col min="6407" max="6408" width="18" style="86" bestFit="1" customWidth="1"/>
    <col min="6409" max="6409" width="13.7109375" style="86" customWidth="1"/>
    <col min="6410" max="6657" width="9.140625" style="86"/>
    <col min="6658" max="6658" width="14.7109375" style="86" bestFit="1" customWidth="1"/>
    <col min="6659" max="6659" width="32.28515625" style="86" customWidth="1"/>
    <col min="6660" max="6660" width="44.140625" style="86" customWidth="1"/>
    <col min="6661" max="6662" width="0" style="86" hidden="1" customWidth="1"/>
    <col min="6663" max="6664" width="18" style="86" bestFit="1" customWidth="1"/>
    <col min="6665" max="6665" width="13.7109375" style="86" customWidth="1"/>
    <col min="6666" max="6913" width="9.140625" style="86"/>
    <col min="6914" max="6914" width="14.7109375" style="86" bestFit="1" customWidth="1"/>
    <col min="6915" max="6915" width="32.28515625" style="86" customWidth="1"/>
    <col min="6916" max="6916" width="44.140625" style="86" customWidth="1"/>
    <col min="6917" max="6918" width="0" style="86" hidden="1" customWidth="1"/>
    <col min="6919" max="6920" width="18" style="86" bestFit="1" customWidth="1"/>
    <col min="6921" max="6921" width="13.7109375" style="86" customWidth="1"/>
    <col min="6922" max="7169" width="9.140625" style="86"/>
    <col min="7170" max="7170" width="14.7109375" style="86" bestFit="1" customWidth="1"/>
    <col min="7171" max="7171" width="32.28515625" style="86" customWidth="1"/>
    <col min="7172" max="7172" width="44.140625" style="86" customWidth="1"/>
    <col min="7173" max="7174" width="0" style="86" hidden="1" customWidth="1"/>
    <col min="7175" max="7176" width="18" style="86" bestFit="1" customWidth="1"/>
    <col min="7177" max="7177" width="13.7109375" style="86" customWidth="1"/>
    <col min="7178" max="7425" width="9.140625" style="86"/>
    <col min="7426" max="7426" width="14.7109375" style="86" bestFit="1" customWidth="1"/>
    <col min="7427" max="7427" width="32.28515625" style="86" customWidth="1"/>
    <col min="7428" max="7428" width="44.140625" style="86" customWidth="1"/>
    <col min="7429" max="7430" width="0" style="86" hidden="1" customWidth="1"/>
    <col min="7431" max="7432" width="18" style="86" bestFit="1" customWidth="1"/>
    <col min="7433" max="7433" width="13.7109375" style="86" customWidth="1"/>
    <col min="7434" max="7681" width="9.140625" style="86"/>
    <col min="7682" max="7682" width="14.7109375" style="86" bestFit="1" customWidth="1"/>
    <col min="7683" max="7683" width="32.28515625" style="86" customWidth="1"/>
    <col min="7684" max="7684" width="44.140625" style="86" customWidth="1"/>
    <col min="7685" max="7686" width="0" style="86" hidden="1" customWidth="1"/>
    <col min="7687" max="7688" width="18" style="86" bestFit="1" customWidth="1"/>
    <col min="7689" max="7689" width="13.7109375" style="86" customWidth="1"/>
    <col min="7690" max="7937" width="9.140625" style="86"/>
    <col min="7938" max="7938" width="14.7109375" style="86" bestFit="1" customWidth="1"/>
    <col min="7939" max="7939" width="32.28515625" style="86" customWidth="1"/>
    <col min="7940" max="7940" width="44.140625" style="86" customWidth="1"/>
    <col min="7941" max="7942" width="0" style="86" hidden="1" customWidth="1"/>
    <col min="7943" max="7944" width="18" style="86" bestFit="1" customWidth="1"/>
    <col min="7945" max="7945" width="13.7109375" style="86" customWidth="1"/>
    <col min="7946" max="8193" width="9.140625" style="86"/>
    <col min="8194" max="8194" width="14.7109375" style="86" bestFit="1" customWidth="1"/>
    <col min="8195" max="8195" width="32.28515625" style="86" customWidth="1"/>
    <col min="8196" max="8196" width="44.140625" style="86" customWidth="1"/>
    <col min="8197" max="8198" width="0" style="86" hidden="1" customWidth="1"/>
    <col min="8199" max="8200" width="18" style="86" bestFit="1" customWidth="1"/>
    <col min="8201" max="8201" width="13.7109375" style="86" customWidth="1"/>
    <col min="8202" max="8449" width="9.140625" style="86"/>
    <col min="8450" max="8450" width="14.7109375" style="86" bestFit="1" customWidth="1"/>
    <col min="8451" max="8451" width="32.28515625" style="86" customWidth="1"/>
    <col min="8452" max="8452" width="44.140625" style="86" customWidth="1"/>
    <col min="8453" max="8454" width="0" style="86" hidden="1" customWidth="1"/>
    <col min="8455" max="8456" width="18" style="86" bestFit="1" customWidth="1"/>
    <col min="8457" max="8457" width="13.7109375" style="86" customWidth="1"/>
    <col min="8458" max="8705" width="9.140625" style="86"/>
    <col min="8706" max="8706" width="14.7109375" style="86" bestFit="1" customWidth="1"/>
    <col min="8707" max="8707" width="32.28515625" style="86" customWidth="1"/>
    <col min="8708" max="8708" width="44.140625" style="86" customWidth="1"/>
    <col min="8709" max="8710" width="0" style="86" hidden="1" customWidth="1"/>
    <col min="8711" max="8712" width="18" style="86" bestFit="1" customWidth="1"/>
    <col min="8713" max="8713" width="13.7109375" style="86" customWidth="1"/>
    <col min="8714" max="8961" width="9.140625" style="86"/>
    <col min="8962" max="8962" width="14.7109375" style="86" bestFit="1" customWidth="1"/>
    <col min="8963" max="8963" width="32.28515625" style="86" customWidth="1"/>
    <col min="8964" max="8964" width="44.140625" style="86" customWidth="1"/>
    <col min="8965" max="8966" width="0" style="86" hidden="1" customWidth="1"/>
    <col min="8967" max="8968" width="18" style="86" bestFit="1" customWidth="1"/>
    <col min="8969" max="8969" width="13.7109375" style="86" customWidth="1"/>
    <col min="8970" max="9217" width="9.140625" style="86"/>
    <col min="9218" max="9218" width="14.7109375" style="86" bestFit="1" customWidth="1"/>
    <col min="9219" max="9219" width="32.28515625" style="86" customWidth="1"/>
    <col min="9220" max="9220" width="44.140625" style="86" customWidth="1"/>
    <col min="9221" max="9222" width="0" style="86" hidden="1" customWidth="1"/>
    <col min="9223" max="9224" width="18" style="86" bestFit="1" customWidth="1"/>
    <col min="9225" max="9225" width="13.7109375" style="86" customWidth="1"/>
    <col min="9226" max="9473" width="9.140625" style="86"/>
    <col min="9474" max="9474" width="14.7109375" style="86" bestFit="1" customWidth="1"/>
    <col min="9475" max="9475" width="32.28515625" style="86" customWidth="1"/>
    <col min="9476" max="9476" width="44.140625" style="86" customWidth="1"/>
    <col min="9477" max="9478" width="0" style="86" hidden="1" customWidth="1"/>
    <col min="9479" max="9480" width="18" style="86" bestFit="1" customWidth="1"/>
    <col min="9481" max="9481" width="13.7109375" style="86" customWidth="1"/>
    <col min="9482" max="9729" width="9.140625" style="86"/>
    <col min="9730" max="9730" width="14.7109375" style="86" bestFit="1" customWidth="1"/>
    <col min="9731" max="9731" width="32.28515625" style="86" customWidth="1"/>
    <col min="9732" max="9732" width="44.140625" style="86" customWidth="1"/>
    <col min="9733" max="9734" width="0" style="86" hidden="1" customWidth="1"/>
    <col min="9735" max="9736" width="18" style="86" bestFit="1" customWidth="1"/>
    <col min="9737" max="9737" width="13.7109375" style="86" customWidth="1"/>
    <col min="9738" max="9985" width="9.140625" style="86"/>
    <col min="9986" max="9986" width="14.7109375" style="86" bestFit="1" customWidth="1"/>
    <col min="9987" max="9987" width="32.28515625" style="86" customWidth="1"/>
    <col min="9988" max="9988" width="44.140625" style="86" customWidth="1"/>
    <col min="9989" max="9990" width="0" style="86" hidden="1" customWidth="1"/>
    <col min="9991" max="9992" width="18" style="86" bestFit="1" customWidth="1"/>
    <col min="9993" max="9993" width="13.7109375" style="86" customWidth="1"/>
    <col min="9994" max="10241" width="9.140625" style="86"/>
    <col min="10242" max="10242" width="14.7109375" style="86" bestFit="1" customWidth="1"/>
    <col min="10243" max="10243" width="32.28515625" style="86" customWidth="1"/>
    <col min="10244" max="10244" width="44.140625" style="86" customWidth="1"/>
    <col min="10245" max="10246" width="0" style="86" hidden="1" customWidth="1"/>
    <col min="10247" max="10248" width="18" style="86" bestFit="1" customWidth="1"/>
    <col min="10249" max="10249" width="13.7109375" style="86" customWidth="1"/>
    <col min="10250" max="10497" width="9.140625" style="86"/>
    <col min="10498" max="10498" width="14.7109375" style="86" bestFit="1" customWidth="1"/>
    <col min="10499" max="10499" width="32.28515625" style="86" customWidth="1"/>
    <col min="10500" max="10500" width="44.140625" style="86" customWidth="1"/>
    <col min="10501" max="10502" width="0" style="86" hidden="1" customWidth="1"/>
    <col min="10503" max="10504" width="18" style="86" bestFit="1" customWidth="1"/>
    <col min="10505" max="10505" width="13.7109375" style="86" customWidth="1"/>
    <col min="10506" max="10753" width="9.140625" style="86"/>
    <col min="10754" max="10754" width="14.7109375" style="86" bestFit="1" customWidth="1"/>
    <col min="10755" max="10755" width="32.28515625" style="86" customWidth="1"/>
    <col min="10756" max="10756" width="44.140625" style="86" customWidth="1"/>
    <col min="10757" max="10758" width="0" style="86" hidden="1" customWidth="1"/>
    <col min="10759" max="10760" width="18" style="86" bestFit="1" customWidth="1"/>
    <col min="10761" max="10761" width="13.7109375" style="86" customWidth="1"/>
    <col min="10762" max="11009" width="9.140625" style="86"/>
    <col min="11010" max="11010" width="14.7109375" style="86" bestFit="1" customWidth="1"/>
    <col min="11011" max="11011" width="32.28515625" style="86" customWidth="1"/>
    <col min="11012" max="11012" width="44.140625" style="86" customWidth="1"/>
    <col min="11013" max="11014" width="0" style="86" hidden="1" customWidth="1"/>
    <col min="11015" max="11016" width="18" style="86" bestFit="1" customWidth="1"/>
    <col min="11017" max="11017" width="13.7109375" style="86" customWidth="1"/>
    <col min="11018" max="11265" width="9.140625" style="86"/>
    <col min="11266" max="11266" width="14.7109375" style="86" bestFit="1" customWidth="1"/>
    <col min="11267" max="11267" width="32.28515625" style="86" customWidth="1"/>
    <col min="11268" max="11268" width="44.140625" style="86" customWidth="1"/>
    <col min="11269" max="11270" width="0" style="86" hidden="1" customWidth="1"/>
    <col min="11271" max="11272" width="18" style="86" bestFit="1" customWidth="1"/>
    <col min="11273" max="11273" width="13.7109375" style="86" customWidth="1"/>
    <col min="11274" max="11521" width="9.140625" style="86"/>
    <col min="11522" max="11522" width="14.7109375" style="86" bestFit="1" customWidth="1"/>
    <col min="11523" max="11523" width="32.28515625" style="86" customWidth="1"/>
    <col min="11524" max="11524" width="44.140625" style="86" customWidth="1"/>
    <col min="11525" max="11526" width="0" style="86" hidden="1" customWidth="1"/>
    <col min="11527" max="11528" width="18" style="86" bestFit="1" customWidth="1"/>
    <col min="11529" max="11529" width="13.7109375" style="86" customWidth="1"/>
    <col min="11530" max="11777" width="9.140625" style="86"/>
    <col min="11778" max="11778" width="14.7109375" style="86" bestFit="1" customWidth="1"/>
    <col min="11779" max="11779" width="32.28515625" style="86" customWidth="1"/>
    <col min="11780" max="11780" width="44.140625" style="86" customWidth="1"/>
    <col min="11781" max="11782" width="0" style="86" hidden="1" customWidth="1"/>
    <col min="11783" max="11784" width="18" style="86" bestFit="1" customWidth="1"/>
    <col min="11785" max="11785" width="13.7109375" style="86" customWidth="1"/>
    <col min="11786" max="12033" width="9.140625" style="86"/>
    <col min="12034" max="12034" width="14.7109375" style="86" bestFit="1" customWidth="1"/>
    <col min="12035" max="12035" width="32.28515625" style="86" customWidth="1"/>
    <col min="12036" max="12036" width="44.140625" style="86" customWidth="1"/>
    <col min="12037" max="12038" width="0" style="86" hidden="1" customWidth="1"/>
    <col min="12039" max="12040" width="18" style="86" bestFit="1" customWidth="1"/>
    <col min="12041" max="12041" width="13.7109375" style="86" customWidth="1"/>
    <col min="12042" max="12289" width="9.140625" style="86"/>
    <col min="12290" max="12290" width="14.7109375" style="86" bestFit="1" customWidth="1"/>
    <col min="12291" max="12291" width="32.28515625" style="86" customWidth="1"/>
    <col min="12292" max="12292" width="44.140625" style="86" customWidth="1"/>
    <col min="12293" max="12294" width="0" style="86" hidden="1" customWidth="1"/>
    <col min="12295" max="12296" width="18" style="86" bestFit="1" customWidth="1"/>
    <col min="12297" max="12297" width="13.7109375" style="86" customWidth="1"/>
    <col min="12298" max="12545" width="9.140625" style="86"/>
    <col min="12546" max="12546" width="14.7109375" style="86" bestFit="1" customWidth="1"/>
    <col min="12547" max="12547" width="32.28515625" style="86" customWidth="1"/>
    <col min="12548" max="12548" width="44.140625" style="86" customWidth="1"/>
    <col min="12549" max="12550" width="0" style="86" hidden="1" customWidth="1"/>
    <col min="12551" max="12552" width="18" style="86" bestFit="1" customWidth="1"/>
    <col min="12553" max="12553" width="13.7109375" style="86" customWidth="1"/>
    <col min="12554" max="12801" width="9.140625" style="86"/>
    <col min="12802" max="12802" width="14.7109375" style="86" bestFit="1" customWidth="1"/>
    <col min="12803" max="12803" width="32.28515625" style="86" customWidth="1"/>
    <col min="12804" max="12804" width="44.140625" style="86" customWidth="1"/>
    <col min="12805" max="12806" width="0" style="86" hidden="1" customWidth="1"/>
    <col min="12807" max="12808" width="18" style="86" bestFit="1" customWidth="1"/>
    <col min="12809" max="12809" width="13.7109375" style="86" customWidth="1"/>
    <col min="12810" max="13057" width="9.140625" style="86"/>
    <col min="13058" max="13058" width="14.7109375" style="86" bestFit="1" customWidth="1"/>
    <col min="13059" max="13059" width="32.28515625" style="86" customWidth="1"/>
    <col min="13060" max="13060" width="44.140625" style="86" customWidth="1"/>
    <col min="13061" max="13062" width="0" style="86" hidden="1" customWidth="1"/>
    <col min="13063" max="13064" width="18" style="86" bestFit="1" customWidth="1"/>
    <col min="13065" max="13065" width="13.7109375" style="86" customWidth="1"/>
    <col min="13066" max="13313" width="9.140625" style="86"/>
    <col min="13314" max="13314" width="14.7109375" style="86" bestFit="1" customWidth="1"/>
    <col min="13315" max="13315" width="32.28515625" style="86" customWidth="1"/>
    <col min="13316" max="13316" width="44.140625" style="86" customWidth="1"/>
    <col min="13317" max="13318" width="0" style="86" hidden="1" customWidth="1"/>
    <col min="13319" max="13320" width="18" style="86" bestFit="1" customWidth="1"/>
    <col min="13321" max="13321" width="13.7109375" style="86" customWidth="1"/>
    <col min="13322" max="13569" width="9.140625" style="86"/>
    <col min="13570" max="13570" width="14.7109375" style="86" bestFit="1" customWidth="1"/>
    <col min="13571" max="13571" width="32.28515625" style="86" customWidth="1"/>
    <col min="13572" max="13572" width="44.140625" style="86" customWidth="1"/>
    <col min="13573" max="13574" width="0" style="86" hidden="1" customWidth="1"/>
    <col min="13575" max="13576" width="18" style="86" bestFit="1" customWidth="1"/>
    <col min="13577" max="13577" width="13.7109375" style="86" customWidth="1"/>
    <col min="13578" max="13825" width="9.140625" style="86"/>
    <col min="13826" max="13826" width="14.7109375" style="86" bestFit="1" customWidth="1"/>
    <col min="13827" max="13827" width="32.28515625" style="86" customWidth="1"/>
    <col min="13828" max="13828" width="44.140625" style="86" customWidth="1"/>
    <col min="13829" max="13830" width="0" style="86" hidden="1" customWidth="1"/>
    <col min="13831" max="13832" width="18" style="86" bestFit="1" customWidth="1"/>
    <col min="13833" max="13833" width="13.7109375" style="86" customWidth="1"/>
    <col min="13834" max="14081" width="9.140625" style="86"/>
    <col min="14082" max="14082" width="14.7109375" style="86" bestFit="1" customWidth="1"/>
    <col min="14083" max="14083" width="32.28515625" style="86" customWidth="1"/>
    <col min="14084" max="14084" width="44.140625" style="86" customWidth="1"/>
    <col min="14085" max="14086" width="0" style="86" hidden="1" customWidth="1"/>
    <col min="14087" max="14088" width="18" style="86" bestFit="1" customWidth="1"/>
    <col min="14089" max="14089" width="13.7109375" style="86" customWidth="1"/>
    <col min="14090" max="14337" width="9.140625" style="86"/>
    <col min="14338" max="14338" width="14.7109375" style="86" bestFit="1" customWidth="1"/>
    <col min="14339" max="14339" width="32.28515625" style="86" customWidth="1"/>
    <col min="14340" max="14340" width="44.140625" style="86" customWidth="1"/>
    <col min="14341" max="14342" width="0" style="86" hidden="1" customWidth="1"/>
    <col min="14343" max="14344" width="18" style="86" bestFit="1" customWidth="1"/>
    <col min="14345" max="14345" width="13.7109375" style="86" customWidth="1"/>
    <col min="14346" max="14593" width="9.140625" style="86"/>
    <col min="14594" max="14594" width="14.7109375" style="86" bestFit="1" customWidth="1"/>
    <col min="14595" max="14595" width="32.28515625" style="86" customWidth="1"/>
    <col min="14596" max="14596" width="44.140625" style="86" customWidth="1"/>
    <col min="14597" max="14598" width="0" style="86" hidden="1" customWidth="1"/>
    <col min="14599" max="14600" width="18" style="86" bestFit="1" customWidth="1"/>
    <col min="14601" max="14601" width="13.7109375" style="86" customWidth="1"/>
    <col min="14602" max="14849" width="9.140625" style="86"/>
    <col min="14850" max="14850" width="14.7109375" style="86" bestFit="1" customWidth="1"/>
    <col min="14851" max="14851" width="32.28515625" style="86" customWidth="1"/>
    <col min="14852" max="14852" width="44.140625" style="86" customWidth="1"/>
    <col min="14853" max="14854" width="0" style="86" hidden="1" customWidth="1"/>
    <col min="14855" max="14856" width="18" style="86" bestFit="1" customWidth="1"/>
    <col min="14857" max="14857" width="13.7109375" style="86" customWidth="1"/>
    <col min="14858" max="15105" width="9.140625" style="86"/>
    <col min="15106" max="15106" width="14.7109375" style="86" bestFit="1" customWidth="1"/>
    <col min="15107" max="15107" width="32.28515625" style="86" customWidth="1"/>
    <col min="15108" max="15108" width="44.140625" style="86" customWidth="1"/>
    <col min="15109" max="15110" width="0" style="86" hidden="1" customWidth="1"/>
    <col min="15111" max="15112" width="18" style="86" bestFit="1" customWidth="1"/>
    <col min="15113" max="15113" width="13.7109375" style="86" customWidth="1"/>
    <col min="15114" max="15361" width="9.140625" style="86"/>
    <col min="15362" max="15362" width="14.7109375" style="86" bestFit="1" customWidth="1"/>
    <col min="15363" max="15363" width="32.28515625" style="86" customWidth="1"/>
    <col min="15364" max="15364" width="44.140625" style="86" customWidth="1"/>
    <col min="15365" max="15366" width="0" style="86" hidden="1" customWidth="1"/>
    <col min="15367" max="15368" width="18" style="86" bestFit="1" customWidth="1"/>
    <col min="15369" max="15369" width="13.7109375" style="86" customWidth="1"/>
    <col min="15370" max="15617" width="9.140625" style="86"/>
    <col min="15618" max="15618" width="14.7109375" style="86" bestFit="1" customWidth="1"/>
    <col min="15619" max="15619" width="32.28515625" style="86" customWidth="1"/>
    <col min="15620" max="15620" width="44.140625" style="86" customWidth="1"/>
    <col min="15621" max="15622" width="0" style="86" hidden="1" customWidth="1"/>
    <col min="15623" max="15624" width="18" style="86" bestFit="1" customWidth="1"/>
    <col min="15625" max="15625" width="13.7109375" style="86" customWidth="1"/>
    <col min="15626" max="15873" width="9.140625" style="86"/>
    <col min="15874" max="15874" width="14.7109375" style="86" bestFit="1" customWidth="1"/>
    <col min="15875" max="15875" width="32.28515625" style="86" customWidth="1"/>
    <col min="15876" max="15876" width="44.140625" style="86" customWidth="1"/>
    <col min="15877" max="15878" width="0" style="86" hidden="1" customWidth="1"/>
    <col min="15879" max="15880" width="18" style="86" bestFit="1" customWidth="1"/>
    <col min="15881" max="15881" width="13.7109375" style="86" customWidth="1"/>
    <col min="15882" max="16129" width="9.140625" style="86"/>
    <col min="16130" max="16130" width="14.7109375" style="86" bestFit="1" customWidth="1"/>
    <col min="16131" max="16131" width="32.28515625" style="86" customWidth="1"/>
    <col min="16132" max="16132" width="44.140625" style="86" customWidth="1"/>
    <col min="16133" max="16134" width="0" style="86" hidden="1" customWidth="1"/>
    <col min="16135" max="16136" width="18" style="86" bestFit="1" customWidth="1"/>
    <col min="16137" max="16137" width="13.7109375" style="86" customWidth="1"/>
    <col min="16138" max="16384" width="9.140625" style="86"/>
  </cols>
  <sheetData>
    <row r="1" spans="1:21" ht="37.5" customHeight="1" x14ac:dyDescent="0.25">
      <c r="A1" s="840" t="str">
        <f>"Missio and Mill Hill Red Box Parish Results 2020 - Diocese of Menevia"</f>
        <v>Missio and Mill Hill Red Box Parish Results 2020 - Diocese of Menevia</v>
      </c>
      <c r="B1" s="256"/>
      <c r="C1" s="256"/>
      <c r="D1" s="449"/>
      <c r="E1" s="256"/>
      <c r="F1" s="256"/>
      <c r="M1" s="757">
        <v>2020</v>
      </c>
      <c r="N1" s="757">
        <v>2020</v>
      </c>
      <c r="O1" s="757">
        <v>2020</v>
      </c>
      <c r="Q1" s="256"/>
      <c r="R1" s="256"/>
    </row>
    <row r="2" spans="1:21" ht="30" customHeight="1" x14ac:dyDescent="0.3">
      <c r="A2" s="622" t="s">
        <v>1</v>
      </c>
      <c r="B2" s="622" t="s">
        <v>2</v>
      </c>
      <c r="C2" s="622" t="s">
        <v>3</v>
      </c>
      <c r="D2" s="622" t="s">
        <v>8214</v>
      </c>
      <c r="E2" s="622" t="s">
        <v>8165</v>
      </c>
      <c r="F2" s="622">
        <f>ARU!P2</f>
        <v>2019</v>
      </c>
      <c r="G2" s="622" t="s">
        <v>7809</v>
      </c>
      <c r="H2" s="622" t="s">
        <v>311</v>
      </c>
      <c r="I2" s="622" t="s">
        <v>312</v>
      </c>
      <c r="J2" s="622" t="s">
        <v>2</v>
      </c>
      <c r="K2" s="622" t="s">
        <v>11021</v>
      </c>
      <c r="L2" s="622" t="s">
        <v>10989</v>
      </c>
      <c r="M2" s="622" t="s">
        <v>308</v>
      </c>
      <c r="N2" s="622" t="s">
        <v>11022</v>
      </c>
      <c r="O2" s="622" t="s">
        <v>11010</v>
      </c>
      <c r="P2" s="622">
        <v>2020</v>
      </c>
      <c r="Q2" s="622">
        <v>2019</v>
      </c>
      <c r="R2" s="622">
        <v>2018</v>
      </c>
      <c r="S2" s="622">
        <v>2017</v>
      </c>
      <c r="T2" s="622">
        <v>2016</v>
      </c>
    </row>
    <row r="3" spans="1:21" ht="30" customHeight="1" x14ac:dyDescent="0.2">
      <c r="A3" s="89" t="str">
        <f>D3&amp;" / "&amp;E3</f>
        <v>MEN001 / 215</v>
      </c>
      <c r="B3" s="89" t="s">
        <v>7609</v>
      </c>
      <c r="C3" s="89" t="s">
        <v>3325</v>
      </c>
      <c r="D3" s="429" t="s">
        <v>3323</v>
      </c>
      <c r="E3" s="369" t="str">
        <f>VLOOKUP(D:D,'Master Table'!C:D,2,FALSE)</f>
        <v>215</v>
      </c>
      <c r="F3" s="69">
        <f>VLOOKUP(D:D,'Master Table'!C:O,13,FALSE)</f>
        <v>149</v>
      </c>
      <c r="G3" s="769" t="s">
        <v>3323</v>
      </c>
      <c r="H3" s="769" t="s">
        <v>3324</v>
      </c>
      <c r="I3" s="769" t="s">
        <v>3325</v>
      </c>
      <c r="J3" s="769" t="s">
        <v>3326</v>
      </c>
      <c r="K3" s="769" t="s">
        <v>11023</v>
      </c>
      <c r="L3" s="789" t="s">
        <v>324</v>
      </c>
      <c r="M3" s="790">
        <v>0</v>
      </c>
      <c r="N3" s="790">
        <v>174</v>
      </c>
      <c r="O3" s="790"/>
      <c r="P3" s="312">
        <v>174</v>
      </c>
      <c r="Q3" s="446">
        <v>149</v>
      </c>
      <c r="R3" s="640">
        <v>94</v>
      </c>
      <c r="S3" s="640">
        <v>134</v>
      </c>
      <c r="T3" s="640">
        <v>114</v>
      </c>
    </row>
    <row r="4" spans="1:21" ht="30" customHeight="1" x14ac:dyDescent="0.2">
      <c r="A4" s="89" t="str">
        <f t="shared" ref="A4:A47" si="0">D4&amp;" / "&amp;E4</f>
        <v>MEN002 / 216</v>
      </c>
      <c r="B4" s="89" t="s">
        <v>3326</v>
      </c>
      <c r="C4" s="89" t="s">
        <v>1203</v>
      </c>
      <c r="D4" s="429" t="s">
        <v>3327</v>
      </c>
      <c r="E4" s="369" t="str">
        <f>VLOOKUP(D:D,'Master Table'!C:D,2,FALSE)</f>
        <v>216</v>
      </c>
      <c r="F4" s="69">
        <f>VLOOKUP(D:D,'Master Table'!C:O,13,FALSE)</f>
        <v>20</v>
      </c>
      <c r="G4" s="769" t="s">
        <v>3327</v>
      </c>
      <c r="H4" s="769" t="s">
        <v>3328</v>
      </c>
      <c r="I4" s="769" t="s">
        <v>3329</v>
      </c>
      <c r="J4" s="769" t="s">
        <v>3326</v>
      </c>
      <c r="K4" s="769" t="s">
        <v>11023</v>
      </c>
      <c r="L4" s="789" t="s">
        <v>324</v>
      </c>
      <c r="M4" s="790">
        <v>0</v>
      </c>
      <c r="N4" s="790">
        <v>10</v>
      </c>
      <c r="O4" s="790"/>
      <c r="P4" s="312">
        <v>10</v>
      </c>
      <c r="Q4" s="446">
        <v>20</v>
      </c>
      <c r="R4" s="640">
        <v>20</v>
      </c>
      <c r="S4" s="640"/>
      <c r="T4" s="640"/>
    </row>
    <row r="5" spans="1:21" ht="30" customHeight="1" x14ac:dyDescent="0.2">
      <c r="A5" s="89" t="str">
        <f t="shared" si="0"/>
        <v>MEN003 / 217</v>
      </c>
      <c r="B5" s="89" t="s">
        <v>3326</v>
      </c>
      <c r="C5" s="89" t="s">
        <v>119</v>
      </c>
      <c r="D5" s="429" t="s">
        <v>3330</v>
      </c>
      <c r="E5" s="369" t="str">
        <f>VLOOKUP(D:D,'Master Table'!C:D,2,FALSE)</f>
        <v>217</v>
      </c>
      <c r="F5" s="69">
        <f>VLOOKUP(D:D,'Master Table'!C:O,13,FALSE)</f>
        <v>1841.0700000000002</v>
      </c>
      <c r="G5" s="769" t="s">
        <v>3330</v>
      </c>
      <c r="H5" s="769" t="s">
        <v>3331</v>
      </c>
      <c r="I5" s="769" t="s">
        <v>2120</v>
      </c>
      <c r="J5" s="769" t="s">
        <v>3332</v>
      </c>
      <c r="K5" s="769" t="s">
        <v>11023</v>
      </c>
      <c r="L5" s="789" t="s">
        <v>324</v>
      </c>
      <c r="M5" s="790">
        <v>1289.01</v>
      </c>
      <c r="N5" s="790">
        <v>213.15</v>
      </c>
      <c r="O5" s="790"/>
      <c r="P5" s="312">
        <v>1502.16</v>
      </c>
      <c r="Q5" s="446">
        <v>1841.0700000000002</v>
      </c>
      <c r="R5" s="640">
        <v>1613.3200000000002</v>
      </c>
      <c r="S5" s="640">
        <v>1518.83</v>
      </c>
      <c r="T5" s="640">
        <v>1216.3600000000001</v>
      </c>
    </row>
    <row r="6" spans="1:21" ht="30" customHeight="1" x14ac:dyDescent="0.2">
      <c r="A6" s="89" t="str">
        <f t="shared" si="0"/>
        <v>MEN004 / 218</v>
      </c>
      <c r="B6" s="89" t="s">
        <v>3326</v>
      </c>
      <c r="C6" s="89" t="s">
        <v>7610</v>
      </c>
      <c r="D6" s="429" t="s">
        <v>3333</v>
      </c>
      <c r="E6" s="369" t="str">
        <f>VLOOKUP(D:D,'Master Table'!C:D,2,FALSE)</f>
        <v>218</v>
      </c>
      <c r="F6" s="69">
        <f>VLOOKUP(D:D,'Master Table'!C:O,13,FALSE)</f>
        <v>583.09999999999991</v>
      </c>
      <c r="G6" s="769" t="s">
        <v>3333</v>
      </c>
      <c r="H6" s="769" t="s">
        <v>3334</v>
      </c>
      <c r="I6" s="769" t="s">
        <v>94</v>
      </c>
      <c r="J6" s="769" t="s">
        <v>3326</v>
      </c>
      <c r="K6" s="769" t="s">
        <v>11023</v>
      </c>
      <c r="L6" s="789" t="s">
        <v>324</v>
      </c>
      <c r="M6" s="790">
        <v>0</v>
      </c>
      <c r="N6" s="790">
        <v>300</v>
      </c>
      <c r="O6" s="790"/>
      <c r="P6" s="312">
        <v>300</v>
      </c>
      <c r="Q6" s="446">
        <v>583.09999999999991</v>
      </c>
      <c r="R6" s="640">
        <v>519.16999999999996</v>
      </c>
      <c r="S6" s="640">
        <v>755.26</v>
      </c>
      <c r="T6" s="640">
        <v>629.82000000000005</v>
      </c>
    </row>
    <row r="7" spans="1:21" ht="30" customHeight="1" x14ac:dyDescent="0.2">
      <c r="A7" s="89" t="str">
        <f t="shared" si="0"/>
        <v>MEN005 / 219</v>
      </c>
      <c r="B7" s="89" t="s">
        <v>3326</v>
      </c>
      <c r="C7" s="89" t="s">
        <v>5211</v>
      </c>
      <c r="D7" s="429" t="s">
        <v>3336</v>
      </c>
      <c r="E7" s="369" t="str">
        <f>VLOOKUP(D:D,'Master Table'!C:D,2,FALSE)</f>
        <v>219</v>
      </c>
      <c r="F7" s="69">
        <f>VLOOKUP(D:D,'Master Table'!C:O,13,FALSE)</f>
        <v>758.41</v>
      </c>
      <c r="G7" s="769" t="s">
        <v>3336</v>
      </c>
      <c r="H7" s="769" t="s">
        <v>3337</v>
      </c>
      <c r="I7" s="769" t="s">
        <v>1015</v>
      </c>
      <c r="J7" s="769" t="s">
        <v>3326</v>
      </c>
      <c r="K7" s="769" t="s">
        <v>11023</v>
      </c>
      <c r="L7" s="789" t="s">
        <v>324</v>
      </c>
      <c r="M7" s="790">
        <v>555.64</v>
      </c>
      <c r="N7" s="790">
        <v>175.6</v>
      </c>
      <c r="O7" s="790"/>
      <c r="P7" s="312">
        <v>731.24</v>
      </c>
      <c r="Q7" s="446">
        <v>758.41</v>
      </c>
      <c r="R7" s="640">
        <v>818.23</v>
      </c>
      <c r="S7" s="640">
        <v>959.14</v>
      </c>
      <c r="T7" s="640">
        <v>959.55000000000007</v>
      </c>
    </row>
    <row r="8" spans="1:21" ht="30" customHeight="1" x14ac:dyDescent="0.2">
      <c r="A8" s="89" t="str">
        <f t="shared" si="0"/>
        <v>MEN006 / 220</v>
      </c>
      <c r="B8" s="89" t="s">
        <v>3326</v>
      </c>
      <c r="C8" s="89" t="s">
        <v>3341</v>
      </c>
      <c r="D8" s="429" t="s">
        <v>3339</v>
      </c>
      <c r="E8" s="369" t="str">
        <f>VLOOKUP(D:D,'Master Table'!C:D,2,FALSE)</f>
        <v>220</v>
      </c>
      <c r="F8" s="69">
        <f>VLOOKUP(D:D,'Master Table'!C:O,13,FALSE)</f>
        <v>508.89</v>
      </c>
      <c r="G8" s="769" t="s">
        <v>3339</v>
      </c>
      <c r="H8" s="769" t="s">
        <v>3340</v>
      </c>
      <c r="I8" s="769" t="s">
        <v>3341</v>
      </c>
      <c r="J8" s="769" t="s">
        <v>3326</v>
      </c>
      <c r="K8" s="769" t="s">
        <v>11023</v>
      </c>
      <c r="L8" s="789" t="s">
        <v>324</v>
      </c>
      <c r="M8" s="790">
        <v>301.86</v>
      </c>
      <c r="N8" s="790"/>
      <c r="O8" s="790"/>
      <c r="P8" s="312">
        <v>301.86</v>
      </c>
      <c r="Q8" s="446">
        <v>508.89</v>
      </c>
      <c r="R8" s="640">
        <v>510.29</v>
      </c>
      <c r="S8" s="640">
        <v>442.73</v>
      </c>
      <c r="T8" s="640">
        <v>712.09</v>
      </c>
    </row>
    <row r="9" spans="1:21" ht="30" customHeight="1" x14ac:dyDescent="0.2">
      <c r="A9" s="89" t="str">
        <f t="shared" si="0"/>
        <v>MEN007 / 222</v>
      </c>
      <c r="B9" s="89" t="s">
        <v>3326</v>
      </c>
      <c r="C9" s="89" t="s">
        <v>7611</v>
      </c>
      <c r="D9" s="429" t="s">
        <v>3342</v>
      </c>
      <c r="E9" s="369" t="str">
        <f>VLOOKUP(D:D,'Master Table'!C:D,2,FALSE)</f>
        <v>222</v>
      </c>
      <c r="F9" s="69">
        <f>VLOOKUP(D:D,'Master Table'!C:O,13,FALSE)</f>
        <v>280.75</v>
      </c>
      <c r="G9" s="769" t="s">
        <v>3342</v>
      </c>
      <c r="H9" s="769" t="s">
        <v>3343</v>
      </c>
      <c r="I9" s="769" t="s">
        <v>3344</v>
      </c>
      <c r="J9" s="769" t="s">
        <v>3326</v>
      </c>
      <c r="K9" s="769" t="s">
        <v>11023</v>
      </c>
      <c r="L9" s="789" t="s">
        <v>324</v>
      </c>
      <c r="M9" s="790">
        <v>198.16</v>
      </c>
      <c r="N9" s="790"/>
      <c r="O9" s="790"/>
      <c r="P9" s="312">
        <v>198.16</v>
      </c>
      <c r="Q9" s="446">
        <v>280.75</v>
      </c>
      <c r="R9" s="640">
        <v>1001.92</v>
      </c>
      <c r="S9" s="640">
        <v>613.65</v>
      </c>
      <c r="T9" s="640">
        <v>409.03000000000003</v>
      </c>
    </row>
    <row r="10" spans="1:21" ht="30" customHeight="1" x14ac:dyDescent="0.2">
      <c r="A10" s="89" t="str">
        <f t="shared" si="0"/>
        <v>MEN008 / 223</v>
      </c>
      <c r="B10" s="89" t="s">
        <v>3326</v>
      </c>
      <c r="C10" s="89" t="s">
        <v>3347</v>
      </c>
      <c r="D10" s="429" t="s">
        <v>3345</v>
      </c>
      <c r="E10" s="369" t="str">
        <f>VLOOKUP(D:D,'Master Table'!C:D,2,FALSE)</f>
        <v>223</v>
      </c>
      <c r="F10" s="69">
        <f>VLOOKUP(D:D,'Master Table'!C:O,13,FALSE)</f>
        <v>100</v>
      </c>
      <c r="G10" s="769" t="s">
        <v>3345</v>
      </c>
      <c r="H10" s="769" t="s">
        <v>3346</v>
      </c>
      <c r="I10" s="769" t="s">
        <v>3347</v>
      </c>
      <c r="J10" s="769" t="s">
        <v>3326</v>
      </c>
      <c r="K10" s="769" t="s">
        <v>11023</v>
      </c>
      <c r="L10" s="789" t="s">
        <v>324</v>
      </c>
      <c r="M10" s="790">
        <v>0</v>
      </c>
      <c r="N10" s="790">
        <v>70</v>
      </c>
      <c r="O10" s="790">
        <v>177.45</v>
      </c>
      <c r="P10" s="312">
        <v>247.45</v>
      </c>
      <c r="Q10" s="446">
        <v>100</v>
      </c>
      <c r="R10" s="640">
        <v>310</v>
      </c>
      <c r="S10" s="640">
        <v>578</v>
      </c>
      <c r="T10" s="640">
        <v>1037</v>
      </c>
    </row>
    <row r="11" spans="1:21" ht="30" customHeight="1" x14ac:dyDescent="0.2">
      <c r="A11" s="89" t="str">
        <f t="shared" si="0"/>
        <v>MEN009 / 224</v>
      </c>
      <c r="B11" s="89" t="s">
        <v>3326</v>
      </c>
      <c r="C11" s="89" t="s">
        <v>1065</v>
      </c>
      <c r="D11" s="429" t="s">
        <v>3348</v>
      </c>
      <c r="E11" s="369" t="str">
        <f>VLOOKUP(D:D,'Master Table'!C:D,2,FALSE)</f>
        <v>224</v>
      </c>
      <c r="F11" s="69">
        <f>VLOOKUP(D:D,'Master Table'!C:O,13,FALSE)</f>
        <v>402.05</v>
      </c>
      <c r="G11" s="769" t="s">
        <v>3348</v>
      </c>
      <c r="H11" s="769" t="s">
        <v>3349</v>
      </c>
      <c r="I11" s="769" t="s">
        <v>276</v>
      </c>
      <c r="J11" s="769" t="s">
        <v>3326</v>
      </c>
      <c r="K11" s="769" t="s">
        <v>11023</v>
      </c>
      <c r="L11" s="789" t="s">
        <v>324</v>
      </c>
      <c r="M11" s="790">
        <v>0</v>
      </c>
      <c r="N11" s="790">
        <v>490</v>
      </c>
      <c r="O11" s="790"/>
      <c r="P11" s="312">
        <v>490</v>
      </c>
      <c r="Q11" s="446">
        <v>402.05</v>
      </c>
      <c r="R11" s="640">
        <v>641</v>
      </c>
      <c r="S11" s="640">
        <v>660</v>
      </c>
      <c r="T11" s="640">
        <v>302.61</v>
      </c>
    </row>
    <row r="12" spans="1:21" ht="30" customHeight="1" x14ac:dyDescent="0.2">
      <c r="A12" s="89" t="str">
        <f t="shared" si="0"/>
        <v>MEN010 / 225</v>
      </c>
      <c r="B12" s="89" t="s">
        <v>3326</v>
      </c>
      <c r="C12" s="89" t="s">
        <v>1284</v>
      </c>
      <c r="D12" s="429" t="s">
        <v>3350</v>
      </c>
      <c r="E12" s="369" t="str">
        <f>VLOOKUP(D:D,'Master Table'!C:D,2,FALSE)</f>
        <v>225</v>
      </c>
      <c r="F12" s="69">
        <f>VLOOKUP(D:D,'Master Table'!C:O,13,FALSE)</f>
        <v>130</v>
      </c>
      <c r="G12" s="769" t="s">
        <v>3350</v>
      </c>
      <c r="H12" s="769" t="s">
        <v>3351</v>
      </c>
      <c r="I12" s="769" t="s">
        <v>47</v>
      </c>
      <c r="J12" s="769" t="s">
        <v>3326</v>
      </c>
      <c r="K12" s="769" t="s">
        <v>11023</v>
      </c>
      <c r="L12" s="789" t="s">
        <v>324</v>
      </c>
      <c r="M12" s="790">
        <v>0</v>
      </c>
      <c r="N12" s="790">
        <v>110</v>
      </c>
      <c r="O12" s="790"/>
      <c r="P12" s="312">
        <v>110</v>
      </c>
      <c r="Q12" s="446">
        <v>130</v>
      </c>
      <c r="R12" s="640">
        <v>328.36</v>
      </c>
      <c r="S12" s="640">
        <v>539.02</v>
      </c>
      <c r="T12" s="640">
        <v>1107.3399999999999</v>
      </c>
    </row>
    <row r="13" spans="1:21" ht="30" customHeight="1" x14ac:dyDescent="0.2">
      <c r="A13" s="89" t="str">
        <f t="shared" si="0"/>
        <v>MEN011 / 226</v>
      </c>
      <c r="B13" s="89" t="s">
        <v>3355</v>
      </c>
      <c r="C13" s="89" t="s">
        <v>7612</v>
      </c>
      <c r="D13" s="429" t="s">
        <v>3352</v>
      </c>
      <c r="E13" s="369" t="str">
        <f>VLOOKUP(D:D,'Master Table'!C:D,2,FALSE)</f>
        <v>226</v>
      </c>
      <c r="F13" s="69">
        <f>VLOOKUP(D:D,'Master Table'!C:O,13,FALSE)</f>
        <v>730.48</v>
      </c>
      <c r="G13" s="769" t="s">
        <v>3352</v>
      </c>
      <c r="H13" s="769" t="s">
        <v>3353</v>
      </c>
      <c r="I13" s="769" t="s">
        <v>3354</v>
      </c>
      <c r="J13" s="769" t="s">
        <v>3355</v>
      </c>
      <c r="K13" s="769" t="s">
        <v>11024</v>
      </c>
      <c r="L13" s="789" t="s">
        <v>324</v>
      </c>
      <c r="M13" s="790">
        <v>266.89</v>
      </c>
      <c r="N13" s="790">
        <v>350</v>
      </c>
      <c r="O13" s="790"/>
      <c r="P13" s="312">
        <v>616.89</v>
      </c>
      <c r="Q13" s="446">
        <v>730.48</v>
      </c>
      <c r="R13" s="640">
        <v>817.02</v>
      </c>
      <c r="S13" s="640">
        <v>823.75</v>
      </c>
      <c r="T13" s="640">
        <v>1395.6200000000001</v>
      </c>
    </row>
    <row r="14" spans="1:21" ht="30" customHeight="1" x14ac:dyDescent="0.2">
      <c r="A14" s="89" t="str">
        <f t="shared" si="0"/>
        <v>MEN013 / 228</v>
      </c>
      <c r="B14" s="89" t="s">
        <v>7614</v>
      </c>
      <c r="C14" s="89" t="s">
        <v>8392</v>
      </c>
      <c r="D14" s="429" t="s">
        <v>3357</v>
      </c>
      <c r="E14" s="369" t="str">
        <f>VLOOKUP(D:D,'Master Table'!C:D,2,FALSE)</f>
        <v>228</v>
      </c>
      <c r="F14" s="69">
        <f>VLOOKUP(D:D,'Master Table'!C:O,13,FALSE)</f>
        <v>415</v>
      </c>
      <c r="G14" s="769" t="s">
        <v>3357</v>
      </c>
      <c r="H14" s="769" t="s">
        <v>3358</v>
      </c>
      <c r="I14" s="769" t="s">
        <v>3359</v>
      </c>
      <c r="J14" s="769" t="s">
        <v>3360</v>
      </c>
      <c r="K14" s="769" t="s">
        <v>11025</v>
      </c>
      <c r="L14" s="789" t="s">
        <v>324</v>
      </c>
      <c r="M14" s="790">
        <v>71</v>
      </c>
      <c r="N14" s="790"/>
      <c r="O14" s="790"/>
      <c r="P14" s="312">
        <v>71</v>
      </c>
      <c r="Q14" s="446">
        <v>415</v>
      </c>
      <c r="R14" s="640">
        <v>309</v>
      </c>
      <c r="S14" s="640">
        <v>987.4</v>
      </c>
      <c r="T14" s="640">
        <v>912.32</v>
      </c>
    </row>
    <row r="15" spans="1:21" ht="30" customHeight="1" x14ac:dyDescent="0.2">
      <c r="A15" s="89" t="str">
        <f t="shared" ref="A15" si="1">D15&amp;" / "&amp;E15</f>
        <v>MEN028 / 243</v>
      </c>
      <c r="B15" s="89"/>
      <c r="C15" s="89" t="s">
        <v>8303</v>
      </c>
      <c r="D15" s="429" t="s">
        <v>3418</v>
      </c>
      <c r="E15" s="369" t="str">
        <f>VLOOKUP(D:D,'Master Table'!C:D,2,FALSE)</f>
        <v>243</v>
      </c>
      <c r="F15" s="69">
        <f>VLOOKUP(D:D,'Master Table'!C:O,13,FALSE)</f>
        <v>394</v>
      </c>
      <c r="G15" s="769"/>
      <c r="H15" s="769"/>
      <c r="I15" s="769"/>
      <c r="J15" s="769"/>
      <c r="K15" s="769"/>
      <c r="L15" s="789"/>
      <c r="M15" s="790"/>
      <c r="N15" s="790"/>
      <c r="O15" s="790"/>
      <c r="P15" s="312"/>
      <c r="Q15" s="446">
        <v>394</v>
      </c>
      <c r="R15" s="640">
        <v>368.65</v>
      </c>
      <c r="S15" s="640"/>
      <c r="T15" s="640"/>
      <c r="U15" s="86" t="s">
        <v>7262</v>
      </c>
    </row>
    <row r="16" spans="1:21" ht="30" customHeight="1" x14ac:dyDescent="0.2">
      <c r="A16" s="89" t="str">
        <f t="shared" si="0"/>
        <v>MEN014 / 229</v>
      </c>
      <c r="B16" s="89" t="s">
        <v>7617</v>
      </c>
      <c r="C16" s="89" t="s">
        <v>8237</v>
      </c>
      <c r="D16" s="429" t="s">
        <v>3361</v>
      </c>
      <c r="E16" s="369" t="str">
        <f>VLOOKUP(D:D,'Master Table'!C:D,2,FALSE)</f>
        <v>229</v>
      </c>
      <c r="F16" s="69">
        <f>VLOOKUP(D:D,'Master Table'!C:O,13,FALSE)</f>
        <v>1038</v>
      </c>
      <c r="G16" s="769" t="s">
        <v>3361</v>
      </c>
      <c r="H16" s="769" t="s">
        <v>3362</v>
      </c>
      <c r="I16" s="769" t="s">
        <v>252</v>
      </c>
      <c r="J16" s="769" t="s">
        <v>3363</v>
      </c>
      <c r="K16" s="769" t="s">
        <v>11024</v>
      </c>
      <c r="L16" s="789" t="s">
        <v>324</v>
      </c>
      <c r="M16" s="790">
        <v>693.42</v>
      </c>
      <c r="N16" s="790">
        <v>55</v>
      </c>
      <c r="O16" s="790"/>
      <c r="P16" s="898">
        <v>748.42</v>
      </c>
      <c r="Q16" s="856">
        <v>1038</v>
      </c>
      <c r="R16" s="900">
        <v>761.18</v>
      </c>
      <c r="S16" s="640">
        <v>744.78</v>
      </c>
      <c r="T16" s="640">
        <v>761.38</v>
      </c>
    </row>
    <row r="17" spans="1:21" ht="30" customHeight="1" x14ac:dyDescent="0.2">
      <c r="A17" s="89" t="str">
        <f t="shared" ref="A17" si="2">D17&amp;" / "&amp;E17</f>
        <v>MEN022 / 0479480</v>
      </c>
      <c r="B17" s="89"/>
      <c r="C17" s="89"/>
      <c r="D17" s="429" t="s">
        <v>3391</v>
      </c>
      <c r="E17" s="369" t="str">
        <f>VLOOKUP(D:D,'Master Table'!C:D,2,FALSE)</f>
        <v>0479480</v>
      </c>
      <c r="F17" s="69">
        <f>VLOOKUP(D:D,'Master Table'!C:O,13,FALSE)</f>
        <v>0</v>
      </c>
      <c r="G17" s="769"/>
      <c r="H17" s="769"/>
      <c r="I17" s="769"/>
      <c r="J17" s="769"/>
      <c r="K17" s="769"/>
      <c r="L17" s="789"/>
      <c r="M17" s="790" t="s">
        <v>11029</v>
      </c>
      <c r="N17" s="790"/>
      <c r="O17" s="790"/>
      <c r="P17" s="899"/>
      <c r="Q17" s="857"/>
      <c r="R17" s="901"/>
      <c r="S17" s="640"/>
      <c r="T17" s="640"/>
      <c r="U17" s="86" t="s">
        <v>7262</v>
      </c>
    </row>
    <row r="18" spans="1:21" ht="30" customHeight="1" x14ac:dyDescent="0.2">
      <c r="A18" s="89" t="str">
        <f t="shared" si="0"/>
        <v>MEN015 / 230</v>
      </c>
      <c r="B18" s="89" t="s">
        <v>7619</v>
      </c>
      <c r="C18" s="89" t="s">
        <v>127</v>
      </c>
      <c r="D18" s="429" t="s">
        <v>3364</v>
      </c>
      <c r="E18" s="369" t="str">
        <f>VLOOKUP(D:D,'Master Table'!C:D,2,FALSE)</f>
        <v>230</v>
      </c>
      <c r="F18" s="69">
        <f>VLOOKUP(D:D,'Master Table'!C:O,13,FALSE)</f>
        <v>395.12</v>
      </c>
      <c r="G18" s="769" t="s">
        <v>3364</v>
      </c>
      <c r="H18" s="769" t="s">
        <v>3365</v>
      </c>
      <c r="I18" s="769" t="s">
        <v>127</v>
      </c>
      <c r="J18" s="769" t="s">
        <v>7619</v>
      </c>
      <c r="K18" s="769" t="s">
        <v>11026</v>
      </c>
      <c r="L18" s="789" t="s">
        <v>324</v>
      </c>
      <c r="M18" s="790">
        <v>454.1</v>
      </c>
      <c r="N18" s="790"/>
      <c r="O18" s="790"/>
      <c r="P18" s="312">
        <v>454.1</v>
      </c>
      <c r="Q18" s="446">
        <v>395.12</v>
      </c>
      <c r="R18" s="640">
        <v>364.2</v>
      </c>
      <c r="S18" s="640">
        <v>675.94</v>
      </c>
      <c r="T18" s="640">
        <v>373.52</v>
      </c>
    </row>
    <row r="19" spans="1:21" ht="30" customHeight="1" x14ac:dyDescent="0.2">
      <c r="A19" s="89" t="str">
        <f t="shared" si="0"/>
        <v>MEN017 / 231</v>
      </c>
      <c r="B19" s="89" t="s">
        <v>3369</v>
      </c>
      <c r="C19" s="89" t="s">
        <v>119</v>
      </c>
      <c r="D19" s="429" t="s">
        <v>3367</v>
      </c>
      <c r="E19" s="369" t="str">
        <f>VLOOKUP(D:D,'Master Table'!C:D,2,FALSE)</f>
        <v>231</v>
      </c>
      <c r="F19" s="69">
        <f>VLOOKUP(D:D,'Master Table'!C:O,13,FALSE)</f>
        <v>0</v>
      </c>
      <c r="G19" s="769" t="s">
        <v>3367</v>
      </c>
      <c r="H19" s="769" t="s">
        <v>3368</v>
      </c>
      <c r="I19" s="769" t="s">
        <v>119</v>
      </c>
      <c r="J19" s="769" t="s">
        <v>3369</v>
      </c>
      <c r="K19" s="769" t="s">
        <v>11025</v>
      </c>
      <c r="L19" s="789" t="s">
        <v>324</v>
      </c>
      <c r="M19" s="790">
        <v>526</v>
      </c>
      <c r="N19" s="790">
        <v>80</v>
      </c>
      <c r="O19" s="790"/>
      <c r="P19" s="312">
        <v>606</v>
      </c>
      <c r="Q19" s="446">
        <v>0</v>
      </c>
      <c r="R19" s="640">
        <v>1092.8699999999999</v>
      </c>
      <c r="S19" s="640">
        <v>20</v>
      </c>
      <c r="T19" s="640">
        <v>0</v>
      </c>
    </row>
    <row r="20" spans="1:21" ht="30" customHeight="1" x14ac:dyDescent="0.2">
      <c r="A20" s="89" t="str">
        <f t="shared" si="0"/>
        <v>MEN019 / 233</v>
      </c>
      <c r="B20" s="89" t="s">
        <v>7620</v>
      </c>
      <c r="C20" s="89" t="s">
        <v>7621</v>
      </c>
      <c r="D20" s="429" t="s">
        <v>3374</v>
      </c>
      <c r="E20" s="369" t="str">
        <f>VLOOKUP(D:D,'Master Table'!C:D,2,FALSE)</f>
        <v>233</v>
      </c>
      <c r="F20" s="69">
        <f>VLOOKUP(D:D,'Master Table'!C:O,13,FALSE)</f>
        <v>1162.47</v>
      </c>
      <c r="G20" s="769" t="s">
        <v>3374</v>
      </c>
      <c r="H20" s="769" t="s">
        <v>3375</v>
      </c>
      <c r="I20" s="769" t="s">
        <v>3376</v>
      </c>
      <c r="J20" s="769" t="s">
        <v>3377</v>
      </c>
      <c r="K20" s="769" t="s">
        <v>11027</v>
      </c>
      <c r="L20" s="789" t="s">
        <v>324</v>
      </c>
      <c r="M20" s="790">
        <v>0</v>
      </c>
      <c r="N20" s="790">
        <v>205</v>
      </c>
      <c r="O20" s="790">
        <v>738.75</v>
      </c>
      <c r="P20" s="312">
        <v>943.75</v>
      </c>
      <c r="Q20" s="446">
        <v>1162.47</v>
      </c>
      <c r="R20" s="640">
        <v>1037.3900000000001</v>
      </c>
      <c r="S20" s="640">
        <v>1065.0899999999999</v>
      </c>
      <c r="T20" s="640">
        <v>1033.5</v>
      </c>
    </row>
    <row r="21" spans="1:21" ht="30" customHeight="1" x14ac:dyDescent="0.2">
      <c r="A21" s="89" t="s">
        <v>11031</v>
      </c>
      <c r="B21" s="89" t="s">
        <v>3381</v>
      </c>
      <c r="C21" s="89" t="s">
        <v>3380</v>
      </c>
      <c r="D21" s="769" t="s">
        <v>3378</v>
      </c>
      <c r="E21" s="769" t="s">
        <v>3379</v>
      </c>
      <c r="F21" s="69"/>
      <c r="G21" s="769" t="s">
        <v>3378</v>
      </c>
      <c r="H21" s="769" t="s">
        <v>3379</v>
      </c>
      <c r="I21" s="769" t="s">
        <v>3380</v>
      </c>
      <c r="J21" s="769" t="s">
        <v>3381</v>
      </c>
      <c r="K21" s="769" t="s">
        <v>11025</v>
      </c>
      <c r="L21" s="789" t="s">
        <v>324</v>
      </c>
      <c r="M21" s="790">
        <v>0</v>
      </c>
      <c r="N21" s="790">
        <v>215</v>
      </c>
      <c r="O21" s="790"/>
      <c r="P21" s="312">
        <v>215</v>
      </c>
      <c r="Q21" s="446"/>
      <c r="R21" s="640"/>
      <c r="S21" s="640"/>
      <c r="T21" s="640"/>
    </row>
    <row r="22" spans="1:21" ht="30" customHeight="1" x14ac:dyDescent="0.2">
      <c r="A22" s="89" t="str">
        <f t="shared" si="0"/>
        <v>MEN020A / 234</v>
      </c>
      <c r="B22" s="89" t="s">
        <v>3384</v>
      </c>
      <c r="C22" s="89" t="s">
        <v>7622</v>
      </c>
      <c r="D22" s="429" t="s">
        <v>3382</v>
      </c>
      <c r="E22" s="369" t="str">
        <f>VLOOKUP(D:D,'Master Table'!C:D,2,FALSE)</f>
        <v>234</v>
      </c>
      <c r="F22" s="69">
        <f>VLOOKUP(D:D,'Master Table'!C:O,13,FALSE)</f>
        <v>1886.1100000000001</v>
      </c>
      <c r="G22" s="769" t="s">
        <v>3382</v>
      </c>
      <c r="H22" s="769" t="s">
        <v>3383</v>
      </c>
      <c r="I22" s="769" t="s">
        <v>31</v>
      </c>
      <c r="J22" s="769" t="s">
        <v>3384</v>
      </c>
      <c r="K22" s="769" t="s">
        <v>11025</v>
      </c>
      <c r="L22" s="789" t="s">
        <v>324</v>
      </c>
      <c r="M22" s="790">
        <v>1183.2</v>
      </c>
      <c r="N22" s="790"/>
      <c r="O22" s="790"/>
      <c r="P22" s="312">
        <v>1183.2</v>
      </c>
      <c r="Q22" s="446">
        <v>1886.1100000000001</v>
      </c>
      <c r="R22" s="640">
        <v>1135.3399999999999</v>
      </c>
      <c r="S22" s="640">
        <v>1088.81</v>
      </c>
      <c r="T22" s="640">
        <v>1187.6600000000001</v>
      </c>
    </row>
    <row r="23" spans="1:21" ht="30" customHeight="1" x14ac:dyDescent="0.2">
      <c r="A23" s="89" t="str">
        <f t="shared" si="0"/>
        <v>MEN021 / 235</v>
      </c>
      <c r="B23" s="89" t="s">
        <v>7623</v>
      </c>
      <c r="C23" s="89" t="s">
        <v>7624</v>
      </c>
      <c r="D23" s="429" t="s">
        <v>3389</v>
      </c>
      <c r="E23" s="369" t="str">
        <f>VLOOKUP(D:D,'Master Table'!C:D,2,FALSE)</f>
        <v>235</v>
      </c>
      <c r="F23" s="69">
        <f>VLOOKUP(D:D,'Master Table'!C:O,13,FALSE)</f>
        <v>751.61</v>
      </c>
      <c r="G23" s="769" t="s">
        <v>3389</v>
      </c>
      <c r="H23" s="769" t="s">
        <v>3390</v>
      </c>
      <c r="I23" s="769" t="s">
        <v>1015</v>
      </c>
      <c r="J23" s="769" t="s">
        <v>11028</v>
      </c>
      <c r="K23" s="769" t="s">
        <v>11023</v>
      </c>
      <c r="L23" s="789" t="s">
        <v>324</v>
      </c>
      <c r="M23" s="790">
        <v>306.56</v>
      </c>
      <c r="N23" s="790"/>
      <c r="O23" s="790"/>
      <c r="P23" s="312">
        <v>306.56</v>
      </c>
      <c r="Q23" s="446">
        <v>751.61</v>
      </c>
      <c r="R23" s="640">
        <v>240</v>
      </c>
      <c r="S23" s="640">
        <v>0</v>
      </c>
      <c r="T23" s="640">
        <v>421.64</v>
      </c>
    </row>
    <row r="24" spans="1:21" ht="30" customHeight="1" x14ac:dyDescent="0.2">
      <c r="A24" s="89" t="str">
        <f t="shared" si="0"/>
        <v>MEN023 / 237</v>
      </c>
      <c r="B24" s="89" t="s">
        <v>7625</v>
      </c>
      <c r="C24" s="89" t="s">
        <v>7626</v>
      </c>
      <c r="D24" s="429" t="s">
        <v>3394</v>
      </c>
      <c r="E24" s="369" t="str">
        <f>VLOOKUP(D:D,'Master Table'!C:D,2,FALSE)</f>
        <v>237</v>
      </c>
      <c r="F24" s="69">
        <f>VLOOKUP(D:D,'Master Table'!C:O,13,FALSE)</f>
        <v>100</v>
      </c>
      <c r="G24" s="769" t="s">
        <v>3394</v>
      </c>
      <c r="H24" s="769" t="s">
        <v>3395</v>
      </c>
      <c r="I24" s="769" t="s">
        <v>3396</v>
      </c>
      <c r="J24" s="769" t="s">
        <v>3397</v>
      </c>
      <c r="K24" s="769" t="s">
        <v>11027</v>
      </c>
      <c r="L24" s="789" t="s">
        <v>324</v>
      </c>
      <c r="M24" s="790">
        <v>0</v>
      </c>
      <c r="N24" s="790"/>
      <c r="O24" s="790">
        <v>98.25</v>
      </c>
      <c r="P24" s="312">
        <v>98.25</v>
      </c>
      <c r="Q24" s="446">
        <v>100</v>
      </c>
      <c r="R24" s="640">
        <v>204.49</v>
      </c>
      <c r="S24" s="640">
        <v>137.37</v>
      </c>
      <c r="T24" s="640">
        <v>110</v>
      </c>
    </row>
    <row r="25" spans="1:21" ht="30" customHeight="1" x14ac:dyDescent="0.2">
      <c r="A25" s="89" t="str">
        <f t="shared" si="0"/>
        <v>MEN024 / 238</v>
      </c>
      <c r="B25" s="89" t="s">
        <v>7627</v>
      </c>
      <c r="C25" s="89" t="s">
        <v>3400</v>
      </c>
      <c r="D25" s="429" t="s">
        <v>3398</v>
      </c>
      <c r="E25" s="369" t="str">
        <f>VLOOKUP(D:D,'Master Table'!C:D,2,FALSE)</f>
        <v>238</v>
      </c>
      <c r="F25" s="69">
        <f>VLOOKUP(D:D,'Master Table'!C:O,13,FALSE)</f>
        <v>120</v>
      </c>
      <c r="G25" s="769" t="s">
        <v>3398</v>
      </c>
      <c r="H25" s="769" t="s">
        <v>3399</v>
      </c>
      <c r="I25" s="769" t="s">
        <v>3400</v>
      </c>
      <c r="J25" s="769" t="s">
        <v>7627</v>
      </c>
      <c r="K25" s="788" t="s">
        <v>3326</v>
      </c>
      <c r="L25" s="789" t="s">
        <v>324</v>
      </c>
      <c r="M25" s="790">
        <v>0</v>
      </c>
      <c r="N25" s="790">
        <v>170</v>
      </c>
      <c r="O25" s="790"/>
      <c r="P25" s="312">
        <v>170</v>
      </c>
      <c r="Q25" s="446">
        <v>120</v>
      </c>
      <c r="R25" s="640">
        <v>225</v>
      </c>
      <c r="S25" s="640">
        <v>267</v>
      </c>
      <c r="T25" s="640">
        <v>530</v>
      </c>
    </row>
    <row r="26" spans="1:21" ht="30" customHeight="1" x14ac:dyDescent="0.2">
      <c r="A26" s="89" t="str">
        <f t="shared" si="0"/>
        <v>MEN025 / 239</v>
      </c>
      <c r="B26" s="89" t="s">
        <v>3404</v>
      </c>
      <c r="C26" s="89" t="s">
        <v>3403</v>
      </c>
      <c r="D26" s="429" t="s">
        <v>3401</v>
      </c>
      <c r="E26" s="369" t="str">
        <f>VLOOKUP(D:D,'Master Table'!C:D,2,FALSE)</f>
        <v>239</v>
      </c>
      <c r="F26" s="69">
        <f>VLOOKUP(D:D,'Master Table'!C:O,13,FALSE)</f>
        <v>1955</v>
      </c>
      <c r="G26" s="769" t="s">
        <v>3401</v>
      </c>
      <c r="H26" s="769" t="s">
        <v>3402</v>
      </c>
      <c r="I26" s="769" t="s">
        <v>3403</v>
      </c>
      <c r="J26" s="769" t="s">
        <v>3404</v>
      </c>
      <c r="K26" s="769" t="s">
        <v>11027</v>
      </c>
      <c r="L26" s="789" t="s">
        <v>324</v>
      </c>
      <c r="M26" s="790">
        <v>1365</v>
      </c>
      <c r="N26" s="790">
        <v>335</v>
      </c>
      <c r="O26" s="790"/>
      <c r="P26" s="312">
        <v>1700</v>
      </c>
      <c r="Q26" s="446">
        <v>1955</v>
      </c>
      <c r="R26" s="640">
        <v>1997</v>
      </c>
      <c r="S26" s="640">
        <v>2186</v>
      </c>
      <c r="T26" s="640">
        <v>2143</v>
      </c>
    </row>
    <row r="27" spans="1:21" ht="30" customHeight="1" x14ac:dyDescent="0.2">
      <c r="A27" s="89" t="str">
        <f t="shared" si="0"/>
        <v>MEN026 / 240</v>
      </c>
      <c r="B27" s="89" t="s">
        <v>7628</v>
      </c>
      <c r="C27" s="89" t="s">
        <v>532</v>
      </c>
      <c r="D27" s="429" t="s">
        <v>3409</v>
      </c>
      <c r="E27" s="369" t="str">
        <f>VLOOKUP(D:D,'Master Table'!C:D,2,FALSE)</f>
        <v>240</v>
      </c>
      <c r="F27" s="69">
        <f>VLOOKUP(D:D,'Master Table'!C:O,13,FALSE)</f>
        <v>506.02</v>
      </c>
      <c r="G27" s="769" t="s">
        <v>3409</v>
      </c>
      <c r="H27" s="769" t="s">
        <v>3410</v>
      </c>
      <c r="I27" s="769" t="s">
        <v>61</v>
      </c>
      <c r="J27" s="769" t="s">
        <v>7628</v>
      </c>
      <c r="K27" s="769" t="s">
        <v>11024</v>
      </c>
      <c r="L27" s="789" t="s">
        <v>324</v>
      </c>
      <c r="M27" s="790">
        <v>0</v>
      </c>
      <c r="N27" s="790">
        <v>330</v>
      </c>
      <c r="O27" s="790"/>
      <c r="P27" s="312">
        <v>330</v>
      </c>
      <c r="Q27" s="446">
        <v>506.02</v>
      </c>
      <c r="R27" s="640">
        <v>587.06999999999994</v>
      </c>
      <c r="S27" s="640">
        <v>614.83999999999992</v>
      </c>
      <c r="T27" s="640">
        <v>753.77</v>
      </c>
    </row>
    <row r="28" spans="1:21" ht="30" customHeight="1" x14ac:dyDescent="0.2">
      <c r="A28" s="89" t="str">
        <f t="shared" si="0"/>
        <v>MEN027 / 241</v>
      </c>
      <c r="B28" s="89" t="s">
        <v>7630</v>
      </c>
      <c r="C28" s="89" t="s">
        <v>3222</v>
      </c>
      <c r="D28" s="429" t="s">
        <v>3412</v>
      </c>
      <c r="E28" s="369" t="str">
        <f>VLOOKUP(D:D,'Master Table'!C:D,2,FALSE)</f>
        <v>241</v>
      </c>
      <c r="F28" s="69">
        <f>VLOOKUP(D:D,'Master Table'!C:O,13,FALSE)</f>
        <v>434.09999999999997</v>
      </c>
      <c r="G28" s="769" t="s">
        <v>3412</v>
      </c>
      <c r="H28" s="769" t="s">
        <v>3413</v>
      </c>
      <c r="I28" s="769" t="s">
        <v>3222</v>
      </c>
      <c r="J28" s="769" t="s">
        <v>3414</v>
      </c>
      <c r="K28" s="769" t="s">
        <v>11025</v>
      </c>
      <c r="L28" s="789" t="s">
        <v>324</v>
      </c>
      <c r="M28" s="790">
        <v>150.77000000000001</v>
      </c>
      <c r="N28" s="790"/>
      <c r="O28" s="790"/>
      <c r="P28" s="898">
        <v>150.77000000000001</v>
      </c>
      <c r="Q28" s="856">
        <v>434.09999999999997</v>
      </c>
      <c r="R28" s="900">
        <v>117</v>
      </c>
      <c r="S28" s="640">
        <v>293.62</v>
      </c>
      <c r="T28" s="640">
        <v>108</v>
      </c>
      <c r="U28" s="86" t="s">
        <v>7262</v>
      </c>
    </row>
    <row r="29" spans="1:21" ht="30" customHeight="1" x14ac:dyDescent="0.2">
      <c r="A29" s="89" t="str">
        <f t="shared" ref="A29" si="3">D29&amp;" / "&amp;E29</f>
        <v>MEN029 / 244</v>
      </c>
      <c r="B29" s="89"/>
      <c r="C29" s="89"/>
      <c r="D29" s="429" t="s">
        <v>3422</v>
      </c>
      <c r="E29" s="369" t="str">
        <f>VLOOKUP(D:D,'Master Table'!C:D,2,FALSE)</f>
        <v>244</v>
      </c>
      <c r="F29" s="69">
        <f>VLOOKUP(D:D,'Master Table'!C:O,13,FALSE)</f>
        <v>0</v>
      </c>
      <c r="G29" s="769"/>
      <c r="H29" s="769"/>
      <c r="I29" s="769"/>
      <c r="J29" s="769"/>
      <c r="K29" s="769"/>
      <c r="L29" s="789"/>
      <c r="M29" s="790"/>
      <c r="N29" s="790"/>
      <c r="O29" s="790"/>
      <c r="P29" s="899"/>
      <c r="Q29" s="857"/>
      <c r="R29" s="901"/>
      <c r="S29" s="640"/>
      <c r="T29" s="640"/>
    </row>
    <row r="30" spans="1:21" ht="30" customHeight="1" x14ac:dyDescent="0.2">
      <c r="A30" s="89" t="str">
        <f t="shared" si="0"/>
        <v>MEN027A / 148014</v>
      </c>
      <c r="B30" s="89" t="s">
        <v>3417</v>
      </c>
      <c r="C30" s="89" t="s">
        <v>1349</v>
      </c>
      <c r="D30" s="429" t="s">
        <v>3415</v>
      </c>
      <c r="E30" s="369" t="str">
        <f>VLOOKUP(D:D,'Master Table'!C:D,2,FALSE)</f>
        <v>148014</v>
      </c>
      <c r="F30" s="69">
        <f>VLOOKUP(D:D,'Master Table'!C:O,13,FALSE)</f>
        <v>262.36</v>
      </c>
      <c r="G30" s="769" t="s">
        <v>3415</v>
      </c>
      <c r="H30" s="769" t="s">
        <v>3416</v>
      </c>
      <c r="I30" s="769" t="s">
        <v>94</v>
      </c>
      <c r="J30" s="769" t="s">
        <v>3417</v>
      </c>
      <c r="K30" s="769" t="s">
        <v>11024</v>
      </c>
      <c r="L30" s="789" t="s">
        <v>324</v>
      </c>
      <c r="M30" s="790">
        <v>126.95</v>
      </c>
      <c r="N30" s="790"/>
      <c r="O30" s="790"/>
      <c r="P30" s="312">
        <v>126.95</v>
      </c>
      <c r="Q30" s="446">
        <v>262.36</v>
      </c>
      <c r="R30" s="640">
        <v>249.08</v>
      </c>
      <c r="S30" s="640">
        <v>273.14999999999998</v>
      </c>
      <c r="T30" s="640">
        <v>360.66</v>
      </c>
    </row>
    <row r="31" spans="1:21" ht="30" customHeight="1" x14ac:dyDescent="0.2">
      <c r="A31" s="89" t="str">
        <f t="shared" si="0"/>
        <v>MEN031 / 245</v>
      </c>
      <c r="B31" s="89" t="s">
        <v>3428</v>
      </c>
      <c r="C31" s="89" t="s">
        <v>7632</v>
      </c>
      <c r="D31" s="429" t="s">
        <v>3425</v>
      </c>
      <c r="E31" s="369" t="str">
        <f>VLOOKUP(D:D,'Master Table'!C:D,2,FALSE)</f>
        <v>245</v>
      </c>
      <c r="F31" s="69">
        <f>VLOOKUP(D:D,'Master Table'!C:O,13,FALSE)</f>
        <v>1792.6</v>
      </c>
      <c r="G31" s="769" t="s">
        <v>3425</v>
      </c>
      <c r="H31" s="769" t="s">
        <v>3426</v>
      </c>
      <c r="I31" s="769" t="s">
        <v>3427</v>
      </c>
      <c r="J31" s="769" t="s">
        <v>3428</v>
      </c>
      <c r="K31" s="769" t="s">
        <v>11024</v>
      </c>
      <c r="L31" s="789" t="s">
        <v>324</v>
      </c>
      <c r="M31" s="790">
        <v>209.05</v>
      </c>
      <c r="N31" s="790">
        <v>117</v>
      </c>
      <c r="O31" s="790"/>
      <c r="P31" s="312">
        <v>326.05</v>
      </c>
      <c r="Q31" s="446">
        <v>1792.6</v>
      </c>
      <c r="R31" s="640">
        <v>787.03</v>
      </c>
      <c r="S31" s="640">
        <v>844.96</v>
      </c>
      <c r="T31" s="640">
        <v>665.97</v>
      </c>
    </row>
    <row r="32" spans="1:21" ht="30" customHeight="1" x14ac:dyDescent="0.2">
      <c r="A32" s="89" t="str">
        <f t="shared" si="0"/>
        <v>MEN032 / 246</v>
      </c>
      <c r="B32" s="89" t="s">
        <v>3388</v>
      </c>
      <c r="C32" s="89" t="s">
        <v>1823</v>
      </c>
      <c r="D32" s="429" t="s">
        <v>3434</v>
      </c>
      <c r="E32" s="369" t="str">
        <f>VLOOKUP(D:D,'Master Table'!C:D,2,FALSE)</f>
        <v>246</v>
      </c>
      <c r="F32" s="69">
        <f>VLOOKUP(D:D,'Master Table'!C:O,13,FALSE)</f>
        <v>5372.61</v>
      </c>
      <c r="G32" s="769" t="s">
        <v>3434</v>
      </c>
      <c r="H32" s="769" t="s">
        <v>3435</v>
      </c>
      <c r="I32" s="769" t="s">
        <v>3436</v>
      </c>
      <c r="J32" s="769" t="s">
        <v>3388</v>
      </c>
      <c r="K32" s="769" t="s">
        <v>11025</v>
      </c>
      <c r="L32" s="789" t="s">
        <v>324</v>
      </c>
      <c r="M32" s="790">
        <v>3539.6</v>
      </c>
      <c r="N32" s="790">
        <v>115</v>
      </c>
      <c r="O32" s="790"/>
      <c r="P32" s="312">
        <v>3654.6</v>
      </c>
      <c r="Q32" s="446">
        <v>5372.61</v>
      </c>
      <c r="R32" s="640">
        <v>4807.99</v>
      </c>
      <c r="S32" s="640">
        <v>4844.6099999999997</v>
      </c>
      <c r="T32" s="640">
        <v>4475.4800000000005</v>
      </c>
    </row>
    <row r="33" spans="1:20" ht="30" customHeight="1" x14ac:dyDescent="0.2">
      <c r="A33" s="89" t="str">
        <f t="shared" si="0"/>
        <v>MEN033 / 247</v>
      </c>
      <c r="B33" s="89" t="s">
        <v>3439</v>
      </c>
      <c r="C33" s="89" t="s">
        <v>896</v>
      </c>
      <c r="D33" s="429" t="s">
        <v>3437</v>
      </c>
      <c r="E33" s="369" t="str">
        <f>VLOOKUP(D:D,'Master Table'!C:D,2,FALSE)</f>
        <v>247</v>
      </c>
      <c r="F33" s="69">
        <f>VLOOKUP(D:D,'Master Table'!C:O,13,FALSE)</f>
        <v>1300</v>
      </c>
      <c r="G33" s="769" t="s">
        <v>3437</v>
      </c>
      <c r="H33" s="769" t="s">
        <v>3438</v>
      </c>
      <c r="I33" s="769" t="s">
        <v>183</v>
      </c>
      <c r="J33" s="769" t="s">
        <v>3439</v>
      </c>
      <c r="K33" s="769" t="s">
        <v>11027</v>
      </c>
      <c r="L33" s="789" t="s">
        <v>324</v>
      </c>
      <c r="M33" s="790">
        <v>0</v>
      </c>
      <c r="N33" s="790">
        <v>1200</v>
      </c>
      <c r="O33" s="790">
        <v>42.7</v>
      </c>
      <c r="P33" s="312">
        <v>1242.7</v>
      </c>
      <c r="Q33" s="446">
        <v>1300</v>
      </c>
      <c r="R33" s="640">
        <v>1357.29</v>
      </c>
      <c r="S33" s="640">
        <v>1265</v>
      </c>
      <c r="T33" s="640">
        <v>1294.1000000000001</v>
      </c>
    </row>
    <row r="34" spans="1:20" ht="30" customHeight="1" x14ac:dyDescent="0.2">
      <c r="A34" s="89" t="str">
        <f t="shared" si="0"/>
        <v>MEN034 / 248</v>
      </c>
      <c r="B34" s="89" t="s">
        <v>3366</v>
      </c>
      <c r="C34" s="89" t="s">
        <v>532</v>
      </c>
      <c r="D34" s="429" t="s">
        <v>3440</v>
      </c>
      <c r="E34" s="369" t="str">
        <f>VLOOKUP(D:D,'Master Table'!C:D,2,FALSE)</f>
        <v>248</v>
      </c>
      <c r="F34" s="69">
        <f>VLOOKUP(D:D,'Master Table'!C:O,13,FALSE)</f>
        <v>1122.83</v>
      </c>
      <c r="G34" s="769" t="s">
        <v>3440</v>
      </c>
      <c r="H34" s="769" t="s">
        <v>3441</v>
      </c>
      <c r="I34" s="769" t="s">
        <v>61</v>
      </c>
      <c r="J34" s="769" t="s">
        <v>3366</v>
      </c>
      <c r="K34" s="769" t="s">
        <v>11026</v>
      </c>
      <c r="L34" s="789" t="s">
        <v>324</v>
      </c>
      <c r="M34" s="790">
        <v>686.46</v>
      </c>
      <c r="N34" s="790">
        <v>50</v>
      </c>
      <c r="O34" s="790"/>
      <c r="P34" s="312">
        <v>736.46</v>
      </c>
      <c r="Q34" s="446">
        <v>1122.83</v>
      </c>
      <c r="R34" s="640">
        <v>1158.3800000000001</v>
      </c>
      <c r="S34" s="640">
        <v>1209.79</v>
      </c>
      <c r="T34" s="640">
        <v>1332.1100000000001</v>
      </c>
    </row>
    <row r="35" spans="1:20" ht="30" customHeight="1" x14ac:dyDescent="0.2">
      <c r="A35" s="89" t="str">
        <f t="shared" si="0"/>
        <v>MEN035 / 249</v>
      </c>
      <c r="B35" s="89" t="s">
        <v>3447</v>
      </c>
      <c r="C35" s="89" t="s">
        <v>1823</v>
      </c>
      <c r="D35" s="429" t="s">
        <v>3445</v>
      </c>
      <c r="E35" s="369" t="str">
        <f>VLOOKUP(D:D,'Master Table'!C:D,2,FALSE)</f>
        <v>249</v>
      </c>
      <c r="F35" s="69">
        <f>VLOOKUP(D:D,'Master Table'!C:O,13,FALSE)</f>
        <v>115.89</v>
      </c>
      <c r="G35" s="769" t="s">
        <v>3445</v>
      </c>
      <c r="H35" s="769" t="s">
        <v>3446</v>
      </c>
      <c r="I35" s="769" t="s">
        <v>1751</v>
      </c>
      <c r="J35" s="769" t="s">
        <v>3447</v>
      </c>
      <c r="K35" s="769" t="s">
        <v>11027</v>
      </c>
      <c r="L35" s="789" t="s">
        <v>324</v>
      </c>
      <c r="M35" s="790">
        <v>0</v>
      </c>
      <c r="N35" s="790"/>
      <c r="O35" s="790"/>
      <c r="P35" s="312">
        <v>0</v>
      </c>
      <c r="Q35" s="446">
        <v>115.89</v>
      </c>
      <c r="R35" s="640">
        <v>148.52000000000001</v>
      </c>
      <c r="S35" s="640">
        <v>124</v>
      </c>
      <c r="T35" s="640">
        <v>343.44</v>
      </c>
    </row>
    <row r="36" spans="1:20" ht="30" customHeight="1" x14ac:dyDescent="0.2">
      <c r="A36" s="89" t="str">
        <f t="shared" si="0"/>
        <v>MEN036 / 251</v>
      </c>
      <c r="B36" s="89" t="s">
        <v>3450</v>
      </c>
      <c r="C36" s="89" t="s">
        <v>226</v>
      </c>
      <c r="D36" s="429" t="s">
        <v>3448</v>
      </c>
      <c r="E36" s="369" t="str">
        <f>VLOOKUP(D:D,'Master Table'!C:D,2,FALSE)</f>
        <v>251</v>
      </c>
      <c r="F36" s="69">
        <f>VLOOKUP(D:D,'Master Table'!C:O,13,FALSE)</f>
        <v>491.38</v>
      </c>
      <c r="G36" s="769" t="s">
        <v>3448</v>
      </c>
      <c r="H36" s="769" t="s">
        <v>3449</v>
      </c>
      <c r="I36" s="769" t="s">
        <v>31</v>
      </c>
      <c r="J36" s="769" t="s">
        <v>3450</v>
      </c>
      <c r="K36" s="769" t="s">
        <v>11027</v>
      </c>
      <c r="L36" s="789" t="s">
        <v>324</v>
      </c>
      <c r="M36" s="790">
        <v>181.01</v>
      </c>
      <c r="N36" s="790">
        <v>15</v>
      </c>
      <c r="O36" s="790"/>
      <c r="P36" s="312">
        <v>196.01</v>
      </c>
      <c r="Q36" s="446">
        <v>491.38</v>
      </c>
      <c r="R36" s="640">
        <v>361.54</v>
      </c>
      <c r="S36" s="640">
        <v>1122.9100000000001</v>
      </c>
      <c r="T36" s="640">
        <v>218.13</v>
      </c>
    </row>
    <row r="37" spans="1:20" ht="30" customHeight="1" x14ac:dyDescent="0.2">
      <c r="A37" s="89" t="str">
        <f t="shared" si="0"/>
        <v>MEN037 / 147993</v>
      </c>
      <c r="B37" s="89" t="s">
        <v>7633</v>
      </c>
      <c r="C37" s="89" t="s">
        <v>3456</v>
      </c>
      <c r="D37" s="429" t="s">
        <v>3454</v>
      </c>
      <c r="E37" s="369" t="str">
        <f>VLOOKUP(D:D,'Master Table'!C:D,2,FALSE)</f>
        <v>147993</v>
      </c>
      <c r="F37" s="69">
        <f>VLOOKUP(D:D,'Master Table'!C:O,13,FALSE)</f>
        <v>544.35</v>
      </c>
      <c r="G37" s="769" t="s">
        <v>3454</v>
      </c>
      <c r="H37" s="769" t="s">
        <v>3455</v>
      </c>
      <c r="I37" s="769" t="s">
        <v>3456</v>
      </c>
      <c r="J37" s="769" t="s">
        <v>11030</v>
      </c>
      <c r="K37" s="788" t="s">
        <v>3326</v>
      </c>
      <c r="L37" s="789" t="s">
        <v>324</v>
      </c>
      <c r="M37" s="790">
        <v>548.35</v>
      </c>
      <c r="N37" s="790"/>
      <c r="O37" s="790"/>
      <c r="P37" s="312">
        <v>548.35</v>
      </c>
      <c r="Q37" s="446">
        <v>544.35</v>
      </c>
      <c r="R37" s="640">
        <v>769.21</v>
      </c>
      <c r="S37" s="640">
        <v>622.63</v>
      </c>
      <c r="T37" s="640">
        <v>505.8</v>
      </c>
    </row>
    <row r="38" spans="1:20" ht="30" customHeight="1" x14ac:dyDescent="0.2">
      <c r="A38" s="89" t="str">
        <f t="shared" si="0"/>
        <v>MEN038 / 252</v>
      </c>
      <c r="B38" s="89" t="s">
        <v>3460</v>
      </c>
      <c r="C38" s="89" t="s">
        <v>7634</v>
      </c>
      <c r="D38" s="429" t="s">
        <v>3457</v>
      </c>
      <c r="E38" s="369" t="str">
        <f>VLOOKUP(D:D,'Master Table'!C:D,2,FALSE)</f>
        <v>252</v>
      </c>
      <c r="F38" s="69">
        <f>VLOOKUP(D:D,'Master Table'!C:O,13,FALSE)</f>
        <v>1980</v>
      </c>
      <c r="G38" s="769" t="s">
        <v>3457</v>
      </c>
      <c r="H38" s="769" t="s">
        <v>3458</v>
      </c>
      <c r="I38" s="769" t="s">
        <v>3459</v>
      </c>
      <c r="J38" s="769" t="s">
        <v>3460</v>
      </c>
      <c r="K38" s="769" t="s">
        <v>11026</v>
      </c>
      <c r="L38" s="789" t="s">
        <v>324</v>
      </c>
      <c r="M38" s="790">
        <v>1013</v>
      </c>
      <c r="N38" s="790">
        <v>130</v>
      </c>
      <c r="O38" s="790"/>
      <c r="P38" s="312">
        <v>1143</v>
      </c>
      <c r="Q38" s="446">
        <v>1980</v>
      </c>
      <c r="R38" s="640">
        <v>2052</v>
      </c>
      <c r="S38" s="640">
        <v>1939</v>
      </c>
      <c r="T38" s="640">
        <v>1503</v>
      </c>
    </row>
    <row r="39" spans="1:20" ht="30" customHeight="1" x14ac:dyDescent="0.2">
      <c r="A39" s="89" t="str">
        <f t="shared" si="0"/>
        <v>MEN039 / 253</v>
      </c>
      <c r="B39" s="89" t="s">
        <v>3460</v>
      </c>
      <c r="C39" s="89" t="s">
        <v>1366</v>
      </c>
      <c r="D39" s="429" t="s">
        <v>3465</v>
      </c>
      <c r="E39" s="369" t="str">
        <f>VLOOKUP(D:D,'Master Table'!C:D,2,FALSE)</f>
        <v>253</v>
      </c>
      <c r="F39" s="69">
        <f>VLOOKUP(D:D,'Master Table'!C:O,13,FALSE)</f>
        <v>2285</v>
      </c>
      <c r="G39" s="769" t="s">
        <v>3465</v>
      </c>
      <c r="H39" s="769" t="s">
        <v>3466</v>
      </c>
      <c r="I39" s="769" t="s">
        <v>3467</v>
      </c>
      <c r="J39" s="769" t="s">
        <v>3468</v>
      </c>
      <c r="K39" s="769" t="s">
        <v>11026</v>
      </c>
      <c r="L39" s="789" t="s">
        <v>324</v>
      </c>
      <c r="M39" s="790">
        <v>1800</v>
      </c>
      <c r="N39" s="790">
        <v>102</v>
      </c>
      <c r="O39" s="790"/>
      <c r="P39" s="312">
        <v>1902</v>
      </c>
      <c r="Q39" s="446">
        <v>2285</v>
      </c>
      <c r="R39" s="640">
        <v>1805</v>
      </c>
      <c r="S39" s="640">
        <v>1930</v>
      </c>
      <c r="T39" s="640">
        <v>1880</v>
      </c>
    </row>
    <row r="40" spans="1:20" ht="30" customHeight="1" x14ac:dyDescent="0.2">
      <c r="A40" s="89" t="str">
        <f t="shared" si="0"/>
        <v>MEN040 / 254</v>
      </c>
      <c r="B40" s="89" t="s">
        <v>3460</v>
      </c>
      <c r="C40" s="89" t="s">
        <v>3473</v>
      </c>
      <c r="D40" s="429" t="s">
        <v>3471</v>
      </c>
      <c r="E40" s="369" t="str">
        <f>VLOOKUP(D:D,'Master Table'!C:D,2,FALSE)</f>
        <v>254</v>
      </c>
      <c r="F40" s="69">
        <f>VLOOKUP(D:D,'Master Table'!C:O,13,FALSE)</f>
        <v>460.53</v>
      </c>
      <c r="G40" s="769" t="s">
        <v>3471</v>
      </c>
      <c r="H40" s="769" t="s">
        <v>3472</v>
      </c>
      <c r="I40" s="769" t="s">
        <v>3473</v>
      </c>
      <c r="J40" s="769" t="s">
        <v>3460</v>
      </c>
      <c r="K40" s="769" t="s">
        <v>11026</v>
      </c>
      <c r="L40" s="789" t="s">
        <v>324</v>
      </c>
      <c r="M40" s="790">
        <v>620.5</v>
      </c>
      <c r="N40" s="790">
        <v>25</v>
      </c>
      <c r="O40" s="790"/>
      <c r="P40" s="312">
        <v>645.5</v>
      </c>
      <c r="Q40" s="446">
        <v>460.53</v>
      </c>
      <c r="R40" s="640">
        <v>788.34</v>
      </c>
      <c r="S40" s="640">
        <v>1169.19</v>
      </c>
      <c r="T40" s="640">
        <v>885.09</v>
      </c>
    </row>
    <row r="41" spans="1:20" ht="30" customHeight="1" x14ac:dyDescent="0.2">
      <c r="A41" s="89" t="str">
        <f t="shared" si="0"/>
        <v>MEN041 / 255</v>
      </c>
      <c r="B41" s="89" t="s">
        <v>7635</v>
      </c>
      <c r="C41" s="89" t="s">
        <v>3476</v>
      </c>
      <c r="D41" s="429" t="s">
        <v>3474</v>
      </c>
      <c r="E41" s="369" t="str">
        <f>VLOOKUP(D:D,'Master Table'!C:D,2,FALSE)</f>
        <v>255</v>
      </c>
      <c r="F41" s="69">
        <f>VLOOKUP(D:D,'Master Table'!C:O,13,FALSE)</f>
        <v>60</v>
      </c>
      <c r="G41" s="769" t="s">
        <v>3474</v>
      </c>
      <c r="H41" s="769" t="s">
        <v>3475</v>
      </c>
      <c r="I41" s="769" t="s">
        <v>3476</v>
      </c>
      <c r="J41" s="769" t="s">
        <v>3477</v>
      </c>
      <c r="K41" s="769" t="s">
        <v>11024</v>
      </c>
      <c r="L41" s="789" t="s">
        <v>324</v>
      </c>
      <c r="M41" s="790">
        <v>0</v>
      </c>
      <c r="N41" s="790"/>
      <c r="O41" s="790">
        <v>200</v>
      </c>
      <c r="P41" s="312">
        <v>200</v>
      </c>
      <c r="Q41" s="446">
        <v>60</v>
      </c>
      <c r="R41" s="640">
        <v>454</v>
      </c>
      <c r="S41" s="640">
        <v>210</v>
      </c>
      <c r="T41" s="640">
        <v>275</v>
      </c>
    </row>
    <row r="42" spans="1:20" ht="30" customHeight="1" x14ac:dyDescent="0.2">
      <c r="A42" s="89" t="str">
        <f t="shared" si="0"/>
        <v>MEN041X / 256</v>
      </c>
      <c r="B42" s="89" t="s">
        <v>3480</v>
      </c>
      <c r="C42" s="89" t="s">
        <v>896</v>
      </c>
      <c r="D42" s="429" t="s">
        <v>3478</v>
      </c>
      <c r="E42" s="369" t="str">
        <f>VLOOKUP(D:D,'Master Table'!C:D,2,FALSE)</f>
        <v>256</v>
      </c>
      <c r="F42" s="69">
        <f>VLOOKUP(D:D,'Master Table'!C:O,13,FALSE)</f>
        <v>60</v>
      </c>
      <c r="G42" s="769" t="s">
        <v>3478</v>
      </c>
      <c r="H42" s="769" t="s">
        <v>3479</v>
      </c>
      <c r="I42" s="769" t="s">
        <v>183</v>
      </c>
      <c r="J42" s="769" t="s">
        <v>3480</v>
      </c>
      <c r="K42" s="769" t="s">
        <v>11024</v>
      </c>
      <c r="L42" s="789" t="s">
        <v>324</v>
      </c>
      <c r="M42" s="790">
        <v>0</v>
      </c>
      <c r="N42" s="790">
        <v>70</v>
      </c>
      <c r="O42" s="790"/>
      <c r="P42" s="312">
        <v>70</v>
      </c>
      <c r="Q42" s="446">
        <v>60</v>
      </c>
      <c r="R42" s="640">
        <v>60</v>
      </c>
      <c r="S42" s="640">
        <v>80</v>
      </c>
      <c r="T42" s="640">
        <v>60</v>
      </c>
    </row>
    <row r="43" spans="1:20" ht="30" customHeight="1" x14ac:dyDescent="0.2">
      <c r="A43" s="89" t="s">
        <v>11032</v>
      </c>
      <c r="B43" s="89" t="s">
        <v>3484</v>
      </c>
      <c r="C43" s="89" t="s">
        <v>3483</v>
      </c>
      <c r="D43" s="769" t="s">
        <v>3481</v>
      </c>
      <c r="E43" s="769" t="s">
        <v>3482</v>
      </c>
      <c r="F43" s="69"/>
      <c r="G43" s="769" t="s">
        <v>3481</v>
      </c>
      <c r="H43" s="769" t="s">
        <v>3482</v>
      </c>
      <c r="I43" s="769" t="s">
        <v>3483</v>
      </c>
      <c r="J43" s="769" t="s">
        <v>3484</v>
      </c>
      <c r="K43" s="769" t="s">
        <v>11024</v>
      </c>
      <c r="L43" s="789" t="s">
        <v>324</v>
      </c>
      <c r="M43" s="790">
        <v>0</v>
      </c>
      <c r="N43" s="790">
        <v>259</v>
      </c>
      <c r="O43" s="790"/>
      <c r="P43" s="312">
        <v>259</v>
      </c>
      <c r="Q43" s="446"/>
      <c r="R43" s="640"/>
      <c r="S43" s="640"/>
      <c r="T43" s="640"/>
    </row>
    <row r="44" spans="1:20" ht="30" customHeight="1" x14ac:dyDescent="0.2">
      <c r="A44" s="89" t="str">
        <f t="shared" si="0"/>
        <v>MEN042 / 257</v>
      </c>
      <c r="B44" s="89" t="s">
        <v>7636</v>
      </c>
      <c r="C44" s="89" t="s">
        <v>3487</v>
      </c>
      <c r="D44" s="429" t="s">
        <v>3485</v>
      </c>
      <c r="E44" s="369" t="str">
        <f>VLOOKUP(D:D,'Master Table'!C:D,2,FALSE)</f>
        <v>257</v>
      </c>
      <c r="F44" s="69">
        <f>VLOOKUP(D:D,'Master Table'!C:O,13,FALSE)</f>
        <v>1466.01</v>
      </c>
      <c r="G44" s="769" t="s">
        <v>3485</v>
      </c>
      <c r="H44" s="769" t="s">
        <v>3486</v>
      </c>
      <c r="I44" s="769" t="s">
        <v>3487</v>
      </c>
      <c r="J44" s="769" t="s">
        <v>3488</v>
      </c>
      <c r="K44" s="769" t="s">
        <v>11027</v>
      </c>
      <c r="L44" s="789" t="s">
        <v>324</v>
      </c>
      <c r="M44" s="790">
        <v>470.8</v>
      </c>
      <c r="N44" s="790"/>
      <c r="O44" s="790"/>
      <c r="P44" s="312">
        <v>470.8</v>
      </c>
      <c r="Q44" s="446">
        <v>1466.01</v>
      </c>
      <c r="R44" s="640">
        <v>1365.48</v>
      </c>
      <c r="S44" s="640">
        <v>1279.81</v>
      </c>
      <c r="T44" s="640">
        <v>1591.72</v>
      </c>
    </row>
    <row r="45" spans="1:20" s="241" customFormat="1" ht="28.5" x14ac:dyDescent="0.2">
      <c r="A45" s="89" t="s">
        <v>11033</v>
      </c>
      <c r="B45" s="89" t="s">
        <v>3492</v>
      </c>
      <c r="C45" s="89" t="s">
        <v>3491</v>
      </c>
      <c r="D45" s="769" t="s">
        <v>3489</v>
      </c>
      <c r="E45" s="769" t="s">
        <v>3490</v>
      </c>
      <c r="F45" s="69"/>
      <c r="G45" s="769" t="s">
        <v>3489</v>
      </c>
      <c r="H45" s="769" t="s">
        <v>3490</v>
      </c>
      <c r="I45" s="769" t="s">
        <v>3491</v>
      </c>
      <c r="J45" s="769" t="s">
        <v>3492</v>
      </c>
      <c r="K45" s="769" t="s">
        <v>11027</v>
      </c>
      <c r="L45" s="789" t="s">
        <v>324</v>
      </c>
      <c r="M45" s="790">
        <v>0</v>
      </c>
      <c r="N45" s="790">
        <v>15</v>
      </c>
      <c r="O45" s="790"/>
      <c r="P45" s="312">
        <v>15</v>
      </c>
      <c r="Q45" s="446"/>
      <c r="R45" s="640"/>
      <c r="S45" s="640"/>
      <c r="T45" s="640"/>
    </row>
    <row r="46" spans="1:20" s="241" customFormat="1" ht="30" x14ac:dyDescent="0.2">
      <c r="A46" s="89" t="str">
        <f t="shared" si="0"/>
        <v>MEN043 / 258</v>
      </c>
      <c r="B46" s="89" t="s">
        <v>7637</v>
      </c>
      <c r="C46" s="89" t="s">
        <v>231</v>
      </c>
      <c r="D46" s="429" t="s">
        <v>3493</v>
      </c>
      <c r="E46" s="369" t="str">
        <f>VLOOKUP(D:D,'Master Table'!C:D,2,FALSE)</f>
        <v>258</v>
      </c>
      <c r="F46" s="69">
        <f>VLOOKUP(D:D,'Master Table'!C:O,13,FALSE)</f>
        <v>807</v>
      </c>
      <c r="G46" s="769" t="s">
        <v>3493</v>
      </c>
      <c r="H46" s="769" t="s">
        <v>3494</v>
      </c>
      <c r="I46" s="769" t="s">
        <v>428</v>
      </c>
      <c r="J46" s="788" t="s">
        <v>7637</v>
      </c>
      <c r="K46" s="769" t="s">
        <v>11023</v>
      </c>
      <c r="L46" s="789" t="s">
        <v>324</v>
      </c>
      <c r="M46" s="790">
        <v>0</v>
      </c>
      <c r="N46" s="790"/>
      <c r="O46" s="790"/>
      <c r="P46" s="312">
        <v>0</v>
      </c>
      <c r="Q46" s="446">
        <v>807</v>
      </c>
      <c r="R46" s="640">
        <v>10</v>
      </c>
      <c r="S46" s="640">
        <v>0</v>
      </c>
      <c r="T46" s="640">
        <v>10</v>
      </c>
    </row>
    <row r="47" spans="1:20" s="241" customFormat="1" ht="42.75" x14ac:dyDescent="0.2">
      <c r="A47" s="89" t="str">
        <f t="shared" si="0"/>
        <v>MEN999 / 262</v>
      </c>
      <c r="B47" s="89" t="s">
        <v>8276</v>
      </c>
      <c r="C47" s="89" t="s">
        <v>7261</v>
      </c>
      <c r="D47" s="429" t="s">
        <v>3497</v>
      </c>
      <c r="E47" s="369" t="str">
        <f>VLOOKUP(D:D,'Master Table'!C:D,2,FALSE)</f>
        <v>262</v>
      </c>
      <c r="F47" s="69">
        <f>VLOOKUP(D:D,'Master Table'!C:O,13,FALSE)</f>
        <v>15</v>
      </c>
      <c r="G47" s="769" t="s">
        <v>3497</v>
      </c>
      <c r="H47" s="769" t="s">
        <v>3498</v>
      </c>
      <c r="I47" s="769" t="s">
        <v>3499</v>
      </c>
      <c r="J47" s="750"/>
      <c r="K47" s="750"/>
      <c r="L47" s="789" t="s">
        <v>324</v>
      </c>
      <c r="M47" s="790">
        <v>0</v>
      </c>
      <c r="N47" s="790">
        <v>399</v>
      </c>
      <c r="O47" s="790">
        <v>20</v>
      </c>
      <c r="P47" s="312">
        <v>419</v>
      </c>
      <c r="Q47" s="446">
        <v>15</v>
      </c>
      <c r="R47" s="620">
        <v>331</v>
      </c>
      <c r="S47" s="620">
        <v>21.72</v>
      </c>
      <c r="T47" s="620"/>
    </row>
    <row r="48" spans="1:20" s="241" customFormat="1" x14ac:dyDescent="0.2">
      <c r="D48" s="450"/>
      <c r="E48" s="360"/>
      <c r="F48" s="242"/>
      <c r="G48" s="531"/>
      <c r="H48" s="98"/>
      <c r="I48" s="86"/>
      <c r="J48" s="86"/>
      <c r="K48" s="86"/>
      <c r="L48" s="86"/>
      <c r="M48" s="86"/>
      <c r="N48" s="86"/>
      <c r="O48" s="86"/>
      <c r="P48" s="86"/>
      <c r="Q48" s="242"/>
      <c r="R48" s="242"/>
    </row>
    <row r="49" spans="1:22" s="241" customFormat="1" hidden="1" x14ac:dyDescent="0.2">
      <c r="D49" s="450"/>
      <c r="E49" s="360"/>
      <c r="F49" s="242"/>
      <c r="G49" s="531"/>
      <c r="H49" s="98"/>
      <c r="I49" s="86"/>
      <c r="J49" s="86"/>
      <c r="K49" s="86"/>
      <c r="L49" s="86"/>
      <c r="M49" s="86"/>
      <c r="N49" s="86"/>
      <c r="O49" s="86"/>
      <c r="P49" s="86"/>
      <c r="Q49" s="242"/>
      <c r="R49" s="242"/>
      <c r="U49" s="86"/>
      <c r="V49" s="86"/>
    </row>
    <row r="50" spans="1:22" s="241" customFormat="1" hidden="1" x14ac:dyDescent="0.2">
      <c r="D50" s="450"/>
      <c r="E50" s="360"/>
      <c r="F50" s="242"/>
      <c r="G50" s="531"/>
      <c r="H50" s="98"/>
      <c r="I50" s="86"/>
      <c r="J50" s="86"/>
      <c r="K50" s="86"/>
      <c r="L50" s="86"/>
      <c r="M50" s="86"/>
      <c r="N50" s="86"/>
      <c r="O50" s="86"/>
      <c r="P50" s="86"/>
      <c r="Q50" s="531"/>
      <c r="R50" s="242"/>
      <c r="U50" s="86"/>
      <c r="V50" s="86"/>
    </row>
    <row r="51" spans="1:22" s="241" customFormat="1" ht="13.5" thickBot="1" x14ac:dyDescent="0.25">
      <c r="D51" s="450"/>
      <c r="E51" s="360"/>
      <c r="F51" s="242"/>
      <c r="G51" s="531"/>
      <c r="H51" s="98"/>
      <c r="I51" s="86"/>
      <c r="J51" s="86"/>
      <c r="K51" s="86"/>
      <c r="L51" s="86"/>
      <c r="M51" s="86"/>
      <c r="N51" s="86"/>
      <c r="O51" s="86"/>
      <c r="P51" s="86"/>
      <c r="Q51" s="531"/>
      <c r="R51" s="242"/>
      <c r="U51" s="86"/>
      <c r="V51" s="86"/>
    </row>
    <row r="52" spans="1:22" s="74" customFormat="1" ht="83.25" customHeight="1" thickBot="1" x14ac:dyDescent="0.25">
      <c r="A52" s="854" t="s">
        <v>10987</v>
      </c>
      <c r="B52" s="855"/>
      <c r="C52" s="855"/>
      <c r="D52" s="855"/>
      <c r="E52" s="855"/>
      <c r="F52" s="855"/>
      <c r="G52" s="855"/>
      <c r="H52" s="855"/>
      <c r="I52" s="855"/>
      <c r="J52" s="855"/>
      <c r="K52" s="855"/>
      <c r="L52" s="855"/>
      <c r="M52" s="855"/>
      <c r="N52" s="855"/>
      <c r="O52" s="855"/>
    </row>
    <row r="53" spans="1:22" s="74" customFormat="1" ht="15" x14ac:dyDescent="0.2">
      <c r="A53" s="718"/>
      <c r="B53" s="718"/>
      <c r="C53" s="718"/>
    </row>
    <row r="54" spans="1:22" s="74" customFormat="1" ht="30" x14ac:dyDescent="0.2">
      <c r="A54" s="763" t="s">
        <v>7422</v>
      </c>
      <c r="B54" s="764" t="s">
        <v>11007</v>
      </c>
      <c r="C54" s="715"/>
    </row>
    <row r="55" spans="1:22" s="74" customFormat="1" ht="75" x14ac:dyDescent="0.2">
      <c r="A55" s="763" t="s">
        <v>10990</v>
      </c>
      <c r="B55" s="764" t="s">
        <v>11008</v>
      </c>
      <c r="C55" s="715"/>
    </row>
    <row r="56" spans="1:22" s="74" customFormat="1" ht="60" x14ac:dyDescent="0.2">
      <c r="A56" s="763" t="s">
        <v>10991</v>
      </c>
      <c r="B56" s="764" t="s">
        <v>11009</v>
      </c>
      <c r="C56" s="715"/>
    </row>
    <row r="57" spans="1:22" x14ac:dyDescent="0.2">
      <c r="A57" s="241"/>
      <c r="B57" s="241"/>
      <c r="D57" s="451"/>
      <c r="E57" s="361"/>
      <c r="F57" s="154"/>
    </row>
    <row r="58" spans="1:22" x14ac:dyDescent="0.2">
      <c r="A58" s="241"/>
      <c r="B58" s="241"/>
      <c r="D58" s="451"/>
      <c r="E58" s="361"/>
      <c r="F58" s="154"/>
    </row>
    <row r="59" spans="1:22" x14ac:dyDescent="0.2">
      <c r="A59" s="241"/>
      <c r="B59" s="241"/>
      <c r="D59" s="451"/>
      <c r="E59" s="361"/>
      <c r="F59" s="154"/>
    </row>
    <row r="60" spans="1:22" x14ac:dyDescent="0.2">
      <c r="D60" s="451"/>
      <c r="E60" s="361"/>
      <c r="F60" s="154"/>
    </row>
    <row r="61" spans="1:22" x14ac:dyDescent="0.2">
      <c r="D61" s="451"/>
      <c r="E61" s="361"/>
      <c r="F61" s="154"/>
    </row>
    <row r="62" spans="1:22" x14ac:dyDescent="0.2">
      <c r="D62" s="451"/>
      <c r="E62" s="361"/>
      <c r="F62" s="154"/>
    </row>
    <row r="63" spans="1:22" x14ac:dyDescent="0.2">
      <c r="D63" s="451"/>
      <c r="E63" s="361"/>
      <c r="F63" s="154"/>
    </row>
    <row r="64" spans="1:22" x14ac:dyDescent="0.2">
      <c r="D64" s="451"/>
      <c r="E64" s="361"/>
      <c r="F64" s="154"/>
    </row>
    <row r="65" spans="4:6" x14ac:dyDescent="0.2">
      <c r="D65" s="451"/>
      <c r="E65" s="361"/>
      <c r="F65" s="154"/>
    </row>
    <row r="66" spans="4:6" x14ac:dyDescent="0.2">
      <c r="D66" s="451"/>
      <c r="E66" s="361"/>
      <c r="F66" s="154"/>
    </row>
    <row r="67" spans="4:6" x14ac:dyDescent="0.2">
      <c r="D67" s="451"/>
      <c r="E67" s="361"/>
      <c r="F67" s="154"/>
    </row>
    <row r="68" spans="4:6" x14ac:dyDescent="0.2">
      <c r="D68" s="451"/>
      <c r="E68" s="361"/>
      <c r="F68" s="154"/>
    </row>
    <row r="69" spans="4:6" x14ac:dyDescent="0.2">
      <c r="D69" s="451"/>
      <c r="E69" s="361"/>
      <c r="F69" s="154"/>
    </row>
    <row r="70" spans="4:6" x14ac:dyDescent="0.2">
      <c r="D70" s="451"/>
      <c r="E70" s="361"/>
      <c r="F70" s="154"/>
    </row>
    <row r="71" spans="4:6" x14ac:dyDescent="0.2">
      <c r="D71" s="451"/>
      <c r="E71" s="361"/>
      <c r="F71" s="154"/>
    </row>
    <row r="72" spans="4:6" x14ac:dyDescent="0.2">
      <c r="D72" s="451"/>
      <c r="E72" s="361"/>
      <c r="F72" s="154"/>
    </row>
    <row r="73" spans="4:6" x14ac:dyDescent="0.2">
      <c r="D73" s="451"/>
      <c r="E73" s="361"/>
      <c r="F73" s="154"/>
    </row>
    <row r="74" spans="4:6" x14ac:dyDescent="0.2">
      <c r="D74" s="451"/>
      <c r="E74" s="361"/>
      <c r="F74" s="154"/>
    </row>
    <row r="75" spans="4:6" x14ac:dyDescent="0.2">
      <c r="D75" s="451"/>
      <c r="E75" s="361"/>
      <c r="F75" s="154"/>
    </row>
    <row r="76" spans="4:6" x14ac:dyDescent="0.2">
      <c r="D76" s="451"/>
      <c r="E76" s="361"/>
      <c r="F76" s="154"/>
    </row>
    <row r="77" spans="4:6" x14ac:dyDescent="0.2">
      <c r="D77" s="451"/>
      <c r="E77" s="361"/>
      <c r="F77" s="154"/>
    </row>
    <row r="78" spans="4:6" x14ac:dyDescent="0.2">
      <c r="D78" s="451"/>
      <c r="E78" s="361"/>
      <c r="F78" s="154"/>
    </row>
    <row r="79" spans="4:6" x14ac:dyDescent="0.2">
      <c r="D79" s="451"/>
      <c r="E79" s="361"/>
      <c r="F79" s="154"/>
    </row>
    <row r="80" spans="4:6" x14ac:dyDescent="0.2">
      <c r="D80" s="451"/>
      <c r="E80" s="361"/>
      <c r="F80" s="154"/>
    </row>
    <row r="81" spans="4:6" x14ac:dyDescent="0.2">
      <c r="D81" s="451"/>
      <c r="E81" s="361"/>
      <c r="F81" s="154"/>
    </row>
    <row r="82" spans="4:6" x14ac:dyDescent="0.2">
      <c r="D82" s="451"/>
      <c r="E82" s="361"/>
      <c r="F82" s="154"/>
    </row>
    <row r="83" spans="4:6" x14ac:dyDescent="0.2">
      <c r="D83" s="451"/>
      <c r="E83" s="361"/>
      <c r="F83" s="154"/>
    </row>
    <row r="84" spans="4:6" x14ac:dyDescent="0.2">
      <c r="D84" s="451"/>
      <c r="E84" s="361"/>
      <c r="F84" s="154"/>
    </row>
    <row r="85" spans="4:6" x14ac:dyDescent="0.2">
      <c r="D85" s="451"/>
      <c r="E85" s="361"/>
      <c r="F85" s="154"/>
    </row>
    <row r="86" spans="4:6" x14ac:dyDescent="0.2">
      <c r="D86" s="451"/>
      <c r="E86" s="361"/>
      <c r="F86" s="154"/>
    </row>
    <row r="87" spans="4:6" x14ac:dyDescent="0.2">
      <c r="D87" s="451"/>
      <c r="E87" s="361"/>
      <c r="F87" s="154"/>
    </row>
    <row r="88" spans="4:6" x14ac:dyDescent="0.2">
      <c r="D88" s="451"/>
      <c r="E88" s="361"/>
      <c r="F88" s="154"/>
    </row>
    <row r="89" spans="4:6" x14ac:dyDescent="0.2">
      <c r="D89" s="451"/>
      <c r="E89" s="361"/>
      <c r="F89" s="154"/>
    </row>
    <row r="90" spans="4:6" x14ac:dyDescent="0.2">
      <c r="D90" s="451"/>
      <c r="E90" s="361"/>
      <c r="F90" s="154"/>
    </row>
    <row r="91" spans="4:6" x14ac:dyDescent="0.2">
      <c r="D91" s="451"/>
      <c r="E91" s="361"/>
      <c r="F91" s="154"/>
    </row>
    <row r="92" spans="4:6" x14ac:dyDescent="0.2">
      <c r="D92" s="451"/>
      <c r="E92" s="361"/>
      <c r="F92" s="154"/>
    </row>
    <row r="93" spans="4:6" x14ac:dyDescent="0.2">
      <c r="D93" s="451"/>
      <c r="E93" s="361"/>
      <c r="F93" s="154"/>
    </row>
    <row r="94" spans="4:6" x14ac:dyDescent="0.2">
      <c r="D94" s="451"/>
      <c r="E94" s="361"/>
      <c r="F94" s="154"/>
    </row>
    <row r="95" spans="4:6" x14ac:dyDescent="0.2">
      <c r="D95" s="451"/>
      <c r="E95" s="361"/>
      <c r="F95" s="154"/>
    </row>
    <row r="96" spans="4:6" x14ac:dyDescent="0.2">
      <c r="D96" s="451"/>
      <c r="E96" s="361"/>
      <c r="F96" s="154"/>
    </row>
    <row r="97" spans="4:6" x14ac:dyDescent="0.2">
      <c r="D97" s="451"/>
      <c r="E97" s="361"/>
      <c r="F97" s="154"/>
    </row>
    <row r="98" spans="4:6" x14ac:dyDescent="0.2">
      <c r="D98" s="451"/>
      <c r="E98" s="361"/>
      <c r="F98" s="154"/>
    </row>
    <row r="99" spans="4:6" x14ac:dyDescent="0.2">
      <c r="D99" s="451"/>
      <c r="E99" s="361"/>
      <c r="F99" s="154"/>
    </row>
    <row r="100" spans="4:6" x14ac:dyDescent="0.2">
      <c r="D100" s="451"/>
      <c r="E100" s="361"/>
      <c r="F100" s="154"/>
    </row>
    <row r="101" spans="4:6" x14ac:dyDescent="0.2">
      <c r="D101" s="451"/>
      <c r="E101" s="361"/>
      <c r="F101" s="154"/>
    </row>
    <row r="102" spans="4:6" x14ac:dyDescent="0.2">
      <c r="D102" s="451"/>
      <c r="E102" s="361"/>
      <c r="F102" s="154"/>
    </row>
    <row r="103" spans="4:6" x14ac:dyDescent="0.2">
      <c r="D103" s="451"/>
      <c r="E103" s="361"/>
      <c r="F103" s="154"/>
    </row>
    <row r="104" spans="4:6" x14ac:dyDescent="0.2">
      <c r="D104" s="451"/>
      <c r="E104" s="361"/>
      <c r="F104" s="154"/>
    </row>
    <row r="105" spans="4:6" x14ac:dyDescent="0.2">
      <c r="D105" s="451"/>
      <c r="E105" s="361"/>
      <c r="F105" s="154"/>
    </row>
    <row r="106" spans="4:6" x14ac:dyDescent="0.2">
      <c r="D106" s="451"/>
      <c r="E106" s="361"/>
      <c r="F106" s="154"/>
    </row>
    <row r="107" spans="4:6" x14ac:dyDescent="0.2">
      <c r="D107" s="451"/>
      <c r="E107" s="361"/>
      <c r="F107" s="154"/>
    </row>
    <row r="108" spans="4:6" x14ac:dyDescent="0.2">
      <c r="D108" s="451"/>
      <c r="E108" s="361"/>
      <c r="F108" s="154"/>
    </row>
    <row r="109" spans="4:6" x14ac:dyDescent="0.2">
      <c r="D109" s="451"/>
      <c r="E109" s="361"/>
      <c r="F109" s="154"/>
    </row>
    <row r="110" spans="4:6" x14ac:dyDescent="0.2">
      <c r="D110" s="451"/>
      <c r="E110" s="361"/>
      <c r="F110" s="154"/>
    </row>
    <row r="111" spans="4:6" x14ac:dyDescent="0.2">
      <c r="D111" s="451"/>
      <c r="E111" s="361"/>
      <c r="F111" s="154"/>
    </row>
    <row r="112" spans="4:6" x14ac:dyDescent="0.2">
      <c r="D112" s="451"/>
      <c r="E112" s="361"/>
      <c r="F112" s="154"/>
    </row>
    <row r="113" spans="4:6" x14ac:dyDescent="0.2">
      <c r="D113" s="451"/>
      <c r="E113" s="361"/>
      <c r="F113" s="154"/>
    </row>
    <row r="114" spans="4:6" x14ac:dyDescent="0.2">
      <c r="D114" s="451"/>
      <c r="E114" s="361"/>
      <c r="F114" s="154"/>
    </row>
    <row r="115" spans="4:6" x14ac:dyDescent="0.2">
      <c r="D115" s="451"/>
      <c r="E115" s="361"/>
      <c r="F115" s="154"/>
    </row>
    <row r="116" spans="4:6" x14ac:dyDescent="0.2">
      <c r="D116" s="451"/>
      <c r="E116" s="361"/>
      <c r="F116" s="154"/>
    </row>
    <row r="117" spans="4:6" x14ac:dyDescent="0.2">
      <c r="D117" s="451"/>
      <c r="E117" s="361"/>
      <c r="F117" s="154"/>
    </row>
    <row r="118" spans="4:6" x14ac:dyDescent="0.2">
      <c r="D118" s="451"/>
      <c r="E118" s="361"/>
      <c r="F118" s="154"/>
    </row>
    <row r="119" spans="4:6" x14ac:dyDescent="0.2">
      <c r="D119" s="451"/>
      <c r="E119" s="361"/>
      <c r="F119" s="154"/>
    </row>
    <row r="120" spans="4:6" x14ac:dyDescent="0.2">
      <c r="D120" s="451"/>
      <c r="E120" s="361"/>
      <c r="F120" s="154"/>
    </row>
    <row r="121" spans="4:6" x14ac:dyDescent="0.2">
      <c r="D121" s="451"/>
      <c r="E121" s="361"/>
      <c r="F121" s="154"/>
    </row>
    <row r="122" spans="4:6" x14ac:dyDescent="0.2">
      <c r="D122" s="451"/>
      <c r="E122" s="361"/>
      <c r="F122" s="154"/>
    </row>
    <row r="123" spans="4:6" x14ac:dyDescent="0.2">
      <c r="D123" s="451"/>
      <c r="E123" s="361"/>
      <c r="F123" s="154"/>
    </row>
    <row r="124" spans="4:6" x14ac:dyDescent="0.2">
      <c r="D124" s="451"/>
      <c r="E124" s="361"/>
      <c r="F124" s="154"/>
    </row>
    <row r="125" spans="4:6" x14ac:dyDescent="0.2">
      <c r="D125" s="451"/>
      <c r="E125" s="361"/>
      <c r="F125" s="154"/>
    </row>
    <row r="126" spans="4:6" x14ac:dyDescent="0.2">
      <c r="D126" s="451"/>
      <c r="E126" s="361"/>
      <c r="F126" s="154"/>
    </row>
    <row r="127" spans="4:6" x14ac:dyDescent="0.2">
      <c r="D127" s="451"/>
      <c r="E127" s="361"/>
      <c r="F127" s="154"/>
    </row>
    <row r="128" spans="4:6" x14ac:dyDescent="0.2">
      <c r="D128" s="451"/>
      <c r="E128" s="361"/>
      <c r="F128" s="154"/>
    </row>
    <row r="129" spans="4:6" x14ac:dyDescent="0.2">
      <c r="D129" s="451"/>
      <c r="E129" s="361"/>
      <c r="F129" s="154"/>
    </row>
    <row r="130" spans="4:6" x14ac:dyDescent="0.2">
      <c r="D130" s="451"/>
      <c r="E130" s="361"/>
      <c r="F130" s="154"/>
    </row>
    <row r="131" spans="4:6" x14ac:dyDescent="0.2">
      <c r="D131" s="451"/>
      <c r="E131" s="361"/>
      <c r="F131" s="154"/>
    </row>
    <row r="132" spans="4:6" x14ac:dyDescent="0.2">
      <c r="D132" s="451"/>
      <c r="E132" s="361"/>
      <c r="F132" s="154"/>
    </row>
    <row r="133" spans="4:6" x14ac:dyDescent="0.2">
      <c r="D133" s="451"/>
      <c r="E133" s="361"/>
      <c r="F133" s="154"/>
    </row>
    <row r="134" spans="4:6" x14ac:dyDescent="0.2">
      <c r="D134" s="451"/>
      <c r="E134" s="361"/>
      <c r="F134" s="154"/>
    </row>
    <row r="135" spans="4:6" x14ac:dyDescent="0.2">
      <c r="D135" s="451"/>
      <c r="E135" s="361"/>
      <c r="F135" s="154"/>
    </row>
    <row r="136" spans="4:6" x14ac:dyDescent="0.2">
      <c r="D136" s="451"/>
      <c r="E136" s="361"/>
      <c r="F136" s="154"/>
    </row>
    <row r="137" spans="4:6" x14ac:dyDescent="0.2">
      <c r="D137" s="451"/>
      <c r="E137" s="361"/>
      <c r="F137" s="154"/>
    </row>
    <row r="138" spans="4:6" x14ac:dyDescent="0.2">
      <c r="D138" s="451"/>
      <c r="E138" s="361"/>
      <c r="F138" s="154"/>
    </row>
    <row r="139" spans="4:6" x14ac:dyDescent="0.2">
      <c r="D139" s="451"/>
      <c r="E139" s="361"/>
      <c r="F139" s="154"/>
    </row>
    <row r="140" spans="4:6" x14ac:dyDescent="0.2">
      <c r="D140" s="451"/>
      <c r="E140" s="361"/>
      <c r="F140" s="154"/>
    </row>
    <row r="141" spans="4:6" x14ac:dyDescent="0.2">
      <c r="D141" s="451"/>
      <c r="E141" s="361"/>
      <c r="F141" s="154"/>
    </row>
    <row r="142" spans="4:6" x14ac:dyDescent="0.2">
      <c r="D142" s="451"/>
      <c r="E142" s="361"/>
      <c r="F142" s="154"/>
    </row>
    <row r="143" spans="4:6" x14ac:dyDescent="0.2">
      <c r="D143" s="451"/>
      <c r="E143" s="361"/>
      <c r="F143" s="154"/>
    </row>
    <row r="144" spans="4:6" x14ac:dyDescent="0.2">
      <c r="D144" s="451"/>
      <c r="E144" s="361"/>
      <c r="F144" s="154"/>
    </row>
    <row r="145" spans="4:6" x14ac:dyDescent="0.2">
      <c r="D145" s="451"/>
      <c r="E145" s="361"/>
      <c r="F145" s="154"/>
    </row>
    <row r="146" spans="4:6" x14ac:dyDescent="0.2">
      <c r="D146" s="451"/>
      <c r="E146" s="361"/>
      <c r="F146" s="154"/>
    </row>
    <row r="147" spans="4:6" x14ac:dyDescent="0.2">
      <c r="D147" s="451"/>
      <c r="E147" s="361"/>
      <c r="F147" s="154"/>
    </row>
    <row r="148" spans="4:6" x14ac:dyDescent="0.2">
      <c r="D148" s="451"/>
      <c r="E148" s="361"/>
      <c r="F148" s="154"/>
    </row>
    <row r="149" spans="4:6" x14ac:dyDescent="0.2">
      <c r="D149" s="451"/>
      <c r="E149" s="361"/>
      <c r="F149" s="154"/>
    </row>
    <row r="150" spans="4:6" x14ac:dyDescent="0.2">
      <c r="D150" s="451"/>
      <c r="E150" s="361"/>
      <c r="F150" s="154"/>
    </row>
    <row r="151" spans="4:6" x14ac:dyDescent="0.2">
      <c r="D151" s="451"/>
      <c r="E151" s="361"/>
      <c r="F151" s="154"/>
    </row>
    <row r="152" spans="4:6" x14ac:dyDescent="0.2">
      <c r="D152" s="451"/>
      <c r="E152" s="361"/>
      <c r="F152" s="154"/>
    </row>
    <row r="153" spans="4:6" x14ac:dyDescent="0.2">
      <c r="D153" s="451"/>
      <c r="E153" s="361"/>
      <c r="F153" s="154"/>
    </row>
    <row r="154" spans="4:6" x14ac:dyDescent="0.2">
      <c r="D154" s="451"/>
      <c r="E154" s="361"/>
      <c r="F154" s="154"/>
    </row>
    <row r="155" spans="4:6" x14ac:dyDescent="0.2">
      <c r="D155" s="451"/>
      <c r="E155" s="361"/>
      <c r="F155" s="154"/>
    </row>
    <row r="156" spans="4:6" x14ac:dyDescent="0.2">
      <c r="D156" s="451"/>
      <c r="E156" s="361"/>
      <c r="F156" s="154"/>
    </row>
    <row r="157" spans="4:6" x14ac:dyDescent="0.2">
      <c r="D157" s="451"/>
      <c r="E157" s="361"/>
      <c r="F157" s="154"/>
    </row>
    <row r="158" spans="4:6" x14ac:dyDescent="0.2">
      <c r="D158" s="451"/>
      <c r="E158" s="361"/>
      <c r="F158" s="154"/>
    </row>
    <row r="159" spans="4:6" x14ac:dyDescent="0.2">
      <c r="D159" s="451"/>
      <c r="E159" s="361"/>
      <c r="F159" s="154"/>
    </row>
    <row r="160" spans="4:6" x14ac:dyDescent="0.2">
      <c r="D160" s="451"/>
      <c r="E160" s="361"/>
      <c r="F160" s="154"/>
    </row>
    <row r="161" spans="4:6" x14ac:dyDescent="0.2">
      <c r="D161" s="451"/>
      <c r="E161" s="361"/>
      <c r="F161" s="154"/>
    </row>
    <row r="162" spans="4:6" x14ac:dyDescent="0.2">
      <c r="D162" s="451"/>
      <c r="E162" s="361"/>
      <c r="F162" s="154"/>
    </row>
    <row r="163" spans="4:6" x14ac:dyDescent="0.2">
      <c r="D163" s="451"/>
      <c r="E163" s="361"/>
      <c r="F163" s="154"/>
    </row>
    <row r="164" spans="4:6" x14ac:dyDescent="0.2">
      <c r="D164" s="451"/>
      <c r="E164" s="361"/>
      <c r="F164" s="154"/>
    </row>
    <row r="165" spans="4:6" x14ac:dyDescent="0.2">
      <c r="D165" s="451"/>
      <c r="E165" s="361"/>
      <c r="F165" s="154"/>
    </row>
    <row r="166" spans="4:6" x14ac:dyDescent="0.2">
      <c r="D166" s="451"/>
      <c r="E166" s="361"/>
      <c r="F166" s="154"/>
    </row>
    <row r="167" spans="4:6" x14ac:dyDescent="0.2">
      <c r="D167" s="451"/>
      <c r="E167" s="361"/>
      <c r="F167" s="154"/>
    </row>
    <row r="168" spans="4:6" x14ac:dyDescent="0.2">
      <c r="D168" s="451"/>
      <c r="E168" s="361"/>
      <c r="F168" s="154"/>
    </row>
    <row r="169" spans="4:6" x14ac:dyDescent="0.2">
      <c r="D169" s="451"/>
      <c r="E169" s="361"/>
      <c r="F169" s="154"/>
    </row>
    <row r="170" spans="4:6" x14ac:dyDescent="0.2">
      <c r="D170" s="451"/>
      <c r="E170" s="361"/>
      <c r="F170" s="154"/>
    </row>
    <row r="171" spans="4:6" x14ac:dyDescent="0.2">
      <c r="D171" s="451"/>
      <c r="E171" s="361"/>
      <c r="F171" s="154"/>
    </row>
    <row r="172" spans="4:6" x14ac:dyDescent="0.2">
      <c r="D172" s="451"/>
      <c r="E172" s="361"/>
      <c r="F172" s="154"/>
    </row>
    <row r="173" spans="4:6" x14ac:dyDescent="0.2">
      <c r="D173" s="451"/>
      <c r="E173" s="361"/>
      <c r="F173" s="154"/>
    </row>
    <row r="174" spans="4:6" x14ac:dyDescent="0.2">
      <c r="D174" s="451"/>
      <c r="E174" s="361"/>
      <c r="F174" s="154"/>
    </row>
    <row r="175" spans="4:6" x14ac:dyDescent="0.2">
      <c r="D175" s="451"/>
      <c r="E175" s="361"/>
      <c r="F175" s="154"/>
    </row>
    <row r="176" spans="4:6" x14ac:dyDescent="0.2">
      <c r="D176" s="451"/>
      <c r="E176" s="361"/>
      <c r="F176" s="154"/>
    </row>
    <row r="177" spans="4:6" x14ac:dyDescent="0.2">
      <c r="D177" s="451"/>
      <c r="E177" s="361"/>
      <c r="F177" s="154"/>
    </row>
    <row r="178" spans="4:6" x14ac:dyDescent="0.2">
      <c r="D178" s="451"/>
      <c r="E178" s="361"/>
      <c r="F178" s="154"/>
    </row>
    <row r="179" spans="4:6" x14ac:dyDescent="0.2">
      <c r="D179" s="451"/>
      <c r="E179" s="361"/>
      <c r="F179" s="154"/>
    </row>
    <row r="180" spans="4:6" x14ac:dyDescent="0.2">
      <c r="D180" s="451"/>
      <c r="E180" s="361"/>
      <c r="F180" s="154"/>
    </row>
    <row r="181" spans="4:6" x14ac:dyDescent="0.2">
      <c r="D181" s="451"/>
      <c r="E181" s="361"/>
      <c r="F181" s="154"/>
    </row>
    <row r="182" spans="4:6" x14ac:dyDescent="0.2">
      <c r="D182" s="451"/>
      <c r="E182" s="361"/>
      <c r="F182" s="154"/>
    </row>
    <row r="183" spans="4:6" x14ac:dyDescent="0.2">
      <c r="D183" s="451"/>
      <c r="E183" s="361"/>
      <c r="F183" s="154"/>
    </row>
    <row r="184" spans="4:6" x14ac:dyDescent="0.2">
      <c r="D184" s="451"/>
      <c r="E184" s="361"/>
      <c r="F184" s="154"/>
    </row>
    <row r="185" spans="4:6" x14ac:dyDescent="0.2">
      <c r="D185" s="451"/>
      <c r="E185" s="361"/>
      <c r="F185" s="154"/>
    </row>
    <row r="186" spans="4:6" x14ac:dyDescent="0.2">
      <c r="D186" s="451"/>
      <c r="E186" s="361"/>
      <c r="F186" s="154"/>
    </row>
    <row r="187" spans="4:6" x14ac:dyDescent="0.2">
      <c r="D187" s="451"/>
      <c r="E187" s="361"/>
      <c r="F187" s="154"/>
    </row>
    <row r="188" spans="4:6" x14ac:dyDescent="0.2">
      <c r="D188" s="451"/>
      <c r="E188" s="361"/>
      <c r="F188" s="154"/>
    </row>
    <row r="189" spans="4:6" x14ac:dyDescent="0.2">
      <c r="D189" s="451"/>
      <c r="E189" s="361"/>
      <c r="F189" s="154"/>
    </row>
    <row r="190" spans="4:6" x14ac:dyDescent="0.2">
      <c r="D190" s="451"/>
      <c r="E190" s="361"/>
      <c r="F190" s="154"/>
    </row>
    <row r="191" spans="4:6" x14ac:dyDescent="0.2">
      <c r="D191" s="451"/>
      <c r="E191" s="361"/>
      <c r="F191" s="154"/>
    </row>
    <row r="192" spans="4:6" x14ac:dyDescent="0.2">
      <c r="D192" s="451"/>
      <c r="E192" s="361"/>
      <c r="F192" s="154"/>
    </row>
    <row r="193" spans="4:6" x14ac:dyDescent="0.2">
      <c r="D193" s="451"/>
      <c r="E193" s="361"/>
      <c r="F193" s="154"/>
    </row>
    <row r="194" spans="4:6" x14ac:dyDescent="0.2">
      <c r="D194" s="451"/>
      <c r="E194" s="361"/>
      <c r="F194" s="154"/>
    </row>
    <row r="195" spans="4:6" x14ac:dyDescent="0.2">
      <c r="D195" s="451"/>
      <c r="E195" s="361"/>
      <c r="F195" s="154"/>
    </row>
    <row r="196" spans="4:6" x14ac:dyDescent="0.2">
      <c r="D196" s="451"/>
      <c r="E196" s="361"/>
      <c r="F196" s="154"/>
    </row>
    <row r="197" spans="4:6" x14ac:dyDescent="0.2">
      <c r="D197" s="451"/>
      <c r="E197" s="361"/>
      <c r="F197" s="154"/>
    </row>
    <row r="198" spans="4:6" x14ac:dyDescent="0.2">
      <c r="D198" s="451"/>
      <c r="E198" s="361"/>
      <c r="F198" s="154"/>
    </row>
    <row r="199" spans="4:6" x14ac:dyDescent="0.2">
      <c r="D199" s="451"/>
      <c r="E199" s="361"/>
      <c r="F199" s="154"/>
    </row>
    <row r="200" spans="4:6" x14ac:dyDescent="0.2">
      <c r="D200" s="451"/>
      <c r="E200" s="361"/>
      <c r="F200" s="154"/>
    </row>
    <row r="201" spans="4:6" x14ac:dyDescent="0.2">
      <c r="D201" s="451"/>
      <c r="E201" s="361"/>
      <c r="F201" s="154"/>
    </row>
    <row r="202" spans="4:6" x14ac:dyDescent="0.2">
      <c r="D202" s="451"/>
      <c r="E202" s="361"/>
      <c r="F202" s="154"/>
    </row>
    <row r="203" spans="4:6" x14ac:dyDescent="0.2">
      <c r="D203" s="451"/>
      <c r="E203" s="361"/>
      <c r="F203" s="154"/>
    </row>
    <row r="204" spans="4:6" x14ac:dyDescent="0.2">
      <c r="D204" s="451"/>
      <c r="E204" s="361"/>
      <c r="F204" s="154"/>
    </row>
    <row r="205" spans="4:6" x14ac:dyDescent="0.2">
      <c r="D205" s="451"/>
      <c r="E205" s="361"/>
      <c r="F205" s="154"/>
    </row>
    <row r="206" spans="4:6" x14ac:dyDescent="0.2">
      <c r="D206" s="451"/>
      <c r="E206" s="361"/>
      <c r="F206" s="154"/>
    </row>
    <row r="207" spans="4:6" x14ac:dyDescent="0.2">
      <c r="D207" s="451"/>
      <c r="E207" s="361"/>
      <c r="F207" s="154"/>
    </row>
    <row r="208" spans="4:6" x14ac:dyDescent="0.2">
      <c r="D208" s="451"/>
      <c r="E208" s="361"/>
      <c r="F208" s="154"/>
    </row>
    <row r="209" spans="4:6" x14ac:dyDescent="0.2">
      <c r="D209" s="451"/>
      <c r="E209" s="361"/>
      <c r="F209" s="154"/>
    </row>
    <row r="210" spans="4:6" x14ac:dyDescent="0.2">
      <c r="D210" s="451"/>
      <c r="E210" s="361"/>
      <c r="F210" s="154"/>
    </row>
    <row r="211" spans="4:6" x14ac:dyDescent="0.2">
      <c r="D211" s="451"/>
      <c r="E211" s="361"/>
      <c r="F211" s="154"/>
    </row>
    <row r="212" spans="4:6" x14ac:dyDescent="0.2">
      <c r="D212" s="451"/>
      <c r="E212" s="361"/>
      <c r="F212" s="154"/>
    </row>
    <row r="213" spans="4:6" x14ac:dyDescent="0.2">
      <c r="D213" s="451"/>
      <c r="E213" s="361"/>
      <c r="F213" s="154"/>
    </row>
    <row r="214" spans="4:6" x14ac:dyDescent="0.2">
      <c r="D214" s="451"/>
      <c r="E214" s="361"/>
      <c r="F214" s="154"/>
    </row>
    <row r="215" spans="4:6" x14ac:dyDescent="0.2">
      <c r="D215" s="451"/>
      <c r="E215" s="361"/>
      <c r="F215" s="154"/>
    </row>
    <row r="216" spans="4:6" x14ac:dyDescent="0.2">
      <c r="D216" s="451"/>
      <c r="E216" s="361"/>
      <c r="F216" s="154"/>
    </row>
    <row r="217" spans="4:6" x14ac:dyDescent="0.2">
      <c r="D217" s="451"/>
      <c r="E217" s="361"/>
      <c r="F217" s="154"/>
    </row>
    <row r="218" spans="4:6" x14ac:dyDescent="0.2">
      <c r="D218" s="451"/>
      <c r="E218" s="361"/>
      <c r="F218" s="154"/>
    </row>
    <row r="219" spans="4:6" x14ac:dyDescent="0.2">
      <c r="D219" s="451"/>
      <c r="E219" s="361"/>
      <c r="F219" s="154"/>
    </row>
    <row r="220" spans="4:6" x14ac:dyDescent="0.2">
      <c r="D220" s="451"/>
      <c r="E220" s="361"/>
      <c r="F220" s="154"/>
    </row>
    <row r="221" spans="4:6" x14ac:dyDescent="0.2">
      <c r="D221" s="451"/>
      <c r="E221" s="361"/>
      <c r="F221" s="154"/>
    </row>
    <row r="222" spans="4:6" x14ac:dyDescent="0.2">
      <c r="D222" s="451"/>
      <c r="E222" s="361"/>
      <c r="F222" s="154"/>
    </row>
    <row r="223" spans="4:6" x14ac:dyDescent="0.2">
      <c r="D223" s="451"/>
      <c r="E223" s="361"/>
      <c r="F223" s="154"/>
    </row>
    <row r="224" spans="4:6" x14ac:dyDescent="0.2">
      <c r="D224" s="451"/>
      <c r="E224" s="361"/>
      <c r="F224" s="154"/>
    </row>
    <row r="225" spans="4:6" x14ac:dyDescent="0.2">
      <c r="D225" s="451"/>
      <c r="E225" s="361"/>
      <c r="F225" s="154"/>
    </row>
    <row r="226" spans="4:6" x14ac:dyDescent="0.2">
      <c r="D226" s="451"/>
      <c r="E226" s="361"/>
      <c r="F226" s="154"/>
    </row>
    <row r="227" spans="4:6" x14ac:dyDescent="0.2">
      <c r="D227" s="451"/>
      <c r="E227" s="361"/>
      <c r="F227" s="154"/>
    </row>
    <row r="228" spans="4:6" x14ac:dyDescent="0.2">
      <c r="D228" s="451"/>
      <c r="E228" s="361"/>
      <c r="F228" s="154"/>
    </row>
    <row r="229" spans="4:6" x14ac:dyDescent="0.2">
      <c r="D229" s="451"/>
      <c r="E229" s="361"/>
      <c r="F229" s="154"/>
    </row>
    <row r="230" spans="4:6" x14ac:dyDescent="0.2">
      <c r="D230" s="451"/>
      <c r="E230" s="361"/>
      <c r="F230" s="154"/>
    </row>
    <row r="231" spans="4:6" x14ac:dyDescent="0.2">
      <c r="D231" s="451"/>
      <c r="E231" s="361"/>
      <c r="F231" s="154"/>
    </row>
    <row r="232" spans="4:6" x14ac:dyDescent="0.2">
      <c r="D232" s="451"/>
      <c r="E232" s="361"/>
      <c r="F232" s="154"/>
    </row>
    <row r="233" spans="4:6" x14ac:dyDescent="0.2">
      <c r="D233" s="451"/>
      <c r="E233" s="361"/>
      <c r="F233" s="154"/>
    </row>
    <row r="234" spans="4:6" x14ac:dyDescent="0.2">
      <c r="D234" s="451"/>
      <c r="E234" s="361"/>
      <c r="F234" s="154"/>
    </row>
    <row r="235" spans="4:6" x14ac:dyDescent="0.2">
      <c r="D235" s="451"/>
      <c r="E235" s="361"/>
      <c r="F235" s="154"/>
    </row>
    <row r="236" spans="4:6" x14ac:dyDescent="0.2">
      <c r="D236" s="451"/>
      <c r="E236" s="361"/>
      <c r="F236" s="154"/>
    </row>
    <row r="237" spans="4:6" x14ac:dyDescent="0.2">
      <c r="D237" s="451"/>
      <c r="E237" s="361"/>
      <c r="F237" s="154"/>
    </row>
    <row r="238" spans="4:6" x14ac:dyDescent="0.2">
      <c r="D238" s="451"/>
      <c r="E238" s="361"/>
      <c r="F238" s="154"/>
    </row>
    <row r="239" spans="4:6" x14ac:dyDescent="0.2">
      <c r="D239" s="451"/>
      <c r="E239" s="361"/>
      <c r="F239" s="154"/>
    </row>
    <row r="240" spans="4:6" x14ac:dyDescent="0.2">
      <c r="D240" s="451"/>
      <c r="E240" s="361"/>
      <c r="F240" s="154"/>
    </row>
    <row r="241" spans="4:6" x14ac:dyDescent="0.2">
      <c r="D241" s="451"/>
      <c r="E241" s="361"/>
      <c r="F241" s="154"/>
    </row>
    <row r="242" spans="4:6" x14ac:dyDescent="0.2">
      <c r="D242" s="451"/>
      <c r="E242" s="361"/>
      <c r="F242" s="154"/>
    </row>
    <row r="243" spans="4:6" x14ac:dyDescent="0.2">
      <c r="D243" s="451"/>
      <c r="E243" s="361"/>
      <c r="F243" s="154"/>
    </row>
    <row r="244" spans="4:6" x14ac:dyDescent="0.2">
      <c r="D244" s="451"/>
      <c r="E244" s="361"/>
      <c r="F244" s="154"/>
    </row>
    <row r="245" spans="4:6" x14ac:dyDescent="0.2">
      <c r="D245" s="451"/>
      <c r="E245" s="361"/>
      <c r="F245" s="154"/>
    </row>
    <row r="246" spans="4:6" x14ac:dyDescent="0.2">
      <c r="D246" s="451"/>
      <c r="E246" s="361"/>
      <c r="F246" s="154"/>
    </row>
    <row r="247" spans="4:6" x14ac:dyDescent="0.2">
      <c r="D247" s="451"/>
      <c r="E247" s="361"/>
      <c r="F247" s="154"/>
    </row>
    <row r="248" spans="4:6" x14ac:dyDescent="0.2">
      <c r="D248" s="451"/>
      <c r="E248" s="361"/>
      <c r="F248" s="154"/>
    </row>
    <row r="249" spans="4:6" x14ac:dyDescent="0.2">
      <c r="D249" s="451"/>
      <c r="E249" s="361"/>
      <c r="F249" s="154"/>
    </row>
    <row r="250" spans="4:6" x14ac:dyDescent="0.2">
      <c r="D250" s="451"/>
      <c r="E250" s="361"/>
      <c r="F250" s="154"/>
    </row>
    <row r="251" spans="4:6" x14ac:dyDescent="0.2">
      <c r="D251" s="451"/>
      <c r="E251" s="361"/>
      <c r="F251" s="154"/>
    </row>
    <row r="252" spans="4:6" x14ac:dyDescent="0.2">
      <c r="D252" s="451"/>
      <c r="E252" s="361"/>
      <c r="F252" s="154"/>
    </row>
    <row r="253" spans="4:6" x14ac:dyDescent="0.2">
      <c r="D253" s="451"/>
      <c r="E253" s="361"/>
      <c r="F253" s="154"/>
    </row>
    <row r="254" spans="4:6" x14ac:dyDescent="0.2">
      <c r="D254" s="451"/>
      <c r="E254" s="361"/>
      <c r="F254" s="154"/>
    </row>
    <row r="255" spans="4:6" x14ac:dyDescent="0.2">
      <c r="D255" s="451"/>
      <c r="E255" s="361"/>
      <c r="F255" s="154"/>
    </row>
    <row r="256" spans="4:6" x14ac:dyDescent="0.2">
      <c r="D256" s="451"/>
      <c r="E256" s="361"/>
      <c r="F256" s="154"/>
    </row>
    <row r="257" spans="4:6" x14ac:dyDescent="0.2">
      <c r="D257" s="451"/>
      <c r="E257" s="361"/>
      <c r="F257" s="154"/>
    </row>
    <row r="258" spans="4:6" x14ac:dyDescent="0.2">
      <c r="D258" s="451"/>
      <c r="E258" s="361"/>
      <c r="F258" s="154"/>
    </row>
    <row r="259" spans="4:6" x14ac:dyDescent="0.2">
      <c r="D259" s="451"/>
      <c r="E259" s="361"/>
      <c r="F259" s="154"/>
    </row>
    <row r="260" spans="4:6" x14ac:dyDescent="0.2">
      <c r="D260" s="451"/>
      <c r="E260" s="361"/>
      <c r="F260" s="154"/>
    </row>
    <row r="261" spans="4:6" x14ac:dyDescent="0.2">
      <c r="D261" s="451"/>
      <c r="E261" s="361"/>
      <c r="F261" s="154"/>
    </row>
    <row r="262" spans="4:6" x14ac:dyDescent="0.2">
      <c r="D262" s="451"/>
      <c r="E262" s="361"/>
      <c r="F262" s="154"/>
    </row>
    <row r="263" spans="4:6" x14ac:dyDescent="0.2">
      <c r="D263" s="451"/>
      <c r="E263" s="361"/>
      <c r="F263" s="154"/>
    </row>
    <row r="264" spans="4:6" x14ac:dyDescent="0.2">
      <c r="D264" s="451"/>
      <c r="E264" s="361"/>
      <c r="F264" s="154"/>
    </row>
    <row r="265" spans="4:6" x14ac:dyDescent="0.2">
      <c r="D265" s="451"/>
      <c r="E265" s="361"/>
      <c r="F265" s="154"/>
    </row>
    <row r="266" spans="4:6" x14ac:dyDescent="0.2">
      <c r="D266" s="451"/>
      <c r="E266" s="361"/>
      <c r="F266" s="154"/>
    </row>
    <row r="267" spans="4:6" x14ac:dyDescent="0.2">
      <c r="D267" s="451"/>
      <c r="E267" s="361"/>
      <c r="F267" s="154"/>
    </row>
    <row r="268" spans="4:6" x14ac:dyDescent="0.2">
      <c r="D268" s="451"/>
      <c r="E268" s="361"/>
      <c r="F268" s="154"/>
    </row>
    <row r="269" spans="4:6" x14ac:dyDescent="0.2">
      <c r="D269" s="451"/>
      <c r="E269" s="361"/>
      <c r="F269" s="154"/>
    </row>
    <row r="270" spans="4:6" x14ac:dyDescent="0.2">
      <c r="D270" s="451"/>
      <c r="E270" s="361"/>
      <c r="F270" s="154"/>
    </row>
    <row r="271" spans="4:6" x14ac:dyDescent="0.2">
      <c r="D271" s="451"/>
      <c r="E271" s="361"/>
      <c r="F271" s="154"/>
    </row>
    <row r="272" spans="4:6" x14ac:dyDescent="0.2">
      <c r="D272" s="451"/>
      <c r="E272" s="361"/>
      <c r="F272" s="154"/>
    </row>
    <row r="273" spans="4:6" x14ac:dyDescent="0.2">
      <c r="D273" s="451"/>
      <c r="E273" s="361"/>
      <c r="F273" s="154"/>
    </row>
    <row r="274" spans="4:6" x14ac:dyDescent="0.2">
      <c r="D274" s="451"/>
      <c r="E274" s="361"/>
      <c r="F274" s="154"/>
    </row>
    <row r="275" spans="4:6" x14ac:dyDescent="0.2">
      <c r="D275" s="451"/>
      <c r="E275" s="361"/>
      <c r="F275" s="154"/>
    </row>
    <row r="276" spans="4:6" x14ac:dyDescent="0.2">
      <c r="D276" s="451"/>
      <c r="E276" s="361"/>
      <c r="F276" s="154"/>
    </row>
    <row r="277" spans="4:6" x14ac:dyDescent="0.2">
      <c r="D277" s="451"/>
      <c r="E277" s="361"/>
      <c r="F277" s="154"/>
    </row>
    <row r="278" spans="4:6" x14ac:dyDescent="0.2">
      <c r="D278" s="451"/>
      <c r="E278" s="361"/>
      <c r="F278" s="154"/>
    </row>
    <row r="279" spans="4:6" x14ac:dyDescent="0.2">
      <c r="D279" s="451"/>
      <c r="E279" s="361"/>
      <c r="F279" s="154"/>
    </row>
    <row r="280" spans="4:6" x14ac:dyDescent="0.2">
      <c r="D280" s="451"/>
      <c r="E280" s="361"/>
      <c r="F280" s="154"/>
    </row>
    <row r="281" spans="4:6" x14ac:dyDescent="0.2">
      <c r="D281" s="451"/>
      <c r="E281" s="361"/>
      <c r="F281" s="154"/>
    </row>
    <row r="282" spans="4:6" x14ac:dyDescent="0.2">
      <c r="D282" s="451"/>
      <c r="E282" s="361"/>
      <c r="F282" s="154"/>
    </row>
    <row r="283" spans="4:6" x14ac:dyDescent="0.2">
      <c r="D283" s="451"/>
      <c r="E283" s="361"/>
      <c r="F283" s="154"/>
    </row>
    <row r="284" spans="4:6" x14ac:dyDescent="0.2">
      <c r="D284" s="451"/>
      <c r="E284" s="361"/>
      <c r="F284" s="154"/>
    </row>
    <row r="285" spans="4:6" x14ac:dyDescent="0.2">
      <c r="D285" s="451"/>
      <c r="E285" s="361"/>
      <c r="F285" s="154"/>
    </row>
    <row r="286" spans="4:6" x14ac:dyDescent="0.2">
      <c r="D286" s="451"/>
      <c r="E286" s="361"/>
      <c r="F286" s="154"/>
    </row>
    <row r="287" spans="4:6" x14ac:dyDescent="0.2">
      <c r="D287" s="451"/>
      <c r="E287" s="361"/>
      <c r="F287" s="154"/>
    </row>
    <row r="288" spans="4:6" x14ac:dyDescent="0.2">
      <c r="D288" s="451"/>
      <c r="E288" s="361"/>
      <c r="F288" s="154"/>
    </row>
    <row r="289" spans="4:6" x14ac:dyDescent="0.2">
      <c r="D289" s="451"/>
      <c r="E289" s="361"/>
      <c r="F289" s="154"/>
    </row>
    <row r="290" spans="4:6" x14ac:dyDescent="0.2">
      <c r="D290" s="451"/>
      <c r="E290" s="361"/>
      <c r="F290" s="154"/>
    </row>
    <row r="291" spans="4:6" x14ac:dyDescent="0.2">
      <c r="D291" s="451"/>
      <c r="E291" s="361"/>
      <c r="F291" s="154"/>
    </row>
    <row r="292" spans="4:6" x14ac:dyDescent="0.2">
      <c r="D292" s="451"/>
      <c r="E292" s="361"/>
      <c r="F292" s="154"/>
    </row>
    <row r="293" spans="4:6" x14ac:dyDescent="0.2">
      <c r="D293" s="451"/>
      <c r="E293" s="361"/>
      <c r="F293" s="154"/>
    </row>
    <row r="294" spans="4:6" x14ac:dyDescent="0.2">
      <c r="D294" s="451"/>
      <c r="E294" s="361"/>
      <c r="F294" s="154"/>
    </row>
    <row r="295" spans="4:6" x14ac:dyDescent="0.2">
      <c r="D295" s="451"/>
      <c r="E295" s="361"/>
      <c r="F295" s="154"/>
    </row>
    <row r="296" spans="4:6" x14ac:dyDescent="0.2">
      <c r="D296" s="451"/>
      <c r="E296" s="361"/>
      <c r="F296" s="154"/>
    </row>
    <row r="297" spans="4:6" x14ac:dyDescent="0.2">
      <c r="D297" s="451"/>
      <c r="E297" s="361"/>
      <c r="F297" s="154"/>
    </row>
    <row r="298" spans="4:6" x14ac:dyDescent="0.2">
      <c r="D298" s="451"/>
      <c r="E298" s="361"/>
      <c r="F298" s="154"/>
    </row>
    <row r="299" spans="4:6" x14ac:dyDescent="0.2">
      <c r="D299" s="451"/>
      <c r="E299" s="361"/>
      <c r="F299" s="154"/>
    </row>
    <row r="300" spans="4:6" x14ac:dyDescent="0.2">
      <c r="D300" s="451"/>
      <c r="E300" s="361"/>
      <c r="F300" s="154"/>
    </row>
    <row r="301" spans="4:6" x14ac:dyDescent="0.2">
      <c r="D301" s="451"/>
      <c r="E301" s="361"/>
      <c r="F301" s="154"/>
    </row>
    <row r="302" spans="4:6" x14ac:dyDescent="0.2">
      <c r="D302" s="451"/>
      <c r="E302" s="361"/>
      <c r="F302" s="154"/>
    </row>
    <row r="303" spans="4:6" x14ac:dyDescent="0.2">
      <c r="D303" s="451"/>
      <c r="E303" s="361"/>
      <c r="F303" s="154"/>
    </row>
    <row r="304" spans="4:6" x14ac:dyDescent="0.2">
      <c r="D304" s="451"/>
      <c r="E304" s="361"/>
      <c r="F304" s="154"/>
    </row>
    <row r="305" spans="4:6" x14ac:dyDescent="0.2">
      <c r="D305" s="451"/>
      <c r="E305" s="361"/>
      <c r="F305" s="154"/>
    </row>
    <row r="306" spans="4:6" x14ac:dyDescent="0.2">
      <c r="D306" s="451"/>
      <c r="E306" s="361"/>
      <c r="F306" s="154"/>
    </row>
    <row r="307" spans="4:6" x14ac:dyDescent="0.2">
      <c r="D307" s="451"/>
      <c r="E307" s="361"/>
      <c r="F307" s="154"/>
    </row>
    <row r="308" spans="4:6" x14ac:dyDescent="0.2">
      <c r="D308" s="451"/>
      <c r="E308" s="361"/>
      <c r="F308" s="154"/>
    </row>
    <row r="309" spans="4:6" x14ac:dyDescent="0.2">
      <c r="D309" s="451"/>
      <c r="E309" s="361"/>
      <c r="F309" s="154"/>
    </row>
    <row r="310" spans="4:6" x14ac:dyDescent="0.2">
      <c r="D310" s="451"/>
      <c r="E310" s="361"/>
      <c r="F310" s="154"/>
    </row>
    <row r="311" spans="4:6" x14ac:dyDescent="0.2">
      <c r="D311" s="451"/>
      <c r="E311" s="361"/>
      <c r="F311" s="154"/>
    </row>
    <row r="312" spans="4:6" x14ac:dyDescent="0.2">
      <c r="D312" s="451"/>
      <c r="E312" s="361"/>
      <c r="F312" s="154"/>
    </row>
    <row r="313" spans="4:6" x14ac:dyDescent="0.2">
      <c r="D313" s="451"/>
      <c r="E313" s="361"/>
      <c r="F313" s="154"/>
    </row>
    <row r="314" spans="4:6" x14ac:dyDescent="0.2">
      <c r="D314" s="451"/>
      <c r="E314" s="361"/>
      <c r="F314" s="154"/>
    </row>
    <row r="315" spans="4:6" x14ac:dyDescent="0.2">
      <c r="D315" s="451"/>
      <c r="E315" s="361"/>
      <c r="F315" s="154"/>
    </row>
    <row r="316" spans="4:6" x14ac:dyDescent="0.2">
      <c r="D316" s="451"/>
      <c r="E316" s="361"/>
      <c r="F316" s="154"/>
    </row>
    <row r="317" spans="4:6" x14ac:dyDescent="0.2">
      <c r="D317" s="451"/>
      <c r="E317" s="361"/>
      <c r="F317" s="154"/>
    </row>
    <row r="318" spans="4:6" x14ac:dyDescent="0.2">
      <c r="D318" s="451"/>
      <c r="E318" s="361"/>
      <c r="F318" s="154"/>
    </row>
    <row r="319" spans="4:6" x14ac:dyDescent="0.2">
      <c r="D319" s="451"/>
      <c r="E319" s="361"/>
      <c r="F319" s="154"/>
    </row>
    <row r="320" spans="4:6" x14ac:dyDescent="0.2">
      <c r="D320" s="451"/>
      <c r="E320" s="361"/>
      <c r="F320" s="154"/>
    </row>
    <row r="321" spans="4:6" x14ac:dyDescent="0.2">
      <c r="D321" s="451"/>
      <c r="E321" s="361"/>
      <c r="F321" s="154"/>
    </row>
    <row r="322" spans="4:6" x14ac:dyDescent="0.2">
      <c r="D322" s="451"/>
      <c r="E322" s="361"/>
      <c r="F322" s="154"/>
    </row>
    <row r="323" spans="4:6" x14ac:dyDescent="0.2">
      <c r="D323" s="451"/>
      <c r="E323" s="361"/>
      <c r="F323" s="154"/>
    </row>
    <row r="324" spans="4:6" x14ac:dyDescent="0.2">
      <c r="D324" s="451"/>
      <c r="E324" s="361"/>
      <c r="F324" s="154"/>
    </row>
    <row r="325" spans="4:6" x14ac:dyDescent="0.2">
      <c r="D325" s="451"/>
      <c r="E325" s="361"/>
      <c r="F325" s="154"/>
    </row>
    <row r="326" spans="4:6" x14ac:dyDescent="0.2">
      <c r="D326" s="451"/>
      <c r="E326" s="361"/>
      <c r="F326" s="154"/>
    </row>
    <row r="327" spans="4:6" x14ac:dyDescent="0.2">
      <c r="D327" s="451"/>
      <c r="E327" s="361"/>
      <c r="F327" s="154"/>
    </row>
    <row r="328" spans="4:6" x14ac:dyDescent="0.2">
      <c r="D328" s="451"/>
      <c r="E328" s="361"/>
      <c r="F328" s="154"/>
    </row>
    <row r="329" spans="4:6" x14ac:dyDescent="0.2">
      <c r="D329" s="451"/>
      <c r="E329" s="361"/>
      <c r="F329" s="154"/>
    </row>
    <row r="330" spans="4:6" x14ac:dyDescent="0.2">
      <c r="D330" s="451"/>
      <c r="E330" s="361"/>
      <c r="F330" s="154"/>
    </row>
    <row r="331" spans="4:6" x14ac:dyDescent="0.2">
      <c r="D331" s="451"/>
      <c r="E331" s="361"/>
      <c r="F331" s="154"/>
    </row>
    <row r="332" spans="4:6" x14ac:dyDescent="0.2">
      <c r="D332" s="451"/>
      <c r="E332" s="361"/>
      <c r="F332" s="154"/>
    </row>
    <row r="333" spans="4:6" x14ac:dyDescent="0.2">
      <c r="D333" s="451"/>
      <c r="E333" s="361"/>
      <c r="F333" s="154"/>
    </row>
    <row r="334" spans="4:6" x14ac:dyDescent="0.2">
      <c r="D334" s="451"/>
      <c r="E334" s="361"/>
      <c r="F334" s="154"/>
    </row>
    <row r="335" spans="4:6" x14ac:dyDescent="0.2">
      <c r="D335" s="451"/>
      <c r="E335" s="361"/>
      <c r="F335" s="154"/>
    </row>
    <row r="336" spans="4:6" x14ac:dyDescent="0.2">
      <c r="D336" s="451"/>
      <c r="E336" s="361"/>
      <c r="F336" s="154"/>
    </row>
    <row r="337" spans="4:6" x14ac:dyDescent="0.2">
      <c r="D337" s="451"/>
      <c r="E337" s="361"/>
      <c r="F337" s="154"/>
    </row>
    <row r="338" spans="4:6" x14ac:dyDescent="0.2">
      <c r="D338" s="451"/>
      <c r="E338" s="361"/>
      <c r="F338" s="154"/>
    </row>
    <row r="339" spans="4:6" x14ac:dyDescent="0.2">
      <c r="D339" s="451"/>
      <c r="E339" s="361"/>
      <c r="F339" s="154"/>
    </row>
    <row r="340" spans="4:6" x14ac:dyDescent="0.2">
      <c r="D340" s="451"/>
      <c r="E340" s="361"/>
      <c r="F340" s="154"/>
    </row>
    <row r="341" spans="4:6" x14ac:dyDescent="0.2">
      <c r="D341" s="451"/>
      <c r="E341" s="361"/>
      <c r="F341" s="154"/>
    </row>
    <row r="342" spans="4:6" x14ac:dyDescent="0.2">
      <c r="D342" s="451"/>
      <c r="E342" s="361"/>
      <c r="F342" s="154"/>
    </row>
    <row r="343" spans="4:6" x14ac:dyDescent="0.2">
      <c r="D343" s="451"/>
      <c r="E343" s="361"/>
      <c r="F343" s="154"/>
    </row>
    <row r="344" spans="4:6" x14ac:dyDescent="0.2">
      <c r="D344" s="451"/>
      <c r="E344" s="361"/>
      <c r="F344" s="154"/>
    </row>
    <row r="345" spans="4:6" x14ac:dyDescent="0.2">
      <c r="D345" s="451"/>
      <c r="E345" s="361"/>
      <c r="F345" s="154"/>
    </row>
    <row r="346" spans="4:6" x14ac:dyDescent="0.2">
      <c r="D346" s="451"/>
      <c r="E346" s="361"/>
      <c r="F346" s="154"/>
    </row>
    <row r="347" spans="4:6" x14ac:dyDescent="0.2">
      <c r="D347" s="451"/>
      <c r="E347" s="361"/>
      <c r="F347" s="154"/>
    </row>
    <row r="348" spans="4:6" x14ac:dyDescent="0.2">
      <c r="D348" s="451"/>
      <c r="E348" s="361"/>
      <c r="F348" s="154"/>
    </row>
    <row r="349" spans="4:6" x14ac:dyDescent="0.2">
      <c r="D349" s="451"/>
      <c r="E349" s="361"/>
      <c r="F349" s="154"/>
    </row>
    <row r="350" spans="4:6" x14ac:dyDescent="0.2">
      <c r="D350" s="451"/>
      <c r="E350" s="361"/>
      <c r="F350" s="154"/>
    </row>
    <row r="351" spans="4:6" x14ac:dyDescent="0.2">
      <c r="D351" s="451"/>
      <c r="E351" s="361"/>
      <c r="F351" s="154"/>
    </row>
    <row r="352" spans="4:6" x14ac:dyDescent="0.2">
      <c r="D352" s="451"/>
      <c r="E352" s="361"/>
      <c r="F352" s="154"/>
    </row>
    <row r="353" spans="4:6" x14ac:dyDescent="0.2">
      <c r="D353" s="451"/>
      <c r="E353" s="361"/>
      <c r="F353" s="154"/>
    </row>
    <row r="354" spans="4:6" x14ac:dyDescent="0.2">
      <c r="D354" s="451"/>
      <c r="E354" s="361"/>
      <c r="F354" s="154"/>
    </row>
    <row r="355" spans="4:6" x14ac:dyDescent="0.2">
      <c r="D355" s="451"/>
      <c r="E355" s="361"/>
      <c r="F355" s="154"/>
    </row>
  </sheetData>
  <mergeCells count="7">
    <mergeCell ref="A52:O52"/>
    <mergeCell ref="P16:P17"/>
    <mergeCell ref="P28:P29"/>
    <mergeCell ref="R28:R29"/>
    <mergeCell ref="Q28:Q29"/>
    <mergeCell ref="R16:R17"/>
    <mergeCell ref="Q16:Q17"/>
  </mergeCells>
  <pageMargins left="0.23622047244094491" right="0.23622047244094491" top="0.39370078740157483" bottom="0.39370078740157483" header="0.31496062992125984" footer="0.31496062992125984"/>
  <pageSetup paperSize="9" scale="75" fitToHeight="0" orientation="portrait" r:id="rId1"/>
  <headerFooter>
    <oddFooter>&amp;RPage &amp;P / &amp;N</oddFooter>
  </headerFooter>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00000"/>
  </sheetPr>
  <dimension ref="A1:O83"/>
  <sheetViews>
    <sheetView workbookViewId="0">
      <pane xSplit="2" ySplit="3" topLeftCell="C67" activePane="bottomRight" state="frozen"/>
      <selection pane="topRight" activeCell="C1" sqref="C1"/>
      <selection pane="bottomLeft" activeCell="A4" sqref="A4"/>
      <selection pane="bottomRight" activeCell="A81" sqref="A81:XFD82"/>
    </sheetView>
  </sheetViews>
  <sheetFormatPr defaultColWidth="9.140625" defaultRowHeight="15" x14ac:dyDescent="0.25"/>
  <cols>
    <col min="1" max="1" width="9.140625" style="608"/>
    <col min="2" max="2" width="11.42578125" style="608" customWidth="1"/>
    <col min="3" max="3" width="48.5703125" style="638" customWidth="1"/>
    <col min="4" max="4" width="31.140625" style="608" bestFit="1" customWidth="1"/>
    <col min="5" max="5" width="11" style="608" hidden="1" customWidth="1"/>
    <col min="6" max="6" width="13.7109375" style="608" bestFit="1" customWidth="1"/>
    <col min="7" max="7" width="12.85546875" style="608" bestFit="1" customWidth="1"/>
    <col min="8" max="8" width="14.28515625" style="613" bestFit="1" customWidth="1"/>
    <col min="9" max="9" width="14.28515625" style="613" hidden="1" customWidth="1"/>
    <col min="10" max="10" width="0" style="613" hidden="1" customWidth="1"/>
    <col min="11" max="13" width="12.85546875" style="608" bestFit="1" customWidth="1"/>
    <col min="14" max="16384" width="9.140625" style="608"/>
  </cols>
  <sheetData>
    <row r="1" spans="1:14" ht="26.25" x14ac:dyDescent="0.4">
      <c r="A1" s="609" t="s">
        <v>11358</v>
      </c>
      <c r="I1" s="608"/>
      <c r="J1" s="608"/>
      <c r="L1" s="613"/>
      <c r="M1" s="613"/>
      <c r="N1" s="613"/>
    </row>
    <row r="2" spans="1:14" ht="26.25" x14ac:dyDescent="0.4">
      <c r="A2" s="609"/>
      <c r="I2" s="608"/>
      <c r="J2" s="608"/>
      <c r="L2" s="613"/>
      <c r="M2" s="613"/>
      <c r="N2" s="613"/>
    </row>
    <row r="3" spans="1:14" ht="30" customHeight="1" x14ac:dyDescent="0.25">
      <c r="A3" s="629" t="s">
        <v>1</v>
      </c>
      <c r="B3" s="626" t="s">
        <v>8627</v>
      </c>
      <c r="C3" s="639" t="s">
        <v>7809</v>
      </c>
      <c r="D3" s="629" t="s">
        <v>2</v>
      </c>
      <c r="E3" s="629"/>
      <c r="F3" s="629" t="s">
        <v>11319</v>
      </c>
      <c r="G3" s="629" t="s">
        <v>7809</v>
      </c>
      <c r="H3" s="629">
        <v>2020</v>
      </c>
      <c r="I3" s="629" t="s">
        <v>8626</v>
      </c>
      <c r="J3" s="629" t="s">
        <v>8625</v>
      </c>
      <c r="K3" s="629">
        <v>2019</v>
      </c>
      <c r="L3" s="629">
        <v>2018</v>
      </c>
      <c r="M3" s="629">
        <v>2017</v>
      </c>
      <c r="N3" s="613"/>
    </row>
    <row r="4" spans="1:14" ht="30" customHeight="1" x14ac:dyDescent="0.25">
      <c r="A4" s="627" t="s">
        <v>10383</v>
      </c>
      <c r="B4" s="627" t="s">
        <v>10382</v>
      </c>
      <c r="C4" s="635" t="s">
        <v>8862</v>
      </c>
      <c r="D4" s="627" t="s">
        <v>10365</v>
      </c>
      <c r="E4" s="767" t="s">
        <v>10383</v>
      </c>
      <c r="F4" s="758">
        <v>40</v>
      </c>
      <c r="G4" s="758"/>
      <c r="H4" s="758">
        <v>40</v>
      </c>
      <c r="I4" s="628">
        <v>20</v>
      </c>
      <c r="J4" s="628">
        <v>786.81</v>
      </c>
      <c r="K4" s="813">
        <f t="shared" ref="K4:K27" si="0">SUM(I4:J4)</f>
        <v>806.81</v>
      </c>
      <c r="L4" s="818">
        <v>900.9</v>
      </c>
      <c r="M4" s="818">
        <v>1286.27</v>
      </c>
      <c r="N4" s="613"/>
    </row>
    <row r="5" spans="1:14" ht="30" customHeight="1" x14ac:dyDescent="0.25">
      <c r="A5" s="627" t="s">
        <v>10381</v>
      </c>
      <c r="B5" s="627" t="s">
        <v>10380</v>
      </c>
      <c r="C5" s="635" t="s">
        <v>7216</v>
      </c>
      <c r="D5" s="627" t="s">
        <v>10365</v>
      </c>
      <c r="E5" s="767" t="s">
        <v>10381</v>
      </c>
      <c r="F5" s="758">
        <v>10</v>
      </c>
      <c r="G5" s="758"/>
      <c r="H5" s="758">
        <v>10</v>
      </c>
      <c r="I5" s="628">
        <v>0</v>
      </c>
      <c r="J5" s="628">
        <v>296.64999999999998</v>
      </c>
      <c r="K5" s="813">
        <f t="shared" si="0"/>
        <v>296.64999999999998</v>
      </c>
      <c r="L5" s="818">
        <v>378</v>
      </c>
      <c r="M5" s="818">
        <v>534</v>
      </c>
      <c r="N5" s="613"/>
    </row>
    <row r="6" spans="1:14" ht="30" customHeight="1" x14ac:dyDescent="0.25">
      <c r="A6" s="627" t="s">
        <v>10379</v>
      </c>
      <c r="B6" s="627" t="s">
        <v>10378</v>
      </c>
      <c r="C6" s="635" t="s">
        <v>10377</v>
      </c>
      <c r="D6" s="627" t="s">
        <v>10365</v>
      </c>
      <c r="E6" s="767" t="s">
        <v>10379</v>
      </c>
      <c r="F6" s="758">
        <v>470</v>
      </c>
      <c r="G6" s="758">
        <v>139.30000000000001</v>
      </c>
      <c r="H6" s="758">
        <v>609.29999999999995</v>
      </c>
      <c r="I6" s="628">
        <v>80</v>
      </c>
      <c r="J6" s="628">
        <v>869.7600000000001</v>
      </c>
      <c r="K6" s="813">
        <f t="shared" si="0"/>
        <v>949.7600000000001</v>
      </c>
      <c r="L6" s="818">
        <v>711.34</v>
      </c>
      <c r="M6" s="818">
        <v>686.7</v>
      </c>
      <c r="N6" s="613"/>
    </row>
    <row r="7" spans="1:14" ht="30" customHeight="1" x14ac:dyDescent="0.25">
      <c r="A7" s="627" t="s">
        <v>10376</v>
      </c>
      <c r="B7" s="627" t="s">
        <v>10375</v>
      </c>
      <c r="C7" s="635" t="s">
        <v>10374</v>
      </c>
      <c r="D7" s="627" t="s">
        <v>10365</v>
      </c>
      <c r="E7" s="767" t="s">
        <v>10376</v>
      </c>
      <c r="F7" s="758">
        <v>160</v>
      </c>
      <c r="G7" s="758"/>
      <c r="H7" s="758">
        <v>160</v>
      </c>
      <c r="I7" s="628">
        <v>10</v>
      </c>
      <c r="J7" s="628">
        <v>1484.57</v>
      </c>
      <c r="K7" s="813">
        <f t="shared" si="0"/>
        <v>1494.57</v>
      </c>
      <c r="L7" s="818">
        <v>1882.69</v>
      </c>
      <c r="M7" s="818">
        <v>1583.14</v>
      </c>
      <c r="N7" s="613"/>
    </row>
    <row r="8" spans="1:14" ht="30" customHeight="1" x14ac:dyDescent="0.25">
      <c r="A8" s="627" t="s">
        <v>10373</v>
      </c>
      <c r="B8" s="627" t="s">
        <v>10372</v>
      </c>
      <c r="C8" s="635" t="s">
        <v>896</v>
      </c>
      <c r="D8" s="627" t="s">
        <v>10365</v>
      </c>
      <c r="E8" s="767" t="s">
        <v>10373</v>
      </c>
      <c r="F8" s="758">
        <v>36</v>
      </c>
      <c r="G8" s="758">
        <v>250.1</v>
      </c>
      <c r="H8" s="758">
        <v>286.10000000000002</v>
      </c>
      <c r="I8" s="628">
        <v>18</v>
      </c>
      <c r="J8" s="628">
        <v>1306.06</v>
      </c>
      <c r="K8" s="813">
        <f t="shared" si="0"/>
        <v>1324.06</v>
      </c>
      <c r="L8" s="818">
        <v>1562.78</v>
      </c>
      <c r="M8" s="818">
        <v>1367.3</v>
      </c>
      <c r="N8" s="613"/>
    </row>
    <row r="9" spans="1:14" ht="30" customHeight="1" x14ac:dyDescent="0.25">
      <c r="A9" s="627" t="s">
        <v>10371</v>
      </c>
      <c r="B9" s="627" t="s">
        <v>10370</v>
      </c>
      <c r="C9" s="635" t="s">
        <v>532</v>
      </c>
      <c r="D9" s="627" t="s">
        <v>10365</v>
      </c>
      <c r="E9" s="767" t="s">
        <v>10371</v>
      </c>
      <c r="F9" s="758">
        <v>15</v>
      </c>
      <c r="G9" s="758">
        <v>623.51</v>
      </c>
      <c r="H9" s="758">
        <v>638.51</v>
      </c>
      <c r="I9" s="628">
        <v>0</v>
      </c>
      <c r="J9" s="628">
        <v>1119.94</v>
      </c>
      <c r="K9" s="813">
        <f t="shared" si="0"/>
        <v>1119.94</v>
      </c>
      <c r="L9" s="818">
        <v>1125.83</v>
      </c>
      <c r="M9" s="818">
        <v>1153.07</v>
      </c>
      <c r="N9" s="613"/>
    </row>
    <row r="10" spans="1:14" ht="30" customHeight="1" x14ac:dyDescent="0.25">
      <c r="A10" s="627" t="s">
        <v>10369</v>
      </c>
      <c r="B10" s="627" t="s">
        <v>10368</v>
      </c>
      <c r="C10" s="635" t="s">
        <v>9416</v>
      </c>
      <c r="D10" s="627" t="s">
        <v>10365</v>
      </c>
      <c r="E10" s="767" t="s">
        <v>10369</v>
      </c>
      <c r="F10" s="758"/>
      <c r="G10" s="758">
        <v>1203.01</v>
      </c>
      <c r="H10" s="758">
        <v>1203.01</v>
      </c>
      <c r="I10" s="628">
        <v>0</v>
      </c>
      <c r="J10" s="628">
        <v>3875.8199999999997</v>
      </c>
      <c r="K10" s="813">
        <f t="shared" si="0"/>
        <v>3875.8199999999997</v>
      </c>
      <c r="L10" s="818">
        <v>4048.32</v>
      </c>
      <c r="M10" s="818">
        <v>3637.27</v>
      </c>
      <c r="N10" s="613"/>
    </row>
    <row r="11" spans="1:14" ht="30" customHeight="1" x14ac:dyDescent="0.25">
      <c r="A11" s="627" t="s">
        <v>10367</v>
      </c>
      <c r="B11" s="627" t="s">
        <v>10366</v>
      </c>
      <c r="C11" s="635" t="s">
        <v>453</v>
      </c>
      <c r="D11" s="627" t="s">
        <v>10365</v>
      </c>
      <c r="E11" s="767" t="s">
        <v>10367</v>
      </c>
      <c r="F11" s="758">
        <v>120.44</v>
      </c>
      <c r="G11" s="758">
        <v>683.7600000000001</v>
      </c>
      <c r="H11" s="758">
        <v>804.2</v>
      </c>
      <c r="I11" s="628">
        <v>10</v>
      </c>
      <c r="J11" s="628">
        <v>887.0100000000001</v>
      </c>
      <c r="K11" s="813">
        <f t="shared" si="0"/>
        <v>897.0100000000001</v>
      </c>
      <c r="L11" s="818">
        <v>1733.47</v>
      </c>
      <c r="M11" s="818">
        <v>1569.5</v>
      </c>
      <c r="N11" s="613"/>
    </row>
    <row r="12" spans="1:14" ht="30" customHeight="1" x14ac:dyDescent="0.25">
      <c r="A12" s="627" t="s">
        <v>10364</v>
      </c>
      <c r="B12" s="627" t="s">
        <v>10363</v>
      </c>
      <c r="C12" s="635" t="s">
        <v>1743</v>
      </c>
      <c r="D12" s="627" t="s">
        <v>10362</v>
      </c>
      <c r="E12" s="767" t="s">
        <v>10364</v>
      </c>
      <c r="F12" s="758">
        <v>210</v>
      </c>
      <c r="G12" s="758">
        <v>280.7</v>
      </c>
      <c r="H12" s="758">
        <v>490.7</v>
      </c>
      <c r="I12" s="628">
        <v>120</v>
      </c>
      <c r="J12" s="628">
        <v>491.59000000000003</v>
      </c>
      <c r="K12" s="813">
        <f t="shared" si="0"/>
        <v>611.59</v>
      </c>
      <c r="L12" s="818">
        <v>610.69000000000005</v>
      </c>
      <c r="M12" s="818">
        <v>940.45</v>
      </c>
      <c r="N12" s="613"/>
    </row>
    <row r="13" spans="1:14" ht="30" customHeight="1" x14ac:dyDescent="0.25">
      <c r="A13" s="627" t="s">
        <v>10361</v>
      </c>
      <c r="B13" s="627" t="s">
        <v>10360</v>
      </c>
      <c r="C13" s="635" t="s">
        <v>10249</v>
      </c>
      <c r="D13" s="627" t="s">
        <v>10359</v>
      </c>
      <c r="E13" s="767" t="s">
        <v>10361</v>
      </c>
      <c r="F13" s="758">
        <v>70</v>
      </c>
      <c r="G13" s="758">
        <v>102</v>
      </c>
      <c r="H13" s="758">
        <v>172</v>
      </c>
      <c r="I13" s="628">
        <v>60</v>
      </c>
      <c r="J13" s="628">
        <v>186.5</v>
      </c>
      <c r="K13" s="813">
        <f t="shared" si="0"/>
        <v>246.5</v>
      </c>
      <c r="L13" s="818">
        <v>255.5</v>
      </c>
      <c r="M13" s="818">
        <v>165</v>
      </c>
      <c r="N13" s="613"/>
    </row>
    <row r="14" spans="1:14" ht="30" customHeight="1" x14ac:dyDescent="0.25">
      <c r="A14" s="627" t="s">
        <v>10358</v>
      </c>
      <c r="B14" s="627" t="s">
        <v>10357</v>
      </c>
      <c r="C14" s="635" t="s">
        <v>8910</v>
      </c>
      <c r="D14" s="627" t="s">
        <v>10356</v>
      </c>
      <c r="E14" s="767" t="s">
        <v>10358</v>
      </c>
      <c r="F14" s="758">
        <v>60</v>
      </c>
      <c r="G14" s="758">
        <v>236.41</v>
      </c>
      <c r="H14" s="758">
        <v>296.40999999999997</v>
      </c>
      <c r="I14" s="628">
        <v>0</v>
      </c>
      <c r="J14" s="628">
        <v>1232.4499999999998</v>
      </c>
      <c r="K14" s="813">
        <f t="shared" si="0"/>
        <v>1232.4499999999998</v>
      </c>
      <c r="L14" s="818">
        <v>1047.4100000000001</v>
      </c>
      <c r="M14" s="818">
        <v>1703.19</v>
      </c>
      <c r="N14" s="613"/>
    </row>
    <row r="15" spans="1:14" ht="30" customHeight="1" x14ac:dyDescent="0.25">
      <c r="A15" s="627" t="s">
        <v>10355</v>
      </c>
      <c r="B15" s="627" t="s">
        <v>10354</v>
      </c>
      <c r="C15" s="635" t="s">
        <v>2816</v>
      </c>
      <c r="D15" s="627" t="s">
        <v>10353</v>
      </c>
      <c r="E15" s="767" t="s">
        <v>10355</v>
      </c>
      <c r="F15" s="758">
        <v>115</v>
      </c>
      <c r="G15" s="758">
        <v>562</v>
      </c>
      <c r="H15" s="758">
        <v>677</v>
      </c>
      <c r="I15" s="628">
        <v>70</v>
      </c>
      <c r="J15" s="628">
        <v>1649.3</v>
      </c>
      <c r="K15" s="813">
        <f t="shared" si="0"/>
        <v>1719.3</v>
      </c>
      <c r="L15" s="818">
        <v>1369.65</v>
      </c>
      <c r="M15" s="818">
        <v>1146.8</v>
      </c>
      <c r="N15" s="613"/>
    </row>
    <row r="16" spans="1:14" ht="30" customHeight="1" x14ac:dyDescent="0.25">
      <c r="A16" s="627" t="s">
        <v>10352</v>
      </c>
      <c r="B16" s="627" t="s">
        <v>10351</v>
      </c>
      <c r="C16" s="635" t="s">
        <v>1409</v>
      </c>
      <c r="D16" s="627" t="s">
        <v>10350</v>
      </c>
      <c r="E16" s="767"/>
      <c r="F16" s="758"/>
      <c r="G16" s="758"/>
      <c r="H16" s="758"/>
      <c r="I16" s="628">
        <v>0</v>
      </c>
      <c r="J16" s="628">
        <v>249</v>
      </c>
      <c r="K16" s="813">
        <f t="shared" si="0"/>
        <v>249</v>
      </c>
      <c r="L16" s="818">
        <v>288</v>
      </c>
      <c r="M16" s="818">
        <v>282</v>
      </c>
      <c r="N16" s="613"/>
    </row>
    <row r="17" spans="1:14" ht="30" customHeight="1" x14ac:dyDescent="0.25">
      <c r="A17" s="627" t="s">
        <v>10349</v>
      </c>
      <c r="B17" s="627" t="s">
        <v>10348</v>
      </c>
      <c r="C17" s="635" t="s">
        <v>1349</v>
      </c>
      <c r="D17" s="627" t="s">
        <v>10347</v>
      </c>
      <c r="E17" s="767" t="s">
        <v>10349</v>
      </c>
      <c r="F17" s="758">
        <v>310</v>
      </c>
      <c r="G17" s="758"/>
      <c r="H17" s="758">
        <v>310</v>
      </c>
      <c r="I17" s="628">
        <v>150</v>
      </c>
      <c r="J17" s="628">
        <v>244.60000000000002</v>
      </c>
      <c r="K17" s="813">
        <f t="shared" si="0"/>
        <v>394.6</v>
      </c>
      <c r="L17" s="818">
        <v>328.52</v>
      </c>
      <c r="M17" s="818">
        <v>701.27</v>
      </c>
      <c r="N17" s="613"/>
    </row>
    <row r="18" spans="1:14" ht="30" customHeight="1" x14ac:dyDescent="0.25">
      <c r="A18" s="627" t="s">
        <v>10346</v>
      </c>
      <c r="B18" s="627" t="s">
        <v>10345</v>
      </c>
      <c r="C18" s="635" t="s">
        <v>10344</v>
      </c>
      <c r="D18" s="627" t="s">
        <v>10343</v>
      </c>
      <c r="E18" s="767"/>
      <c r="F18" s="758"/>
      <c r="G18" s="758"/>
      <c r="H18" s="758"/>
      <c r="I18" s="628">
        <v>0</v>
      </c>
      <c r="J18" s="628">
        <v>648.88000000000011</v>
      </c>
      <c r="K18" s="813">
        <f t="shared" si="0"/>
        <v>648.88000000000011</v>
      </c>
      <c r="L18" s="818">
        <v>1031.6600000000001</v>
      </c>
      <c r="M18" s="818">
        <v>907.55</v>
      </c>
      <c r="N18" s="613"/>
    </row>
    <row r="19" spans="1:14" ht="30" customHeight="1" x14ac:dyDescent="0.25">
      <c r="A19" s="627" t="s">
        <v>10342</v>
      </c>
      <c r="B19" s="627" t="s">
        <v>10341</v>
      </c>
      <c r="C19" s="635" t="s">
        <v>3864</v>
      </c>
      <c r="D19" s="627" t="s">
        <v>10340</v>
      </c>
      <c r="E19" s="767" t="s">
        <v>10342</v>
      </c>
      <c r="F19" s="758">
        <v>60</v>
      </c>
      <c r="G19" s="758">
        <v>195.61</v>
      </c>
      <c r="H19" s="758">
        <v>255.61</v>
      </c>
      <c r="I19" s="628">
        <v>0</v>
      </c>
      <c r="J19" s="628">
        <v>1299.6799999999998</v>
      </c>
      <c r="K19" s="813">
        <f t="shared" si="0"/>
        <v>1299.6799999999998</v>
      </c>
      <c r="L19" s="818">
        <v>1517.31</v>
      </c>
      <c r="M19" s="818">
        <v>1011.52</v>
      </c>
      <c r="N19" s="613"/>
    </row>
    <row r="20" spans="1:14" ht="30" customHeight="1" x14ac:dyDescent="0.25">
      <c r="A20" s="627" t="s">
        <v>10339</v>
      </c>
      <c r="B20" s="627" t="s">
        <v>10338</v>
      </c>
      <c r="C20" s="635" t="s">
        <v>164</v>
      </c>
      <c r="D20" s="627" t="s">
        <v>10337</v>
      </c>
      <c r="E20" s="767" t="s">
        <v>10339</v>
      </c>
      <c r="F20" s="758">
        <v>85</v>
      </c>
      <c r="G20" s="758">
        <v>137.31</v>
      </c>
      <c r="H20" s="758">
        <v>222.31</v>
      </c>
      <c r="I20" s="628">
        <v>25</v>
      </c>
      <c r="J20" s="628">
        <v>943.67000000000007</v>
      </c>
      <c r="K20" s="813">
        <f t="shared" si="0"/>
        <v>968.67000000000007</v>
      </c>
      <c r="L20" s="818">
        <v>795.64</v>
      </c>
      <c r="M20" s="818">
        <v>783.7</v>
      </c>
      <c r="N20" s="613"/>
    </row>
    <row r="21" spans="1:14" ht="30" customHeight="1" x14ac:dyDescent="0.25">
      <c r="A21" s="627" t="s">
        <v>10336</v>
      </c>
      <c r="B21" s="627" t="s">
        <v>10335</v>
      </c>
      <c r="C21" s="635" t="s">
        <v>10334</v>
      </c>
      <c r="D21" s="627" t="s">
        <v>10333</v>
      </c>
      <c r="E21" s="767" t="s">
        <v>10336</v>
      </c>
      <c r="F21" s="758">
        <v>60</v>
      </c>
      <c r="G21" s="758"/>
      <c r="H21" s="758">
        <v>60</v>
      </c>
      <c r="I21" s="628">
        <v>25</v>
      </c>
      <c r="J21" s="628">
        <v>0</v>
      </c>
      <c r="K21" s="813">
        <f t="shared" si="0"/>
        <v>25</v>
      </c>
      <c r="L21" s="818"/>
      <c r="M21" s="818">
        <v>146.80000000000001</v>
      </c>
      <c r="N21" s="613"/>
    </row>
    <row r="22" spans="1:14" ht="30" customHeight="1" x14ac:dyDescent="0.25">
      <c r="A22" s="627" t="s">
        <v>10332</v>
      </c>
      <c r="B22" s="627" t="s">
        <v>10331</v>
      </c>
      <c r="C22" s="635" t="s">
        <v>226</v>
      </c>
      <c r="D22" s="627" t="s">
        <v>10330</v>
      </c>
      <c r="E22" s="767" t="s">
        <v>10332</v>
      </c>
      <c r="F22" s="758">
        <v>124</v>
      </c>
      <c r="G22" s="758">
        <v>253.04</v>
      </c>
      <c r="H22" s="758">
        <v>377.03999999999996</v>
      </c>
      <c r="I22" s="628">
        <v>0</v>
      </c>
      <c r="J22" s="628">
        <v>876.19</v>
      </c>
      <c r="K22" s="813">
        <f t="shared" si="0"/>
        <v>876.19</v>
      </c>
      <c r="L22" s="818">
        <v>794.98</v>
      </c>
      <c r="M22" s="818">
        <v>1283.3699999999999</v>
      </c>
      <c r="N22" s="613"/>
    </row>
    <row r="23" spans="1:14" ht="30" customHeight="1" x14ac:dyDescent="0.25">
      <c r="A23" s="627" t="s">
        <v>10329</v>
      </c>
      <c r="B23" s="627" t="s">
        <v>10328</v>
      </c>
      <c r="C23" s="635" t="s">
        <v>10190</v>
      </c>
      <c r="D23" s="627" t="s">
        <v>10327</v>
      </c>
      <c r="E23" s="767" t="s">
        <v>10329</v>
      </c>
      <c r="F23" s="758">
        <v>199</v>
      </c>
      <c r="G23" s="758">
        <v>798.13</v>
      </c>
      <c r="H23" s="758">
        <v>997.13</v>
      </c>
      <c r="I23" s="628">
        <v>88</v>
      </c>
      <c r="J23" s="628">
        <v>947.99999999999989</v>
      </c>
      <c r="K23" s="813">
        <f t="shared" si="0"/>
        <v>1036</v>
      </c>
      <c r="L23" s="818">
        <v>1197.69</v>
      </c>
      <c r="M23" s="818">
        <v>1412.09</v>
      </c>
      <c r="N23" s="613"/>
    </row>
    <row r="24" spans="1:14" ht="30" customHeight="1" x14ac:dyDescent="0.25">
      <c r="A24" s="627" t="s">
        <v>10326</v>
      </c>
      <c r="B24" s="627" t="s">
        <v>10325</v>
      </c>
      <c r="C24" s="635" t="s">
        <v>63</v>
      </c>
      <c r="D24" s="627" t="s">
        <v>10183</v>
      </c>
      <c r="E24" s="767" t="s">
        <v>10326</v>
      </c>
      <c r="F24" s="758">
        <v>240</v>
      </c>
      <c r="G24" s="758">
        <v>90</v>
      </c>
      <c r="H24" s="758">
        <v>330</v>
      </c>
      <c r="I24" s="628">
        <v>205</v>
      </c>
      <c r="J24" s="628">
        <v>806</v>
      </c>
      <c r="K24" s="813">
        <f t="shared" si="0"/>
        <v>1011</v>
      </c>
      <c r="L24" s="818">
        <v>1312</v>
      </c>
      <c r="M24" s="818">
        <v>1991.5</v>
      </c>
      <c r="N24" s="613"/>
    </row>
    <row r="25" spans="1:14" ht="30" customHeight="1" x14ac:dyDescent="0.25">
      <c r="A25" s="627" t="s">
        <v>10324</v>
      </c>
      <c r="B25" s="627" t="s">
        <v>10323</v>
      </c>
      <c r="C25" s="635" t="s">
        <v>10322</v>
      </c>
      <c r="D25" s="627" t="s">
        <v>10321</v>
      </c>
      <c r="E25" s="767" t="s">
        <v>10324</v>
      </c>
      <c r="F25" s="758">
        <v>95</v>
      </c>
      <c r="G25" s="758">
        <v>65</v>
      </c>
      <c r="H25" s="758">
        <v>160</v>
      </c>
      <c r="I25" s="628">
        <v>0</v>
      </c>
      <c r="J25" s="628">
        <v>812</v>
      </c>
      <c r="K25" s="813">
        <f t="shared" si="0"/>
        <v>812</v>
      </c>
      <c r="L25" s="818">
        <v>712</v>
      </c>
      <c r="M25" s="818">
        <v>831</v>
      </c>
      <c r="N25" s="613"/>
    </row>
    <row r="26" spans="1:14" ht="30" customHeight="1" x14ac:dyDescent="0.25">
      <c r="A26" s="627" t="s">
        <v>10320</v>
      </c>
      <c r="B26" s="627" t="s">
        <v>10319</v>
      </c>
      <c r="C26" s="635" t="s">
        <v>1203</v>
      </c>
      <c r="D26" s="627" t="s">
        <v>10318</v>
      </c>
      <c r="E26" s="767" t="s">
        <v>10320</v>
      </c>
      <c r="F26" s="758">
        <v>765</v>
      </c>
      <c r="G26" s="758">
        <v>1312.4799999999998</v>
      </c>
      <c r="H26" s="758">
        <v>2077.4799999999996</v>
      </c>
      <c r="I26" s="628">
        <v>330</v>
      </c>
      <c r="J26" s="628">
        <v>2867.1899999999996</v>
      </c>
      <c r="K26" s="813">
        <f t="shared" si="0"/>
        <v>3197.1899999999996</v>
      </c>
      <c r="L26" s="818">
        <v>2997.3</v>
      </c>
      <c r="M26" s="818">
        <v>3040.98</v>
      </c>
      <c r="N26" s="613"/>
    </row>
    <row r="27" spans="1:14" ht="30" customHeight="1" x14ac:dyDescent="0.25">
      <c r="A27" s="627" t="s">
        <v>10317</v>
      </c>
      <c r="B27" s="627" t="s">
        <v>10316</v>
      </c>
      <c r="C27" s="635" t="s">
        <v>231</v>
      </c>
      <c r="D27" s="627" t="s">
        <v>10315</v>
      </c>
      <c r="E27" s="767"/>
      <c r="F27" s="758"/>
      <c r="G27" s="758"/>
      <c r="H27" s="758"/>
      <c r="I27" s="628">
        <v>0</v>
      </c>
      <c r="J27" s="628">
        <v>196.93</v>
      </c>
      <c r="K27" s="813">
        <f t="shared" si="0"/>
        <v>196.93</v>
      </c>
      <c r="L27" s="818">
        <v>670.34</v>
      </c>
      <c r="M27" s="818">
        <v>878.96</v>
      </c>
      <c r="N27" s="613"/>
    </row>
    <row r="28" spans="1:14" ht="30" customHeight="1" x14ac:dyDescent="0.25">
      <c r="A28" s="627" t="s">
        <v>10941</v>
      </c>
      <c r="B28" s="627"/>
      <c r="C28" s="635" t="s">
        <v>10942</v>
      </c>
      <c r="D28" s="627" t="s">
        <v>10289</v>
      </c>
      <c r="E28" s="767" t="s">
        <v>10941</v>
      </c>
      <c r="F28" s="758">
        <v>39.489999999999995</v>
      </c>
      <c r="G28" s="758">
        <v>30</v>
      </c>
      <c r="H28" s="758">
        <v>69.489999999999995</v>
      </c>
      <c r="I28" s="628"/>
      <c r="J28" s="628"/>
      <c r="K28" s="813"/>
      <c r="L28" s="818">
        <v>183.28</v>
      </c>
      <c r="M28" s="818">
        <v>50</v>
      </c>
      <c r="N28" s="613"/>
    </row>
    <row r="29" spans="1:14" ht="30" customHeight="1" x14ac:dyDescent="0.25">
      <c r="A29" s="627" t="s">
        <v>10314</v>
      </c>
      <c r="B29" s="627" t="s">
        <v>10313</v>
      </c>
      <c r="C29" s="635" t="s">
        <v>10312</v>
      </c>
      <c r="D29" s="627" t="s">
        <v>10289</v>
      </c>
      <c r="E29" s="767" t="s">
        <v>10314</v>
      </c>
      <c r="F29" s="758">
        <v>538.4</v>
      </c>
      <c r="G29" s="758">
        <v>508</v>
      </c>
      <c r="H29" s="758">
        <v>1046.4000000000001</v>
      </c>
      <c r="I29" s="628">
        <v>511.5</v>
      </c>
      <c r="J29" s="628">
        <v>0</v>
      </c>
      <c r="K29" s="813">
        <f t="shared" ref="K29:K38" si="1">SUM(I29:J29)</f>
        <v>511.5</v>
      </c>
      <c r="L29" s="818">
        <v>886.96</v>
      </c>
      <c r="M29" s="818">
        <v>1342.1399999999999</v>
      </c>
      <c r="N29" s="613"/>
    </row>
    <row r="30" spans="1:14" ht="30" customHeight="1" x14ac:dyDescent="0.25">
      <c r="A30" s="627" t="s">
        <v>10311</v>
      </c>
      <c r="B30" s="627" t="s">
        <v>10310</v>
      </c>
      <c r="C30" s="635" t="s">
        <v>231</v>
      </c>
      <c r="D30" s="627" t="s">
        <v>10289</v>
      </c>
      <c r="E30" s="767" t="s">
        <v>10311</v>
      </c>
      <c r="F30" s="758">
        <v>24</v>
      </c>
      <c r="G30" s="758">
        <v>158.01</v>
      </c>
      <c r="H30" s="758">
        <v>182.01</v>
      </c>
      <c r="I30" s="628">
        <v>0</v>
      </c>
      <c r="J30" s="628">
        <v>585.05000000000007</v>
      </c>
      <c r="K30" s="813">
        <f t="shared" si="1"/>
        <v>585.05000000000007</v>
      </c>
      <c r="L30" s="818">
        <v>530.07000000000005</v>
      </c>
      <c r="M30" s="818">
        <v>635.39</v>
      </c>
      <c r="N30" s="613"/>
    </row>
    <row r="31" spans="1:14" ht="30" customHeight="1" x14ac:dyDescent="0.25">
      <c r="A31" s="627" t="s">
        <v>10309</v>
      </c>
      <c r="B31" s="627" t="s">
        <v>10308</v>
      </c>
      <c r="C31" s="635" t="s">
        <v>10307</v>
      </c>
      <c r="D31" s="627" t="s">
        <v>10289</v>
      </c>
      <c r="E31" s="767" t="s">
        <v>10309</v>
      </c>
      <c r="F31" s="758">
        <v>439.36</v>
      </c>
      <c r="G31" s="758">
        <v>203.02</v>
      </c>
      <c r="H31" s="758">
        <v>642.38</v>
      </c>
      <c r="I31" s="628">
        <v>70</v>
      </c>
      <c r="J31" s="628">
        <v>1015.29</v>
      </c>
      <c r="K31" s="813">
        <f t="shared" si="1"/>
        <v>1085.29</v>
      </c>
      <c r="L31" s="818">
        <v>1131.27</v>
      </c>
      <c r="M31" s="818">
        <v>1038.1599999999999</v>
      </c>
      <c r="N31" s="613"/>
    </row>
    <row r="32" spans="1:14" ht="30" customHeight="1" x14ac:dyDescent="0.25">
      <c r="A32" s="627" t="s">
        <v>10306</v>
      </c>
      <c r="B32" s="627" t="s">
        <v>10305</v>
      </c>
      <c r="C32" s="635" t="s">
        <v>10304</v>
      </c>
      <c r="D32" s="627" t="s">
        <v>10289</v>
      </c>
      <c r="E32" s="767" t="s">
        <v>10306</v>
      </c>
      <c r="F32" s="758"/>
      <c r="G32" s="758">
        <v>821</v>
      </c>
      <c r="H32" s="758">
        <v>821</v>
      </c>
      <c r="I32" s="628">
        <v>0</v>
      </c>
      <c r="J32" s="628">
        <v>1143</v>
      </c>
      <c r="K32" s="813">
        <f t="shared" si="1"/>
        <v>1143</v>
      </c>
      <c r="L32" s="818">
        <v>1080.05</v>
      </c>
      <c r="M32" s="818">
        <v>934.93</v>
      </c>
      <c r="N32" s="613"/>
    </row>
    <row r="33" spans="1:14" ht="30" customHeight="1" x14ac:dyDescent="0.25">
      <c r="A33" s="627" t="s">
        <v>10303</v>
      </c>
      <c r="B33" s="627" t="s">
        <v>10302</v>
      </c>
      <c r="C33" s="635" t="s">
        <v>812</v>
      </c>
      <c r="D33" s="627" t="s">
        <v>10289</v>
      </c>
      <c r="E33" s="767" t="s">
        <v>10303</v>
      </c>
      <c r="F33" s="758"/>
      <c r="G33" s="758">
        <v>23.3</v>
      </c>
      <c r="H33" s="758">
        <v>23.3</v>
      </c>
      <c r="I33" s="628">
        <v>120</v>
      </c>
      <c r="J33" s="628">
        <v>234.01999999999998</v>
      </c>
      <c r="K33" s="813">
        <f t="shared" si="1"/>
        <v>354.02</v>
      </c>
      <c r="L33" s="818">
        <v>700.19</v>
      </c>
      <c r="M33" s="818">
        <v>480</v>
      </c>
      <c r="N33" s="613"/>
    </row>
    <row r="34" spans="1:14" ht="30" customHeight="1" x14ac:dyDescent="0.25">
      <c r="A34" s="627" t="s">
        <v>10301</v>
      </c>
      <c r="B34" s="627" t="s">
        <v>10300</v>
      </c>
      <c r="C34" s="635" t="s">
        <v>896</v>
      </c>
      <c r="D34" s="627" t="s">
        <v>10289</v>
      </c>
      <c r="E34" s="767" t="s">
        <v>10301</v>
      </c>
      <c r="F34" s="758">
        <v>302.91000000000003</v>
      </c>
      <c r="G34" s="758">
        <v>302.79999999999995</v>
      </c>
      <c r="H34" s="758">
        <v>605.71</v>
      </c>
      <c r="I34" s="628">
        <v>0</v>
      </c>
      <c r="J34" s="628">
        <v>604.75999999999988</v>
      </c>
      <c r="K34" s="813">
        <f t="shared" si="1"/>
        <v>604.75999999999988</v>
      </c>
      <c r="L34" s="818">
        <v>710.7</v>
      </c>
      <c r="M34" s="818">
        <v>761.16</v>
      </c>
      <c r="N34" s="613"/>
    </row>
    <row r="35" spans="1:14" ht="30" customHeight="1" x14ac:dyDescent="0.25">
      <c r="A35" s="627" t="s">
        <v>10299</v>
      </c>
      <c r="B35" s="627" t="s">
        <v>10298</v>
      </c>
      <c r="C35" s="635" t="s">
        <v>532</v>
      </c>
      <c r="D35" s="627" t="s">
        <v>10289</v>
      </c>
      <c r="E35" s="767" t="s">
        <v>10299</v>
      </c>
      <c r="F35" s="758">
        <v>61.2</v>
      </c>
      <c r="G35" s="758"/>
      <c r="H35" s="758">
        <v>61.2</v>
      </c>
      <c r="I35" s="628">
        <v>0</v>
      </c>
      <c r="J35" s="628">
        <v>407.1</v>
      </c>
      <c r="K35" s="813">
        <f t="shared" si="1"/>
        <v>407.1</v>
      </c>
      <c r="L35" s="818">
        <v>139.99</v>
      </c>
      <c r="M35" s="818"/>
      <c r="N35" s="613"/>
    </row>
    <row r="36" spans="1:14" ht="30" customHeight="1" x14ac:dyDescent="0.25">
      <c r="A36" s="627" t="s">
        <v>10297</v>
      </c>
      <c r="B36" s="627" t="s">
        <v>10296</v>
      </c>
      <c r="C36" s="635" t="s">
        <v>10295</v>
      </c>
      <c r="D36" s="627" t="s">
        <v>10289</v>
      </c>
      <c r="E36" s="767" t="s">
        <v>10297</v>
      </c>
      <c r="F36" s="758"/>
      <c r="G36" s="758">
        <v>198</v>
      </c>
      <c r="H36" s="758">
        <v>198</v>
      </c>
      <c r="I36" s="628">
        <v>10</v>
      </c>
      <c r="J36" s="628">
        <v>256.55</v>
      </c>
      <c r="K36" s="813">
        <f t="shared" si="1"/>
        <v>266.55</v>
      </c>
      <c r="L36" s="818">
        <v>137.84</v>
      </c>
      <c r="M36" s="818">
        <v>263.5</v>
      </c>
      <c r="N36" s="613"/>
    </row>
    <row r="37" spans="1:14" ht="30" customHeight="1" x14ac:dyDescent="0.25">
      <c r="A37" s="627" t="s">
        <v>10294</v>
      </c>
      <c r="B37" s="627" t="s">
        <v>10293</v>
      </c>
      <c r="C37" s="635" t="s">
        <v>3473</v>
      </c>
      <c r="D37" s="627" t="s">
        <v>10292</v>
      </c>
      <c r="E37" s="767" t="s">
        <v>10294</v>
      </c>
      <c r="F37" s="758">
        <v>30</v>
      </c>
      <c r="G37" s="758">
        <v>55</v>
      </c>
      <c r="H37" s="758">
        <v>85</v>
      </c>
      <c r="I37" s="628">
        <v>0</v>
      </c>
      <c r="J37" s="628">
        <v>92.55</v>
      </c>
      <c r="K37" s="813">
        <f t="shared" si="1"/>
        <v>92.55</v>
      </c>
      <c r="L37" s="818">
        <v>195.98</v>
      </c>
      <c r="M37" s="818">
        <v>216.08</v>
      </c>
      <c r="N37" s="613"/>
    </row>
    <row r="38" spans="1:14" ht="30" customHeight="1" x14ac:dyDescent="0.25">
      <c r="A38" s="627" t="s">
        <v>10291</v>
      </c>
      <c r="B38" s="627" t="s">
        <v>10290</v>
      </c>
      <c r="C38" s="635" t="s">
        <v>246</v>
      </c>
      <c r="D38" s="627" t="s">
        <v>10289</v>
      </c>
      <c r="E38" s="767" t="s">
        <v>10291</v>
      </c>
      <c r="F38" s="758"/>
      <c r="G38" s="758">
        <v>605</v>
      </c>
      <c r="H38" s="758">
        <v>605</v>
      </c>
      <c r="I38" s="628">
        <v>15</v>
      </c>
      <c r="J38" s="628">
        <v>1852.47</v>
      </c>
      <c r="K38" s="813">
        <f t="shared" si="1"/>
        <v>1867.47</v>
      </c>
      <c r="L38" s="818">
        <v>1750.31</v>
      </c>
      <c r="M38" s="818">
        <v>2021.4</v>
      </c>
      <c r="N38" s="613"/>
    </row>
    <row r="39" spans="1:14" ht="30" customHeight="1" x14ac:dyDescent="0.25">
      <c r="A39" s="627" t="s">
        <v>10943</v>
      </c>
      <c r="B39" s="627"/>
      <c r="C39" s="635" t="s">
        <v>7193</v>
      </c>
      <c r="D39" s="627" t="s">
        <v>10289</v>
      </c>
      <c r="E39" s="767"/>
      <c r="F39" s="758"/>
      <c r="G39" s="758"/>
      <c r="H39" s="758"/>
      <c r="I39" s="628"/>
      <c r="J39" s="628"/>
      <c r="K39" s="813"/>
      <c r="L39" s="818">
        <v>136.38</v>
      </c>
      <c r="M39" s="818"/>
      <c r="N39" s="613"/>
    </row>
    <row r="40" spans="1:14" ht="30" customHeight="1" x14ac:dyDescent="0.25">
      <c r="A40" s="627" t="s">
        <v>10288</v>
      </c>
      <c r="B40" s="627" t="s">
        <v>10287</v>
      </c>
      <c r="C40" s="635" t="s">
        <v>5141</v>
      </c>
      <c r="D40" s="627" t="s">
        <v>10286</v>
      </c>
      <c r="E40" s="767" t="s">
        <v>10288</v>
      </c>
      <c r="F40" s="758">
        <v>130</v>
      </c>
      <c r="G40" s="758">
        <v>547.61</v>
      </c>
      <c r="H40" s="758">
        <v>677.61</v>
      </c>
      <c r="I40" s="628">
        <v>80</v>
      </c>
      <c r="J40" s="628">
        <v>546.9</v>
      </c>
      <c r="K40" s="813">
        <f>SUM(I40:J40)</f>
        <v>626.9</v>
      </c>
      <c r="L40" s="818">
        <v>651.92000000000007</v>
      </c>
      <c r="M40" s="818">
        <v>630.71</v>
      </c>
      <c r="N40" s="613"/>
    </row>
    <row r="41" spans="1:14" ht="30" customHeight="1" x14ac:dyDescent="0.25">
      <c r="A41" s="627" t="s">
        <v>10944</v>
      </c>
      <c r="B41" s="627"/>
      <c r="C41" s="635" t="s">
        <v>1696</v>
      </c>
      <c r="D41" s="627" t="s">
        <v>10945</v>
      </c>
      <c r="E41" s="767"/>
      <c r="F41" s="758"/>
      <c r="G41" s="758"/>
      <c r="H41" s="758"/>
      <c r="I41" s="628"/>
      <c r="J41" s="628"/>
      <c r="K41" s="813"/>
      <c r="L41" s="818">
        <v>266.06</v>
      </c>
      <c r="M41" s="818"/>
      <c r="N41" s="613"/>
    </row>
    <row r="42" spans="1:14" ht="30" customHeight="1" x14ac:dyDescent="0.25">
      <c r="A42" s="627" t="s">
        <v>10285</v>
      </c>
      <c r="B42" s="627" t="s">
        <v>10284</v>
      </c>
      <c r="C42" s="635" t="s">
        <v>8759</v>
      </c>
      <c r="D42" s="627" t="s">
        <v>10283</v>
      </c>
      <c r="E42" s="767" t="s">
        <v>10285</v>
      </c>
      <c r="F42" s="758">
        <v>10</v>
      </c>
      <c r="G42" s="758">
        <v>359.5</v>
      </c>
      <c r="H42" s="758">
        <v>369.5</v>
      </c>
      <c r="I42" s="628">
        <v>50</v>
      </c>
      <c r="J42" s="628">
        <v>10</v>
      </c>
      <c r="K42" s="813">
        <f t="shared" ref="K42:K69" si="2">SUM(I42:J42)</f>
        <v>60</v>
      </c>
      <c r="L42" s="818">
        <v>470.3</v>
      </c>
      <c r="M42" s="818">
        <v>576.1</v>
      </c>
      <c r="N42" s="613"/>
    </row>
    <row r="43" spans="1:14" ht="30" customHeight="1" x14ac:dyDescent="0.25">
      <c r="A43" s="627" t="s">
        <v>10282</v>
      </c>
      <c r="B43" s="627" t="s">
        <v>10281</v>
      </c>
      <c r="C43" s="635" t="s">
        <v>10280</v>
      </c>
      <c r="D43" s="627" t="s">
        <v>10235</v>
      </c>
      <c r="E43" s="767" t="s">
        <v>10282</v>
      </c>
      <c r="F43" s="758"/>
      <c r="G43" s="758">
        <v>649.78</v>
      </c>
      <c r="H43" s="758">
        <v>649.78</v>
      </c>
      <c r="I43" s="628">
        <v>0</v>
      </c>
      <c r="J43" s="628">
        <v>1010.83</v>
      </c>
      <c r="K43" s="813">
        <f t="shared" si="2"/>
        <v>1010.83</v>
      </c>
      <c r="L43" s="818">
        <v>954.85</v>
      </c>
      <c r="M43" s="818">
        <v>1164.75</v>
      </c>
      <c r="N43" s="613"/>
    </row>
    <row r="44" spans="1:14" ht="30" customHeight="1" x14ac:dyDescent="0.25">
      <c r="A44" s="627" t="s">
        <v>10279</v>
      </c>
      <c r="B44" s="627" t="s">
        <v>10278</v>
      </c>
      <c r="C44" s="635" t="s">
        <v>10277</v>
      </c>
      <c r="D44" s="627" t="s">
        <v>10252</v>
      </c>
      <c r="E44" s="767" t="s">
        <v>10279</v>
      </c>
      <c r="F44" s="758">
        <v>245</v>
      </c>
      <c r="G44" s="758">
        <v>165.7</v>
      </c>
      <c r="H44" s="758">
        <v>410.7</v>
      </c>
      <c r="I44" s="628">
        <v>115</v>
      </c>
      <c r="J44" s="628">
        <v>487</v>
      </c>
      <c r="K44" s="813">
        <f t="shared" si="2"/>
        <v>602</v>
      </c>
      <c r="L44" s="818">
        <v>800.5</v>
      </c>
      <c r="M44" s="818">
        <v>697</v>
      </c>
      <c r="N44" s="613"/>
    </row>
    <row r="45" spans="1:14" ht="30" customHeight="1" x14ac:dyDescent="0.25">
      <c r="A45" s="627" t="s">
        <v>10276</v>
      </c>
      <c r="B45" s="627" t="s">
        <v>10275</v>
      </c>
      <c r="C45" s="635" t="s">
        <v>6794</v>
      </c>
      <c r="D45" s="627" t="s">
        <v>10274</v>
      </c>
      <c r="E45" s="767" t="s">
        <v>10276</v>
      </c>
      <c r="F45" s="758">
        <v>275</v>
      </c>
      <c r="G45" s="758">
        <v>306.45999999999998</v>
      </c>
      <c r="H45" s="758">
        <v>581.46</v>
      </c>
      <c r="I45" s="628">
        <v>20</v>
      </c>
      <c r="J45" s="628">
        <v>1348.6000000000001</v>
      </c>
      <c r="K45" s="813">
        <f t="shared" si="2"/>
        <v>1368.6000000000001</v>
      </c>
      <c r="L45" s="818">
        <v>958.93</v>
      </c>
      <c r="M45" s="818">
        <v>719.23</v>
      </c>
      <c r="N45" s="613"/>
    </row>
    <row r="46" spans="1:14" ht="30" customHeight="1" x14ac:dyDescent="0.25">
      <c r="A46" s="627" t="s">
        <v>10273</v>
      </c>
      <c r="B46" s="627" t="s">
        <v>10272</v>
      </c>
      <c r="C46" s="635" t="s">
        <v>10271</v>
      </c>
      <c r="D46" s="627" t="s">
        <v>10270</v>
      </c>
      <c r="E46" s="767" t="s">
        <v>10273</v>
      </c>
      <c r="F46" s="758">
        <v>250</v>
      </c>
      <c r="G46" s="758"/>
      <c r="H46" s="758">
        <v>250</v>
      </c>
      <c r="I46" s="628">
        <v>80</v>
      </c>
      <c r="J46" s="628">
        <v>795.7</v>
      </c>
      <c r="K46" s="813">
        <f t="shared" si="2"/>
        <v>875.7</v>
      </c>
      <c r="L46" s="818">
        <v>882.1</v>
      </c>
      <c r="M46" s="818">
        <v>1300.3900000000001</v>
      </c>
      <c r="N46" s="613"/>
    </row>
    <row r="47" spans="1:14" ht="30" customHeight="1" x14ac:dyDescent="0.25">
      <c r="A47" s="627" t="s">
        <v>10269</v>
      </c>
      <c r="B47" s="627" t="s">
        <v>10268</v>
      </c>
      <c r="C47" s="635" t="s">
        <v>532</v>
      </c>
      <c r="D47" s="627" t="s">
        <v>10228</v>
      </c>
      <c r="E47" s="767" t="s">
        <v>10269</v>
      </c>
      <c r="F47" s="758">
        <v>70</v>
      </c>
      <c r="G47" s="758"/>
      <c r="H47" s="758">
        <v>70</v>
      </c>
      <c r="I47" s="628">
        <v>80</v>
      </c>
      <c r="J47" s="628">
        <v>400.60999999999996</v>
      </c>
      <c r="K47" s="813">
        <f t="shared" si="2"/>
        <v>480.60999999999996</v>
      </c>
      <c r="L47" s="818">
        <v>322.89</v>
      </c>
      <c r="M47" s="818">
        <v>545.99</v>
      </c>
      <c r="N47" s="613"/>
    </row>
    <row r="48" spans="1:14" ht="30" customHeight="1" x14ac:dyDescent="0.25">
      <c r="A48" s="627" t="s">
        <v>10267</v>
      </c>
      <c r="B48" s="627" t="s">
        <v>10266</v>
      </c>
      <c r="C48" s="635" t="s">
        <v>231</v>
      </c>
      <c r="D48" s="627" t="s">
        <v>10265</v>
      </c>
      <c r="E48" s="767" t="s">
        <v>10267</v>
      </c>
      <c r="F48" s="758">
        <v>580</v>
      </c>
      <c r="G48" s="758">
        <v>291.63</v>
      </c>
      <c r="H48" s="758">
        <v>871.63</v>
      </c>
      <c r="I48" s="628">
        <v>260</v>
      </c>
      <c r="J48" s="628">
        <v>905.56000000000017</v>
      </c>
      <c r="K48" s="813">
        <f t="shared" si="2"/>
        <v>1165.5600000000002</v>
      </c>
      <c r="L48" s="818">
        <v>1139.8200000000002</v>
      </c>
      <c r="M48" s="818">
        <v>1022.44</v>
      </c>
      <c r="N48" s="613"/>
    </row>
    <row r="49" spans="1:14" ht="30" customHeight="1" x14ac:dyDescent="0.25">
      <c r="A49" s="627" t="s">
        <v>10264</v>
      </c>
      <c r="B49" s="627" t="s">
        <v>10263</v>
      </c>
      <c r="C49" s="635" t="s">
        <v>2896</v>
      </c>
      <c r="D49" s="627" t="s">
        <v>10262</v>
      </c>
      <c r="E49" s="767" t="s">
        <v>10264</v>
      </c>
      <c r="F49" s="758">
        <v>301.05</v>
      </c>
      <c r="G49" s="758">
        <v>110.6</v>
      </c>
      <c r="H49" s="758">
        <v>411.65</v>
      </c>
      <c r="I49" s="628">
        <v>40</v>
      </c>
      <c r="J49" s="628">
        <v>1153.98</v>
      </c>
      <c r="K49" s="813">
        <f t="shared" si="2"/>
        <v>1193.98</v>
      </c>
      <c r="L49" s="818">
        <v>1132.6600000000001</v>
      </c>
      <c r="M49" s="818">
        <v>1215.3399999999999</v>
      </c>
      <c r="N49" s="613"/>
    </row>
    <row r="50" spans="1:14" ht="30" customHeight="1" x14ac:dyDescent="0.25">
      <c r="A50" s="627" t="s">
        <v>10261</v>
      </c>
      <c r="B50" s="627" t="s">
        <v>10260</v>
      </c>
      <c r="C50" s="635" t="s">
        <v>5074</v>
      </c>
      <c r="D50" s="627" t="s">
        <v>10259</v>
      </c>
      <c r="E50" s="767" t="s">
        <v>10261</v>
      </c>
      <c r="F50" s="758">
        <v>304</v>
      </c>
      <c r="G50" s="758">
        <v>201.56</v>
      </c>
      <c r="H50" s="758">
        <v>505.56</v>
      </c>
      <c r="I50" s="628">
        <v>90</v>
      </c>
      <c r="J50" s="628">
        <v>917.61999999999989</v>
      </c>
      <c r="K50" s="813">
        <f t="shared" si="2"/>
        <v>1007.6199999999999</v>
      </c>
      <c r="L50" s="818">
        <v>2024.78</v>
      </c>
      <c r="M50" s="818">
        <v>1842.89</v>
      </c>
      <c r="N50" s="613"/>
    </row>
    <row r="51" spans="1:14" ht="30" customHeight="1" x14ac:dyDescent="0.25">
      <c r="A51" s="627" t="s">
        <v>10258</v>
      </c>
      <c r="B51" s="627" t="s">
        <v>10257</v>
      </c>
      <c r="C51" s="635" t="s">
        <v>10256</v>
      </c>
      <c r="D51" s="627" t="s">
        <v>10255</v>
      </c>
      <c r="E51" s="767" t="s">
        <v>10258</v>
      </c>
      <c r="F51" s="758">
        <v>50</v>
      </c>
      <c r="G51" s="758"/>
      <c r="H51" s="758">
        <v>50</v>
      </c>
      <c r="I51" s="628">
        <v>25</v>
      </c>
      <c r="J51" s="628">
        <v>135.38</v>
      </c>
      <c r="K51" s="813">
        <f t="shared" si="2"/>
        <v>160.38</v>
      </c>
      <c r="L51" s="818">
        <v>378</v>
      </c>
      <c r="M51" s="818">
        <v>118</v>
      </c>
      <c r="N51" s="613"/>
    </row>
    <row r="52" spans="1:14" ht="30" customHeight="1" x14ac:dyDescent="0.25">
      <c r="A52" s="627" t="s">
        <v>10254</v>
      </c>
      <c r="B52" s="627" t="s">
        <v>10253</v>
      </c>
      <c r="C52" s="635" t="s">
        <v>532</v>
      </c>
      <c r="D52" s="627" t="s">
        <v>10252</v>
      </c>
      <c r="E52" s="767" t="s">
        <v>10254</v>
      </c>
      <c r="F52" s="758">
        <v>481.62999999999988</v>
      </c>
      <c r="G52" s="758">
        <v>241.37000000000003</v>
      </c>
      <c r="H52" s="758">
        <v>722.99999999999989</v>
      </c>
      <c r="I52" s="628">
        <v>0</v>
      </c>
      <c r="J52" s="628">
        <v>773.55000000000007</v>
      </c>
      <c r="K52" s="813">
        <f t="shared" si="2"/>
        <v>773.55000000000007</v>
      </c>
      <c r="L52" s="818">
        <v>1213.4000000000001</v>
      </c>
      <c r="M52" s="818">
        <v>1248.25</v>
      </c>
      <c r="N52" s="613"/>
    </row>
    <row r="53" spans="1:14" ht="30" customHeight="1" x14ac:dyDescent="0.25">
      <c r="A53" s="627" t="s">
        <v>10251</v>
      </c>
      <c r="B53" s="627" t="s">
        <v>10250</v>
      </c>
      <c r="C53" s="635" t="s">
        <v>10249</v>
      </c>
      <c r="D53" s="627" t="s">
        <v>10248</v>
      </c>
      <c r="E53" s="767" t="s">
        <v>10251</v>
      </c>
      <c r="F53" s="758">
        <v>230</v>
      </c>
      <c r="G53" s="758">
        <v>355.32</v>
      </c>
      <c r="H53" s="758">
        <v>585.31999999999994</v>
      </c>
      <c r="I53" s="628">
        <v>40</v>
      </c>
      <c r="J53" s="628">
        <v>1595.6499999999996</v>
      </c>
      <c r="K53" s="813">
        <f t="shared" si="2"/>
        <v>1635.6499999999996</v>
      </c>
      <c r="L53" s="818">
        <v>1186.4299999999998</v>
      </c>
      <c r="M53" s="818">
        <v>1388.35</v>
      </c>
      <c r="N53" s="613"/>
    </row>
    <row r="54" spans="1:14" ht="30" customHeight="1" x14ac:dyDescent="0.25">
      <c r="A54" s="627" t="s">
        <v>10247</v>
      </c>
      <c r="B54" s="627" t="s">
        <v>10246</v>
      </c>
      <c r="C54" s="635" t="s">
        <v>10245</v>
      </c>
      <c r="D54" s="627" t="s">
        <v>10241</v>
      </c>
      <c r="E54" s="767" t="s">
        <v>10247</v>
      </c>
      <c r="F54" s="758">
        <v>176.2</v>
      </c>
      <c r="G54" s="758">
        <v>159</v>
      </c>
      <c r="H54" s="758">
        <v>335.2</v>
      </c>
      <c r="I54" s="628">
        <v>15</v>
      </c>
      <c r="J54" s="628">
        <v>781.17</v>
      </c>
      <c r="K54" s="813">
        <f t="shared" si="2"/>
        <v>796.17</v>
      </c>
      <c r="L54" s="818">
        <v>825.25</v>
      </c>
      <c r="M54" s="818">
        <v>808.73</v>
      </c>
      <c r="N54" s="613"/>
    </row>
    <row r="55" spans="1:14" ht="30" customHeight="1" x14ac:dyDescent="0.25">
      <c r="A55" s="627" t="s">
        <v>10244</v>
      </c>
      <c r="B55" s="627" t="s">
        <v>10243</v>
      </c>
      <c r="C55" s="635" t="s">
        <v>10242</v>
      </c>
      <c r="D55" s="627" t="s">
        <v>10241</v>
      </c>
      <c r="E55" s="767" t="s">
        <v>10244</v>
      </c>
      <c r="F55" s="758">
        <v>355.6</v>
      </c>
      <c r="G55" s="758">
        <v>918</v>
      </c>
      <c r="H55" s="758">
        <v>1273.5999999999999</v>
      </c>
      <c r="I55" s="628">
        <v>470</v>
      </c>
      <c r="J55" s="628">
        <v>2191</v>
      </c>
      <c r="K55" s="813">
        <f t="shared" si="2"/>
        <v>2661</v>
      </c>
      <c r="L55" s="818">
        <v>3110</v>
      </c>
      <c r="M55" s="818">
        <v>2447</v>
      </c>
      <c r="N55" s="613"/>
    </row>
    <row r="56" spans="1:14" ht="30" customHeight="1" x14ac:dyDescent="0.25">
      <c r="A56" s="627" t="s">
        <v>10240</v>
      </c>
      <c r="B56" s="627" t="s">
        <v>10239</v>
      </c>
      <c r="C56" s="635" t="s">
        <v>10238</v>
      </c>
      <c r="D56" s="627" t="s">
        <v>6032</v>
      </c>
      <c r="E56" s="767" t="s">
        <v>10240</v>
      </c>
      <c r="F56" s="758">
        <v>430</v>
      </c>
      <c r="G56" s="758">
        <v>233.04</v>
      </c>
      <c r="H56" s="758">
        <v>663.04</v>
      </c>
      <c r="I56" s="628">
        <v>95</v>
      </c>
      <c r="J56" s="628">
        <v>602.84</v>
      </c>
      <c r="K56" s="813">
        <f t="shared" si="2"/>
        <v>697.84</v>
      </c>
      <c r="L56" s="818">
        <v>917.16</v>
      </c>
      <c r="M56" s="818">
        <v>506.21</v>
      </c>
      <c r="N56" s="613"/>
    </row>
    <row r="57" spans="1:14" ht="30" customHeight="1" x14ac:dyDescent="0.25">
      <c r="A57" s="627" t="s">
        <v>10237</v>
      </c>
      <c r="B57" s="627" t="s">
        <v>10236</v>
      </c>
      <c r="C57" s="635" t="s">
        <v>1203</v>
      </c>
      <c r="D57" s="627" t="s">
        <v>10235</v>
      </c>
      <c r="E57" s="767" t="s">
        <v>10237</v>
      </c>
      <c r="F57" s="758">
        <v>485</v>
      </c>
      <c r="G57" s="758">
        <v>300</v>
      </c>
      <c r="H57" s="758">
        <v>785</v>
      </c>
      <c r="I57" s="628">
        <v>150</v>
      </c>
      <c r="J57" s="628">
        <v>984.99999999999989</v>
      </c>
      <c r="K57" s="813">
        <f t="shared" si="2"/>
        <v>1135</v>
      </c>
      <c r="L57" s="818">
        <v>1640</v>
      </c>
      <c r="M57" s="818">
        <v>1215</v>
      </c>
      <c r="N57" s="613"/>
    </row>
    <row r="58" spans="1:14" ht="30" customHeight="1" x14ac:dyDescent="0.25">
      <c r="A58" s="627" t="s">
        <v>10234</v>
      </c>
      <c r="B58" s="627" t="s">
        <v>10233</v>
      </c>
      <c r="C58" s="635" t="s">
        <v>1065</v>
      </c>
      <c r="D58" s="627" t="s">
        <v>10228</v>
      </c>
      <c r="E58" s="767" t="s">
        <v>10234</v>
      </c>
      <c r="F58" s="758">
        <v>150</v>
      </c>
      <c r="G58" s="758">
        <v>536.82000000000005</v>
      </c>
      <c r="H58" s="758">
        <v>686.82</v>
      </c>
      <c r="I58" s="628">
        <v>0</v>
      </c>
      <c r="J58" s="628">
        <v>818.03</v>
      </c>
      <c r="K58" s="813">
        <f t="shared" si="2"/>
        <v>818.03</v>
      </c>
      <c r="L58" s="818">
        <v>181.09</v>
      </c>
      <c r="M58" s="818">
        <v>254.56</v>
      </c>
      <c r="N58" s="613"/>
    </row>
    <row r="59" spans="1:14" ht="30" customHeight="1" x14ac:dyDescent="0.25">
      <c r="A59" s="627" t="s">
        <v>10232</v>
      </c>
      <c r="B59" s="627" t="s">
        <v>10231</v>
      </c>
      <c r="C59" s="635" t="s">
        <v>72</v>
      </c>
      <c r="D59" s="627" t="s">
        <v>10228</v>
      </c>
      <c r="E59" s="767" t="s">
        <v>10232</v>
      </c>
      <c r="F59" s="758">
        <v>50</v>
      </c>
      <c r="G59" s="758"/>
      <c r="H59" s="758">
        <v>50</v>
      </c>
      <c r="I59" s="628">
        <v>50</v>
      </c>
      <c r="J59" s="628">
        <v>545.69000000000005</v>
      </c>
      <c r="K59" s="813">
        <f t="shared" si="2"/>
        <v>595.69000000000005</v>
      </c>
      <c r="L59" s="818">
        <v>801.86</v>
      </c>
      <c r="M59" s="818">
        <v>325.81</v>
      </c>
      <c r="N59" s="613"/>
    </row>
    <row r="60" spans="1:14" ht="30" customHeight="1" x14ac:dyDescent="0.25">
      <c r="A60" s="627" t="s">
        <v>10230</v>
      </c>
      <c r="B60" s="627" t="s">
        <v>10229</v>
      </c>
      <c r="C60" s="635" t="s">
        <v>2900</v>
      </c>
      <c r="D60" s="627" t="s">
        <v>10228</v>
      </c>
      <c r="E60" s="767" t="s">
        <v>10230</v>
      </c>
      <c r="F60" s="758">
        <v>212.46</v>
      </c>
      <c r="G60" s="758">
        <v>872.81</v>
      </c>
      <c r="H60" s="758">
        <v>1085.27</v>
      </c>
      <c r="I60" s="628">
        <v>30</v>
      </c>
      <c r="J60" s="628">
        <v>969.71999999999991</v>
      </c>
      <c r="K60" s="813">
        <f t="shared" si="2"/>
        <v>999.71999999999991</v>
      </c>
      <c r="L60" s="818">
        <v>1008.32</v>
      </c>
      <c r="M60" s="818">
        <v>903.13</v>
      </c>
      <c r="N60" s="613"/>
    </row>
    <row r="61" spans="1:14" ht="30" customHeight="1" x14ac:dyDescent="0.25">
      <c r="A61" s="627" t="s">
        <v>10227</v>
      </c>
      <c r="B61" s="627" t="s">
        <v>10226</v>
      </c>
      <c r="C61" s="635" t="s">
        <v>119</v>
      </c>
      <c r="D61" s="627" t="s">
        <v>10225</v>
      </c>
      <c r="E61" s="767" t="s">
        <v>10227</v>
      </c>
      <c r="F61" s="758"/>
      <c r="G61" s="758">
        <v>226.36</v>
      </c>
      <c r="H61" s="758">
        <v>226.36</v>
      </c>
      <c r="I61" s="628">
        <v>0</v>
      </c>
      <c r="J61" s="628">
        <v>515.64</v>
      </c>
      <c r="K61" s="813">
        <f t="shared" si="2"/>
        <v>515.64</v>
      </c>
      <c r="L61" s="818">
        <v>615.35</v>
      </c>
      <c r="M61" s="818">
        <v>494</v>
      </c>
      <c r="N61" s="613"/>
    </row>
    <row r="62" spans="1:14" ht="30" customHeight="1" x14ac:dyDescent="0.25">
      <c r="A62" s="627" t="s">
        <v>10224</v>
      </c>
      <c r="B62" s="627" t="s">
        <v>10223</v>
      </c>
      <c r="C62" s="635" t="s">
        <v>532</v>
      </c>
      <c r="D62" s="627" t="s">
        <v>10222</v>
      </c>
      <c r="E62" s="767" t="s">
        <v>10224</v>
      </c>
      <c r="F62" s="758">
        <v>280</v>
      </c>
      <c r="G62" s="758">
        <v>418</v>
      </c>
      <c r="H62" s="758">
        <v>698</v>
      </c>
      <c r="I62" s="628">
        <v>90</v>
      </c>
      <c r="J62" s="628">
        <v>1158.72</v>
      </c>
      <c r="K62" s="813">
        <f t="shared" si="2"/>
        <v>1248.72</v>
      </c>
      <c r="L62" s="818">
        <v>1560.67</v>
      </c>
      <c r="M62" s="818">
        <v>1373.34</v>
      </c>
      <c r="N62" s="613"/>
    </row>
    <row r="63" spans="1:14" ht="30" customHeight="1" x14ac:dyDescent="0.25">
      <c r="A63" s="627" t="s">
        <v>10221</v>
      </c>
      <c r="B63" s="627" t="s">
        <v>10220</v>
      </c>
      <c r="C63" s="635" t="s">
        <v>5904</v>
      </c>
      <c r="D63" s="627" t="s">
        <v>10219</v>
      </c>
      <c r="E63" s="767" t="s">
        <v>10221</v>
      </c>
      <c r="F63" s="758">
        <v>70</v>
      </c>
      <c r="G63" s="758">
        <v>1766</v>
      </c>
      <c r="H63" s="758">
        <v>1836</v>
      </c>
      <c r="I63" s="628">
        <v>0</v>
      </c>
      <c r="J63" s="628">
        <v>3527.5</v>
      </c>
      <c r="K63" s="813">
        <f t="shared" si="2"/>
        <v>3527.5</v>
      </c>
      <c r="L63" s="818">
        <v>3632.75</v>
      </c>
      <c r="M63" s="818">
        <v>2637.36</v>
      </c>
      <c r="N63" s="613"/>
    </row>
    <row r="64" spans="1:14" ht="30" customHeight="1" x14ac:dyDescent="0.25">
      <c r="A64" s="627" t="s">
        <v>10218</v>
      </c>
      <c r="B64" s="627" t="s">
        <v>10217</v>
      </c>
      <c r="C64" s="635" t="s">
        <v>1871</v>
      </c>
      <c r="D64" s="627" t="s">
        <v>10216</v>
      </c>
      <c r="E64" s="767" t="s">
        <v>10218</v>
      </c>
      <c r="F64" s="758">
        <v>60</v>
      </c>
      <c r="G64" s="758">
        <v>82.2</v>
      </c>
      <c r="H64" s="758">
        <v>142.19999999999999</v>
      </c>
      <c r="I64" s="628">
        <v>0</v>
      </c>
      <c r="J64" s="628">
        <v>396.38</v>
      </c>
      <c r="K64" s="813">
        <f t="shared" si="2"/>
        <v>396.38</v>
      </c>
      <c r="L64" s="818">
        <v>325.75</v>
      </c>
      <c r="M64" s="818">
        <v>425.92</v>
      </c>
      <c r="N64" s="613"/>
    </row>
    <row r="65" spans="1:15" ht="30" customHeight="1" x14ac:dyDescent="0.25">
      <c r="A65" s="627" t="s">
        <v>10215</v>
      </c>
      <c r="B65" s="627" t="s">
        <v>10214</v>
      </c>
      <c r="C65" s="635" t="s">
        <v>916</v>
      </c>
      <c r="D65" s="627" t="s">
        <v>10211</v>
      </c>
      <c r="E65" s="767" t="s">
        <v>10215</v>
      </c>
      <c r="F65" s="758">
        <v>112.74</v>
      </c>
      <c r="G65" s="758"/>
      <c r="H65" s="758">
        <v>112.74</v>
      </c>
      <c r="I65" s="628">
        <v>36.21</v>
      </c>
      <c r="J65" s="628">
        <v>60.38000000000001</v>
      </c>
      <c r="K65" s="813">
        <f t="shared" si="2"/>
        <v>96.59</v>
      </c>
      <c r="L65" s="818">
        <v>88.6</v>
      </c>
      <c r="M65" s="818">
        <v>582.66999999999996</v>
      </c>
      <c r="N65" s="613"/>
    </row>
    <row r="66" spans="1:15" ht="30" customHeight="1" x14ac:dyDescent="0.25">
      <c r="A66" s="627" t="s">
        <v>10213</v>
      </c>
      <c r="B66" s="627" t="s">
        <v>10212</v>
      </c>
      <c r="C66" s="635" t="s">
        <v>158</v>
      </c>
      <c r="D66" s="627" t="s">
        <v>10211</v>
      </c>
      <c r="E66" s="767" t="s">
        <v>10213</v>
      </c>
      <c r="F66" s="758">
        <v>78.2</v>
      </c>
      <c r="G66" s="758">
        <v>892.73</v>
      </c>
      <c r="H66" s="758">
        <v>970.93000000000006</v>
      </c>
      <c r="I66" s="628">
        <v>0</v>
      </c>
      <c r="J66" s="628">
        <v>909.32999999999993</v>
      </c>
      <c r="K66" s="813">
        <f t="shared" si="2"/>
        <v>909.32999999999993</v>
      </c>
      <c r="L66" s="818">
        <v>1156.8</v>
      </c>
      <c r="M66" s="818">
        <v>1260.74</v>
      </c>
      <c r="N66" s="613"/>
    </row>
    <row r="67" spans="1:15" ht="30" customHeight="1" x14ac:dyDescent="0.25">
      <c r="A67" s="627" t="s">
        <v>10210</v>
      </c>
      <c r="B67" s="627" t="s">
        <v>10209</v>
      </c>
      <c r="C67" s="635" t="s">
        <v>7829</v>
      </c>
      <c r="D67" s="627" t="s">
        <v>10208</v>
      </c>
      <c r="E67" s="767" t="s">
        <v>10210</v>
      </c>
      <c r="F67" s="758">
        <v>100</v>
      </c>
      <c r="G67" s="758">
        <v>415</v>
      </c>
      <c r="H67" s="758">
        <v>515</v>
      </c>
      <c r="I67" s="628">
        <v>55</v>
      </c>
      <c r="J67" s="628">
        <v>715.57999999999993</v>
      </c>
      <c r="K67" s="813">
        <f t="shared" si="2"/>
        <v>770.57999999999993</v>
      </c>
      <c r="L67" s="818">
        <v>630</v>
      </c>
      <c r="M67" s="818">
        <v>550</v>
      </c>
      <c r="N67" s="613"/>
    </row>
    <row r="68" spans="1:15" ht="30" customHeight="1" x14ac:dyDescent="0.25">
      <c r="A68" s="627" t="s">
        <v>10207</v>
      </c>
      <c r="B68" s="627" t="s">
        <v>10206</v>
      </c>
      <c r="C68" s="635" t="s">
        <v>10205</v>
      </c>
      <c r="D68" s="627" t="s">
        <v>10204</v>
      </c>
      <c r="E68" s="767" t="s">
        <v>10207</v>
      </c>
      <c r="F68" s="758">
        <v>114.28999999999999</v>
      </c>
      <c r="G68" s="758">
        <v>185.71</v>
      </c>
      <c r="H68" s="758">
        <v>300</v>
      </c>
      <c r="I68" s="628">
        <v>0</v>
      </c>
      <c r="J68" s="628">
        <v>290</v>
      </c>
      <c r="K68" s="813">
        <f t="shared" si="2"/>
        <v>290</v>
      </c>
      <c r="L68" s="818">
        <v>380</v>
      </c>
      <c r="M68" s="818">
        <v>360</v>
      </c>
      <c r="N68" s="613"/>
    </row>
    <row r="69" spans="1:15" ht="30" customHeight="1" x14ac:dyDescent="0.25">
      <c r="A69" s="627" t="s">
        <v>10203</v>
      </c>
      <c r="B69" s="627" t="s">
        <v>10202</v>
      </c>
      <c r="C69" s="635" t="s">
        <v>10201</v>
      </c>
      <c r="D69" s="627" t="s">
        <v>10200</v>
      </c>
      <c r="E69" s="767" t="s">
        <v>10203</v>
      </c>
      <c r="F69" s="758">
        <v>120</v>
      </c>
      <c r="G69" s="758"/>
      <c r="H69" s="758">
        <v>120</v>
      </c>
      <c r="I69" s="628">
        <v>110</v>
      </c>
      <c r="J69" s="628">
        <v>10</v>
      </c>
      <c r="K69" s="813">
        <f t="shared" si="2"/>
        <v>120</v>
      </c>
      <c r="L69" s="818">
        <v>130</v>
      </c>
      <c r="M69" s="818">
        <v>130</v>
      </c>
      <c r="N69" s="613"/>
    </row>
    <row r="70" spans="1:15" ht="30" customHeight="1" x14ac:dyDescent="0.25">
      <c r="A70" s="627" t="s">
        <v>10199</v>
      </c>
      <c r="B70" s="627" t="s">
        <v>10198</v>
      </c>
      <c r="C70" s="635" t="s">
        <v>10197</v>
      </c>
      <c r="D70" s="627" t="s">
        <v>10183</v>
      </c>
      <c r="E70" s="767" t="s">
        <v>10199</v>
      </c>
      <c r="F70" s="758">
        <v>631.86</v>
      </c>
      <c r="G70" s="758">
        <v>519.25</v>
      </c>
      <c r="H70" s="758">
        <v>1151.1100000000001</v>
      </c>
      <c r="I70" s="628">
        <v>85</v>
      </c>
      <c r="J70" s="628">
        <v>2491.0799999999995</v>
      </c>
      <c r="K70" s="813">
        <f t="shared" ref="K70:K77" si="3">SUM(I70:J70)</f>
        <v>2576.0799999999995</v>
      </c>
      <c r="L70" s="818">
        <v>1942.94</v>
      </c>
      <c r="M70" s="818">
        <v>2301.4699999999998</v>
      </c>
    </row>
    <row r="71" spans="1:15" ht="30" customHeight="1" x14ac:dyDescent="0.25">
      <c r="A71" s="627" t="s">
        <v>10196</v>
      </c>
      <c r="B71" s="627" t="s">
        <v>10195</v>
      </c>
      <c r="C71" s="635" t="s">
        <v>2900</v>
      </c>
      <c r="D71" s="627" t="s">
        <v>10183</v>
      </c>
      <c r="E71" s="767"/>
      <c r="F71" s="758"/>
      <c r="G71" s="758"/>
      <c r="H71" s="758"/>
      <c r="I71" s="628">
        <v>50</v>
      </c>
      <c r="J71" s="628">
        <v>1363.8799999999999</v>
      </c>
      <c r="K71" s="813">
        <f t="shared" si="3"/>
        <v>1413.8799999999999</v>
      </c>
      <c r="L71" s="818">
        <v>624.57000000000005</v>
      </c>
      <c r="M71" s="818">
        <v>560.46</v>
      </c>
    </row>
    <row r="72" spans="1:15" ht="30" customHeight="1" x14ac:dyDescent="0.25">
      <c r="A72" s="627" t="s">
        <v>10194</v>
      </c>
      <c r="B72" s="627" t="s">
        <v>10193</v>
      </c>
      <c r="C72" s="635" t="s">
        <v>532</v>
      </c>
      <c r="D72" s="627" t="s">
        <v>10183</v>
      </c>
      <c r="E72" s="767" t="s">
        <v>10194</v>
      </c>
      <c r="F72" s="758">
        <v>330</v>
      </c>
      <c r="G72" s="758">
        <v>343.56</v>
      </c>
      <c r="H72" s="758">
        <v>673.56</v>
      </c>
      <c r="I72" s="628">
        <v>100</v>
      </c>
      <c r="J72" s="628">
        <v>799.96</v>
      </c>
      <c r="K72" s="813">
        <f t="shared" si="3"/>
        <v>899.96</v>
      </c>
      <c r="L72" s="818">
        <v>773.29</v>
      </c>
      <c r="M72" s="818">
        <v>834.97</v>
      </c>
    </row>
    <row r="73" spans="1:15" ht="30" customHeight="1" x14ac:dyDescent="0.25">
      <c r="A73" s="627" t="s">
        <v>10192</v>
      </c>
      <c r="B73" s="627" t="s">
        <v>10191</v>
      </c>
      <c r="C73" s="635" t="s">
        <v>10190</v>
      </c>
      <c r="D73" s="627" t="s">
        <v>10183</v>
      </c>
      <c r="E73" s="767" t="s">
        <v>10192</v>
      </c>
      <c r="F73" s="758">
        <v>156</v>
      </c>
      <c r="G73" s="758"/>
      <c r="H73" s="758">
        <v>156</v>
      </c>
      <c r="I73" s="628">
        <v>18</v>
      </c>
      <c r="J73" s="628">
        <v>663.19</v>
      </c>
      <c r="K73" s="813">
        <f t="shared" si="3"/>
        <v>681.19</v>
      </c>
      <c r="L73" s="818">
        <v>747.04</v>
      </c>
      <c r="M73" s="818">
        <v>792.83</v>
      </c>
    </row>
    <row r="74" spans="1:15" ht="30" customHeight="1" x14ac:dyDescent="0.25">
      <c r="A74" s="627" t="s">
        <v>10189</v>
      </c>
      <c r="B74" s="627" t="s">
        <v>10188</v>
      </c>
      <c r="C74" s="635" t="s">
        <v>7193</v>
      </c>
      <c r="D74" s="627" t="s">
        <v>10183</v>
      </c>
      <c r="E74" s="767" t="s">
        <v>10189</v>
      </c>
      <c r="F74" s="758">
        <v>15</v>
      </c>
      <c r="G74" s="758">
        <v>482.53000000000003</v>
      </c>
      <c r="H74" s="758">
        <v>497.53000000000003</v>
      </c>
      <c r="I74" s="628">
        <v>15</v>
      </c>
      <c r="J74" s="628">
        <v>602.28</v>
      </c>
      <c r="K74" s="813">
        <f t="shared" si="3"/>
        <v>617.28</v>
      </c>
      <c r="L74" s="818">
        <v>391.93</v>
      </c>
      <c r="M74" s="818">
        <v>596.79999999999995</v>
      </c>
    </row>
    <row r="75" spans="1:15" ht="30" customHeight="1" x14ac:dyDescent="0.25">
      <c r="A75" s="627" t="s">
        <v>10187</v>
      </c>
      <c r="B75" s="627" t="s">
        <v>10186</v>
      </c>
      <c r="C75" s="635" t="s">
        <v>1047</v>
      </c>
      <c r="D75" s="627" t="s">
        <v>10183</v>
      </c>
      <c r="E75" s="767" t="s">
        <v>10187</v>
      </c>
      <c r="F75" s="758">
        <v>1105.5</v>
      </c>
      <c r="G75" s="758"/>
      <c r="H75" s="758">
        <v>1105.5</v>
      </c>
      <c r="I75" s="628">
        <v>535</v>
      </c>
      <c r="J75" s="628">
        <v>708.84999999999991</v>
      </c>
      <c r="K75" s="813">
        <f t="shared" si="3"/>
        <v>1243.8499999999999</v>
      </c>
      <c r="L75" s="818">
        <v>2135.04</v>
      </c>
      <c r="M75" s="818">
        <v>4648.2700000000004</v>
      </c>
    </row>
    <row r="76" spans="1:15" ht="30" customHeight="1" x14ac:dyDescent="0.25">
      <c r="A76" s="627" t="s">
        <v>10185</v>
      </c>
      <c r="B76" s="627" t="s">
        <v>10184</v>
      </c>
      <c r="C76" s="635" t="s">
        <v>1355</v>
      </c>
      <c r="D76" s="627" t="s">
        <v>10183</v>
      </c>
      <c r="E76" s="767" t="s">
        <v>10185</v>
      </c>
      <c r="F76" s="758">
        <v>507</v>
      </c>
      <c r="G76" s="758">
        <v>139.4</v>
      </c>
      <c r="H76" s="758">
        <v>646.4</v>
      </c>
      <c r="I76" s="628">
        <v>180</v>
      </c>
      <c r="J76" s="628">
        <v>2035.71</v>
      </c>
      <c r="K76" s="813">
        <f t="shared" si="3"/>
        <v>2215.71</v>
      </c>
      <c r="L76" s="818">
        <v>2368.8200000000002</v>
      </c>
      <c r="M76" s="818">
        <v>2561.17</v>
      </c>
    </row>
    <row r="77" spans="1:15" ht="30" customHeight="1" x14ac:dyDescent="0.25">
      <c r="A77" s="627" t="s">
        <v>10182</v>
      </c>
      <c r="B77" s="627" t="s">
        <v>10181</v>
      </c>
      <c r="C77" s="635" t="s">
        <v>10180</v>
      </c>
      <c r="D77" s="627" t="s">
        <v>11359</v>
      </c>
      <c r="E77" s="767" t="s">
        <v>10182</v>
      </c>
      <c r="F77" s="758">
        <v>3653.55</v>
      </c>
      <c r="G77" s="758">
        <v>440.18</v>
      </c>
      <c r="H77" s="758">
        <v>4093.73</v>
      </c>
      <c r="I77" s="628">
        <v>149</v>
      </c>
      <c r="J77" s="628">
        <v>743.52</v>
      </c>
      <c r="K77" s="813">
        <f t="shared" si="3"/>
        <v>892.52</v>
      </c>
      <c r="L77" s="818">
        <v>689.58999999999992</v>
      </c>
      <c r="M77" s="818">
        <v>343.43</v>
      </c>
    </row>
    <row r="78" spans="1:15" ht="15.75" thickBot="1" x14ac:dyDescent="0.3">
      <c r="E78" s="613"/>
      <c r="F78" s="613"/>
      <c r="H78" s="608"/>
      <c r="I78" s="608"/>
      <c r="J78" s="608"/>
    </row>
    <row r="79" spans="1:15" s="74" customFormat="1" ht="83.25" customHeight="1" thickBot="1" x14ac:dyDescent="0.25">
      <c r="A79" s="854" t="s">
        <v>10987</v>
      </c>
      <c r="B79" s="855"/>
      <c r="C79" s="855"/>
      <c r="D79" s="855"/>
      <c r="E79" s="855"/>
      <c r="F79" s="855"/>
      <c r="G79" s="855"/>
      <c r="H79" s="855"/>
      <c r="I79" s="855"/>
      <c r="J79" s="855"/>
      <c r="K79" s="855"/>
      <c r="L79" s="855"/>
      <c r="M79" s="855"/>
      <c r="N79" s="855"/>
      <c r="O79" s="855"/>
    </row>
    <row r="80" spans="1:15" x14ac:dyDescent="0.25">
      <c r="E80" s="613"/>
      <c r="F80" s="613"/>
      <c r="H80" s="608"/>
      <c r="I80" s="608"/>
      <c r="J80" s="608"/>
    </row>
    <row r="81" spans="1:10" s="74" customFormat="1" ht="45" x14ac:dyDescent="0.2">
      <c r="A81" s="897" t="s">
        <v>10990</v>
      </c>
      <c r="B81" s="897"/>
      <c r="C81" s="764" t="s">
        <v>11008</v>
      </c>
    </row>
    <row r="82" spans="1:10" s="74" customFormat="1" ht="45" x14ac:dyDescent="0.2">
      <c r="A82" s="897" t="s">
        <v>7809</v>
      </c>
      <c r="B82" s="897"/>
      <c r="C82" s="764" t="s">
        <v>11320</v>
      </c>
    </row>
    <row r="83" spans="1:10" x14ac:dyDescent="0.25">
      <c r="E83" s="613"/>
      <c r="F83" s="613"/>
      <c r="H83" s="608"/>
      <c r="I83" s="608"/>
      <c r="J83" s="608"/>
    </row>
  </sheetData>
  <mergeCells count="3">
    <mergeCell ref="A79:O79"/>
    <mergeCell ref="A81:B81"/>
    <mergeCell ref="A82:B82"/>
  </mergeCells>
  <conditionalFormatting sqref="A1:A78 A80 A83:A1048576">
    <cfRule type="duplicateValues" dxfId="48" priority="31"/>
  </conditionalFormatting>
  <conditionalFormatting sqref="A79">
    <cfRule type="duplicateValues" dxfId="47" priority="2"/>
  </conditionalFormatting>
  <conditionalFormatting sqref="A81:A82">
    <cfRule type="duplicateValues" dxfId="46" priority="1"/>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9" tint="-0.249977111117893"/>
    <pageSetUpPr fitToPage="1"/>
  </sheetPr>
  <dimension ref="A1:T108"/>
  <sheetViews>
    <sheetView zoomScaleNormal="100" zoomScaleSheetLayoutView="70" workbookViewId="0">
      <pane ySplit="2" topLeftCell="A3" activePane="bottomLeft" state="frozen"/>
      <selection pane="bottomLeft" activeCell="L4" sqref="L4"/>
    </sheetView>
  </sheetViews>
  <sheetFormatPr defaultRowHeight="15" outlineLevelCol="1" x14ac:dyDescent="0.2"/>
  <cols>
    <col min="1" max="1" width="24.140625" style="643" customWidth="1"/>
    <col min="2" max="2" width="41" style="643" bestFit="1" customWidth="1"/>
    <col min="3" max="3" width="54.85546875" style="643" bestFit="1" customWidth="1"/>
    <col min="4" max="4" width="15.140625" style="649" hidden="1" customWidth="1" outlineLevel="1"/>
    <col min="5" max="5" width="16.140625" style="648" hidden="1" customWidth="1" outlineLevel="1"/>
    <col min="6" max="6" width="14.28515625" style="651" hidden="1" customWidth="1" outlineLevel="1"/>
    <col min="7" max="7" width="14.28515625" style="651" hidden="1" customWidth="1" collapsed="1"/>
    <col min="8" max="8" width="14.28515625" style="650" hidden="1" customWidth="1"/>
    <col min="9" max="9" width="12.85546875" style="642" bestFit="1" customWidth="1"/>
    <col min="10" max="10" width="14.85546875" style="642" bestFit="1" customWidth="1"/>
    <col min="11" max="11" width="19.7109375" style="642" bestFit="1" customWidth="1"/>
    <col min="12" max="12" width="12.85546875" style="643" bestFit="1" customWidth="1"/>
    <col min="13" max="15" width="0" style="643" hidden="1" customWidth="1"/>
    <col min="16" max="17" width="12.85546875" style="643" bestFit="1" customWidth="1"/>
    <col min="18" max="18" width="11.42578125" style="643" bestFit="1" customWidth="1"/>
    <col min="19" max="20" width="12.85546875" style="643" bestFit="1" customWidth="1"/>
    <col min="21" max="252" width="9.140625" style="643"/>
    <col min="253" max="253" width="16.140625" style="643" bestFit="1" customWidth="1"/>
    <col min="254" max="254" width="41" style="643" bestFit="1" customWidth="1"/>
    <col min="255" max="255" width="54.85546875" style="643" bestFit="1" customWidth="1"/>
    <col min="256" max="256" width="15.140625" style="643" bestFit="1" customWidth="1"/>
    <col min="257" max="257" width="16.140625" style="643" bestFit="1" customWidth="1"/>
    <col min="258" max="259" width="14.28515625" style="643" bestFit="1" customWidth="1"/>
    <col min="260" max="260" width="11.7109375" style="643" customWidth="1"/>
    <col min="261" max="261" width="14.28515625" style="643" bestFit="1" customWidth="1"/>
    <col min="262" max="508" width="9.140625" style="643"/>
    <col min="509" max="509" width="16.140625" style="643" bestFit="1" customWidth="1"/>
    <col min="510" max="510" width="41" style="643" bestFit="1" customWidth="1"/>
    <col min="511" max="511" width="54.85546875" style="643" bestFit="1" customWidth="1"/>
    <col min="512" max="512" width="15.140625" style="643" bestFit="1" customWidth="1"/>
    <col min="513" max="513" width="16.140625" style="643" bestFit="1" customWidth="1"/>
    <col min="514" max="515" width="14.28515625" style="643" bestFit="1" customWidth="1"/>
    <col min="516" max="516" width="11.7109375" style="643" customWidth="1"/>
    <col min="517" max="517" width="14.28515625" style="643" bestFit="1" customWidth="1"/>
    <col min="518" max="764" width="9.140625" style="643"/>
    <col min="765" max="765" width="16.140625" style="643" bestFit="1" customWidth="1"/>
    <col min="766" max="766" width="41" style="643" bestFit="1" customWidth="1"/>
    <col min="767" max="767" width="54.85546875" style="643" bestFit="1" customWidth="1"/>
    <col min="768" max="768" width="15.140625" style="643" bestFit="1" customWidth="1"/>
    <col min="769" max="769" width="16.140625" style="643" bestFit="1" customWidth="1"/>
    <col min="770" max="771" width="14.28515625" style="643" bestFit="1" customWidth="1"/>
    <col min="772" max="772" width="11.7109375" style="643" customWidth="1"/>
    <col min="773" max="773" width="14.28515625" style="643" bestFit="1" customWidth="1"/>
    <col min="774" max="1020" width="9.140625" style="643"/>
    <col min="1021" max="1021" width="16.140625" style="643" bestFit="1" customWidth="1"/>
    <col min="1022" max="1022" width="41" style="643" bestFit="1" customWidth="1"/>
    <col min="1023" max="1023" width="54.85546875" style="643" bestFit="1" customWidth="1"/>
    <col min="1024" max="1024" width="15.140625" style="643" bestFit="1" customWidth="1"/>
    <col min="1025" max="1025" width="16.140625" style="643" bestFit="1" customWidth="1"/>
    <col min="1026" max="1027" width="14.28515625" style="643" bestFit="1" customWidth="1"/>
    <col min="1028" max="1028" width="11.7109375" style="643" customWidth="1"/>
    <col min="1029" max="1029" width="14.28515625" style="643" bestFit="1" customWidth="1"/>
    <col min="1030" max="1276" width="9.140625" style="643"/>
    <col min="1277" max="1277" width="16.140625" style="643" bestFit="1" customWidth="1"/>
    <col min="1278" max="1278" width="41" style="643" bestFit="1" customWidth="1"/>
    <col min="1279" max="1279" width="54.85546875" style="643" bestFit="1" customWidth="1"/>
    <col min="1280" max="1280" width="15.140625" style="643" bestFit="1" customWidth="1"/>
    <col min="1281" max="1281" width="16.140625" style="643" bestFit="1" customWidth="1"/>
    <col min="1282" max="1283" width="14.28515625" style="643" bestFit="1" customWidth="1"/>
    <col min="1284" max="1284" width="11.7109375" style="643" customWidth="1"/>
    <col min="1285" max="1285" width="14.28515625" style="643" bestFit="1" customWidth="1"/>
    <col min="1286" max="1532" width="9.140625" style="643"/>
    <col min="1533" max="1533" width="16.140625" style="643" bestFit="1" customWidth="1"/>
    <col min="1534" max="1534" width="41" style="643" bestFit="1" customWidth="1"/>
    <col min="1535" max="1535" width="54.85546875" style="643" bestFit="1" customWidth="1"/>
    <col min="1536" max="1536" width="15.140625" style="643" bestFit="1" customWidth="1"/>
    <col min="1537" max="1537" width="16.140625" style="643" bestFit="1" customWidth="1"/>
    <col min="1538" max="1539" width="14.28515625" style="643" bestFit="1" customWidth="1"/>
    <col min="1540" max="1540" width="11.7109375" style="643" customWidth="1"/>
    <col min="1541" max="1541" width="14.28515625" style="643" bestFit="1" customWidth="1"/>
    <col min="1542" max="1788" width="9.140625" style="643"/>
    <col min="1789" max="1789" width="16.140625" style="643" bestFit="1" customWidth="1"/>
    <col min="1790" max="1790" width="41" style="643" bestFit="1" customWidth="1"/>
    <col min="1791" max="1791" width="54.85546875" style="643" bestFit="1" customWidth="1"/>
    <col min="1792" max="1792" width="15.140625" style="643" bestFit="1" customWidth="1"/>
    <col min="1793" max="1793" width="16.140625" style="643" bestFit="1" customWidth="1"/>
    <col min="1794" max="1795" width="14.28515625" style="643" bestFit="1" customWidth="1"/>
    <col min="1796" max="1796" width="11.7109375" style="643" customWidth="1"/>
    <col min="1797" max="1797" width="14.28515625" style="643" bestFit="1" customWidth="1"/>
    <col min="1798" max="2044" width="9.140625" style="643"/>
    <col min="2045" max="2045" width="16.140625" style="643" bestFit="1" customWidth="1"/>
    <col min="2046" max="2046" width="41" style="643" bestFit="1" customWidth="1"/>
    <col min="2047" max="2047" width="54.85546875" style="643" bestFit="1" customWidth="1"/>
    <col min="2048" max="2048" width="15.140625" style="643" bestFit="1" customWidth="1"/>
    <col min="2049" max="2049" width="16.140625" style="643" bestFit="1" customWidth="1"/>
    <col min="2050" max="2051" width="14.28515625" style="643" bestFit="1" customWidth="1"/>
    <col min="2052" max="2052" width="11.7109375" style="643" customWidth="1"/>
    <col min="2053" max="2053" width="14.28515625" style="643" bestFit="1" customWidth="1"/>
    <col min="2054" max="2300" width="9.140625" style="643"/>
    <col min="2301" max="2301" width="16.140625" style="643" bestFit="1" customWidth="1"/>
    <col min="2302" max="2302" width="41" style="643" bestFit="1" customWidth="1"/>
    <col min="2303" max="2303" width="54.85546875" style="643" bestFit="1" customWidth="1"/>
    <col min="2304" max="2304" width="15.140625" style="643" bestFit="1" customWidth="1"/>
    <col min="2305" max="2305" width="16.140625" style="643" bestFit="1" customWidth="1"/>
    <col min="2306" max="2307" width="14.28515625" style="643" bestFit="1" customWidth="1"/>
    <col min="2308" max="2308" width="11.7109375" style="643" customWidth="1"/>
    <col min="2309" max="2309" width="14.28515625" style="643" bestFit="1" customWidth="1"/>
    <col min="2310" max="2556" width="9.140625" style="643"/>
    <col min="2557" max="2557" width="16.140625" style="643" bestFit="1" customWidth="1"/>
    <col min="2558" max="2558" width="41" style="643" bestFit="1" customWidth="1"/>
    <col min="2559" max="2559" width="54.85546875" style="643" bestFit="1" customWidth="1"/>
    <col min="2560" max="2560" width="15.140625" style="643" bestFit="1" customWidth="1"/>
    <col min="2561" max="2561" width="16.140625" style="643" bestFit="1" customWidth="1"/>
    <col min="2562" max="2563" width="14.28515625" style="643" bestFit="1" customWidth="1"/>
    <col min="2564" max="2564" width="11.7109375" style="643" customWidth="1"/>
    <col min="2565" max="2565" width="14.28515625" style="643" bestFit="1" customWidth="1"/>
    <col min="2566" max="2812" width="9.140625" style="643"/>
    <col min="2813" max="2813" width="16.140625" style="643" bestFit="1" customWidth="1"/>
    <col min="2814" max="2814" width="41" style="643" bestFit="1" customWidth="1"/>
    <col min="2815" max="2815" width="54.85546875" style="643" bestFit="1" customWidth="1"/>
    <col min="2816" max="2816" width="15.140625" style="643" bestFit="1" customWidth="1"/>
    <col min="2817" max="2817" width="16.140625" style="643" bestFit="1" customWidth="1"/>
    <col min="2818" max="2819" width="14.28515625" style="643" bestFit="1" customWidth="1"/>
    <col min="2820" max="2820" width="11.7109375" style="643" customWidth="1"/>
    <col min="2821" max="2821" width="14.28515625" style="643" bestFit="1" customWidth="1"/>
    <col min="2822" max="3068" width="9.140625" style="643"/>
    <col min="3069" max="3069" width="16.140625" style="643" bestFit="1" customWidth="1"/>
    <col min="3070" max="3070" width="41" style="643" bestFit="1" customWidth="1"/>
    <col min="3071" max="3071" width="54.85546875" style="643" bestFit="1" customWidth="1"/>
    <col min="3072" max="3072" width="15.140625" style="643" bestFit="1" customWidth="1"/>
    <col min="3073" max="3073" width="16.140625" style="643" bestFit="1" customWidth="1"/>
    <col min="3074" max="3075" width="14.28515625" style="643" bestFit="1" customWidth="1"/>
    <col min="3076" max="3076" width="11.7109375" style="643" customWidth="1"/>
    <col min="3077" max="3077" width="14.28515625" style="643" bestFit="1" customWidth="1"/>
    <col min="3078" max="3324" width="9.140625" style="643"/>
    <col min="3325" max="3325" width="16.140625" style="643" bestFit="1" customWidth="1"/>
    <col min="3326" max="3326" width="41" style="643" bestFit="1" customWidth="1"/>
    <col min="3327" max="3327" width="54.85546875" style="643" bestFit="1" customWidth="1"/>
    <col min="3328" max="3328" width="15.140625" style="643" bestFit="1" customWidth="1"/>
    <col min="3329" max="3329" width="16.140625" style="643" bestFit="1" customWidth="1"/>
    <col min="3330" max="3331" width="14.28515625" style="643" bestFit="1" customWidth="1"/>
    <col min="3332" max="3332" width="11.7109375" style="643" customWidth="1"/>
    <col min="3333" max="3333" width="14.28515625" style="643" bestFit="1" customWidth="1"/>
    <col min="3334" max="3580" width="9.140625" style="643"/>
    <col min="3581" max="3581" width="16.140625" style="643" bestFit="1" customWidth="1"/>
    <col min="3582" max="3582" width="41" style="643" bestFit="1" customWidth="1"/>
    <col min="3583" max="3583" width="54.85546875" style="643" bestFit="1" customWidth="1"/>
    <col min="3584" max="3584" width="15.140625" style="643" bestFit="1" customWidth="1"/>
    <col min="3585" max="3585" width="16.140625" style="643" bestFit="1" customWidth="1"/>
    <col min="3586" max="3587" width="14.28515625" style="643" bestFit="1" customWidth="1"/>
    <col min="3588" max="3588" width="11.7109375" style="643" customWidth="1"/>
    <col min="3589" max="3589" width="14.28515625" style="643" bestFit="1" customWidth="1"/>
    <col min="3590" max="3836" width="9.140625" style="643"/>
    <col min="3837" max="3837" width="16.140625" style="643" bestFit="1" customWidth="1"/>
    <col min="3838" max="3838" width="41" style="643" bestFit="1" customWidth="1"/>
    <col min="3839" max="3839" width="54.85546875" style="643" bestFit="1" customWidth="1"/>
    <col min="3840" max="3840" width="15.140625" style="643" bestFit="1" customWidth="1"/>
    <col min="3841" max="3841" width="16.140625" style="643" bestFit="1" customWidth="1"/>
    <col min="3842" max="3843" width="14.28515625" style="643" bestFit="1" customWidth="1"/>
    <col min="3844" max="3844" width="11.7109375" style="643" customWidth="1"/>
    <col min="3845" max="3845" width="14.28515625" style="643" bestFit="1" customWidth="1"/>
    <col min="3846" max="4092" width="9.140625" style="643"/>
    <col min="4093" max="4093" width="16.140625" style="643" bestFit="1" customWidth="1"/>
    <col min="4094" max="4094" width="41" style="643" bestFit="1" customWidth="1"/>
    <col min="4095" max="4095" width="54.85546875" style="643" bestFit="1" customWidth="1"/>
    <col min="4096" max="4096" width="15.140625" style="643" bestFit="1" customWidth="1"/>
    <col min="4097" max="4097" width="16.140625" style="643" bestFit="1" customWidth="1"/>
    <col min="4098" max="4099" width="14.28515625" style="643" bestFit="1" customWidth="1"/>
    <col min="4100" max="4100" width="11.7109375" style="643" customWidth="1"/>
    <col min="4101" max="4101" width="14.28515625" style="643" bestFit="1" customWidth="1"/>
    <col min="4102" max="4348" width="9.140625" style="643"/>
    <col min="4349" max="4349" width="16.140625" style="643" bestFit="1" customWidth="1"/>
    <col min="4350" max="4350" width="41" style="643" bestFit="1" customWidth="1"/>
    <col min="4351" max="4351" width="54.85546875" style="643" bestFit="1" customWidth="1"/>
    <col min="4352" max="4352" width="15.140625" style="643" bestFit="1" customWidth="1"/>
    <col min="4353" max="4353" width="16.140625" style="643" bestFit="1" customWidth="1"/>
    <col min="4354" max="4355" width="14.28515625" style="643" bestFit="1" customWidth="1"/>
    <col min="4356" max="4356" width="11.7109375" style="643" customWidth="1"/>
    <col min="4357" max="4357" width="14.28515625" style="643" bestFit="1" customWidth="1"/>
    <col min="4358" max="4604" width="9.140625" style="643"/>
    <col min="4605" max="4605" width="16.140625" style="643" bestFit="1" customWidth="1"/>
    <col min="4606" max="4606" width="41" style="643" bestFit="1" customWidth="1"/>
    <col min="4607" max="4607" width="54.85546875" style="643" bestFit="1" customWidth="1"/>
    <col min="4608" max="4608" width="15.140625" style="643" bestFit="1" customWidth="1"/>
    <col min="4609" max="4609" width="16.140625" style="643" bestFit="1" customWidth="1"/>
    <col min="4610" max="4611" width="14.28515625" style="643" bestFit="1" customWidth="1"/>
    <col min="4612" max="4612" width="11.7109375" style="643" customWidth="1"/>
    <col min="4613" max="4613" width="14.28515625" style="643" bestFit="1" customWidth="1"/>
    <col min="4614" max="4860" width="9.140625" style="643"/>
    <col min="4861" max="4861" width="16.140625" style="643" bestFit="1" customWidth="1"/>
    <col min="4862" max="4862" width="41" style="643" bestFit="1" customWidth="1"/>
    <col min="4863" max="4863" width="54.85546875" style="643" bestFit="1" customWidth="1"/>
    <col min="4864" max="4864" width="15.140625" style="643" bestFit="1" customWidth="1"/>
    <col min="4865" max="4865" width="16.140625" style="643" bestFit="1" customWidth="1"/>
    <col min="4866" max="4867" width="14.28515625" style="643" bestFit="1" customWidth="1"/>
    <col min="4868" max="4868" width="11.7109375" style="643" customWidth="1"/>
    <col min="4869" max="4869" width="14.28515625" style="643" bestFit="1" customWidth="1"/>
    <col min="4870" max="5116" width="9.140625" style="643"/>
    <col min="5117" max="5117" width="16.140625" style="643" bestFit="1" customWidth="1"/>
    <col min="5118" max="5118" width="41" style="643" bestFit="1" customWidth="1"/>
    <col min="5119" max="5119" width="54.85546875" style="643" bestFit="1" customWidth="1"/>
    <col min="5120" max="5120" width="15.140625" style="643" bestFit="1" customWidth="1"/>
    <col min="5121" max="5121" width="16.140625" style="643" bestFit="1" customWidth="1"/>
    <col min="5122" max="5123" width="14.28515625" style="643" bestFit="1" customWidth="1"/>
    <col min="5124" max="5124" width="11.7109375" style="643" customWidth="1"/>
    <col min="5125" max="5125" width="14.28515625" style="643" bestFit="1" customWidth="1"/>
    <col min="5126" max="5372" width="9.140625" style="643"/>
    <col min="5373" max="5373" width="16.140625" style="643" bestFit="1" customWidth="1"/>
    <col min="5374" max="5374" width="41" style="643" bestFit="1" customWidth="1"/>
    <col min="5375" max="5375" width="54.85546875" style="643" bestFit="1" customWidth="1"/>
    <col min="5376" max="5376" width="15.140625" style="643" bestFit="1" customWidth="1"/>
    <col min="5377" max="5377" width="16.140625" style="643" bestFit="1" customWidth="1"/>
    <col min="5378" max="5379" width="14.28515625" style="643" bestFit="1" customWidth="1"/>
    <col min="5380" max="5380" width="11.7109375" style="643" customWidth="1"/>
    <col min="5381" max="5381" width="14.28515625" style="643" bestFit="1" customWidth="1"/>
    <col min="5382" max="5628" width="9.140625" style="643"/>
    <col min="5629" max="5629" width="16.140625" style="643" bestFit="1" customWidth="1"/>
    <col min="5630" max="5630" width="41" style="643" bestFit="1" customWidth="1"/>
    <col min="5631" max="5631" width="54.85546875" style="643" bestFit="1" customWidth="1"/>
    <col min="5632" max="5632" width="15.140625" style="643" bestFit="1" customWidth="1"/>
    <col min="5633" max="5633" width="16.140625" style="643" bestFit="1" customWidth="1"/>
    <col min="5634" max="5635" width="14.28515625" style="643" bestFit="1" customWidth="1"/>
    <col min="5636" max="5636" width="11.7109375" style="643" customWidth="1"/>
    <col min="5637" max="5637" width="14.28515625" style="643" bestFit="1" customWidth="1"/>
    <col min="5638" max="5884" width="9.140625" style="643"/>
    <col min="5885" max="5885" width="16.140625" style="643" bestFit="1" customWidth="1"/>
    <col min="5886" max="5886" width="41" style="643" bestFit="1" customWidth="1"/>
    <col min="5887" max="5887" width="54.85546875" style="643" bestFit="1" customWidth="1"/>
    <col min="5888" max="5888" width="15.140625" style="643" bestFit="1" customWidth="1"/>
    <col min="5889" max="5889" width="16.140625" style="643" bestFit="1" customWidth="1"/>
    <col min="5890" max="5891" width="14.28515625" style="643" bestFit="1" customWidth="1"/>
    <col min="5892" max="5892" width="11.7109375" style="643" customWidth="1"/>
    <col min="5893" max="5893" width="14.28515625" style="643" bestFit="1" customWidth="1"/>
    <col min="5894" max="6140" width="9.140625" style="643"/>
    <col min="6141" max="6141" width="16.140625" style="643" bestFit="1" customWidth="1"/>
    <col min="6142" max="6142" width="41" style="643" bestFit="1" customWidth="1"/>
    <col min="6143" max="6143" width="54.85546875" style="643" bestFit="1" customWidth="1"/>
    <col min="6144" max="6144" width="15.140625" style="643" bestFit="1" customWidth="1"/>
    <col min="6145" max="6145" width="16.140625" style="643" bestFit="1" customWidth="1"/>
    <col min="6146" max="6147" width="14.28515625" style="643" bestFit="1" customWidth="1"/>
    <col min="6148" max="6148" width="11.7109375" style="643" customWidth="1"/>
    <col min="6149" max="6149" width="14.28515625" style="643" bestFit="1" customWidth="1"/>
    <col min="6150" max="6396" width="9.140625" style="643"/>
    <col min="6397" max="6397" width="16.140625" style="643" bestFit="1" customWidth="1"/>
    <col min="6398" max="6398" width="41" style="643" bestFit="1" customWidth="1"/>
    <col min="6399" max="6399" width="54.85546875" style="643" bestFit="1" customWidth="1"/>
    <col min="6400" max="6400" width="15.140625" style="643" bestFit="1" customWidth="1"/>
    <col min="6401" max="6401" width="16.140625" style="643" bestFit="1" customWidth="1"/>
    <col min="6402" max="6403" width="14.28515625" style="643" bestFit="1" customWidth="1"/>
    <col min="6404" max="6404" width="11.7109375" style="643" customWidth="1"/>
    <col min="6405" max="6405" width="14.28515625" style="643" bestFit="1" customWidth="1"/>
    <col min="6406" max="6652" width="9.140625" style="643"/>
    <col min="6653" max="6653" width="16.140625" style="643" bestFit="1" customWidth="1"/>
    <col min="6654" max="6654" width="41" style="643" bestFit="1" customWidth="1"/>
    <col min="6655" max="6655" width="54.85546875" style="643" bestFit="1" customWidth="1"/>
    <col min="6656" max="6656" width="15.140625" style="643" bestFit="1" customWidth="1"/>
    <col min="6657" max="6657" width="16.140625" style="643" bestFit="1" customWidth="1"/>
    <col min="6658" max="6659" width="14.28515625" style="643" bestFit="1" customWidth="1"/>
    <col min="6660" max="6660" width="11.7109375" style="643" customWidth="1"/>
    <col min="6661" max="6661" width="14.28515625" style="643" bestFit="1" customWidth="1"/>
    <col min="6662" max="6908" width="9.140625" style="643"/>
    <col min="6909" max="6909" width="16.140625" style="643" bestFit="1" customWidth="1"/>
    <col min="6910" max="6910" width="41" style="643" bestFit="1" customWidth="1"/>
    <col min="6911" max="6911" width="54.85546875" style="643" bestFit="1" customWidth="1"/>
    <col min="6912" max="6912" width="15.140625" style="643" bestFit="1" customWidth="1"/>
    <col min="6913" max="6913" width="16.140625" style="643" bestFit="1" customWidth="1"/>
    <col min="6914" max="6915" width="14.28515625" style="643" bestFit="1" customWidth="1"/>
    <col min="6916" max="6916" width="11.7109375" style="643" customWidth="1"/>
    <col min="6917" max="6917" width="14.28515625" style="643" bestFit="1" customWidth="1"/>
    <col min="6918" max="7164" width="9.140625" style="643"/>
    <col min="7165" max="7165" width="16.140625" style="643" bestFit="1" customWidth="1"/>
    <col min="7166" max="7166" width="41" style="643" bestFit="1" customWidth="1"/>
    <col min="7167" max="7167" width="54.85546875" style="643" bestFit="1" customWidth="1"/>
    <col min="7168" max="7168" width="15.140625" style="643" bestFit="1" customWidth="1"/>
    <col min="7169" max="7169" width="16.140625" style="643" bestFit="1" customWidth="1"/>
    <col min="7170" max="7171" width="14.28515625" style="643" bestFit="1" customWidth="1"/>
    <col min="7172" max="7172" width="11.7109375" style="643" customWidth="1"/>
    <col min="7173" max="7173" width="14.28515625" style="643" bestFit="1" customWidth="1"/>
    <col min="7174" max="7420" width="9.140625" style="643"/>
    <col min="7421" max="7421" width="16.140625" style="643" bestFit="1" customWidth="1"/>
    <col min="7422" max="7422" width="41" style="643" bestFit="1" customWidth="1"/>
    <col min="7423" max="7423" width="54.85546875" style="643" bestFit="1" customWidth="1"/>
    <col min="7424" max="7424" width="15.140625" style="643" bestFit="1" customWidth="1"/>
    <col min="7425" max="7425" width="16.140625" style="643" bestFit="1" customWidth="1"/>
    <col min="7426" max="7427" width="14.28515625" style="643" bestFit="1" customWidth="1"/>
    <col min="7428" max="7428" width="11.7109375" style="643" customWidth="1"/>
    <col min="7429" max="7429" width="14.28515625" style="643" bestFit="1" customWidth="1"/>
    <col min="7430" max="7676" width="9.140625" style="643"/>
    <col min="7677" max="7677" width="16.140625" style="643" bestFit="1" customWidth="1"/>
    <col min="7678" max="7678" width="41" style="643" bestFit="1" customWidth="1"/>
    <col min="7679" max="7679" width="54.85546875" style="643" bestFit="1" customWidth="1"/>
    <col min="7680" max="7680" width="15.140625" style="643" bestFit="1" customWidth="1"/>
    <col min="7681" max="7681" width="16.140625" style="643" bestFit="1" customWidth="1"/>
    <col min="7682" max="7683" width="14.28515625" style="643" bestFit="1" customWidth="1"/>
    <col min="7684" max="7684" width="11.7109375" style="643" customWidth="1"/>
    <col min="7685" max="7685" width="14.28515625" style="643" bestFit="1" customWidth="1"/>
    <col min="7686" max="7932" width="9.140625" style="643"/>
    <col min="7933" max="7933" width="16.140625" style="643" bestFit="1" customWidth="1"/>
    <col min="7934" max="7934" width="41" style="643" bestFit="1" customWidth="1"/>
    <col min="7935" max="7935" width="54.85546875" style="643" bestFit="1" customWidth="1"/>
    <col min="7936" max="7936" width="15.140625" style="643" bestFit="1" customWidth="1"/>
    <col min="7937" max="7937" width="16.140625" style="643" bestFit="1" customWidth="1"/>
    <col min="7938" max="7939" width="14.28515625" style="643" bestFit="1" customWidth="1"/>
    <col min="7940" max="7940" width="11.7109375" style="643" customWidth="1"/>
    <col min="7941" max="7941" width="14.28515625" style="643" bestFit="1" customWidth="1"/>
    <col min="7942" max="8188" width="9.140625" style="643"/>
    <col min="8189" max="8189" width="16.140625" style="643" bestFit="1" customWidth="1"/>
    <col min="8190" max="8190" width="41" style="643" bestFit="1" customWidth="1"/>
    <col min="8191" max="8191" width="54.85546875" style="643" bestFit="1" customWidth="1"/>
    <col min="8192" max="8192" width="15.140625" style="643" bestFit="1" customWidth="1"/>
    <col min="8193" max="8193" width="16.140625" style="643" bestFit="1" customWidth="1"/>
    <col min="8194" max="8195" width="14.28515625" style="643" bestFit="1" customWidth="1"/>
    <col min="8196" max="8196" width="11.7109375" style="643" customWidth="1"/>
    <col min="8197" max="8197" width="14.28515625" style="643" bestFit="1" customWidth="1"/>
    <col min="8198" max="8444" width="9.140625" style="643"/>
    <col min="8445" max="8445" width="16.140625" style="643" bestFit="1" customWidth="1"/>
    <col min="8446" max="8446" width="41" style="643" bestFit="1" customWidth="1"/>
    <col min="8447" max="8447" width="54.85546875" style="643" bestFit="1" customWidth="1"/>
    <col min="8448" max="8448" width="15.140625" style="643" bestFit="1" customWidth="1"/>
    <col min="8449" max="8449" width="16.140625" style="643" bestFit="1" customWidth="1"/>
    <col min="8450" max="8451" width="14.28515625" style="643" bestFit="1" customWidth="1"/>
    <col min="8452" max="8452" width="11.7109375" style="643" customWidth="1"/>
    <col min="8453" max="8453" width="14.28515625" style="643" bestFit="1" customWidth="1"/>
    <col min="8454" max="8700" width="9.140625" style="643"/>
    <col min="8701" max="8701" width="16.140625" style="643" bestFit="1" customWidth="1"/>
    <col min="8702" max="8702" width="41" style="643" bestFit="1" customWidth="1"/>
    <col min="8703" max="8703" width="54.85546875" style="643" bestFit="1" customWidth="1"/>
    <col min="8704" max="8704" width="15.140625" style="643" bestFit="1" customWidth="1"/>
    <col min="8705" max="8705" width="16.140625" style="643" bestFit="1" customWidth="1"/>
    <col min="8706" max="8707" width="14.28515625" style="643" bestFit="1" customWidth="1"/>
    <col min="8708" max="8708" width="11.7109375" style="643" customWidth="1"/>
    <col min="8709" max="8709" width="14.28515625" style="643" bestFit="1" customWidth="1"/>
    <col min="8710" max="8956" width="9.140625" style="643"/>
    <col min="8957" max="8957" width="16.140625" style="643" bestFit="1" customWidth="1"/>
    <col min="8958" max="8958" width="41" style="643" bestFit="1" customWidth="1"/>
    <col min="8959" max="8959" width="54.85546875" style="643" bestFit="1" customWidth="1"/>
    <col min="8960" max="8960" width="15.140625" style="643" bestFit="1" customWidth="1"/>
    <col min="8961" max="8961" width="16.140625" style="643" bestFit="1" customWidth="1"/>
    <col min="8962" max="8963" width="14.28515625" style="643" bestFit="1" customWidth="1"/>
    <col min="8964" max="8964" width="11.7109375" style="643" customWidth="1"/>
    <col min="8965" max="8965" width="14.28515625" style="643" bestFit="1" customWidth="1"/>
    <col min="8966" max="9212" width="9.140625" style="643"/>
    <col min="9213" max="9213" width="16.140625" style="643" bestFit="1" customWidth="1"/>
    <col min="9214" max="9214" width="41" style="643" bestFit="1" customWidth="1"/>
    <col min="9215" max="9215" width="54.85546875" style="643" bestFit="1" customWidth="1"/>
    <col min="9216" max="9216" width="15.140625" style="643" bestFit="1" customWidth="1"/>
    <col min="9217" max="9217" width="16.140625" style="643" bestFit="1" customWidth="1"/>
    <col min="9218" max="9219" width="14.28515625" style="643" bestFit="1" customWidth="1"/>
    <col min="9220" max="9220" width="11.7109375" style="643" customWidth="1"/>
    <col min="9221" max="9221" width="14.28515625" style="643" bestFit="1" customWidth="1"/>
    <col min="9222" max="9468" width="9.140625" style="643"/>
    <col min="9469" max="9469" width="16.140625" style="643" bestFit="1" customWidth="1"/>
    <col min="9470" max="9470" width="41" style="643" bestFit="1" customWidth="1"/>
    <col min="9471" max="9471" width="54.85546875" style="643" bestFit="1" customWidth="1"/>
    <col min="9472" max="9472" width="15.140625" style="643" bestFit="1" customWidth="1"/>
    <col min="9473" max="9473" width="16.140625" style="643" bestFit="1" customWidth="1"/>
    <col min="9474" max="9475" width="14.28515625" style="643" bestFit="1" customWidth="1"/>
    <col min="9476" max="9476" width="11.7109375" style="643" customWidth="1"/>
    <col min="9477" max="9477" width="14.28515625" style="643" bestFit="1" customWidth="1"/>
    <col min="9478" max="9724" width="9.140625" style="643"/>
    <col min="9725" max="9725" width="16.140625" style="643" bestFit="1" customWidth="1"/>
    <col min="9726" max="9726" width="41" style="643" bestFit="1" customWidth="1"/>
    <col min="9727" max="9727" width="54.85546875" style="643" bestFit="1" customWidth="1"/>
    <col min="9728" max="9728" width="15.140625" style="643" bestFit="1" customWidth="1"/>
    <col min="9729" max="9729" width="16.140625" style="643" bestFit="1" customWidth="1"/>
    <col min="9730" max="9731" width="14.28515625" style="643" bestFit="1" customWidth="1"/>
    <col min="9732" max="9732" width="11.7109375" style="643" customWidth="1"/>
    <col min="9733" max="9733" width="14.28515625" style="643" bestFit="1" customWidth="1"/>
    <col min="9734" max="9980" width="9.140625" style="643"/>
    <col min="9981" max="9981" width="16.140625" style="643" bestFit="1" customWidth="1"/>
    <col min="9982" max="9982" width="41" style="643" bestFit="1" customWidth="1"/>
    <col min="9983" max="9983" width="54.85546875" style="643" bestFit="1" customWidth="1"/>
    <col min="9984" max="9984" width="15.140625" style="643" bestFit="1" customWidth="1"/>
    <col min="9985" max="9985" width="16.140625" style="643" bestFit="1" customWidth="1"/>
    <col min="9986" max="9987" width="14.28515625" style="643" bestFit="1" customWidth="1"/>
    <col min="9988" max="9988" width="11.7109375" style="643" customWidth="1"/>
    <col min="9989" max="9989" width="14.28515625" style="643" bestFit="1" customWidth="1"/>
    <col min="9990" max="10236" width="9.140625" style="643"/>
    <col min="10237" max="10237" width="16.140625" style="643" bestFit="1" customWidth="1"/>
    <col min="10238" max="10238" width="41" style="643" bestFit="1" customWidth="1"/>
    <col min="10239" max="10239" width="54.85546875" style="643" bestFit="1" customWidth="1"/>
    <col min="10240" max="10240" width="15.140625" style="643" bestFit="1" customWidth="1"/>
    <col min="10241" max="10241" width="16.140625" style="643" bestFit="1" customWidth="1"/>
    <col min="10242" max="10243" width="14.28515625" style="643" bestFit="1" customWidth="1"/>
    <col min="10244" max="10244" width="11.7109375" style="643" customWidth="1"/>
    <col min="10245" max="10245" width="14.28515625" style="643" bestFit="1" customWidth="1"/>
    <col min="10246" max="10492" width="9.140625" style="643"/>
    <col min="10493" max="10493" width="16.140625" style="643" bestFit="1" customWidth="1"/>
    <col min="10494" max="10494" width="41" style="643" bestFit="1" customWidth="1"/>
    <col min="10495" max="10495" width="54.85546875" style="643" bestFit="1" customWidth="1"/>
    <col min="10496" max="10496" width="15.140625" style="643" bestFit="1" customWidth="1"/>
    <col min="10497" max="10497" width="16.140625" style="643" bestFit="1" customWidth="1"/>
    <col min="10498" max="10499" width="14.28515625" style="643" bestFit="1" customWidth="1"/>
    <col min="10500" max="10500" width="11.7109375" style="643" customWidth="1"/>
    <col min="10501" max="10501" width="14.28515625" style="643" bestFit="1" customWidth="1"/>
    <col min="10502" max="10748" width="9.140625" style="643"/>
    <col min="10749" max="10749" width="16.140625" style="643" bestFit="1" customWidth="1"/>
    <col min="10750" max="10750" width="41" style="643" bestFit="1" customWidth="1"/>
    <col min="10751" max="10751" width="54.85546875" style="643" bestFit="1" customWidth="1"/>
    <col min="10752" max="10752" width="15.140625" style="643" bestFit="1" customWidth="1"/>
    <col min="10753" max="10753" width="16.140625" style="643" bestFit="1" customWidth="1"/>
    <col min="10754" max="10755" width="14.28515625" style="643" bestFit="1" customWidth="1"/>
    <col min="10756" max="10756" width="11.7109375" style="643" customWidth="1"/>
    <col min="10757" max="10757" width="14.28515625" style="643" bestFit="1" customWidth="1"/>
    <col min="10758" max="11004" width="9.140625" style="643"/>
    <col min="11005" max="11005" width="16.140625" style="643" bestFit="1" customWidth="1"/>
    <col min="11006" max="11006" width="41" style="643" bestFit="1" customWidth="1"/>
    <col min="11007" max="11007" width="54.85546875" style="643" bestFit="1" customWidth="1"/>
    <col min="11008" max="11008" width="15.140625" style="643" bestFit="1" customWidth="1"/>
    <col min="11009" max="11009" width="16.140625" style="643" bestFit="1" customWidth="1"/>
    <col min="11010" max="11011" width="14.28515625" style="643" bestFit="1" customWidth="1"/>
    <col min="11012" max="11012" width="11.7109375" style="643" customWidth="1"/>
    <col min="11013" max="11013" width="14.28515625" style="643" bestFit="1" customWidth="1"/>
    <col min="11014" max="11260" width="9.140625" style="643"/>
    <col min="11261" max="11261" width="16.140625" style="643" bestFit="1" customWidth="1"/>
    <col min="11262" max="11262" width="41" style="643" bestFit="1" customWidth="1"/>
    <col min="11263" max="11263" width="54.85546875" style="643" bestFit="1" customWidth="1"/>
    <col min="11264" max="11264" width="15.140625" style="643" bestFit="1" customWidth="1"/>
    <col min="11265" max="11265" width="16.140625" style="643" bestFit="1" customWidth="1"/>
    <col min="11266" max="11267" width="14.28515625" style="643" bestFit="1" customWidth="1"/>
    <col min="11268" max="11268" width="11.7109375" style="643" customWidth="1"/>
    <col min="11269" max="11269" width="14.28515625" style="643" bestFit="1" customWidth="1"/>
    <col min="11270" max="11516" width="9.140625" style="643"/>
    <col min="11517" max="11517" width="16.140625" style="643" bestFit="1" customWidth="1"/>
    <col min="11518" max="11518" width="41" style="643" bestFit="1" customWidth="1"/>
    <col min="11519" max="11519" width="54.85546875" style="643" bestFit="1" customWidth="1"/>
    <col min="11520" max="11520" width="15.140625" style="643" bestFit="1" customWidth="1"/>
    <col min="11521" max="11521" width="16.140625" style="643" bestFit="1" customWidth="1"/>
    <col min="11522" max="11523" width="14.28515625" style="643" bestFit="1" customWidth="1"/>
    <col min="11524" max="11524" width="11.7109375" style="643" customWidth="1"/>
    <col min="11525" max="11525" width="14.28515625" style="643" bestFit="1" customWidth="1"/>
    <col min="11526" max="11772" width="9.140625" style="643"/>
    <col min="11773" max="11773" width="16.140625" style="643" bestFit="1" customWidth="1"/>
    <col min="11774" max="11774" width="41" style="643" bestFit="1" customWidth="1"/>
    <col min="11775" max="11775" width="54.85546875" style="643" bestFit="1" customWidth="1"/>
    <col min="11776" max="11776" width="15.140625" style="643" bestFit="1" customWidth="1"/>
    <col min="11777" max="11777" width="16.140625" style="643" bestFit="1" customWidth="1"/>
    <col min="11778" max="11779" width="14.28515625" style="643" bestFit="1" customWidth="1"/>
    <col min="11780" max="11780" width="11.7109375" style="643" customWidth="1"/>
    <col min="11781" max="11781" width="14.28515625" style="643" bestFit="1" customWidth="1"/>
    <col min="11782" max="12028" width="9.140625" style="643"/>
    <col min="12029" max="12029" width="16.140625" style="643" bestFit="1" customWidth="1"/>
    <col min="12030" max="12030" width="41" style="643" bestFit="1" customWidth="1"/>
    <col min="12031" max="12031" width="54.85546875" style="643" bestFit="1" customWidth="1"/>
    <col min="12032" max="12032" width="15.140625" style="643" bestFit="1" customWidth="1"/>
    <col min="12033" max="12033" width="16.140625" style="643" bestFit="1" customWidth="1"/>
    <col min="12034" max="12035" width="14.28515625" style="643" bestFit="1" customWidth="1"/>
    <col min="12036" max="12036" width="11.7109375" style="643" customWidth="1"/>
    <col min="12037" max="12037" width="14.28515625" style="643" bestFit="1" customWidth="1"/>
    <col min="12038" max="12284" width="9.140625" style="643"/>
    <col min="12285" max="12285" width="16.140625" style="643" bestFit="1" customWidth="1"/>
    <col min="12286" max="12286" width="41" style="643" bestFit="1" customWidth="1"/>
    <col min="12287" max="12287" width="54.85546875" style="643" bestFit="1" customWidth="1"/>
    <col min="12288" max="12288" width="15.140625" style="643" bestFit="1" customWidth="1"/>
    <col min="12289" max="12289" width="16.140625" style="643" bestFit="1" customWidth="1"/>
    <col min="12290" max="12291" width="14.28515625" style="643" bestFit="1" customWidth="1"/>
    <col min="12292" max="12292" width="11.7109375" style="643" customWidth="1"/>
    <col min="12293" max="12293" width="14.28515625" style="643" bestFit="1" customWidth="1"/>
    <col min="12294" max="12540" width="9.140625" style="643"/>
    <col min="12541" max="12541" width="16.140625" style="643" bestFit="1" customWidth="1"/>
    <col min="12542" max="12542" width="41" style="643" bestFit="1" customWidth="1"/>
    <col min="12543" max="12543" width="54.85546875" style="643" bestFit="1" customWidth="1"/>
    <col min="12544" max="12544" width="15.140625" style="643" bestFit="1" customWidth="1"/>
    <col min="12545" max="12545" width="16.140625" style="643" bestFit="1" customWidth="1"/>
    <col min="12546" max="12547" width="14.28515625" style="643" bestFit="1" customWidth="1"/>
    <col min="12548" max="12548" width="11.7109375" style="643" customWidth="1"/>
    <col min="12549" max="12549" width="14.28515625" style="643" bestFit="1" customWidth="1"/>
    <col min="12550" max="12796" width="9.140625" style="643"/>
    <col min="12797" max="12797" width="16.140625" style="643" bestFit="1" customWidth="1"/>
    <col min="12798" max="12798" width="41" style="643" bestFit="1" customWidth="1"/>
    <col min="12799" max="12799" width="54.85546875" style="643" bestFit="1" customWidth="1"/>
    <col min="12800" max="12800" width="15.140625" style="643" bestFit="1" customWidth="1"/>
    <col min="12801" max="12801" width="16.140625" style="643" bestFit="1" customWidth="1"/>
    <col min="12802" max="12803" width="14.28515625" style="643" bestFit="1" customWidth="1"/>
    <col min="12804" max="12804" width="11.7109375" style="643" customWidth="1"/>
    <col min="12805" max="12805" width="14.28515625" style="643" bestFit="1" customWidth="1"/>
    <col min="12806" max="13052" width="9.140625" style="643"/>
    <col min="13053" max="13053" width="16.140625" style="643" bestFit="1" customWidth="1"/>
    <col min="13054" max="13054" width="41" style="643" bestFit="1" customWidth="1"/>
    <col min="13055" max="13055" width="54.85546875" style="643" bestFit="1" customWidth="1"/>
    <col min="13056" max="13056" width="15.140625" style="643" bestFit="1" customWidth="1"/>
    <col min="13057" max="13057" width="16.140625" style="643" bestFit="1" customWidth="1"/>
    <col min="13058" max="13059" width="14.28515625" style="643" bestFit="1" customWidth="1"/>
    <col min="13060" max="13060" width="11.7109375" style="643" customWidth="1"/>
    <col min="13061" max="13061" width="14.28515625" style="643" bestFit="1" customWidth="1"/>
    <col min="13062" max="13308" width="9.140625" style="643"/>
    <col min="13309" max="13309" width="16.140625" style="643" bestFit="1" customWidth="1"/>
    <col min="13310" max="13310" width="41" style="643" bestFit="1" customWidth="1"/>
    <col min="13311" max="13311" width="54.85546875" style="643" bestFit="1" customWidth="1"/>
    <col min="13312" max="13312" width="15.140625" style="643" bestFit="1" customWidth="1"/>
    <col min="13313" max="13313" width="16.140625" style="643" bestFit="1" customWidth="1"/>
    <col min="13314" max="13315" width="14.28515625" style="643" bestFit="1" customWidth="1"/>
    <col min="13316" max="13316" width="11.7109375" style="643" customWidth="1"/>
    <col min="13317" max="13317" width="14.28515625" style="643" bestFit="1" customWidth="1"/>
    <col min="13318" max="13564" width="9.140625" style="643"/>
    <col min="13565" max="13565" width="16.140625" style="643" bestFit="1" customWidth="1"/>
    <col min="13566" max="13566" width="41" style="643" bestFit="1" customWidth="1"/>
    <col min="13567" max="13567" width="54.85546875" style="643" bestFit="1" customWidth="1"/>
    <col min="13568" max="13568" width="15.140625" style="643" bestFit="1" customWidth="1"/>
    <col min="13569" max="13569" width="16.140625" style="643" bestFit="1" customWidth="1"/>
    <col min="13570" max="13571" width="14.28515625" style="643" bestFit="1" customWidth="1"/>
    <col min="13572" max="13572" width="11.7109375" style="643" customWidth="1"/>
    <col min="13573" max="13573" width="14.28515625" style="643" bestFit="1" customWidth="1"/>
    <col min="13574" max="13820" width="9.140625" style="643"/>
    <col min="13821" max="13821" width="16.140625" style="643" bestFit="1" customWidth="1"/>
    <col min="13822" max="13822" width="41" style="643" bestFit="1" customWidth="1"/>
    <col min="13823" max="13823" width="54.85546875" style="643" bestFit="1" customWidth="1"/>
    <col min="13824" max="13824" width="15.140625" style="643" bestFit="1" customWidth="1"/>
    <col min="13825" max="13825" width="16.140625" style="643" bestFit="1" customWidth="1"/>
    <col min="13826" max="13827" width="14.28515625" style="643" bestFit="1" customWidth="1"/>
    <col min="13828" max="13828" width="11.7109375" style="643" customWidth="1"/>
    <col min="13829" max="13829" width="14.28515625" style="643" bestFit="1" customWidth="1"/>
    <col min="13830" max="14076" width="9.140625" style="643"/>
    <col min="14077" max="14077" width="16.140625" style="643" bestFit="1" customWidth="1"/>
    <col min="14078" max="14078" width="41" style="643" bestFit="1" customWidth="1"/>
    <col min="14079" max="14079" width="54.85546875" style="643" bestFit="1" customWidth="1"/>
    <col min="14080" max="14080" width="15.140625" style="643" bestFit="1" customWidth="1"/>
    <col min="14081" max="14081" width="16.140625" style="643" bestFit="1" customWidth="1"/>
    <col min="14082" max="14083" width="14.28515625" style="643" bestFit="1" customWidth="1"/>
    <col min="14084" max="14084" width="11.7109375" style="643" customWidth="1"/>
    <col min="14085" max="14085" width="14.28515625" style="643" bestFit="1" customWidth="1"/>
    <col min="14086" max="14332" width="9.140625" style="643"/>
    <col min="14333" max="14333" width="16.140625" style="643" bestFit="1" customWidth="1"/>
    <col min="14334" max="14334" width="41" style="643" bestFit="1" customWidth="1"/>
    <col min="14335" max="14335" width="54.85546875" style="643" bestFit="1" customWidth="1"/>
    <col min="14336" max="14336" width="15.140625" style="643" bestFit="1" customWidth="1"/>
    <col min="14337" max="14337" width="16.140625" style="643" bestFit="1" customWidth="1"/>
    <col min="14338" max="14339" width="14.28515625" style="643" bestFit="1" customWidth="1"/>
    <col min="14340" max="14340" width="11.7109375" style="643" customWidth="1"/>
    <col min="14341" max="14341" width="14.28515625" style="643" bestFit="1" customWidth="1"/>
    <col min="14342" max="14588" width="9.140625" style="643"/>
    <col min="14589" max="14589" width="16.140625" style="643" bestFit="1" customWidth="1"/>
    <col min="14590" max="14590" width="41" style="643" bestFit="1" customWidth="1"/>
    <col min="14591" max="14591" width="54.85546875" style="643" bestFit="1" customWidth="1"/>
    <col min="14592" max="14592" width="15.140625" style="643" bestFit="1" customWidth="1"/>
    <col min="14593" max="14593" width="16.140625" style="643" bestFit="1" customWidth="1"/>
    <col min="14594" max="14595" width="14.28515625" style="643" bestFit="1" customWidth="1"/>
    <col min="14596" max="14596" width="11.7109375" style="643" customWidth="1"/>
    <col min="14597" max="14597" width="14.28515625" style="643" bestFit="1" customWidth="1"/>
    <col min="14598" max="14844" width="9.140625" style="643"/>
    <col min="14845" max="14845" width="16.140625" style="643" bestFit="1" customWidth="1"/>
    <col min="14846" max="14846" width="41" style="643" bestFit="1" customWidth="1"/>
    <col min="14847" max="14847" width="54.85546875" style="643" bestFit="1" customWidth="1"/>
    <col min="14848" max="14848" width="15.140625" style="643" bestFit="1" customWidth="1"/>
    <col min="14849" max="14849" width="16.140625" style="643" bestFit="1" customWidth="1"/>
    <col min="14850" max="14851" width="14.28515625" style="643" bestFit="1" customWidth="1"/>
    <col min="14852" max="14852" width="11.7109375" style="643" customWidth="1"/>
    <col min="14853" max="14853" width="14.28515625" style="643" bestFit="1" customWidth="1"/>
    <col min="14854" max="15100" width="9.140625" style="643"/>
    <col min="15101" max="15101" width="16.140625" style="643" bestFit="1" customWidth="1"/>
    <col min="15102" max="15102" width="41" style="643" bestFit="1" customWidth="1"/>
    <col min="15103" max="15103" width="54.85546875" style="643" bestFit="1" customWidth="1"/>
    <col min="15104" max="15104" width="15.140625" style="643" bestFit="1" customWidth="1"/>
    <col min="15105" max="15105" width="16.140625" style="643" bestFit="1" customWidth="1"/>
    <col min="15106" max="15107" width="14.28515625" style="643" bestFit="1" customWidth="1"/>
    <col min="15108" max="15108" width="11.7109375" style="643" customWidth="1"/>
    <col min="15109" max="15109" width="14.28515625" style="643" bestFit="1" customWidth="1"/>
    <col min="15110" max="15356" width="9.140625" style="643"/>
    <col min="15357" max="15357" width="16.140625" style="643" bestFit="1" customWidth="1"/>
    <col min="15358" max="15358" width="41" style="643" bestFit="1" customWidth="1"/>
    <col min="15359" max="15359" width="54.85546875" style="643" bestFit="1" customWidth="1"/>
    <col min="15360" max="15360" width="15.140625" style="643" bestFit="1" customWidth="1"/>
    <col min="15361" max="15361" width="16.140625" style="643" bestFit="1" customWidth="1"/>
    <col min="15362" max="15363" width="14.28515625" style="643" bestFit="1" customWidth="1"/>
    <col min="15364" max="15364" width="11.7109375" style="643" customWidth="1"/>
    <col min="15365" max="15365" width="14.28515625" style="643" bestFit="1" customWidth="1"/>
    <col min="15366" max="15612" width="9.140625" style="643"/>
    <col min="15613" max="15613" width="16.140625" style="643" bestFit="1" customWidth="1"/>
    <col min="15614" max="15614" width="41" style="643" bestFit="1" customWidth="1"/>
    <col min="15615" max="15615" width="54.85546875" style="643" bestFit="1" customWidth="1"/>
    <col min="15616" max="15616" width="15.140625" style="643" bestFit="1" customWidth="1"/>
    <col min="15617" max="15617" width="16.140625" style="643" bestFit="1" customWidth="1"/>
    <col min="15618" max="15619" width="14.28515625" style="643" bestFit="1" customWidth="1"/>
    <col min="15620" max="15620" width="11.7109375" style="643" customWidth="1"/>
    <col min="15621" max="15621" width="14.28515625" style="643" bestFit="1" customWidth="1"/>
    <col min="15622" max="15868" width="9.140625" style="643"/>
    <col min="15869" max="15869" width="16.140625" style="643" bestFit="1" customWidth="1"/>
    <col min="15870" max="15870" width="41" style="643" bestFit="1" customWidth="1"/>
    <col min="15871" max="15871" width="54.85546875" style="643" bestFit="1" customWidth="1"/>
    <col min="15872" max="15872" width="15.140625" style="643" bestFit="1" customWidth="1"/>
    <col min="15873" max="15873" width="16.140625" style="643" bestFit="1" customWidth="1"/>
    <col min="15874" max="15875" width="14.28515625" style="643" bestFit="1" customWidth="1"/>
    <col min="15876" max="15876" width="11.7109375" style="643" customWidth="1"/>
    <col min="15877" max="15877" width="14.28515625" style="643" bestFit="1" customWidth="1"/>
    <col min="15878" max="16124" width="9.140625" style="643"/>
    <col min="16125" max="16125" width="16.140625" style="643" bestFit="1" customWidth="1"/>
    <col min="16126" max="16126" width="41" style="643" bestFit="1" customWidth="1"/>
    <col min="16127" max="16127" width="54.85546875" style="643" bestFit="1" customWidth="1"/>
    <col min="16128" max="16128" width="15.140625" style="643" bestFit="1" customWidth="1"/>
    <col min="16129" max="16129" width="16.140625" style="643" bestFit="1" customWidth="1"/>
    <col min="16130" max="16131" width="14.28515625" style="643" bestFit="1" customWidth="1"/>
    <col min="16132" max="16132" width="11.7109375" style="643" customWidth="1"/>
    <col min="16133" max="16133" width="14.28515625" style="643" bestFit="1" customWidth="1"/>
    <col min="16134" max="16384" width="9.140625" style="643"/>
  </cols>
  <sheetData>
    <row r="1" spans="1:20" s="256" customFormat="1" ht="29.1" customHeight="1" x14ac:dyDescent="0.25">
      <c r="A1" s="841" t="str">
        <f>"Missio and Mill Hill Red Box Parish Results 2020 - Northampton Diocese"</f>
        <v>Missio and Mill Hill Red Box Parish Results 2020 - Northampton Diocese</v>
      </c>
      <c r="B1" s="248"/>
      <c r="C1" s="248"/>
      <c r="D1" s="649"/>
      <c r="E1" s="648"/>
      <c r="F1" s="651"/>
      <c r="G1" s="651"/>
      <c r="H1" s="650"/>
      <c r="I1" s="757">
        <v>2020</v>
      </c>
      <c r="J1" s="757">
        <v>2020</v>
      </c>
      <c r="K1" s="757">
        <v>2020</v>
      </c>
      <c r="L1" s="643"/>
      <c r="M1" s="167"/>
      <c r="N1" s="248"/>
      <c r="O1" s="248"/>
      <c r="P1" s="248"/>
      <c r="Q1" s="641"/>
      <c r="R1" s="642"/>
      <c r="S1" s="642"/>
      <c r="T1" s="642"/>
    </row>
    <row r="2" spans="1:20" ht="29.1" customHeight="1" x14ac:dyDescent="0.3">
      <c r="A2" s="622" t="s">
        <v>1</v>
      </c>
      <c r="B2" s="622" t="s">
        <v>2</v>
      </c>
      <c r="C2" s="622" t="s">
        <v>3</v>
      </c>
      <c r="D2" s="622" t="s">
        <v>7809</v>
      </c>
      <c r="E2" s="622" t="s">
        <v>311</v>
      </c>
      <c r="F2" s="622" t="s">
        <v>312</v>
      </c>
      <c r="G2" s="622" t="s">
        <v>2</v>
      </c>
      <c r="H2" s="622" t="s">
        <v>10989</v>
      </c>
      <c r="I2" s="622" t="s">
        <v>308</v>
      </c>
      <c r="J2" s="622" t="s">
        <v>11022</v>
      </c>
      <c r="K2" s="622" t="s">
        <v>11034</v>
      </c>
      <c r="L2" s="622">
        <v>2020</v>
      </c>
      <c r="M2" s="622" t="s">
        <v>8214</v>
      </c>
      <c r="N2" s="622" t="s">
        <v>8165</v>
      </c>
      <c r="O2" s="622">
        <f>ARU!P2</f>
        <v>2019</v>
      </c>
      <c r="P2" s="622">
        <v>2019</v>
      </c>
      <c r="Q2" s="622">
        <v>2018</v>
      </c>
      <c r="R2" s="622">
        <v>2017</v>
      </c>
      <c r="S2" s="622">
        <v>2016</v>
      </c>
      <c r="T2" s="622">
        <v>2015</v>
      </c>
    </row>
    <row r="3" spans="1:20" ht="29.1" customHeight="1" x14ac:dyDescent="0.2">
      <c r="A3" s="291" t="str">
        <f t="shared" ref="A3:A20" si="0">M3&amp;" / "&amp;N3</f>
        <v>NOR001 / 369</v>
      </c>
      <c r="B3" s="89" t="s">
        <v>7641</v>
      </c>
      <c r="C3" s="89" t="s">
        <v>7642</v>
      </c>
      <c r="D3" s="769" t="s">
        <v>3501</v>
      </c>
      <c r="E3" s="769" t="s">
        <v>3502</v>
      </c>
      <c r="F3" s="769" t="s">
        <v>3503</v>
      </c>
      <c r="G3" s="769" t="s">
        <v>3504</v>
      </c>
      <c r="H3" s="769" t="s">
        <v>324</v>
      </c>
      <c r="I3" s="790"/>
      <c r="J3" s="790"/>
      <c r="K3" s="790"/>
      <c r="L3" s="312">
        <v>0</v>
      </c>
      <c r="M3" s="429" t="s">
        <v>3501</v>
      </c>
      <c r="N3" s="369" t="str">
        <f>VLOOKUP(D:D,'Master Table'!C:D,2,FALSE)</f>
        <v>369</v>
      </c>
      <c r="O3" s="69">
        <f>VLOOKUP(D:D,'Master Table'!C:O,13,FALSE)</f>
        <v>198.45000000000002</v>
      </c>
      <c r="P3" s="446">
        <v>198.45000000000002</v>
      </c>
      <c r="Q3" s="476">
        <v>393.26</v>
      </c>
      <c r="R3" s="644">
        <v>663</v>
      </c>
      <c r="S3" s="645">
        <v>656.75</v>
      </c>
      <c r="T3" s="645">
        <v>308</v>
      </c>
    </row>
    <row r="4" spans="1:20" ht="29.1" customHeight="1" x14ac:dyDescent="0.2">
      <c r="A4" s="291" t="str">
        <f t="shared" si="0"/>
        <v>NOR002 / 370</v>
      </c>
      <c r="B4" s="89" t="s">
        <v>3504</v>
      </c>
      <c r="C4" s="89" t="s">
        <v>3507</v>
      </c>
      <c r="D4" s="769" t="s">
        <v>3505</v>
      </c>
      <c r="E4" s="769" t="s">
        <v>3506</v>
      </c>
      <c r="F4" s="769" t="s">
        <v>3715</v>
      </c>
      <c r="G4" s="769" t="s">
        <v>3504</v>
      </c>
      <c r="H4" s="769" t="s">
        <v>324</v>
      </c>
      <c r="I4" s="790"/>
      <c r="J4" s="790">
        <v>174</v>
      </c>
      <c r="K4" s="790">
        <v>247.29999999999998</v>
      </c>
      <c r="L4" s="312">
        <v>421.29999999999995</v>
      </c>
      <c r="M4" s="429" t="s">
        <v>3505</v>
      </c>
      <c r="N4" s="369" t="str">
        <f>VLOOKUP(D:D,'Master Table'!C:D,2,FALSE)</f>
        <v>370</v>
      </c>
      <c r="O4" s="69">
        <f>VLOOKUP(D:D,'Master Table'!C:O,13,FALSE)</f>
        <v>1087.3999999999999</v>
      </c>
      <c r="P4" s="446">
        <v>1087.3999999999999</v>
      </c>
      <c r="Q4" s="476">
        <v>210</v>
      </c>
      <c r="R4" s="644">
        <v>1102.6600000000001</v>
      </c>
      <c r="S4" s="645">
        <v>923</v>
      </c>
      <c r="T4" s="645">
        <v>60</v>
      </c>
    </row>
    <row r="5" spans="1:20" ht="29.1" customHeight="1" x14ac:dyDescent="0.2">
      <c r="A5" s="291" t="str">
        <f t="shared" si="0"/>
        <v>NOR003 / 371</v>
      </c>
      <c r="B5" s="89" t="s">
        <v>3504</v>
      </c>
      <c r="C5" s="89" t="s">
        <v>3510</v>
      </c>
      <c r="D5" s="769" t="s">
        <v>3508</v>
      </c>
      <c r="E5" s="769" t="s">
        <v>3509</v>
      </c>
      <c r="F5" s="769" t="s">
        <v>3510</v>
      </c>
      <c r="G5" s="769" t="s">
        <v>3504</v>
      </c>
      <c r="H5" s="769" t="s">
        <v>324</v>
      </c>
      <c r="I5" s="790"/>
      <c r="J5" s="790">
        <v>150</v>
      </c>
      <c r="K5" s="790"/>
      <c r="L5" s="312">
        <v>150</v>
      </c>
      <c r="M5" s="429" t="s">
        <v>3508</v>
      </c>
      <c r="N5" s="369" t="str">
        <f>VLOOKUP(D:D,'Master Table'!C:D,2,FALSE)</f>
        <v>371</v>
      </c>
      <c r="O5" s="69">
        <f>VLOOKUP(D:D,'Master Table'!C:O,13,FALSE)</f>
        <v>3197.53</v>
      </c>
      <c r="P5" s="446">
        <v>3197.53</v>
      </c>
      <c r="Q5" s="476">
        <v>2478.65</v>
      </c>
      <c r="R5" s="644">
        <v>2618.63</v>
      </c>
      <c r="S5" s="645">
        <v>2388.5</v>
      </c>
      <c r="T5" s="645">
        <v>2386</v>
      </c>
    </row>
    <row r="6" spans="1:20" ht="29.1" customHeight="1" x14ac:dyDescent="0.2">
      <c r="A6" s="291" t="str">
        <f t="shared" si="0"/>
        <v>NOR004 / 373</v>
      </c>
      <c r="B6" s="89" t="s">
        <v>3504</v>
      </c>
      <c r="C6" s="89" t="s">
        <v>1284</v>
      </c>
      <c r="D6" s="769" t="s">
        <v>3512</v>
      </c>
      <c r="E6" s="769" t="s">
        <v>3513</v>
      </c>
      <c r="F6" s="769" t="s">
        <v>47</v>
      </c>
      <c r="G6" s="769" t="s">
        <v>3504</v>
      </c>
      <c r="H6" s="769" t="s">
        <v>324</v>
      </c>
      <c r="I6" s="790"/>
      <c r="J6" s="790">
        <v>365</v>
      </c>
      <c r="K6" s="790"/>
      <c r="L6" s="312">
        <v>365</v>
      </c>
      <c r="M6" s="429" t="s">
        <v>3512</v>
      </c>
      <c r="N6" s="369" t="str">
        <f>VLOOKUP(D:D,'Master Table'!C:D,2,FALSE)</f>
        <v>373</v>
      </c>
      <c r="O6" s="69">
        <f>VLOOKUP(D:D,'Master Table'!C:O,13,FALSE)</f>
        <v>837.83</v>
      </c>
      <c r="P6" s="446">
        <v>837.83</v>
      </c>
      <c r="Q6" s="476">
        <v>929.44</v>
      </c>
      <c r="R6" s="644">
        <v>1112.02</v>
      </c>
      <c r="S6" s="645">
        <v>889.13</v>
      </c>
      <c r="T6" s="645">
        <v>907</v>
      </c>
    </row>
    <row r="7" spans="1:20" ht="29.1" customHeight="1" x14ac:dyDescent="0.2">
      <c r="A7" s="291" t="str">
        <f t="shared" si="0"/>
        <v>NOR005 / 374</v>
      </c>
      <c r="B7" s="89" t="s">
        <v>3504</v>
      </c>
      <c r="C7" s="89" t="s">
        <v>158</v>
      </c>
      <c r="D7" s="769" t="s">
        <v>3514</v>
      </c>
      <c r="E7" s="769" t="s">
        <v>3515</v>
      </c>
      <c r="F7" s="769" t="s">
        <v>3516</v>
      </c>
      <c r="G7" s="769" t="s">
        <v>3504</v>
      </c>
      <c r="H7" s="769" t="s">
        <v>324</v>
      </c>
      <c r="I7" s="790"/>
      <c r="J7" s="790">
        <v>735</v>
      </c>
      <c r="K7" s="790">
        <v>48.75</v>
      </c>
      <c r="L7" s="312">
        <v>783.75</v>
      </c>
      <c r="M7" s="429" t="s">
        <v>3514</v>
      </c>
      <c r="N7" s="369" t="str">
        <f>VLOOKUP(D:D,'Master Table'!C:D,2,FALSE)</f>
        <v>374</v>
      </c>
      <c r="O7" s="69">
        <f>VLOOKUP(D:D,'Master Table'!C:O,13,FALSE)</f>
        <v>1302.69</v>
      </c>
      <c r="P7" s="446">
        <v>1302.69</v>
      </c>
      <c r="Q7" s="476">
        <v>366</v>
      </c>
      <c r="R7" s="644">
        <v>624</v>
      </c>
      <c r="S7" s="645">
        <v>1185.1200000000001</v>
      </c>
      <c r="T7" s="645">
        <v>615</v>
      </c>
    </row>
    <row r="8" spans="1:20" ht="29.1" customHeight="1" x14ac:dyDescent="0.2">
      <c r="A8" s="291" t="str">
        <f t="shared" si="0"/>
        <v>NOR006X / 377</v>
      </c>
      <c r="B8" s="89" t="s">
        <v>3526</v>
      </c>
      <c r="C8" s="89" t="s">
        <v>3525</v>
      </c>
      <c r="D8" s="769" t="s">
        <v>3523</v>
      </c>
      <c r="E8" s="769" t="s">
        <v>3524</v>
      </c>
      <c r="F8" s="769" t="s">
        <v>3525</v>
      </c>
      <c r="G8" s="769" t="s">
        <v>3526</v>
      </c>
      <c r="H8" s="769" t="s">
        <v>351</v>
      </c>
      <c r="I8" s="790">
        <v>121.85</v>
      </c>
      <c r="J8" s="790">
        <v>355</v>
      </c>
      <c r="K8" s="790"/>
      <c r="L8" s="312">
        <v>476.85</v>
      </c>
      <c r="M8" s="429" t="s">
        <v>3523</v>
      </c>
      <c r="N8" s="369" t="str">
        <f>VLOOKUP(D:D,'Master Table'!C:D,2,FALSE)</f>
        <v>377</v>
      </c>
      <c r="O8" s="69">
        <f>VLOOKUP(D:D,'Master Table'!C:O,13,FALSE)</f>
        <v>699.76</v>
      </c>
      <c r="P8" s="446">
        <v>699.76</v>
      </c>
      <c r="Q8" s="476">
        <v>376</v>
      </c>
      <c r="R8" s="644">
        <v>854.08999999999992</v>
      </c>
      <c r="S8" s="645">
        <v>688.66000000000008</v>
      </c>
      <c r="T8" s="645">
        <v>345</v>
      </c>
    </row>
    <row r="9" spans="1:20" ht="29.1" customHeight="1" x14ac:dyDescent="0.2">
      <c r="A9" s="291" t="str">
        <f t="shared" si="0"/>
        <v>NOR007 / 378</v>
      </c>
      <c r="B9" s="89" t="s">
        <v>3529</v>
      </c>
      <c r="C9" s="89" t="s">
        <v>231</v>
      </c>
      <c r="D9" s="769" t="s">
        <v>3527</v>
      </c>
      <c r="E9" s="769" t="s">
        <v>3528</v>
      </c>
      <c r="F9" s="769" t="s">
        <v>231</v>
      </c>
      <c r="G9" s="769" t="s">
        <v>3529</v>
      </c>
      <c r="H9" s="769" t="s">
        <v>324</v>
      </c>
      <c r="I9" s="790">
        <v>2086</v>
      </c>
      <c r="J9" s="790">
        <v>840</v>
      </c>
      <c r="K9" s="790"/>
      <c r="L9" s="312">
        <v>2926</v>
      </c>
      <c r="M9" s="429" t="s">
        <v>3527</v>
      </c>
      <c r="N9" s="369" t="str">
        <f>VLOOKUP(D:D,'Master Table'!C:D,2,FALSE)</f>
        <v>378</v>
      </c>
      <c r="O9" s="69">
        <f>VLOOKUP(D:D,'Master Table'!C:O,13,FALSE)</f>
        <v>5637</v>
      </c>
      <c r="P9" s="446">
        <v>5637</v>
      </c>
      <c r="Q9" s="476">
        <v>2718.23</v>
      </c>
      <c r="R9" s="644">
        <v>2669.5299999999997</v>
      </c>
      <c r="S9" s="645">
        <v>2666.0299999999997</v>
      </c>
      <c r="T9" s="645">
        <v>2596</v>
      </c>
    </row>
    <row r="10" spans="1:20" ht="29.1" customHeight="1" x14ac:dyDescent="0.2">
      <c r="A10" s="291" t="str">
        <f t="shared" si="0"/>
        <v>NOR008 / 379</v>
      </c>
      <c r="B10" s="877" t="s">
        <v>7644</v>
      </c>
      <c r="C10" s="468" t="s">
        <v>8416</v>
      </c>
      <c r="D10" s="769" t="s">
        <v>3531</v>
      </c>
      <c r="E10" s="769" t="s">
        <v>3532</v>
      </c>
      <c r="F10" s="769" t="s">
        <v>1627</v>
      </c>
      <c r="G10" s="769" t="s">
        <v>3533</v>
      </c>
      <c r="H10" s="769" t="s">
        <v>351</v>
      </c>
      <c r="I10" s="790"/>
      <c r="J10" s="790">
        <v>426</v>
      </c>
      <c r="K10" s="790">
        <v>60</v>
      </c>
      <c r="L10" s="312">
        <v>486</v>
      </c>
      <c r="M10" s="429" t="s">
        <v>3531</v>
      </c>
      <c r="N10" s="369" t="str">
        <f>VLOOKUP(D:D,'Master Table'!C:D,2,FALSE)</f>
        <v>379</v>
      </c>
      <c r="O10" s="69">
        <f>VLOOKUP(D:D,'Master Table'!C:O,13,FALSE)</f>
        <v>630.61</v>
      </c>
      <c r="P10" s="856">
        <f>O10+O11</f>
        <v>1401.24</v>
      </c>
      <c r="Q10" s="902">
        <v>1143.1599999999999</v>
      </c>
      <c r="R10" s="644">
        <v>774.98</v>
      </c>
      <c r="S10" s="645">
        <v>50</v>
      </c>
      <c r="T10" s="645"/>
    </row>
    <row r="11" spans="1:20" ht="29.1" customHeight="1" x14ac:dyDescent="0.2">
      <c r="A11" s="291" t="str">
        <f t="shared" si="0"/>
        <v>NOR008S / 264140</v>
      </c>
      <c r="B11" s="878"/>
      <c r="C11" s="529" t="s">
        <v>8417</v>
      </c>
      <c r="D11" s="769" t="s">
        <v>3535</v>
      </c>
      <c r="E11" s="769" t="s">
        <v>3536</v>
      </c>
      <c r="F11" s="769" t="s">
        <v>3537</v>
      </c>
      <c r="G11" s="769" t="s">
        <v>3538</v>
      </c>
      <c r="H11" s="769" t="s">
        <v>351</v>
      </c>
      <c r="I11" s="790"/>
      <c r="J11" s="790">
        <v>657.41000000000008</v>
      </c>
      <c r="K11" s="790">
        <v>134</v>
      </c>
      <c r="L11" s="312">
        <v>791.41000000000008</v>
      </c>
      <c r="M11" s="429" t="s">
        <v>3535</v>
      </c>
      <c r="N11" s="369" t="str">
        <f>VLOOKUP(D:D,'Master Table'!C:D,2,FALSE)</f>
        <v>264140</v>
      </c>
      <c r="O11" s="69">
        <f>VLOOKUP(D:D,'Master Table'!C:O,13,FALSE)</f>
        <v>770.63</v>
      </c>
      <c r="P11" s="857"/>
      <c r="Q11" s="903"/>
      <c r="R11" s="644"/>
      <c r="S11" s="645"/>
      <c r="T11" s="645"/>
    </row>
    <row r="12" spans="1:20" ht="29.1" customHeight="1" x14ac:dyDescent="0.2">
      <c r="A12" s="291" t="str">
        <f t="shared" si="0"/>
        <v>NOR009 / 380</v>
      </c>
      <c r="B12" s="89" t="s">
        <v>3541</v>
      </c>
      <c r="C12" s="89" t="s">
        <v>7645</v>
      </c>
      <c r="D12" s="769" t="s">
        <v>3539</v>
      </c>
      <c r="E12" s="769" t="s">
        <v>3540</v>
      </c>
      <c r="F12" s="769" t="s">
        <v>1366</v>
      </c>
      <c r="G12" s="769" t="s">
        <v>3541</v>
      </c>
      <c r="H12" s="769" t="s">
        <v>351</v>
      </c>
      <c r="I12" s="790"/>
      <c r="J12" s="790">
        <v>465</v>
      </c>
      <c r="K12" s="790">
        <v>171.26000000000002</v>
      </c>
      <c r="L12" s="312">
        <v>636.26</v>
      </c>
      <c r="M12" s="429" t="s">
        <v>3539</v>
      </c>
      <c r="N12" s="369" t="str">
        <f>VLOOKUP(D:D,'Master Table'!C:D,2,FALSE)</f>
        <v>380</v>
      </c>
      <c r="O12" s="69">
        <f>VLOOKUP(D:D,'Master Table'!C:O,13,FALSE)</f>
        <v>3493.6699999999996</v>
      </c>
      <c r="P12" s="446">
        <v>3493.6699999999996</v>
      </c>
      <c r="Q12" s="476">
        <v>2055.73</v>
      </c>
      <c r="R12" s="644">
        <v>1689</v>
      </c>
      <c r="S12" s="645">
        <v>1665.42</v>
      </c>
      <c r="T12" s="645">
        <v>623</v>
      </c>
    </row>
    <row r="13" spans="1:20" ht="29.1" customHeight="1" x14ac:dyDescent="0.2">
      <c r="A13" s="291" t="str">
        <f t="shared" si="0"/>
        <v>NOR010 / 381</v>
      </c>
      <c r="B13" s="89" t="s">
        <v>3541</v>
      </c>
      <c r="C13" s="89" t="s">
        <v>1203</v>
      </c>
      <c r="D13" s="769" t="s">
        <v>3545</v>
      </c>
      <c r="E13" s="769" t="s">
        <v>3546</v>
      </c>
      <c r="F13" s="769" t="s">
        <v>1203</v>
      </c>
      <c r="G13" s="769" t="s">
        <v>3541</v>
      </c>
      <c r="H13" s="769" t="s">
        <v>351</v>
      </c>
      <c r="I13" s="790">
        <v>86.52</v>
      </c>
      <c r="J13" s="790">
        <v>1820</v>
      </c>
      <c r="K13" s="790"/>
      <c r="L13" s="312">
        <v>1906.52</v>
      </c>
      <c r="M13" s="429" t="s">
        <v>3545</v>
      </c>
      <c r="N13" s="369" t="str">
        <f>VLOOKUP(D:D,'Master Table'!C:D,2,FALSE)</f>
        <v>381</v>
      </c>
      <c r="O13" s="69">
        <f>VLOOKUP(D:D,'Master Table'!C:O,13,FALSE)</f>
        <v>1976.9099999999999</v>
      </c>
      <c r="P13" s="446">
        <v>1976.9099999999999</v>
      </c>
      <c r="Q13" s="476">
        <v>2133.4</v>
      </c>
      <c r="R13" s="644">
        <v>2307.56</v>
      </c>
      <c r="S13" s="645">
        <v>2228.96</v>
      </c>
      <c r="T13" s="645">
        <v>1270</v>
      </c>
    </row>
    <row r="14" spans="1:20" ht="29.1" customHeight="1" x14ac:dyDescent="0.2">
      <c r="A14" s="291" t="str">
        <f t="shared" si="0"/>
        <v>NOR011 / 382</v>
      </c>
      <c r="B14" s="89" t="s">
        <v>3541</v>
      </c>
      <c r="C14" s="89" t="s">
        <v>7646</v>
      </c>
      <c r="D14" s="769" t="s">
        <v>3547</v>
      </c>
      <c r="E14" s="769" t="s">
        <v>3548</v>
      </c>
      <c r="F14" s="769" t="s">
        <v>3549</v>
      </c>
      <c r="G14" s="769" t="s">
        <v>3541</v>
      </c>
      <c r="H14" s="769" t="s">
        <v>324</v>
      </c>
      <c r="I14" s="790"/>
      <c r="J14" s="790">
        <v>63</v>
      </c>
      <c r="K14" s="790"/>
      <c r="L14" s="312">
        <v>63</v>
      </c>
      <c r="M14" s="429" t="s">
        <v>3547</v>
      </c>
      <c r="N14" s="369" t="str">
        <f>VLOOKUP(D:D,'Master Table'!C:D,2,FALSE)</f>
        <v>382</v>
      </c>
      <c r="O14" s="69">
        <f>VLOOKUP(D:D,'Master Table'!C:O,13,FALSE)</f>
        <v>273</v>
      </c>
      <c r="P14" s="446">
        <v>273</v>
      </c>
      <c r="Q14" s="476">
        <v>178.75</v>
      </c>
      <c r="R14" s="644">
        <v>358.5</v>
      </c>
      <c r="S14" s="645">
        <v>186.91</v>
      </c>
      <c r="T14" s="645">
        <v>252</v>
      </c>
    </row>
    <row r="15" spans="1:20" ht="29.1" customHeight="1" x14ac:dyDescent="0.2">
      <c r="A15" s="291" t="str">
        <f t="shared" si="0"/>
        <v>NOR013 / 384</v>
      </c>
      <c r="B15" s="877" t="s">
        <v>7648</v>
      </c>
      <c r="C15" s="468" t="s">
        <v>8390</v>
      </c>
      <c r="D15" s="769" t="s">
        <v>3550</v>
      </c>
      <c r="E15" s="769" t="s">
        <v>3551</v>
      </c>
      <c r="F15" s="769" t="s">
        <v>3552</v>
      </c>
      <c r="G15" s="769" t="s">
        <v>3553</v>
      </c>
      <c r="H15" s="769" t="s">
        <v>351</v>
      </c>
      <c r="I15" s="790">
        <v>146.27000000000001</v>
      </c>
      <c r="J15" s="790">
        <v>503.4</v>
      </c>
      <c r="K15" s="790"/>
      <c r="L15" s="312">
        <v>649.66999999999996</v>
      </c>
      <c r="M15" s="429" t="s">
        <v>3550</v>
      </c>
      <c r="N15" s="369" t="str">
        <f>VLOOKUP(D:D,'Master Table'!C:D,2,FALSE)</f>
        <v>384</v>
      </c>
      <c r="O15" s="69">
        <f>VLOOKUP(D:D,'Master Table'!C:O,13,FALSE)</f>
        <v>1042.9000000000001</v>
      </c>
      <c r="P15" s="446">
        <v>1042.9000000000001</v>
      </c>
      <c r="Q15" s="476">
        <v>1094.6199999999999</v>
      </c>
      <c r="R15" s="644">
        <v>431.9</v>
      </c>
      <c r="S15" s="645">
        <v>285</v>
      </c>
      <c r="T15" s="645">
        <v>285</v>
      </c>
    </row>
    <row r="16" spans="1:20" ht="29.1" customHeight="1" x14ac:dyDescent="0.2">
      <c r="A16" s="291" t="e">
        <f t="shared" ref="A16" si="1">M16&amp;" / "&amp;N16</f>
        <v>#N/A</v>
      </c>
      <c r="B16" s="878"/>
      <c r="C16" s="529" t="s">
        <v>8316</v>
      </c>
      <c r="I16" s="790"/>
      <c r="J16" s="790"/>
      <c r="K16" s="790"/>
      <c r="L16" s="312"/>
      <c r="M16" s="429" t="s">
        <v>3579</v>
      </c>
      <c r="N16" s="369" t="e">
        <f>VLOOKUP(D:D,'Master Table'!C:D,2,FALSE)</f>
        <v>#N/A</v>
      </c>
      <c r="O16" s="69" t="e">
        <f>VLOOKUP(D:D,'Master Table'!C:O,13,FALSE)</f>
        <v>#N/A</v>
      </c>
      <c r="P16" s="446">
        <v>423.47</v>
      </c>
      <c r="Q16" s="476">
        <v>165</v>
      </c>
      <c r="R16" s="644">
        <v>520</v>
      </c>
      <c r="S16" s="645">
        <v>500</v>
      </c>
      <c r="T16" s="645">
        <v>550</v>
      </c>
    </row>
    <row r="17" spans="1:20" ht="29.1" customHeight="1" x14ac:dyDescent="0.2">
      <c r="A17" s="291" t="str">
        <f t="shared" si="0"/>
        <v>NOR015 / 386</v>
      </c>
      <c r="B17" s="89" t="s">
        <v>3557</v>
      </c>
      <c r="C17" s="89" t="s">
        <v>916</v>
      </c>
      <c r="D17" s="769" t="s">
        <v>3559</v>
      </c>
      <c r="E17" s="769" t="s">
        <v>3560</v>
      </c>
      <c r="F17" s="769" t="s">
        <v>916</v>
      </c>
      <c r="G17" s="769" t="s">
        <v>3557</v>
      </c>
      <c r="H17" s="769" t="s">
        <v>324</v>
      </c>
      <c r="I17" s="790">
        <v>400</v>
      </c>
      <c r="J17" s="790">
        <v>20</v>
      </c>
      <c r="K17" s="790"/>
      <c r="L17" s="312">
        <v>420</v>
      </c>
      <c r="M17" s="429" t="s">
        <v>3559</v>
      </c>
      <c r="N17" s="369" t="str">
        <f>VLOOKUP(D:D,'Master Table'!C:D,2,FALSE)</f>
        <v>386</v>
      </c>
      <c r="O17" s="69">
        <f>VLOOKUP(D:D,'Master Table'!C:O,13,FALSE)</f>
        <v>1231</v>
      </c>
      <c r="P17" s="446">
        <v>1231</v>
      </c>
      <c r="Q17" s="476">
        <v>1040</v>
      </c>
      <c r="R17" s="644">
        <v>969.55</v>
      </c>
      <c r="S17" s="645">
        <v>854.4</v>
      </c>
      <c r="T17" s="645">
        <v>676</v>
      </c>
    </row>
    <row r="18" spans="1:20" ht="29.1" customHeight="1" x14ac:dyDescent="0.2">
      <c r="A18" s="291" t="str">
        <f t="shared" si="0"/>
        <v>NOR016 / 387</v>
      </c>
      <c r="B18" s="877" t="s">
        <v>3557</v>
      </c>
      <c r="C18" s="468" t="s">
        <v>1349</v>
      </c>
      <c r="D18" s="769" t="s">
        <v>3565</v>
      </c>
      <c r="E18" s="769" t="s">
        <v>3566</v>
      </c>
      <c r="F18" s="769" t="s">
        <v>3567</v>
      </c>
      <c r="G18" s="769" t="s">
        <v>3557</v>
      </c>
      <c r="H18" s="769" t="s">
        <v>351</v>
      </c>
      <c r="I18" s="790">
        <v>236.5</v>
      </c>
      <c r="J18" s="790">
        <v>213</v>
      </c>
      <c r="K18" s="790"/>
      <c r="L18" s="312">
        <v>449.5</v>
      </c>
      <c r="M18" s="429" t="s">
        <v>3565</v>
      </c>
      <c r="N18" s="369" t="str">
        <f>VLOOKUP(D:D,'Master Table'!C:D,2,FALSE)</f>
        <v>387</v>
      </c>
      <c r="O18" s="69">
        <f>VLOOKUP(D:D,'Master Table'!C:O,13,FALSE)</f>
        <v>970.56</v>
      </c>
      <c r="P18" s="856">
        <f>O18+O19</f>
        <v>1696.22</v>
      </c>
      <c r="Q18" s="902">
        <v>1932.93</v>
      </c>
      <c r="R18" s="644">
        <v>1177.47</v>
      </c>
      <c r="S18" s="645">
        <v>469.73</v>
      </c>
      <c r="T18" s="645">
        <v>1557</v>
      </c>
    </row>
    <row r="19" spans="1:20" ht="29.1" customHeight="1" x14ac:dyDescent="0.2">
      <c r="A19" s="291" t="str">
        <f t="shared" ref="A19" si="2">M19&amp;" / "&amp;N19</f>
        <v>NOR018 / 390</v>
      </c>
      <c r="B19" s="878"/>
      <c r="C19" s="529" t="s">
        <v>8391</v>
      </c>
      <c r="D19" s="769" t="s">
        <v>3572</v>
      </c>
      <c r="E19" s="769" t="s">
        <v>3573</v>
      </c>
      <c r="F19" s="769" t="s">
        <v>3574</v>
      </c>
      <c r="G19" s="769" t="s">
        <v>3557</v>
      </c>
      <c r="H19" s="769" t="s">
        <v>351</v>
      </c>
      <c r="I19" s="790">
        <v>0</v>
      </c>
      <c r="J19" s="790">
        <v>300</v>
      </c>
      <c r="K19" s="790"/>
      <c r="L19" s="312">
        <v>300</v>
      </c>
      <c r="M19" s="429" t="s">
        <v>3572</v>
      </c>
      <c r="N19" s="369" t="str">
        <f>VLOOKUP(D:D,'Master Table'!C:D,2,FALSE)</f>
        <v>390</v>
      </c>
      <c r="O19" s="69">
        <f>VLOOKUP(D:D,'Master Table'!C:O,13,FALSE)</f>
        <v>725.66000000000008</v>
      </c>
      <c r="P19" s="857"/>
      <c r="Q19" s="903"/>
      <c r="R19" s="644"/>
      <c r="S19" s="645"/>
      <c r="T19" s="645"/>
    </row>
    <row r="20" spans="1:20" ht="29.1" customHeight="1" x14ac:dyDescent="0.2">
      <c r="A20" s="291" t="str">
        <f t="shared" si="0"/>
        <v>NOR019 / 391</v>
      </c>
      <c r="B20" s="89" t="s">
        <v>3578</v>
      </c>
      <c r="C20" s="89" t="s">
        <v>1065</v>
      </c>
      <c r="D20" s="769" t="s">
        <v>3576</v>
      </c>
      <c r="E20" s="769" t="s">
        <v>3577</v>
      </c>
      <c r="F20" s="769" t="s">
        <v>276</v>
      </c>
      <c r="G20" s="769" t="s">
        <v>3578</v>
      </c>
      <c r="H20" s="769" t="s">
        <v>324</v>
      </c>
      <c r="I20" s="790"/>
      <c r="J20" s="790">
        <v>105</v>
      </c>
      <c r="K20" s="790"/>
      <c r="L20" s="312">
        <v>105</v>
      </c>
      <c r="M20" s="429" t="s">
        <v>3576</v>
      </c>
      <c r="N20" s="369" t="str">
        <f>VLOOKUP(D:D,'Master Table'!C:D,2,FALSE)</f>
        <v>391</v>
      </c>
      <c r="O20" s="69">
        <f>VLOOKUP(D:D,'Master Table'!C:O,13,FALSE)</f>
        <v>224.97</v>
      </c>
      <c r="P20" s="446">
        <v>224.97</v>
      </c>
      <c r="Q20" s="476">
        <v>135</v>
      </c>
      <c r="R20" s="644">
        <v>65</v>
      </c>
      <c r="S20" s="645">
        <v>68.58</v>
      </c>
      <c r="T20" s="645">
        <v>433</v>
      </c>
    </row>
    <row r="21" spans="1:20" ht="29.1" customHeight="1" x14ac:dyDescent="0.2">
      <c r="A21" s="291"/>
      <c r="B21" s="765"/>
      <c r="C21" s="89"/>
      <c r="D21" s="769" t="s">
        <v>3579</v>
      </c>
      <c r="E21" s="769" t="s">
        <v>3580</v>
      </c>
      <c r="F21" s="769" t="s">
        <v>2759</v>
      </c>
      <c r="G21" s="769" t="s">
        <v>3581</v>
      </c>
      <c r="H21" s="769" t="s">
        <v>351</v>
      </c>
      <c r="I21" s="790">
        <v>509.75</v>
      </c>
      <c r="J21" s="790">
        <v>205</v>
      </c>
      <c r="K21" s="790"/>
      <c r="L21" s="312">
        <v>714.75</v>
      </c>
      <c r="M21" s="429"/>
      <c r="N21" s="369"/>
      <c r="O21" s="69"/>
      <c r="P21" s="446"/>
      <c r="Q21" s="476"/>
      <c r="R21" s="644"/>
      <c r="S21" s="645"/>
      <c r="T21" s="645"/>
    </row>
    <row r="22" spans="1:20" ht="29.1" customHeight="1" x14ac:dyDescent="0.2">
      <c r="A22" s="291" t="str">
        <f>M22&amp;" / "&amp;N22</f>
        <v>NOR021 / 393</v>
      </c>
      <c r="B22" s="606" t="s">
        <v>3585</v>
      </c>
      <c r="C22" s="89" t="s">
        <v>7652</v>
      </c>
      <c r="D22" s="769" t="s">
        <v>3582</v>
      </c>
      <c r="E22" s="769" t="s">
        <v>3583</v>
      </c>
      <c r="F22" s="769" t="s">
        <v>3584</v>
      </c>
      <c r="G22" s="769" t="s">
        <v>3585</v>
      </c>
      <c r="H22" s="769" t="s">
        <v>324</v>
      </c>
      <c r="I22" s="790"/>
      <c r="J22" s="790">
        <v>240</v>
      </c>
      <c r="K22" s="790"/>
      <c r="L22" s="312">
        <v>240</v>
      </c>
      <c r="M22" s="429" t="s">
        <v>3582</v>
      </c>
      <c r="N22" s="369" t="str">
        <f>VLOOKUP(D:D,'Master Table'!C:D,2,FALSE)</f>
        <v>393</v>
      </c>
      <c r="O22" s="69">
        <f>VLOOKUP(D:D,'Master Table'!C:O,13,FALSE)</f>
        <v>1240.82</v>
      </c>
      <c r="P22" s="446">
        <v>1240.82</v>
      </c>
      <c r="Q22" s="476">
        <v>230</v>
      </c>
      <c r="R22" s="644">
        <v>810</v>
      </c>
      <c r="S22" s="645">
        <v>873.56000000000006</v>
      </c>
      <c r="T22" s="645">
        <v>734</v>
      </c>
    </row>
    <row r="23" spans="1:20" ht="29.1" customHeight="1" x14ac:dyDescent="0.2">
      <c r="A23" s="532" t="str">
        <f>M23&amp;" / "&amp;N23</f>
        <v>NOR022 / 394</v>
      </c>
      <c r="B23" s="606" t="s">
        <v>8314</v>
      </c>
      <c r="C23" s="606" t="s">
        <v>8312</v>
      </c>
      <c r="D23" s="769" t="s">
        <v>3589</v>
      </c>
      <c r="E23" s="769" t="s">
        <v>3590</v>
      </c>
      <c r="F23" s="769" t="s">
        <v>3591</v>
      </c>
      <c r="G23" s="769" t="s">
        <v>3592</v>
      </c>
      <c r="H23" s="769" t="s">
        <v>324</v>
      </c>
      <c r="I23" s="790">
        <v>988.07</v>
      </c>
      <c r="J23" s="790">
        <v>919.06</v>
      </c>
      <c r="K23" s="790">
        <v>50</v>
      </c>
      <c r="L23" s="312">
        <v>1957.13</v>
      </c>
      <c r="M23" s="429" t="s">
        <v>3589</v>
      </c>
      <c r="N23" s="369" t="str">
        <f>VLOOKUP(D:D,'Master Table'!C:D,2,FALSE)</f>
        <v>394</v>
      </c>
      <c r="O23" s="69">
        <f>VLOOKUP(D:D,'Master Table'!C:O,13,FALSE)</f>
        <v>3154.79</v>
      </c>
      <c r="P23" s="856">
        <f>O23+O24</f>
        <v>3194.79</v>
      </c>
      <c r="Q23" s="902">
        <v>4661.42</v>
      </c>
      <c r="R23" s="644">
        <v>4573.18</v>
      </c>
      <c r="S23" s="645">
        <v>3613.54</v>
      </c>
      <c r="T23" s="645">
        <v>2263</v>
      </c>
    </row>
    <row r="24" spans="1:20" ht="29.1" customHeight="1" x14ac:dyDescent="0.2">
      <c r="A24" s="532" t="str">
        <f t="shared" ref="A24" si="3">M24&amp;" / "&amp;N24</f>
        <v>NOR022S / 263188</v>
      </c>
      <c r="B24" s="607" t="s">
        <v>8315</v>
      </c>
      <c r="C24" s="607" t="s">
        <v>8313</v>
      </c>
      <c r="D24" s="769" t="s">
        <v>3593</v>
      </c>
      <c r="E24" s="769" t="s">
        <v>3594</v>
      </c>
      <c r="F24" s="769" t="s">
        <v>3595</v>
      </c>
      <c r="G24" s="769" t="s">
        <v>3596</v>
      </c>
      <c r="H24" s="769" t="s">
        <v>324</v>
      </c>
      <c r="I24" s="790"/>
      <c r="J24" s="790"/>
      <c r="K24" s="790"/>
      <c r="L24" s="312"/>
      <c r="M24" s="429" t="s">
        <v>3593</v>
      </c>
      <c r="N24" s="369" t="str">
        <f>VLOOKUP(D:D,'Master Table'!C:D,2,FALSE)</f>
        <v>263188</v>
      </c>
      <c r="O24" s="69">
        <f>VLOOKUP(D:D,'Master Table'!C:O,13,FALSE)</f>
        <v>40</v>
      </c>
      <c r="P24" s="857"/>
      <c r="Q24" s="903"/>
      <c r="R24" s="644"/>
      <c r="S24" s="645"/>
      <c r="T24" s="645"/>
    </row>
    <row r="25" spans="1:20" ht="29.1" customHeight="1" x14ac:dyDescent="0.2">
      <c r="A25" s="291" t="str">
        <f>M25&amp;" / "&amp;N25</f>
        <v>NOR023 / 395</v>
      </c>
      <c r="B25" s="607" t="s">
        <v>3604</v>
      </c>
      <c r="C25" s="89" t="s">
        <v>301</v>
      </c>
      <c r="D25" s="769" t="s">
        <v>3601</v>
      </c>
      <c r="E25" s="769" t="s">
        <v>3602</v>
      </c>
      <c r="F25" s="769" t="s">
        <v>3603</v>
      </c>
      <c r="G25" s="769" t="s">
        <v>3604</v>
      </c>
      <c r="H25" s="769" t="s">
        <v>324</v>
      </c>
      <c r="I25" s="790"/>
      <c r="J25" s="790">
        <v>351.33</v>
      </c>
      <c r="K25" s="790"/>
      <c r="L25" s="312">
        <v>351.33</v>
      </c>
      <c r="M25" s="429" t="s">
        <v>3601</v>
      </c>
      <c r="N25" s="369" t="str">
        <f>VLOOKUP(D:D,'Master Table'!C:D,2,FALSE)</f>
        <v>395</v>
      </c>
      <c r="O25" s="69">
        <f>VLOOKUP(D:D,'Master Table'!C:O,13,FALSE)</f>
        <v>1065</v>
      </c>
      <c r="P25" s="446">
        <v>1065</v>
      </c>
      <c r="Q25" s="476">
        <v>1628</v>
      </c>
      <c r="R25" s="644">
        <v>1438.21</v>
      </c>
      <c r="S25" s="645">
        <v>1709.8700000000001</v>
      </c>
      <c r="T25" s="645">
        <v>909</v>
      </c>
    </row>
    <row r="26" spans="1:20" s="648" customFormat="1" ht="29.1" customHeight="1" x14ac:dyDescent="0.2">
      <c r="A26" s="291" t="str">
        <f>M26&amp;" / "&amp;N26</f>
        <v>NOR024 / 396</v>
      </c>
      <c r="B26" s="606" t="s">
        <v>3608</v>
      </c>
      <c r="C26" s="89" t="s">
        <v>1032</v>
      </c>
      <c r="D26" s="769" t="s">
        <v>3606</v>
      </c>
      <c r="E26" s="769" t="s">
        <v>3607</v>
      </c>
      <c r="F26" s="769" t="s">
        <v>1032</v>
      </c>
      <c r="G26" s="769" t="s">
        <v>3608</v>
      </c>
      <c r="H26" s="769" t="s">
        <v>324</v>
      </c>
      <c r="I26" s="790">
        <v>111.88</v>
      </c>
      <c r="J26" s="790">
        <v>240</v>
      </c>
      <c r="K26" s="790"/>
      <c r="L26" s="312">
        <v>351.88</v>
      </c>
      <c r="M26" s="429" t="s">
        <v>3606</v>
      </c>
      <c r="N26" s="369" t="str">
        <f>VLOOKUP(D:D,'Master Table'!C:D,2,FALSE)</f>
        <v>396</v>
      </c>
      <c r="O26" s="69">
        <f>VLOOKUP(D:D,'Master Table'!C:O,13,FALSE)</f>
        <v>225.84</v>
      </c>
      <c r="P26" s="446">
        <v>225.84</v>
      </c>
      <c r="Q26" s="476">
        <v>328.75</v>
      </c>
      <c r="R26" s="644">
        <v>480.62</v>
      </c>
      <c r="S26" s="645">
        <v>405.72</v>
      </c>
      <c r="T26" s="645">
        <v>533</v>
      </c>
    </row>
    <row r="27" spans="1:20" s="648" customFormat="1" ht="29.1" customHeight="1" x14ac:dyDescent="0.2">
      <c r="A27" s="532" t="str">
        <f>M27&amp;" / "&amp;N27</f>
        <v>NOR025 / 397</v>
      </c>
      <c r="B27" s="533" t="s">
        <v>8319</v>
      </c>
      <c r="C27" s="533" t="s">
        <v>8324</v>
      </c>
      <c r="D27" s="769" t="s">
        <v>3609</v>
      </c>
      <c r="E27" s="769" t="s">
        <v>3610</v>
      </c>
      <c r="F27" s="769" t="s">
        <v>3611</v>
      </c>
      <c r="G27" s="769" t="s">
        <v>3612</v>
      </c>
      <c r="H27" s="769" t="s">
        <v>324</v>
      </c>
      <c r="I27" s="790">
        <v>730</v>
      </c>
      <c r="J27" s="790">
        <v>500</v>
      </c>
      <c r="K27" s="790"/>
      <c r="L27" s="312">
        <v>1230</v>
      </c>
      <c r="M27" s="429" t="s">
        <v>3609</v>
      </c>
      <c r="N27" s="369" t="str">
        <f>VLOOKUP(D:D,'Master Table'!C:D,2,FALSE)</f>
        <v>397</v>
      </c>
      <c r="O27" s="467">
        <f>VLOOKUP(D:D,'Master Table'!C:O,13,FALSE)</f>
        <v>1506.5900000000001</v>
      </c>
      <c r="P27" s="657">
        <v>1506.5900000000001</v>
      </c>
      <c r="Q27" s="620">
        <v>1640.75</v>
      </c>
      <c r="R27" s="646">
        <v>2161.06</v>
      </c>
      <c r="S27" s="647">
        <v>1770.95</v>
      </c>
      <c r="T27" s="647">
        <v>1582</v>
      </c>
    </row>
    <row r="28" spans="1:20" s="648" customFormat="1" ht="29.1" customHeight="1" x14ac:dyDescent="0.2">
      <c r="A28" s="532" t="str">
        <f>M28&amp;" / "&amp;N28</f>
        <v>NOR063 / 441</v>
      </c>
      <c r="B28" s="534" t="s">
        <v>8320</v>
      </c>
      <c r="C28" s="534" t="s">
        <v>8325</v>
      </c>
      <c r="D28" s="792" t="s">
        <v>3782</v>
      </c>
      <c r="E28" s="769" t="s">
        <v>3783</v>
      </c>
      <c r="F28" s="769" t="s">
        <v>3784</v>
      </c>
      <c r="G28" s="769" t="s">
        <v>3785</v>
      </c>
      <c r="H28" s="769" t="s">
        <v>351</v>
      </c>
      <c r="I28" s="790"/>
      <c r="J28" s="790">
        <v>100</v>
      </c>
      <c r="K28" s="790"/>
      <c r="L28" s="312">
        <v>100</v>
      </c>
      <c r="M28" s="429" t="s">
        <v>3782</v>
      </c>
      <c r="N28" s="369" t="str">
        <f>VLOOKUP(D:D,'Master Table'!C:D,2,FALSE)</f>
        <v>441</v>
      </c>
      <c r="O28" s="467">
        <f>VLOOKUP(D:D,'Master Table'!C:O,13,FALSE)</f>
        <v>578.4</v>
      </c>
      <c r="P28" s="657">
        <v>578.4</v>
      </c>
      <c r="Q28" s="620">
        <v>618.71</v>
      </c>
      <c r="R28" s="646">
        <v>215</v>
      </c>
      <c r="S28" s="647">
        <v>886</v>
      </c>
      <c r="T28" s="647">
        <v>225</v>
      </c>
    </row>
    <row r="29" spans="1:20" s="648" customFormat="1" ht="29.1" customHeight="1" x14ac:dyDescent="0.2">
      <c r="A29" s="532" t="s">
        <v>3802</v>
      </c>
      <c r="B29" s="534" t="s">
        <v>8321</v>
      </c>
      <c r="C29" s="534" t="s">
        <v>8326</v>
      </c>
      <c r="I29" s="790"/>
      <c r="J29" s="790"/>
      <c r="K29" s="790"/>
      <c r="L29" s="312"/>
      <c r="M29" s="429" t="s">
        <v>3802</v>
      </c>
      <c r="N29" s="369" t="e">
        <f>VLOOKUP(D:D,'Master Table'!C:D,2,FALSE)</f>
        <v>#N/A</v>
      </c>
      <c r="O29" s="467" t="e">
        <f>VLOOKUP(D:D,'Master Table'!C:O,13,FALSE)</f>
        <v>#N/A</v>
      </c>
      <c r="P29" s="657">
        <v>754.61</v>
      </c>
      <c r="Q29" s="620">
        <v>881.14</v>
      </c>
      <c r="R29" s="646">
        <v>1232.47</v>
      </c>
      <c r="S29" s="647">
        <v>666.94</v>
      </c>
      <c r="T29" s="647">
        <v>936</v>
      </c>
    </row>
    <row r="30" spans="1:20" s="648" customFormat="1" ht="29.1" customHeight="1" x14ac:dyDescent="0.2">
      <c r="A30" s="532" t="s">
        <v>11037</v>
      </c>
      <c r="B30" s="534" t="s">
        <v>8322</v>
      </c>
      <c r="C30" s="534" t="s">
        <v>8327</v>
      </c>
      <c r="I30" s="790"/>
      <c r="J30" s="790"/>
      <c r="K30" s="790"/>
      <c r="L30" s="312"/>
      <c r="M30" s="429" t="s">
        <v>3806</v>
      </c>
      <c r="N30" s="369" t="e">
        <f>VLOOKUP(D:D,'Master Table'!C:D,2,FALSE)</f>
        <v>#N/A</v>
      </c>
      <c r="O30" s="467" t="e">
        <f>VLOOKUP(D:D,'Master Table'!C:O,13,FALSE)</f>
        <v>#N/A</v>
      </c>
      <c r="P30" s="657">
        <v>100</v>
      </c>
      <c r="Q30" s="620">
        <v>0</v>
      </c>
      <c r="R30" s="646"/>
      <c r="S30" s="647"/>
      <c r="T30" s="647"/>
    </row>
    <row r="31" spans="1:20" ht="29.1" customHeight="1" x14ac:dyDescent="0.2">
      <c r="A31" s="532" t="str">
        <f t="shared" ref="A31:A36" si="4">M31&amp;" / "&amp;N31</f>
        <v>NOR075 / 454</v>
      </c>
      <c r="B31" s="535" t="s">
        <v>8323</v>
      </c>
      <c r="C31" s="535" t="s">
        <v>8328</v>
      </c>
      <c r="D31" s="792" t="s">
        <v>3833</v>
      </c>
      <c r="E31" s="769" t="s">
        <v>3834</v>
      </c>
      <c r="F31" s="769" t="s">
        <v>3835</v>
      </c>
      <c r="G31" s="769" t="s">
        <v>3612</v>
      </c>
      <c r="H31" s="769" t="s">
        <v>351</v>
      </c>
      <c r="I31" s="790">
        <v>183.47</v>
      </c>
      <c r="J31" s="790"/>
      <c r="K31" s="790"/>
      <c r="L31" s="312">
        <v>183.47</v>
      </c>
      <c r="M31" s="429" t="s">
        <v>3833</v>
      </c>
      <c r="N31" s="369" t="str">
        <f>VLOOKUP(D:D,'Master Table'!C:D,2,FALSE)</f>
        <v>454</v>
      </c>
      <c r="O31" s="467">
        <f>VLOOKUP(D:D,'Master Table'!C:O,13,FALSE)</f>
        <v>221.52999999999997</v>
      </c>
      <c r="P31" s="657">
        <v>221.52999999999997</v>
      </c>
      <c r="Q31" s="620">
        <v>143.74</v>
      </c>
      <c r="R31" s="646">
        <v>134.18</v>
      </c>
      <c r="S31" s="647">
        <v>247.58</v>
      </c>
      <c r="T31" s="647">
        <v>279</v>
      </c>
    </row>
    <row r="32" spans="1:20" ht="29.1" customHeight="1" x14ac:dyDescent="0.2">
      <c r="A32" s="291" t="str">
        <f t="shared" si="4"/>
        <v>NOR026 / 398</v>
      </c>
      <c r="B32" s="607" t="s">
        <v>3612</v>
      </c>
      <c r="C32" s="89" t="s">
        <v>7653</v>
      </c>
      <c r="D32" s="769" t="s">
        <v>3613</v>
      </c>
      <c r="E32" s="769" t="s">
        <v>3614</v>
      </c>
      <c r="F32" s="769" t="s">
        <v>3615</v>
      </c>
      <c r="G32" s="769" t="s">
        <v>3612</v>
      </c>
      <c r="H32" s="769" t="s">
        <v>324</v>
      </c>
      <c r="I32" s="790"/>
      <c r="J32" s="790">
        <v>40</v>
      </c>
      <c r="K32" s="790">
        <v>470.58</v>
      </c>
      <c r="L32" s="312">
        <v>510.58</v>
      </c>
      <c r="M32" s="429" t="s">
        <v>3613</v>
      </c>
      <c r="N32" s="369" t="str">
        <f>VLOOKUP(D:D,'Master Table'!C:D,2,FALSE)</f>
        <v>398</v>
      </c>
      <c r="O32" s="69">
        <f>VLOOKUP(D:D,'Master Table'!C:O,13,FALSE)</f>
        <v>372.52</v>
      </c>
      <c r="P32" s="446">
        <v>372.52</v>
      </c>
      <c r="Q32" s="476">
        <v>335.98</v>
      </c>
      <c r="R32" s="644">
        <v>304</v>
      </c>
      <c r="S32" s="645">
        <v>237.82</v>
      </c>
      <c r="T32" s="645">
        <v>581</v>
      </c>
    </row>
    <row r="33" spans="1:20" ht="29.1" customHeight="1" x14ac:dyDescent="0.2">
      <c r="A33" s="291" t="str">
        <f t="shared" si="4"/>
        <v>NOR027 / 399</v>
      </c>
      <c r="B33" s="89" t="s">
        <v>3612</v>
      </c>
      <c r="C33" s="89" t="s">
        <v>158</v>
      </c>
      <c r="D33" s="769" t="s">
        <v>3616</v>
      </c>
      <c r="E33" s="769" t="s">
        <v>3617</v>
      </c>
      <c r="F33" s="769" t="s">
        <v>124</v>
      </c>
      <c r="G33" s="769" t="s">
        <v>3612</v>
      </c>
      <c r="H33" s="769" t="s">
        <v>324</v>
      </c>
      <c r="I33" s="790"/>
      <c r="J33" s="790">
        <v>50</v>
      </c>
      <c r="K33" s="790">
        <v>107.62</v>
      </c>
      <c r="L33" s="312">
        <v>157.62</v>
      </c>
      <c r="M33" s="429" t="s">
        <v>3616</v>
      </c>
      <c r="N33" s="369" t="str">
        <f>VLOOKUP(D:D,'Master Table'!C:D,2,FALSE)</f>
        <v>399</v>
      </c>
      <c r="O33" s="69">
        <f>VLOOKUP(D:D,'Master Table'!C:O,13,FALSE)</f>
        <v>451.28</v>
      </c>
      <c r="P33" s="446">
        <v>451.28</v>
      </c>
      <c r="Q33" s="476">
        <v>400</v>
      </c>
      <c r="R33" s="644">
        <v>699.26</v>
      </c>
      <c r="S33" s="645">
        <v>676.56999999999994</v>
      </c>
      <c r="T33" s="645">
        <v>670</v>
      </c>
    </row>
    <row r="34" spans="1:20" ht="29.1" customHeight="1" x14ac:dyDescent="0.2">
      <c r="A34" s="291" t="str">
        <f t="shared" si="4"/>
        <v>NOR028 / 400</v>
      </c>
      <c r="B34" s="89" t="s">
        <v>7654</v>
      </c>
      <c r="C34" s="89" t="s">
        <v>7655</v>
      </c>
      <c r="D34" s="769" t="s">
        <v>3618</v>
      </c>
      <c r="E34" s="769" t="s">
        <v>3619</v>
      </c>
      <c r="F34" s="769" t="s">
        <v>1160</v>
      </c>
      <c r="G34" s="769" t="s">
        <v>3620</v>
      </c>
      <c r="H34" s="769" t="s">
        <v>351</v>
      </c>
      <c r="I34" s="790">
        <v>365.12</v>
      </c>
      <c r="J34" s="790">
        <v>125</v>
      </c>
      <c r="K34" s="790"/>
      <c r="L34" s="312">
        <v>490.12</v>
      </c>
      <c r="M34" s="429" t="s">
        <v>3618</v>
      </c>
      <c r="N34" s="369" t="str">
        <f>VLOOKUP(D:D,'Master Table'!C:D,2,FALSE)</f>
        <v>400</v>
      </c>
      <c r="O34" s="69">
        <f>VLOOKUP(D:D,'Master Table'!C:O,13,FALSE)</f>
        <v>465.5</v>
      </c>
      <c r="P34" s="446">
        <v>465.5</v>
      </c>
      <c r="Q34" s="476">
        <v>575</v>
      </c>
      <c r="R34" s="644">
        <v>481</v>
      </c>
      <c r="S34" s="645">
        <v>310</v>
      </c>
      <c r="T34" s="645">
        <v>195</v>
      </c>
    </row>
    <row r="35" spans="1:20" ht="29.1" customHeight="1" x14ac:dyDescent="0.2">
      <c r="A35" s="291" t="str">
        <f t="shared" si="4"/>
        <v>NOR029 / 401</v>
      </c>
      <c r="B35" s="89" t="s">
        <v>3627</v>
      </c>
      <c r="C35" s="291" t="s">
        <v>3626</v>
      </c>
      <c r="D35" s="769" t="s">
        <v>3624</v>
      </c>
      <c r="E35" s="769" t="s">
        <v>3625</v>
      </c>
      <c r="F35" s="769" t="s">
        <v>3626</v>
      </c>
      <c r="G35" s="769" t="s">
        <v>3627</v>
      </c>
      <c r="H35" s="769" t="s">
        <v>324</v>
      </c>
      <c r="I35" s="790"/>
      <c r="J35" s="790">
        <v>165</v>
      </c>
      <c r="K35" s="790"/>
      <c r="L35" s="312">
        <v>165</v>
      </c>
      <c r="M35" s="429" t="s">
        <v>3624</v>
      </c>
      <c r="N35" s="369" t="str">
        <f>VLOOKUP(D:D,'Master Table'!C:D,2,FALSE)</f>
        <v>401</v>
      </c>
      <c r="O35" s="69">
        <f>VLOOKUP(D:D,'Master Table'!C:O,13,FALSE)</f>
        <v>110</v>
      </c>
      <c r="P35" s="446">
        <v>110</v>
      </c>
      <c r="Q35" s="476">
        <v>255</v>
      </c>
      <c r="R35" s="644">
        <v>442.9</v>
      </c>
      <c r="S35" s="645">
        <v>499.51</v>
      </c>
      <c r="T35" s="645">
        <v>60</v>
      </c>
    </row>
    <row r="36" spans="1:20" ht="29.1" customHeight="1" x14ac:dyDescent="0.2">
      <c r="A36" s="291" t="str">
        <f t="shared" si="4"/>
        <v>NOR030 / 402</v>
      </c>
      <c r="B36" s="877" t="s">
        <v>7658</v>
      </c>
      <c r="C36" s="536" t="s">
        <v>8317</v>
      </c>
      <c r="D36" s="769" t="s">
        <v>3632</v>
      </c>
      <c r="E36" s="769" t="s">
        <v>3633</v>
      </c>
      <c r="F36" s="769" t="s">
        <v>3634</v>
      </c>
      <c r="G36" s="769" t="s">
        <v>3635</v>
      </c>
      <c r="H36" s="769" t="s">
        <v>351</v>
      </c>
      <c r="I36" s="790">
        <v>270.7</v>
      </c>
      <c r="J36" s="790">
        <v>305</v>
      </c>
      <c r="K36" s="790"/>
      <c r="L36" s="312">
        <v>575.70000000000005</v>
      </c>
      <c r="M36" s="429" t="s">
        <v>3632</v>
      </c>
      <c r="N36" s="369" t="str">
        <f>VLOOKUP(D:D,'Master Table'!C:D,2,FALSE)</f>
        <v>402</v>
      </c>
      <c r="O36" s="69">
        <f>VLOOKUP(D:D,'Master Table'!C:O,13,FALSE)</f>
        <v>1003.92</v>
      </c>
      <c r="P36" s="856">
        <f>O36+O37</f>
        <v>1075.0899999999999</v>
      </c>
      <c r="Q36" s="902">
        <v>764.76</v>
      </c>
      <c r="R36" s="644">
        <v>415.69</v>
      </c>
      <c r="S36" s="645">
        <v>512.03</v>
      </c>
      <c r="T36" s="645">
        <v>521</v>
      </c>
    </row>
    <row r="37" spans="1:20" ht="29.1" customHeight="1" x14ac:dyDescent="0.2">
      <c r="A37" s="291" t="str">
        <f t="shared" ref="A37" si="5">M37&amp;" / "&amp;N37</f>
        <v>NOR041X / 148048</v>
      </c>
      <c r="B37" s="878"/>
      <c r="C37" s="529" t="s">
        <v>8318</v>
      </c>
      <c r="D37" s="769" t="s">
        <v>3681</v>
      </c>
      <c r="E37" s="769" t="s">
        <v>3682</v>
      </c>
      <c r="F37" s="769" t="s">
        <v>3683</v>
      </c>
      <c r="G37" s="769" t="s">
        <v>3684</v>
      </c>
      <c r="H37" s="769" t="s">
        <v>351</v>
      </c>
      <c r="I37" s="790"/>
      <c r="J37" s="790">
        <v>14</v>
      </c>
      <c r="K37" s="790"/>
      <c r="L37" s="312">
        <v>14</v>
      </c>
      <c r="M37" s="429" t="s">
        <v>3681</v>
      </c>
      <c r="N37" s="369" t="str">
        <f>VLOOKUP(D:D,'Master Table'!C:D,2,FALSE)</f>
        <v>148048</v>
      </c>
      <c r="O37" s="69">
        <f>VLOOKUP(D:D,'Master Table'!C:O,13,FALSE)</f>
        <v>71.170000000000016</v>
      </c>
      <c r="P37" s="857"/>
      <c r="Q37" s="903"/>
      <c r="R37" s="644">
        <v>0</v>
      </c>
      <c r="S37" s="645">
        <v>329.34000000000003</v>
      </c>
      <c r="T37" s="645">
        <v>20</v>
      </c>
    </row>
    <row r="38" spans="1:20" ht="29.1" customHeight="1" x14ac:dyDescent="0.2">
      <c r="A38" s="291" t="str">
        <f>M38&amp;" / "&amp;N38</f>
        <v>NOR032 / 405</v>
      </c>
      <c r="B38" s="89" t="s">
        <v>3646</v>
      </c>
      <c r="C38" s="89" t="s">
        <v>7660</v>
      </c>
      <c r="D38" s="769" t="s">
        <v>3643</v>
      </c>
      <c r="E38" s="769" t="s">
        <v>3644</v>
      </c>
      <c r="F38" s="769" t="s">
        <v>3645</v>
      </c>
      <c r="G38" s="769" t="s">
        <v>3646</v>
      </c>
      <c r="H38" s="769" t="s">
        <v>324</v>
      </c>
      <c r="I38" s="790"/>
      <c r="J38" s="790">
        <v>410</v>
      </c>
      <c r="K38" s="790">
        <v>92.33</v>
      </c>
      <c r="L38" s="312">
        <v>502.33</v>
      </c>
      <c r="M38" s="429" t="s">
        <v>3643</v>
      </c>
      <c r="N38" s="369" t="str">
        <f>VLOOKUP(D:D,'Master Table'!C:D,2,FALSE)</f>
        <v>405</v>
      </c>
      <c r="O38" s="69">
        <f>VLOOKUP(D:D,'Master Table'!C:O,13,FALSE)</f>
        <v>20</v>
      </c>
      <c r="P38" s="446">
        <v>20</v>
      </c>
      <c r="Q38" s="476">
        <v>68.33</v>
      </c>
      <c r="R38" s="644">
        <v>10</v>
      </c>
      <c r="S38" s="645">
        <v>10</v>
      </c>
      <c r="T38" s="645">
        <v>18</v>
      </c>
    </row>
    <row r="39" spans="1:20" ht="29.1" customHeight="1" x14ac:dyDescent="0.2">
      <c r="A39" s="291" t="str">
        <f>M39&amp;" / "&amp;N39</f>
        <v>NOR034 / 407</v>
      </c>
      <c r="B39" s="881" t="s">
        <v>8420</v>
      </c>
      <c r="C39" s="468" t="s">
        <v>8421</v>
      </c>
      <c r="D39" s="769" t="s">
        <v>3647</v>
      </c>
      <c r="E39" s="769" t="s">
        <v>3648</v>
      </c>
      <c r="F39" s="769" t="s">
        <v>61</v>
      </c>
      <c r="G39" s="769" t="s">
        <v>3649</v>
      </c>
      <c r="H39" s="769" t="s">
        <v>351</v>
      </c>
      <c r="I39" s="790">
        <v>4143.22</v>
      </c>
      <c r="J39" s="790">
        <v>510</v>
      </c>
      <c r="K39" s="790">
        <v>147.78</v>
      </c>
      <c r="L39" s="312">
        <v>4801</v>
      </c>
      <c r="M39" s="576" t="s">
        <v>3647</v>
      </c>
      <c r="N39" s="369" t="str">
        <f>VLOOKUP(D:D,'Master Table'!C:D,2,FALSE)</f>
        <v>407</v>
      </c>
      <c r="O39" s="605">
        <f>VLOOKUP(D:D,'Master Table'!C:O,13,FALSE)</f>
        <v>5101.9400000000005</v>
      </c>
      <c r="P39" s="856">
        <f>O39+O40+O41+381.01</f>
        <v>5953.5400000000009</v>
      </c>
      <c r="Q39" s="902">
        <v>5433.6</v>
      </c>
      <c r="R39" s="644">
        <v>4180.8599999999997</v>
      </c>
      <c r="S39" s="645">
        <v>4031.84</v>
      </c>
      <c r="T39" s="645">
        <v>2864</v>
      </c>
    </row>
    <row r="40" spans="1:20" ht="29.1" customHeight="1" x14ac:dyDescent="0.2">
      <c r="A40" s="291" t="str">
        <f>M40&amp;" / "&amp;N40</f>
        <v>NOR034S / 0444529</v>
      </c>
      <c r="B40" s="905"/>
      <c r="C40" s="537" t="s">
        <v>8418</v>
      </c>
      <c r="D40" s="769" t="s">
        <v>3650</v>
      </c>
      <c r="E40" s="769" t="s">
        <v>3651</v>
      </c>
      <c r="F40" s="769" t="s">
        <v>3652</v>
      </c>
      <c r="G40" s="769" t="s">
        <v>3653</v>
      </c>
      <c r="H40" s="769" t="s">
        <v>351</v>
      </c>
      <c r="I40" s="790"/>
      <c r="J40" s="790"/>
      <c r="K40" s="790"/>
      <c r="L40" s="312">
        <v>0</v>
      </c>
      <c r="M40" s="576" t="s">
        <v>3650</v>
      </c>
      <c r="N40" s="369" t="str">
        <f>VLOOKUP(D:D,'Master Table'!C:D,2,FALSE)</f>
        <v>0444529</v>
      </c>
      <c r="O40" s="69">
        <f>VLOOKUP(D:D,'Master Table'!C:O,13,FALSE)</f>
        <v>0</v>
      </c>
      <c r="P40" s="889"/>
      <c r="Q40" s="904"/>
      <c r="R40" s="644"/>
      <c r="S40" s="645"/>
      <c r="T40" s="645"/>
    </row>
    <row r="41" spans="1:20" ht="29.1" customHeight="1" x14ac:dyDescent="0.2">
      <c r="A41" s="291" t="str">
        <f t="shared" ref="A41" si="6">M41&amp;" / "&amp;N41</f>
        <v>NOR042 / 415</v>
      </c>
      <c r="B41" s="882"/>
      <c r="C41" s="529" t="s">
        <v>8419</v>
      </c>
      <c r="D41" s="769" t="s">
        <v>3685</v>
      </c>
      <c r="E41" s="769" t="s">
        <v>3686</v>
      </c>
      <c r="F41" s="769" t="s">
        <v>3687</v>
      </c>
      <c r="G41" s="769" t="s">
        <v>3688</v>
      </c>
      <c r="H41" s="769" t="s">
        <v>351</v>
      </c>
      <c r="I41" s="790">
        <v>43.81</v>
      </c>
      <c r="J41" s="790"/>
      <c r="K41" s="790"/>
      <c r="L41" s="312">
        <v>43.81</v>
      </c>
      <c r="M41" s="429" t="s">
        <v>3685</v>
      </c>
      <c r="N41" s="369" t="str">
        <f>VLOOKUP(D:D,'Master Table'!C:D,2,FALSE)</f>
        <v>415</v>
      </c>
      <c r="O41" s="69">
        <f>VLOOKUP(D:D,'Master Table'!C:O,13,FALSE)</f>
        <v>470.59000000000003</v>
      </c>
      <c r="P41" s="857"/>
      <c r="Q41" s="903"/>
      <c r="R41" s="644">
        <v>0</v>
      </c>
      <c r="S41" s="645">
        <v>57.309999999999995</v>
      </c>
      <c r="T41" s="645">
        <v>0</v>
      </c>
    </row>
    <row r="42" spans="1:20" ht="29.1" customHeight="1" x14ac:dyDescent="0.2">
      <c r="A42" s="291" t="str">
        <f>M42&amp;" / "&amp;N42</f>
        <v>NOR035 / 0439506</v>
      </c>
      <c r="B42" s="89" t="s">
        <v>3656</v>
      </c>
      <c r="C42" s="89" t="s">
        <v>1032</v>
      </c>
      <c r="D42" s="769" t="s">
        <v>3654</v>
      </c>
      <c r="E42" s="769" t="s">
        <v>3655</v>
      </c>
      <c r="F42" s="769" t="s">
        <v>1032</v>
      </c>
      <c r="G42" s="769" t="s">
        <v>3656</v>
      </c>
      <c r="H42" s="769" t="s">
        <v>351</v>
      </c>
      <c r="I42" s="790"/>
      <c r="J42" s="790">
        <v>731</v>
      </c>
      <c r="K42" s="790"/>
      <c r="L42" s="312">
        <v>731</v>
      </c>
      <c r="M42" s="429" t="s">
        <v>3654</v>
      </c>
      <c r="N42" s="369" t="str">
        <f>VLOOKUP(D:D,'Master Table'!C:D,2,FALSE)</f>
        <v>0439506</v>
      </c>
      <c r="O42" s="69">
        <f>VLOOKUP(D:D,'Master Table'!C:O,13,FALSE)</f>
        <v>616</v>
      </c>
      <c r="P42" s="446">
        <v>616</v>
      </c>
      <c r="Q42" s="476">
        <v>296</v>
      </c>
      <c r="R42" s="644">
        <v>420</v>
      </c>
      <c r="S42" s="645">
        <v>255</v>
      </c>
      <c r="T42" s="645">
        <v>280</v>
      </c>
    </row>
    <row r="43" spans="1:20" ht="29.1" customHeight="1" x14ac:dyDescent="0.2">
      <c r="A43" s="291" t="str">
        <f>M43&amp;" / "&amp;N43</f>
        <v>NOR036 / 409</v>
      </c>
      <c r="B43" s="89" t="s">
        <v>3663</v>
      </c>
      <c r="C43" s="89" t="s">
        <v>3662</v>
      </c>
      <c r="D43" s="769" t="s">
        <v>3660</v>
      </c>
      <c r="E43" s="769" t="s">
        <v>3661</v>
      </c>
      <c r="F43" s="769" t="s">
        <v>3662</v>
      </c>
      <c r="G43" s="769" t="s">
        <v>3663</v>
      </c>
      <c r="H43" s="769" t="s">
        <v>324</v>
      </c>
      <c r="I43" s="790">
        <v>109</v>
      </c>
      <c r="J43" s="790">
        <v>510</v>
      </c>
      <c r="K43" s="790">
        <v>158.35</v>
      </c>
      <c r="L43" s="312">
        <v>777.35</v>
      </c>
      <c r="M43" s="429" t="s">
        <v>3660</v>
      </c>
      <c r="N43" s="369" t="str">
        <f>VLOOKUP(D:D,'Master Table'!C:D,2,FALSE)</f>
        <v>409</v>
      </c>
      <c r="O43" s="69">
        <f>VLOOKUP(D:D,'Master Table'!C:O,13,FALSE)</f>
        <v>741</v>
      </c>
      <c r="P43" s="446">
        <v>741</v>
      </c>
      <c r="Q43" s="476">
        <v>798.84</v>
      </c>
      <c r="R43" s="644">
        <v>704</v>
      </c>
      <c r="S43" s="645">
        <v>993</v>
      </c>
      <c r="T43" s="645">
        <v>355</v>
      </c>
    </row>
    <row r="44" spans="1:20" ht="29.1" customHeight="1" x14ac:dyDescent="0.2">
      <c r="A44" s="291" t="str">
        <f>M44&amp;" / "&amp;N44</f>
        <v>NOR037 / 410</v>
      </c>
      <c r="B44" s="877" t="s">
        <v>7665</v>
      </c>
      <c r="C44" s="536" t="s">
        <v>8329</v>
      </c>
      <c r="D44" s="769" t="s">
        <v>3664</v>
      </c>
      <c r="E44" s="769" t="s">
        <v>3665</v>
      </c>
      <c r="F44" s="769" t="s">
        <v>2530</v>
      </c>
      <c r="G44" s="769" t="s">
        <v>3666</v>
      </c>
      <c r="H44" s="769" t="s">
        <v>324</v>
      </c>
      <c r="I44" s="790"/>
      <c r="J44" s="790">
        <v>135</v>
      </c>
      <c r="K44" s="790"/>
      <c r="L44" s="312">
        <v>135</v>
      </c>
      <c r="M44" s="429" t="s">
        <v>3664</v>
      </c>
      <c r="N44" s="369" t="str">
        <f>VLOOKUP(D:D,'Master Table'!C:D,2,FALSE)</f>
        <v>410</v>
      </c>
      <c r="O44" s="69">
        <f>VLOOKUP(D:D,'Master Table'!C:O,13,FALSE)</f>
        <v>80</v>
      </c>
      <c r="P44" s="856">
        <f>O44+O45</f>
        <v>169</v>
      </c>
      <c r="Q44" s="902">
        <v>205</v>
      </c>
      <c r="R44" s="644">
        <v>178</v>
      </c>
      <c r="S44" s="645">
        <v>572.08999999999992</v>
      </c>
      <c r="T44" s="645">
        <v>343</v>
      </c>
    </row>
    <row r="45" spans="1:20" ht="29.1" customHeight="1" x14ac:dyDescent="0.2">
      <c r="A45" s="291" t="str">
        <f t="shared" ref="A45" si="7">M45&amp;" / "&amp;N45</f>
        <v>NOR046 / 421</v>
      </c>
      <c r="B45" s="878"/>
      <c r="C45" s="529" t="s">
        <v>8330</v>
      </c>
      <c r="D45" s="769" t="s">
        <v>3717</v>
      </c>
      <c r="E45" s="769" t="s">
        <v>3718</v>
      </c>
      <c r="F45" s="769" t="s">
        <v>3719</v>
      </c>
      <c r="G45" s="769" t="s">
        <v>3720</v>
      </c>
      <c r="H45" s="769" t="s">
        <v>324</v>
      </c>
      <c r="I45" s="790"/>
      <c r="J45" s="790"/>
      <c r="K45" s="790"/>
      <c r="L45" s="312">
        <v>0</v>
      </c>
      <c r="M45" s="429" t="s">
        <v>3717</v>
      </c>
      <c r="N45" s="369" t="str">
        <f>VLOOKUP(D:D,'Master Table'!C:D,2,FALSE)</f>
        <v>421</v>
      </c>
      <c r="O45" s="69">
        <f>VLOOKUP(D:D,'Master Table'!C:O,13,FALSE)</f>
        <v>89</v>
      </c>
      <c r="P45" s="857"/>
      <c r="Q45" s="903"/>
      <c r="R45" s="644"/>
      <c r="S45" s="645"/>
      <c r="T45" s="645"/>
    </row>
    <row r="46" spans="1:20" ht="29.1" customHeight="1" x14ac:dyDescent="0.2">
      <c r="A46" s="291" t="str">
        <f>M46&amp;" / "&amp;N46</f>
        <v>NOR038 / 0444558</v>
      </c>
      <c r="B46" s="89" t="s">
        <v>3670</v>
      </c>
      <c r="C46" s="89" t="s">
        <v>1584</v>
      </c>
      <c r="D46" s="769" t="s">
        <v>3667</v>
      </c>
      <c r="E46" s="769" t="s">
        <v>3668</v>
      </c>
      <c r="F46" s="769" t="s">
        <v>3669</v>
      </c>
      <c r="G46" s="769" t="s">
        <v>3670</v>
      </c>
      <c r="H46" s="769" t="s">
        <v>324</v>
      </c>
      <c r="I46" s="790"/>
      <c r="J46" s="790"/>
      <c r="K46" s="790"/>
      <c r="L46" s="312">
        <v>0</v>
      </c>
      <c r="M46" s="429" t="s">
        <v>3667</v>
      </c>
      <c r="N46" s="369" t="str">
        <f>VLOOKUP(D:D,'Master Table'!C:D,2,FALSE)</f>
        <v>0444558</v>
      </c>
      <c r="O46" s="69">
        <f>VLOOKUP(D:D,'Master Table'!C:O,13,FALSE)</f>
        <v>0</v>
      </c>
      <c r="P46" s="446">
        <v>0</v>
      </c>
      <c r="Q46" s="476">
        <v>30</v>
      </c>
      <c r="R46" s="644">
        <v>285.72000000000003</v>
      </c>
      <c r="S46" s="645">
        <v>400.32</v>
      </c>
      <c r="T46" s="645">
        <v>538</v>
      </c>
    </row>
    <row r="47" spans="1:20" ht="29.1" customHeight="1" x14ac:dyDescent="0.2">
      <c r="A47" s="291" t="str">
        <f>M47&amp;" / "&amp;N47</f>
        <v>NOR039 / 412</v>
      </c>
      <c r="B47" s="89" t="s">
        <v>3674</v>
      </c>
      <c r="C47" s="89" t="s">
        <v>3876</v>
      </c>
      <c r="D47" s="769" t="s">
        <v>3671</v>
      </c>
      <c r="E47" s="769" t="s">
        <v>3672</v>
      </c>
      <c r="F47" s="769" t="s">
        <v>3673</v>
      </c>
      <c r="G47" s="769" t="s">
        <v>3674</v>
      </c>
      <c r="H47" s="769" t="s">
        <v>324</v>
      </c>
      <c r="I47" s="790"/>
      <c r="J47" s="790">
        <v>585</v>
      </c>
      <c r="K47" s="790">
        <v>204.80999999999997</v>
      </c>
      <c r="L47" s="312">
        <v>789.81</v>
      </c>
      <c r="M47" s="429" t="s">
        <v>3671</v>
      </c>
      <c r="N47" s="369" t="str">
        <f>VLOOKUP(D:D,'Master Table'!C:D,2,FALSE)</f>
        <v>412</v>
      </c>
      <c r="O47" s="69">
        <f>VLOOKUP(D:D,'Master Table'!C:O,13,FALSE)</f>
        <v>1206.08</v>
      </c>
      <c r="P47" s="446">
        <v>1206.08</v>
      </c>
      <c r="Q47" s="476">
        <v>1664.22</v>
      </c>
      <c r="R47" s="644">
        <v>2710.14</v>
      </c>
      <c r="S47" s="645">
        <v>986.72</v>
      </c>
      <c r="T47" s="645">
        <v>1022</v>
      </c>
    </row>
    <row r="48" spans="1:20" ht="29.1" customHeight="1" x14ac:dyDescent="0.2">
      <c r="A48" s="291" t="str">
        <f>M48&amp;" / "&amp;N48</f>
        <v>NOR040 / 413</v>
      </c>
      <c r="B48" s="89" t="s">
        <v>3674</v>
      </c>
      <c r="C48" s="89" t="s">
        <v>7667</v>
      </c>
      <c r="D48" s="769" t="s">
        <v>3675</v>
      </c>
      <c r="E48" s="769" t="s">
        <v>3676</v>
      </c>
      <c r="F48" s="769" t="s">
        <v>3677</v>
      </c>
      <c r="G48" s="769" t="s">
        <v>3674</v>
      </c>
      <c r="H48" s="769" t="s">
        <v>351</v>
      </c>
      <c r="I48" s="790">
        <v>493.16</v>
      </c>
      <c r="J48" s="790">
        <v>300</v>
      </c>
      <c r="K48" s="790"/>
      <c r="L48" s="312">
        <v>793.16000000000008</v>
      </c>
      <c r="M48" s="429" t="s">
        <v>3675</v>
      </c>
      <c r="N48" s="369" t="str">
        <f>VLOOKUP(D:D,'Master Table'!C:D,2,FALSE)</f>
        <v>413</v>
      </c>
      <c r="O48" s="69">
        <f>VLOOKUP(D:D,'Master Table'!C:O,13,FALSE)</f>
        <v>673.05</v>
      </c>
      <c r="P48" s="446">
        <v>673.05</v>
      </c>
      <c r="Q48" s="476">
        <v>602.76</v>
      </c>
      <c r="R48" s="644">
        <v>505.8</v>
      </c>
      <c r="S48" s="645">
        <v>420.45</v>
      </c>
      <c r="T48" s="645">
        <v>628</v>
      </c>
    </row>
    <row r="49" spans="1:20" ht="29.1" customHeight="1" x14ac:dyDescent="0.2">
      <c r="A49" s="291" t="str">
        <f>M49&amp;" / "&amp;N49</f>
        <v>NOR041 / 414</v>
      </c>
      <c r="B49" s="89" t="s">
        <v>3674</v>
      </c>
      <c r="C49" s="89" t="s">
        <v>3680</v>
      </c>
      <c r="D49" s="769" t="s">
        <v>3678</v>
      </c>
      <c r="E49" s="769" t="s">
        <v>3679</v>
      </c>
      <c r="F49" s="769" t="s">
        <v>11035</v>
      </c>
      <c r="G49" s="769" t="s">
        <v>3674</v>
      </c>
      <c r="H49" s="769" t="s">
        <v>351</v>
      </c>
      <c r="I49" s="790">
        <v>628.59</v>
      </c>
      <c r="J49" s="790">
        <v>10</v>
      </c>
      <c r="K49" s="790"/>
      <c r="L49" s="312">
        <v>638.59</v>
      </c>
      <c r="M49" s="429" t="s">
        <v>3678</v>
      </c>
      <c r="N49" s="369" t="str">
        <f>VLOOKUP(D:D,'Master Table'!C:D,2,FALSE)</f>
        <v>414</v>
      </c>
      <c r="O49" s="69">
        <f>VLOOKUP(D:D,'Master Table'!C:O,13,FALSE)</f>
        <v>811.2</v>
      </c>
      <c r="P49" s="446">
        <v>811.2</v>
      </c>
      <c r="Q49" s="476">
        <v>806.61</v>
      </c>
      <c r="R49" s="644">
        <v>457.74</v>
      </c>
      <c r="S49" s="645">
        <v>441.05</v>
      </c>
      <c r="T49" s="645">
        <v>233</v>
      </c>
    </row>
    <row r="50" spans="1:20" ht="29.1" customHeight="1" x14ac:dyDescent="0.2">
      <c r="A50" s="291" t="str">
        <f>M50&amp;" / "&amp;N50</f>
        <v>NOR042X / 416</v>
      </c>
      <c r="B50" s="877" t="s">
        <v>7672</v>
      </c>
      <c r="C50" s="606" t="s">
        <v>8306</v>
      </c>
      <c r="D50" s="769" t="s">
        <v>3690</v>
      </c>
      <c r="E50" s="769" t="s">
        <v>3691</v>
      </c>
      <c r="F50" s="769" t="s">
        <v>3692</v>
      </c>
      <c r="G50" s="791" t="s">
        <v>3693</v>
      </c>
      <c r="H50" s="791" t="s">
        <v>351</v>
      </c>
      <c r="I50" s="790"/>
      <c r="J50" s="790"/>
      <c r="K50" s="790"/>
      <c r="L50" s="312">
        <v>2311.1999999999998</v>
      </c>
      <c r="M50" s="429" t="s">
        <v>3690</v>
      </c>
      <c r="N50" s="369" t="str">
        <f>VLOOKUP(D:D,'Master Table'!C:D,2,FALSE)</f>
        <v>416</v>
      </c>
      <c r="O50" s="69">
        <f>VLOOKUP(D:D,'Master Table'!C:O,13,FALSE)</f>
        <v>40</v>
      </c>
      <c r="P50" s="856">
        <f>O50+O51</f>
        <v>2953.75</v>
      </c>
      <c r="Q50" s="902">
        <v>1858.65</v>
      </c>
      <c r="R50" s="644">
        <v>2093.2799999999997</v>
      </c>
      <c r="S50" s="645">
        <v>2191.67</v>
      </c>
      <c r="T50" s="645">
        <v>1884</v>
      </c>
    </row>
    <row r="51" spans="1:20" ht="29.1" customHeight="1" x14ac:dyDescent="0.2">
      <c r="A51" s="291" t="str">
        <f t="shared" ref="A51" si="8">M51&amp;" / "&amp;N51</f>
        <v>NOR014 / 385</v>
      </c>
      <c r="B51" s="878"/>
      <c r="C51" s="529" t="s">
        <v>8307</v>
      </c>
      <c r="D51" s="769" t="s">
        <v>3554</v>
      </c>
      <c r="E51" s="769" t="s">
        <v>3555</v>
      </c>
      <c r="F51" s="769" t="s">
        <v>3556</v>
      </c>
      <c r="G51" s="791" t="s">
        <v>3557</v>
      </c>
      <c r="H51" s="769" t="s">
        <v>351</v>
      </c>
      <c r="I51" s="790">
        <v>1190.2</v>
      </c>
      <c r="J51" s="790">
        <v>1121</v>
      </c>
      <c r="K51" s="790"/>
      <c r="L51" s="312"/>
      <c r="M51" s="429" t="s">
        <v>3554</v>
      </c>
      <c r="N51" s="369" t="str">
        <f>VLOOKUP(D:D,'Master Table'!C:D,2,FALSE)</f>
        <v>385</v>
      </c>
      <c r="O51" s="69">
        <f>VLOOKUP(D:D,'Master Table'!C:O,13,FALSE)</f>
        <v>2913.75</v>
      </c>
      <c r="P51" s="857"/>
      <c r="Q51" s="903"/>
      <c r="R51" s="644"/>
      <c r="S51" s="645"/>
      <c r="T51" s="645"/>
    </row>
    <row r="52" spans="1:20" ht="29.1" customHeight="1" x14ac:dyDescent="0.2">
      <c r="A52" s="291" t="str">
        <f>M52&amp;" / "&amp;N52</f>
        <v>NOR043 / 417</v>
      </c>
      <c r="B52" s="877" t="s">
        <v>8305</v>
      </c>
      <c r="C52" s="606" t="s">
        <v>8309</v>
      </c>
      <c r="D52" s="769" t="s">
        <v>3695</v>
      </c>
      <c r="E52" s="769" t="s">
        <v>3696</v>
      </c>
      <c r="F52" s="769" t="s">
        <v>72</v>
      </c>
      <c r="G52" s="769" t="s">
        <v>7674</v>
      </c>
      <c r="H52" s="769" t="s">
        <v>324</v>
      </c>
      <c r="I52" s="790"/>
      <c r="J52" s="790">
        <v>1140.4000000000001</v>
      </c>
      <c r="K52" s="790"/>
      <c r="L52" s="312">
        <v>1140.4000000000001</v>
      </c>
      <c r="M52" s="429" t="s">
        <v>3695</v>
      </c>
      <c r="N52" s="369" t="str">
        <f>VLOOKUP(D:D,'Master Table'!C:D,2,FALSE)</f>
        <v>417</v>
      </c>
      <c r="O52" s="69">
        <f>VLOOKUP(D:D,'Master Table'!C:O,13,FALSE)</f>
        <v>1302.6300000000001</v>
      </c>
      <c r="P52" s="856">
        <f>O52+O53</f>
        <v>1302.6300000000001</v>
      </c>
      <c r="Q52" s="902">
        <v>1744.08</v>
      </c>
      <c r="R52" s="644">
        <v>1193</v>
      </c>
      <c r="S52" s="645">
        <v>2000.27</v>
      </c>
      <c r="T52" s="645">
        <v>1023</v>
      </c>
    </row>
    <row r="53" spans="1:20" ht="29.1" customHeight="1" x14ac:dyDescent="0.2">
      <c r="A53" s="291" t="str">
        <f t="shared" ref="A53" si="9">M53&amp;" / "&amp;N53</f>
        <v>NOR043S2 / 263189</v>
      </c>
      <c r="B53" s="878"/>
      <c r="C53" s="529" t="s">
        <v>8308</v>
      </c>
      <c r="D53" s="769" t="s">
        <v>3698</v>
      </c>
      <c r="E53" s="769" t="s">
        <v>3699</v>
      </c>
      <c r="F53" s="769" t="s">
        <v>2896</v>
      </c>
      <c r="G53" s="769" t="s">
        <v>11036</v>
      </c>
      <c r="H53" s="769" t="s">
        <v>351</v>
      </c>
      <c r="I53" s="790"/>
      <c r="J53" s="790">
        <v>35.25</v>
      </c>
      <c r="K53" s="790"/>
      <c r="L53" s="312">
        <v>35.25</v>
      </c>
      <c r="M53" s="429" t="s">
        <v>3700</v>
      </c>
      <c r="N53" s="369" t="str">
        <f>VLOOKUP(D:D,'Master Table'!C:D,2,FALSE)</f>
        <v>263189</v>
      </c>
      <c r="O53" s="69">
        <f>VLOOKUP(D:D,'Master Table'!C:O,13,FALSE)</f>
        <v>0</v>
      </c>
      <c r="P53" s="857"/>
      <c r="Q53" s="903"/>
      <c r="R53" s="644"/>
      <c r="S53" s="645"/>
      <c r="T53" s="645"/>
    </row>
    <row r="54" spans="1:20" ht="29.1" customHeight="1" x14ac:dyDescent="0.2">
      <c r="A54" s="291" t="str">
        <f t="shared" ref="A54:A59" si="10">M54&amp;" / "&amp;N54</f>
        <v>NOR044 / 419</v>
      </c>
      <c r="B54" s="89" t="s">
        <v>3712</v>
      </c>
      <c r="C54" s="89" t="s">
        <v>1284</v>
      </c>
      <c r="D54" s="769" t="s">
        <v>3710</v>
      </c>
      <c r="E54" s="769" t="s">
        <v>3711</v>
      </c>
      <c r="F54" s="769" t="s">
        <v>428</v>
      </c>
      <c r="G54" s="769" t="s">
        <v>3712</v>
      </c>
      <c r="H54" s="769" t="s">
        <v>324</v>
      </c>
      <c r="I54" s="790">
        <v>1605.84</v>
      </c>
      <c r="J54" s="790">
        <v>535</v>
      </c>
      <c r="K54" s="790"/>
      <c r="L54" s="312">
        <v>2140.84</v>
      </c>
      <c r="M54" s="429" t="s">
        <v>3710</v>
      </c>
      <c r="N54" s="369" t="str">
        <f>VLOOKUP(D:D,'Master Table'!C:D,2,FALSE)</f>
        <v>419</v>
      </c>
      <c r="O54" s="69">
        <f>VLOOKUP(D:D,'Master Table'!C:O,13,FALSE)</f>
        <v>608.6</v>
      </c>
      <c r="P54" s="446">
        <v>608.6</v>
      </c>
      <c r="Q54" s="476">
        <v>530</v>
      </c>
      <c r="R54" s="644">
        <v>470</v>
      </c>
      <c r="S54" s="645">
        <v>538.6</v>
      </c>
      <c r="T54" s="645">
        <v>370</v>
      </c>
    </row>
    <row r="55" spans="1:20" ht="29.1" customHeight="1" x14ac:dyDescent="0.2">
      <c r="A55" s="291" t="str">
        <f t="shared" si="10"/>
        <v>NOR045 / 420</v>
      </c>
      <c r="B55" s="89" t="s">
        <v>3716</v>
      </c>
      <c r="C55" s="89" t="s">
        <v>3715</v>
      </c>
      <c r="D55" s="769" t="s">
        <v>3713</v>
      </c>
      <c r="E55" s="769" t="s">
        <v>3714</v>
      </c>
      <c r="F55" s="769" t="s">
        <v>3715</v>
      </c>
      <c r="G55" s="769" t="s">
        <v>3716</v>
      </c>
      <c r="H55" s="769" t="s">
        <v>324</v>
      </c>
      <c r="I55" s="790"/>
      <c r="J55" s="790">
        <v>250</v>
      </c>
      <c r="K55" s="790"/>
      <c r="L55" s="312">
        <v>250</v>
      </c>
      <c r="M55" s="429" t="s">
        <v>3713</v>
      </c>
      <c r="N55" s="369" t="str">
        <f>VLOOKUP(D:D,'Master Table'!C:D,2,FALSE)</f>
        <v>420</v>
      </c>
      <c r="O55" s="69">
        <f>VLOOKUP(D:D,'Master Table'!C:O,13,FALSE)</f>
        <v>298.36</v>
      </c>
      <c r="P55" s="446">
        <v>298.36</v>
      </c>
      <c r="Q55" s="476">
        <v>300</v>
      </c>
      <c r="R55" s="644">
        <v>315</v>
      </c>
      <c r="S55" s="645">
        <v>324.62</v>
      </c>
      <c r="T55" s="645">
        <v>230</v>
      </c>
    </row>
    <row r="56" spans="1:20" ht="29.1" customHeight="1" x14ac:dyDescent="0.2">
      <c r="A56" s="291" t="str">
        <f t="shared" si="10"/>
        <v>NOR047 / 422</v>
      </c>
      <c r="B56" s="89" t="s">
        <v>3723</v>
      </c>
      <c r="C56" s="89" t="s">
        <v>783</v>
      </c>
      <c r="D56" s="769" t="s">
        <v>3721</v>
      </c>
      <c r="E56" s="769" t="s">
        <v>3722</v>
      </c>
      <c r="F56" s="769" t="s">
        <v>783</v>
      </c>
      <c r="G56" s="769" t="s">
        <v>3723</v>
      </c>
      <c r="H56" s="769" t="s">
        <v>324</v>
      </c>
      <c r="I56" s="790"/>
      <c r="J56" s="790">
        <v>150</v>
      </c>
      <c r="K56" s="790"/>
      <c r="L56" s="312">
        <v>150</v>
      </c>
      <c r="M56" s="429" t="s">
        <v>3721</v>
      </c>
      <c r="N56" s="369" t="str">
        <f>VLOOKUP(D:D,'Master Table'!C:D,2,FALSE)</f>
        <v>422</v>
      </c>
      <c r="O56" s="69">
        <f>VLOOKUP(D:D,'Master Table'!C:O,13,FALSE)</f>
        <v>205.2</v>
      </c>
      <c r="P56" s="446">
        <v>205.2</v>
      </c>
      <c r="Q56" s="476">
        <v>346.21000000000004</v>
      </c>
      <c r="R56" s="644">
        <v>587.20000000000005</v>
      </c>
      <c r="S56" s="645">
        <v>272</v>
      </c>
      <c r="T56" s="645">
        <v>281</v>
      </c>
    </row>
    <row r="57" spans="1:20" ht="29.1" customHeight="1" x14ac:dyDescent="0.2">
      <c r="A57" s="291" t="str">
        <f t="shared" si="10"/>
        <v>NOR048 / 423</v>
      </c>
      <c r="B57" s="89" t="s">
        <v>3723</v>
      </c>
      <c r="C57" s="89" t="s">
        <v>7199</v>
      </c>
      <c r="D57" s="769" t="s">
        <v>3724</v>
      </c>
      <c r="E57" s="769" t="s">
        <v>3725</v>
      </c>
      <c r="F57" s="769" t="s">
        <v>442</v>
      </c>
      <c r="G57" s="769" t="s">
        <v>3723</v>
      </c>
      <c r="H57" s="769" t="s">
        <v>324</v>
      </c>
      <c r="I57" s="790"/>
      <c r="J57" s="790">
        <v>40</v>
      </c>
      <c r="K57" s="790">
        <v>467.77</v>
      </c>
      <c r="L57" s="312">
        <v>507.77</v>
      </c>
      <c r="M57" s="429" t="s">
        <v>3724</v>
      </c>
      <c r="N57" s="369" t="str">
        <f>VLOOKUP(D:D,'Master Table'!C:D,2,FALSE)</f>
        <v>423</v>
      </c>
      <c r="O57" s="69">
        <f>VLOOKUP(D:D,'Master Table'!C:O,13,FALSE)</f>
        <v>270</v>
      </c>
      <c r="P57" s="446">
        <v>270</v>
      </c>
      <c r="Q57" s="476">
        <v>966.34</v>
      </c>
      <c r="R57" s="644">
        <v>680</v>
      </c>
      <c r="S57" s="645">
        <v>423.95</v>
      </c>
      <c r="T57" s="645">
        <v>10</v>
      </c>
    </row>
    <row r="58" spans="1:20" ht="29.1" customHeight="1" x14ac:dyDescent="0.2">
      <c r="A58" s="291" t="str">
        <f t="shared" si="10"/>
        <v>NOR049 / 424</v>
      </c>
      <c r="B58" s="89" t="s">
        <v>3723</v>
      </c>
      <c r="C58" s="89" t="s">
        <v>1284</v>
      </c>
      <c r="D58" s="769" t="s">
        <v>3726</v>
      </c>
      <c r="E58" s="769" t="s">
        <v>3727</v>
      </c>
      <c r="F58" s="769" t="s">
        <v>47</v>
      </c>
      <c r="G58" s="769" t="s">
        <v>3723</v>
      </c>
      <c r="H58" s="769" t="s">
        <v>324</v>
      </c>
      <c r="I58" s="790">
        <v>753.53</v>
      </c>
      <c r="J58" s="790">
        <v>25</v>
      </c>
      <c r="K58" s="790"/>
      <c r="L58" s="312">
        <v>778.53</v>
      </c>
      <c r="M58" s="429" t="s">
        <v>3726</v>
      </c>
      <c r="N58" s="369" t="str">
        <f>VLOOKUP(D:D,'Master Table'!C:D,2,FALSE)</f>
        <v>424</v>
      </c>
      <c r="O58" s="69">
        <f>VLOOKUP(D:D,'Master Table'!C:O,13,FALSE)</f>
        <v>2412.34</v>
      </c>
      <c r="P58" s="446">
        <v>2412.34</v>
      </c>
      <c r="Q58" s="476">
        <v>1877.54</v>
      </c>
      <c r="R58" s="644">
        <v>1939.07</v>
      </c>
      <c r="S58" s="645">
        <v>1550.34</v>
      </c>
      <c r="T58" s="645">
        <v>1395</v>
      </c>
    </row>
    <row r="59" spans="1:20" ht="29.1" customHeight="1" x14ac:dyDescent="0.2">
      <c r="A59" s="291" t="str">
        <f t="shared" si="10"/>
        <v>NOR050 / 425</v>
      </c>
      <c r="B59" s="877" t="s">
        <v>3723</v>
      </c>
      <c r="C59" s="606" t="s">
        <v>8331</v>
      </c>
      <c r="D59" s="769" t="s">
        <v>3729</v>
      </c>
      <c r="E59" s="769" t="s">
        <v>3730</v>
      </c>
      <c r="F59" s="769" t="s">
        <v>3731</v>
      </c>
      <c r="G59" s="769" t="s">
        <v>3723</v>
      </c>
      <c r="H59" s="769" t="s">
        <v>351</v>
      </c>
      <c r="I59" s="790"/>
      <c r="J59" s="790">
        <v>55</v>
      </c>
      <c r="K59" s="790"/>
      <c r="L59" s="312">
        <v>55</v>
      </c>
      <c r="M59" s="429" t="s">
        <v>3729</v>
      </c>
      <c r="N59" s="369" t="str">
        <f>VLOOKUP(D:D,'Master Table'!C:D,2,FALSE)</f>
        <v>425</v>
      </c>
      <c r="O59" s="69">
        <f>VLOOKUP(D:D,'Master Table'!C:O,13,FALSE)</f>
        <v>55</v>
      </c>
      <c r="P59" s="856">
        <f>O59+O60</f>
        <v>382.06</v>
      </c>
      <c r="Q59" s="902">
        <v>783.79</v>
      </c>
      <c r="R59" s="644">
        <v>1706.3</v>
      </c>
      <c r="S59" s="645">
        <v>1999</v>
      </c>
      <c r="T59" s="645">
        <v>2075</v>
      </c>
    </row>
    <row r="60" spans="1:20" ht="29.1" customHeight="1" x14ac:dyDescent="0.2">
      <c r="A60" s="291" t="str">
        <f t="shared" ref="A60" si="11">M60&amp;" / "&amp;N60</f>
        <v>NOR054 / 430</v>
      </c>
      <c r="B60" s="878"/>
      <c r="C60" s="529" t="s">
        <v>8332</v>
      </c>
      <c r="D60" s="769" t="s">
        <v>3743</v>
      </c>
      <c r="E60" s="769" t="s">
        <v>3744</v>
      </c>
      <c r="F60" s="769" t="s">
        <v>1584</v>
      </c>
      <c r="G60" s="769" t="s">
        <v>3723</v>
      </c>
      <c r="H60" s="769" t="s">
        <v>351</v>
      </c>
      <c r="I60" s="790"/>
      <c r="J60" s="790"/>
      <c r="K60" s="790"/>
      <c r="L60" s="312"/>
      <c r="M60" s="429" t="s">
        <v>3743</v>
      </c>
      <c r="N60" s="369" t="str">
        <f>VLOOKUP(D:D,'Master Table'!C:D,2,FALSE)</f>
        <v>430</v>
      </c>
      <c r="O60" s="69">
        <f>VLOOKUP(D:D,'Master Table'!C:O,13,FALSE)</f>
        <v>327.06</v>
      </c>
      <c r="P60" s="857"/>
      <c r="Q60" s="903"/>
      <c r="R60" s="644"/>
      <c r="S60" s="645"/>
      <c r="T60" s="645"/>
    </row>
    <row r="61" spans="1:20" ht="29.1" customHeight="1" x14ac:dyDescent="0.2">
      <c r="A61" s="291" t="str">
        <f t="shared" ref="A61:A76" si="12">M61&amp;" / "&amp;N61</f>
        <v>NOR051 / 426</v>
      </c>
      <c r="B61" s="89" t="s">
        <v>3723</v>
      </c>
      <c r="C61" s="89" t="s">
        <v>532</v>
      </c>
      <c r="D61" s="769" t="s">
        <v>3732</v>
      </c>
      <c r="E61" s="769" t="s">
        <v>3733</v>
      </c>
      <c r="F61" s="769" t="s">
        <v>61</v>
      </c>
      <c r="G61" s="769" t="s">
        <v>3723</v>
      </c>
      <c r="H61" s="769" t="s">
        <v>324</v>
      </c>
      <c r="I61" s="790"/>
      <c r="J61" s="790">
        <v>890</v>
      </c>
      <c r="K61" s="790">
        <v>220.70999999999998</v>
      </c>
      <c r="L61" s="312">
        <v>1110.71</v>
      </c>
      <c r="M61" s="429" t="s">
        <v>3732</v>
      </c>
      <c r="N61" s="369" t="str">
        <f>VLOOKUP(D:D,'Master Table'!C:D,2,FALSE)</f>
        <v>426</v>
      </c>
      <c r="O61" s="69">
        <f>VLOOKUP(D:D,'Master Table'!C:O,13,FALSE)</f>
        <v>1337.08</v>
      </c>
      <c r="P61" s="446">
        <v>1337.08</v>
      </c>
      <c r="Q61" s="476">
        <v>1929.58</v>
      </c>
      <c r="R61" s="644">
        <v>1344</v>
      </c>
      <c r="S61" s="645">
        <v>1186.99</v>
      </c>
      <c r="T61" s="645">
        <v>799</v>
      </c>
    </row>
    <row r="62" spans="1:20" ht="29.1" customHeight="1" x14ac:dyDescent="0.2">
      <c r="A62" s="291" t="str">
        <f t="shared" si="12"/>
        <v>NOR052 / 428</v>
      </c>
      <c r="B62" s="89" t="s">
        <v>3723</v>
      </c>
      <c r="C62" s="89" t="s">
        <v>7677</v>
      </c>
      <c r="D62" s="769" t="s">
        <v>3734</v>
      </c>
      <c r="E62" s="769" t="s">
        <v>3735</v>
      </c>
      <c r="F62" s="769" t="s">
        <v>3736</v>
      </c>
      <c r="G62" s="769" t="s">
        <v>3723</v>
      </c>
      <c r="H62" s="791" t="s">
        <v>324</v>
      </c>
      <c r="I62" s="790">
        <v>1359.01</v>
      </c>
      <c r="J62" s="790">
        <v>25</v>
      </c>
      <c r="K62" s="790">
        <v>1000</v>
      </c>
      <c r="L62" s="312">
        <v>2384.0100000000002</v>
      </c>
      <c r="M62" s="429" t="s">
        <v>3734</v>
      </c>
      <c r="N62" s="369" t="str">
        <f>VLOOKUP(D:D,'Master Table'!C:D,2,FALSE)</f>
        <v>428</v>
      </c>
      <c r="O62" s="69">
        <f>VLOOKUP(D:D,'Master Table'!C:O,13,FALSE)</f>
        <v>2165.3199999999997</v>
      </c>
      <c r="P62" s="446">
        <v>2165.3199999999997</v>
      </c>
      <c r="Q62" s="476">
        <v>2160.63</v>
      </c>
      <c r="R62" s="644">
        <v>2226</v>
      </c>
      <c r="S62" s="645">
        <v>2102.1000000000004</v>
      </c>
      <c r="T62" s="645">
        <v>2258</v>
      </c>
    </row>
    <row r="63" spans="1:20" ht="29.1" customHeight="1" x14ac:dyDescent="0.2">
      <c r="A63" s="291" t="str">
        <f t="shared" si="12"/>
        <v>NOR053 / 429</v>
      </c>
      <c r="B63" s="89" t="s">
        <v>3723</v>
      </c>
      <c r="C63" s="89" t="s">
        <v>7678</v>
      </c>
      <c r="D63" s="769" t="s">
        <v>3740</v>
      </c>
      <c r="E63" s="769" t="s">
        <v>3741</v>
      </c>
      <c r="F63" s="769" t="s">
        <v>3742</v>
      </c>
      <c r="G63" s="769" t="s">
        <v>3723</v>
      </c>
      <c r="H63" s="769" t="s">
        <v>324</v>
      </c>
      <c r="I63" s="790"/>
      <c r="J63" s="790">
        <v>295</v>
      </c>
      <c r="K63" s="790"/>
      <c r="L63" s="312">
        <v>295</v>
      </c>
      <c r="M63" s="429" t="s">
        <v>3740</v>
      </c>
      <c r="N63" s="369" t="str">
        <f>VLOOKUP(D:D,'Master Table'!C:D,2,FALSE)</f>
        <v>429</v>
      </c>
      <c r="O63" s="69">
        <f>VLOOKUP(D:D,'Master Table'!C:O,13,FALSE)</f>
        <v>730</v>
      </c>
      <c r="P63" s="446">
        <v>730</v>
      </c>
      <c r="Q63" s="476">
        <v>2993.5</v>
      </c>
      <c r="R63" s="644">
        <v>235</v>
      </c>
      <c r="S63" s="645">
        <v>394.15</v>
      </c>
      <c r="T63" s="645">
        <v>235</v>
      </c>
    </row>
    <row r="64" spans="1:20" ht="29.1" customHeight="1" x14ac:dyDescent="0.2">
      <c r="A64" s="291" t="str">
        <f t="shared" si="12"/>
        <v>NOR055 / 431</v>
      </c>
      <c r="B64" s="89" t="s">
        <v>3747</v>
      </c>
      <c r="C64" s="89" t="s">
        <v>1065</v>
      </c>
      <c r="D64" s="769" t="s">
        <v>3745</v>
      </c>
      <c r="E64" s="769" t="s">
        <v>3746</v>
      </c>
      <c r="F64" s="769" t="s">
        <v>276</v>
      </c>
      <c r="G64" s="769" t="s">
        <v>3747</v>
      </c>
      <c r="H64" s="769" t="s">
        <v>324</v>
      </c>
      <c r="I64" s="790">
        <v>104.01</v>
      </c>
      <c r="J64" s="790">
        <v>480</v>
      </c>
      <c r="K64" s="790">
        <v>25</v>
      </c>
      <c r="L64" s="312">
        <v>609.01</v>
      </c>
      <c r="M64" s="429" t="s">
        <v>3745</v>
      </c>
      <c r="N64" s="369" t="str">
        <f>VLOOKUP(D:D,'Master Table'!C:D,2,FALSE)</f>
        <v>431</v>
      </c>
      <c r="O64" s="69">
        <f>VLOOKUP(D:D,'Master Table'!C:O,13,FALSE)</f>
        <v>575.43000000000006</v>
      </c>
      <c r="P64" s="446">
        <v>575.43000000000006</v>
      </c>
      <c r="Q64" s="476">
        <v>596.98</v>
      </c>
      <c r="R64" s="644">
        <v>572.07999999999993</v>
      </c>
      <c r="S64" s="645">
        <v>100</v>
      </c>
      <c r="T64" s="645">
        <v>110</v>
      </c>
    </row>
    <row r="65" spans="1:20" ht="29.1" customHeight="1" x14ac:dyDescent="0.2">
      <c r="A65" s="291" t="str">
        <f t="shared" si="12"/>
        <v>NOR056 / 432</v>
      </c>
      <c r="B65" s="89" t="s">
        <v>3750</v>
      </c>
      <c r="C65" s="89" t="s">
        <v>7317</v>
      </c>
      <c r="D65" s="769" t="s">
        <v>3748</v>
      </c>
      <c r="E65" s="769" t="s">
        <v>3749</v>
      </c>
      <c r="F65" s="769" t="s">
        <v>1203</v>
      </c>
      <c r="G65" s="769" t="s">
        <v>3750</v>
      </c>
      <c r="H65" s="769" t="s">
        <v>351</v>
      </c>
      <c r="I65" s="790"/>
      <c r="J65" s="790">
        <v>45</v>
      </c>
      <c r="K65" s="790"/>
      <c r="L65" s="312">
        <v>45</v>
      </c>
      <c r="M65" s="429" t="s">
        <v>3748</v>
      </c>
      <c r="N65" s="369" t="str">
        <f>VLOOKUP(D:D,'Master Table'!C:D,2,FALSE)</f>
        <v>432</v>
      </c>
      <c r="O65" s="69">
        <f>VLOOKUP(D:D,'Master Table'!C:O,13,FALSE)</f>
        <v>15</v>
      </c>
      <c r="P65" s="446">
        <v>15</v>
      </c>
      <c r="Q65" s="476">
        <v>35</v>
      </c>
      <c r="R65" s="644">
        <v>50</v>
      </c>
      <c r="S65" s="645">
        <v>30</v>
      </c>
      <c r="T65" s="645">
        <v>60</v>
      </c>
    </row>
    <row r="66" spans="1:20" ht="29.1" customHeight="1" x14ac:dyDescent="0.2">
      <c r="A66" s="291" t="str">
        <f t="shared" si="12"/>
        <v>NOR057 / 433</v>
      </c>
      <c r="B66" s="89" t="s">
        <v>3750</v>
      </c>
      <c r="C66" s="89" t="s">
        <v>1160</v>
      </c>
      <c r="D66" s="769" t="s">
        <v>3754</v>
      </c>
      <c r="E66" s="769" t="s">
        <v>3755</v>
      </c>
      <c r="F66" s="769" t="s">
        <v>3756</v>
      </c>
      <c r="G66" s="769" t="s">
        <v>3750</v>
      </c>
      <c r="H66" s="769" t="s">
        <v>324</v>
      </c>
      <c r="I66" s="790">
        <v>89</v>
      </c>
      <c r="J66" s="790">
        <v>240</v>
      </c>
      <c r="K66" s="790"/>
      <c r="L66" s="312">
        <v>329</v>
      </c>
      <c r="M66" s="429" t="s">
        <v>3754</v>
      </c>
      <c r="N66" s="369" t="str">
        <f>VLOOKUP(D:D,'Master Table'!C:D,2,FALSE)</f>
        <v>433</v>
      </c>
      <c r="O66" s="69">
        <f>VLOOKUP(D:D,'Master Table'!C:O,13,FALSE)</f>
        <v>812</v>
      </c>
      <c r="P66" s="446">
        <v>812</v>
      </c>
      <c r="Q66" s="476">
        <v>1245</v>
      </c>
      <c r="R66" s="644">
        <v>824</v>
      </c>
      <c r="S66" s="645">
        <v>822</v>
      </c>
      <c r="T66" s="645">
        <v>1045</v>
      </c>
    </row>
    <row r="67" spans="1:20" ht="29.1" customHeight="1" x14ac:dyDescent="0.2">
      <c r="A67" s="291" t="str">
        <f t="shared" si="12"/>
        <v>NOR059 / 435</v>
      </c>
      <c r="B67" s="89" t="s">
        <v>3750</v>
      </c>
      <c r="C67" s="89" t="s">
        <v>7679</v>
      </c>
      <c r="D67" s="769" t="s">
        <v>3757</v>
      </c>
      <c r="E67" s="769" t="s">
        <v>3758</v>
      </c>
      <c r="F67" s="769" t="s">
        <v>3759</v>
      </c>
      <c r="G67" s="769" t="s">
        <v>3750</v>
      </c>
      <c r="H67" s="769" t="s">
        <v>351</v>
      </c>
      <c r="I67" s="790"/>
      <c r="J67" s="790">
        <v>380</v>
      </c>
      <c r="K67" s="790">
        <v>10</v>
      </c>
      <c r="L67" s="312">
        <v>390</v>
      </c>
      <c r="M67" s="429" t="s">
        <v>3757</v>
      </c>
      <c r="N67" s="369" t="str">
        <f>VLOOKUP(D:D,'Master Table'!C:D,2,FALSE)</f>
        <v>435</v>
      </c>
      <c r="O67" s="69">
        <f>VLOOKUP(D:D,'Master Table'!C:O,13,FALSE)</f>
        <v>387</v>
      </c>
      <c r="P67" s="446">
        <v>387</v>
      </c>
      <c r="Q67" s="476">
        <v>2129</v>
      </c>
      <c r="R67" s="644">
        <v>415</v>
      </c>
      <c r="S67" s="645">
        <v>560</v>
      </c>
      <c r="T67" s="645">
        <v>412</v>
      </c>
    </row>
    <row r="68" spans="1:20" ht="29.1" customHeight="1" x14ac:dyDescent="0.2">
      <c r="A68" s="291" t="str">
        <f t="shared" si="12"/>
        <v>NOR060 / 436</v>
      </c>
      <c r="B68" s="89" t="s">
        <v>3750</v>
      </c>
      <c r="C68" s="89" t="s">
        <v>7680</v>
      </c>
      <c r="D68" s="769" t="s">
        <v>3763</v>
      </c>
      <c r="E68" s="769" t="s">
        <v>3764</v>
      </c>
      <c r="F68" s="769" t="s">
        <v>3765</v>
      </c>
      <c r="G68" s="769" t="s">
        <v>3750</v>
      </c>
      <c r="H68" s="769" t="s">
        <v>324</v>
      </c>
      <c r="I68" s="790">
        <v>403.05</v>
      </c>
      <c r="J68" s="790">
        <v>381</v>
      </c>
      <c r="K68" s="790"/>
      <c r="L68" s="312">
        <v>784.05</v>
      </c>
      <c r="M68" s="429" t="s">
        <v>3763</v>
      </c>
      <c r="N68" s="369" t="str">
        <f>VLOOKUP(D:D,'Master Table'!C:D,2,FALSE)</f>
        <v>436</v>
      </c>
      <c r="O68" s="69">
        <f>VLOOKUP(D:D,'Master Table'!C:O,13,FALSE)</f>
        <v>1288.71</v>
      </c>
      <c r="P68" s="446">
        <v>1288.71</v>
      </c>
      <c r="Q68" s="476">
        <v>1172.96</v>
      </c>
      <c r="R68" s="644">
        <v>1505.24</v>
      </c>
      <c r="S68" s="645">
        <v>1119.6199999999999</v>
      </c>
      <c r="T68" s="645">
        <v>897</v>
      </c>
    </row>
    <row r="69" spans="1:20" ht="29.1" customHeight="1" x14ac:dyDescent="0.2">
      <c r="A69" s="291" t="str">
        <f t="shared" si="12"/>
        <v>NOR060X / 437</v>
      </c>
      <c r="B69" s="89" t="s">
        <v>3750</v>
      </c>
      <c r="C69" s="89" t="s">
        <v>3771</v>
      </c>
      <c r="D69" s="769" t="s">
        <v>3769</v>
      </c>
      <c r="E69" s="769" t="s">
        <v>3770</v>
      </c>
      <c r="F69" s="769" t="s">
        <v>3771</v>
      </c>
      <c r="G69" s="769" t="s">
        <v>3750</v>
      </c>
      <c r="H69" s="769" t="s">
        <v>324</v>
      </c>
      <c r="I69" s="790"/>
      <c r="J69" s="790">
        <v>280</v>
      </c>
      <c r="K69" s="790"/>
      <c r="L69" s="312">
        <v>280</v>
      </c>
      <c r="M69" s="429" t="s">
        <v>3769</v>
      </c>
      <c r="N69" s="369" t="str">
        <f>VLOOKUP(D:D,'Master Table'!C:D,2,FALSE)</f>
        <v>437</v>
      </c>
      <c r="O69" s="69">
        <f>VLOOKUP(D:D,'Master Table'!C:O,13,FALSE)</f>
        <v>265</v>
      </c>
      <c r="P69" s="446">
        <v>265</v>
      </c>
      <c r="Q69" s="476">
        <v>842.09999999999991</v>
      </c>
      <c r="R69" s="644">
        <v>446</v>
      </c>
      <c r="S69" s="645">
        <v>659.47</v>
      </c>
      <c r="T69" s="645">
        <v>536</v>
      </c>
    </row>
    <row r="70" spans="1:20" ht="29.1" customHeight="1" x14ac:dyDescent="0.2">
      <c r="A70" s="291" t="str">
        <f t="shared" si="12"/>
        <v>NOR061 / 439</v>
      </c>
      <c r="B70" s="89" t="s">
        <v>3775</v>
      </c>
      <c r="C70" s="89" t="s">
        <v>7681</v>
      </c>
      <c r="D70" s="769" t="s">
        <v>3772</v>
      </c>
      <c r="E70" s="769" t="s">
        <v>3773</v>
      </c>
      <c r="F70" s="769" t="s">
        <v>3774</v>
      </c>
      <c r="G70" s="769" t="s">
        <v>3775</v>
      </c>
      <c r="H70" s="769" t="s">
        <v>324</v>
      </c>
      <c r="I70" s="790"/>
      <c r="J70" s="790">
        <v>460</v>
      </c>
      <c r="K70" s="790"/>
      <c r="L70" s="312">
        <v>460</v>
      </c>
      <c r="M70" s="429" t="s">
        <v>3772</v>
      </c>
      <c r="N70" s="369" t="str">
        <f>VLOOKUP(D:D,'Master Table'!C:D,2,FALSE)</f>
        <v>439</v>
      </c>
      <c r="O70" s="69">
        <f>VLOOKUP(D:D,'Master Table'!C:O,13,FALSE)</f>
        <v>719</v>
      </c>
      <c r="P70" s="446">
        <v>719</v>
      </c>
      <c r="Q70" s="476">
        <v>429.95</v>
      </c>
      <c r="R70" s="644">
        <v>465</v>
      </c>
      <c r="S70" s="645">
        <v>445</v>
      </c>
      <c r="T70" s="645">
        <v>1476</v>
      </c>
    </row>
    <row r="71" spans="1:20" ht="29.1" customHeight="1" x14ac:dyDescent="0.2">
      <c r="A71" s="291" t="str">
        <f t="shared" si="12"/>
        <v>NOR062 / 440</v>
      </c>
      <c r="B71" s="89" t="s">
        <v>3781</v>
      </c>
      <c r="C71" s="89" t="s">
        <v>7682</v>
      </c>
      <c r="D71" s="769" t="s">
        <v>3778</v>
      </c>
      <c r="E71" s="769" t="s">
        <v>3779</v>
      </c>
      <c r="F71" s="769" t="s">
        <v>3780</v>
      </c>
      <c r="G71" s="769" t="s">
        <v>3781</v>
      </c>
      <c r="H71" s="769" t="s">
        <v>324</v>
      </c>
      <c r="I71" s="790"/>
      <c r="J71" s="790">
        <v>200</v>
      </c>
      <c r="K71" s="790">
        <v>381.59999999999997</v>
      </c>
      <c r="L71" s="312">
        <v>581.59999999999991</v>
      </c>
      <c r="M71" s="429" t="s">
        <v>3778</v>
      </c>
      <c r="N71" s="369" t="str">
        <f>VLOOKUP(D:D,'Master Table'!C:D,2,FALSE)</f>
        <v>440</v>
      </c>
      <c r="O71" s="69">
        <f>VLOOKUP(D:D,'Master Table'!C:O,13,FALSE)</f>
        <v>1148.0900000000001</v>
      </c>
      <c r="P71" s="446">
        <v>1148.0900000000001</v>
      </c>
      <c r="Q71" s="476">
        <v>1209.6300000000001</v>
      </c>
      <c r="R71" s="644">
        <v>1191.29</v>
      </c>
      <c r="S71" s="645">
        <v>1037.27</v>
      </c>
      <c r="T71" s="645">
        <v>1103</v>
      </c>
    </row>
    <row r="72" spans="1:20" ht="29.1" customHeight="1" x14ac:dyDescent="0.2">
      <c r="A72" s="291" t="str">
        <f t="shared" si="12"/>
        <v>NOR064 / 442</v>
      </c>
      <c r="B72" s="89" t="s">
        <v>3788</v>
      </c>
      <c r="C72" s="89" t="s">
        <v>934</v>
      </c>
      <c r="D72" s="769" t="s">
        <v>3786</v>
      </c>
      <c r="E72" s="769" t="s">
        <v>3787</v>
      </c>
      <c r="F72" s="769" t="s">
        <v>934</v>
      </c>
      <c r="G72" s="769" t="s">
        <v>3788</v>
      </c>
      <c r="H72" s="769" t="s">
        <v>324</v>
      </c>
      <c r="I72" s="790">
        <v>710.28</v>
      </c>
      <c r="J72" s="790">
        <v>2120</v>
      </c>
      <c r="K72" s="790"/>
      <c r="L72" s="312">
        <v>2830.2799999999997</v>
      </c>
      <c r="M72" s="429" t="s">
        <v>3786</v>
      </c>
      <c r="N72" s="369" t="str">
        <f>VLOOKUP(D:D,'Master Table'!C:D,2,FALSE)</f>
        <v>442</v>
      </c>
      <c r="O72" s="69">
        <f>VLOOKUP(D:D,'Master Table'!C:O,13,FALSE)</f>
        <v>3225.23</v>
      </c>
      <c r="P72" s="446">
        <v>3225.23</v>
      </c>
      <c r="Q72" s="476">
        <v>1394.14</v>
      </c>
      <c r="R72" s="644">
        <v>890.73</v>
      </c>
      <c r="S72" s="645">
        <v>323</v>
      </c>
      <c r="T72" s="645">
        <v>300</v>
      </c>
    </row>
    <row r="73" spans="1:20" ht="29.1" customHeight="1" x14ac:dyDescent="0.2">
      <c r="A73" s="291" t="str">
        <f t="shared" si="12"/>
        <v>NOR065 / 443</v>
      </c>
      <c r="B73" s="89" t="s">
        <v>3792</v>
      </c>
      <c r="C73" s="89" t="s">
        <v>1065</v>
      </c>
      <c r="D73" s="769" t="s">
        <v>3789</v>
      </c>
      <c r="E73" s="769" t="s">
        <v>3790</v>
      </c>
      <c r="F73" s="769" t="s">
        <v>3791</v>
      </c>
      <c r="G73" s="769" t="s">
        <v>3792</v>
      </c>
      <c r="H73" s="769" t="s">
        <v>324</v>
      </c>
      <c r="I73" s="790">
        <v>281.55</v>
      </c>
      <c r="J73" s="790">
        <v>560</v>
      </c>
      <c r="K73" s="790"/>
      <c r="L73" s="312">
        <v>841.55</v>
      </c>
      <c r="M73" s="429" t="s">
        <v>3789</v>
      </c>
      <c r="N73" s="369" t="str">
        <f>VLOOKUP(D:D,'Master Table'!C:D,2,FALSE)</f>
        <v>443</v>
      </c>
      <c r="O73" s="69">
        <f>VLOOKUP(D:D,'Master Table'!C:O,13,FALSE)</f>
        <v>1084.44</v>
      </c>
      <c r="P73" s="446">
        <v>1084.44</v>
      </c>
      <c r="Q73" s="476">
        <v>696.26</v>
      </c>
      <c r="R73" s="644">
        <v>773.12</v>
      </c>
      <c r="S73" s="645">
        <v>650.03</v>
      </c>
      <c r="T73" s="645">
        <v>578</v>
      </c>
    </row>
    <row r="74" spans="1:20" ht="29.1" customHeight="1" x14ac:dyDescent="0.2">
      <c r="A74" s="291" t="str">
        <f t="shared" si="12"/>
        <v>NOR066 / 444</v>
      </c>
      <c r="B74" s="89" t="s">
        <v>3795</v>
      </c>
      <c r="C74" s="89" t="s">
        <v>896</v>
      </c>
      <c r="D74" s="769" t="s">
        <v>3793</v>
      </c>
      <c r="E74" s="769" t="s">
        <v>3794</v>
      </c>
      <c r="F74" s="769" t="s">
        <v>896</v>
      </c>
      <c r="G74" s="769" t="s">
        <v>3795</v>
      </c>
      <c r="H74" s="769" t="s">
        <v>324</v>
      </c>
      <c r="I74" s="790"/>
      <c r="J74" s="790">
        <v>180</v>
      </c>
      <c r="K74" s="790"/>
      <c r="L74" s="312">
        <v>180</v>
      </c>
      <c r="M74" s="429" t="s">
        <v>3793</v>
      </c>
      <c r="N74" s="369" t="str">
        <f>VLOOKUP(D:D,'Master Table'!C:D,2,FALSE)</f>
        <v>444</v>
      </c>
      <c r="O74" s="69">
        <f>VLOOKUP(D:D,'Master Table'!C:O,13,FALSE)</f>
        <v>184.56</v>
      </c>
      <c r="P74" s="446">
        <v>184.56</v>
      </c>
      <c r="Q74" s="476">
        <v>312.74</v>
      </c>
      <c r="R74" s="644">
        <v>250.51</v>
      </c>
      <c r="S74" s="645">
        <v>336.25</v>
      </c>
      <c r="T74" s="645">
        <v>200</v>
      </c>
    </row>
    <row r="75" spans="1:20" ht="29.1" customHeight="1" x14ac:dyDescent="0.2">
      <c r="A75" s="291" t="str">
        <f t="shared" si="12"/>
        <v>NOR067 / 445</v>
      </c>
      <c r="B75" s="89" t="s">
        <v>3646</v>
      </c>
      <c r="C75" s="89" t="s">
        <v>3798</v>
      </c>
      <c r="D75" s="769" t="s">
        <v>3796</v>
      </c>
      <c r="E75" s="769" t="s">
        <v>3797</v>
      </c>
      <c r="F75" s="769" t="s">
        <v>3798</v>
      </c>
      <c r="G75" s="769" t="s">
        <v>3646</v>
      </c>
      <c r="H75" s="769" t="s">
        <v>324</v>
      </c>
      <c r="I75" s="790">
        <v>416.62</v>
      </c>
      <c r="J75" s="790">
        <v>125</v>
      </c>
      <c r="K75" s="790"/>
      <c r="L75" s="312">
        <v>541.62</v>
      </c>
      <c r="M75" s="429" t="s">
        <v>3796</v>
      </c>
      <c r="N75" s="369" t="str">
        <f>VLOOKUP(D:D,'Master Table'!C:D,2,FALSE)</f>
        <v>445</v>
      </c>
      <c r="O75" s="69">
        <f>VLOOKUP(D:D,'Master Table'!C:O,13,FALSE)</f>
        <v>354</v>
      </c>
      <c r="P75" s="446">
        <v>354</v>
      </c>
      <c r="Q75" s="476">
        <v>544.30999999999995</v>
      </c>
      <c r="R75" s="644">
        <v>941.5</v>
      </c>
      <c r="S75" s="645">
        <v>1372</v>
      </c>
      <c r="T75" s="645">
        <v>80</v>
      </c>
    </row>
    <row r="76" spans="1:20" ht="29.1" customHeight="1" x14ac:dyDescent="0.2">
      <c r="A76" s="291" t="str">
        <f t="shared" si="12"/>
        <v>NOR068 / 447</v>
      </c>
      <c r="B76" s="89" t="s">
        <v>3646</v>
      </c>
      <c r="C76" s="89" t="s">
        <v>1584</v>
      </c>
      <c r="D76" s="769" t="s">
        <v>3800</v>
      </c>
      <c r="E76" s="769" t="s">
        <v>3801</v>
      </c>
      <c r="F76" s="769" t="s">
        <v>3669</v>
      </c>
      <c r="G76" s="769" t="s">
        <v>3646</v>
      </c>
      <c r="H76" s="769" t="s">
        <v>324</v>
      </c>
      <c r="I76" s="790">
        <v>389</v>
      </c>
      <c r="J76" s="790">
        <v>586</v>
      </c>
      <c r="K76" s="790"/>
      <c r="L76" s="312">
        <v>975</v>
      </c>
      <c r="M76" s="429" t="s">
        <v>3800</v>
      </c>
      <c r="N76" s="369" t="str">
        <f>VLOOKUP(D:D,'Master Table'!C:D,2,FALSE)</f>
        <v>447</v>
      </c>
      <c r="O76" s="69">
        <f>VLOOKUP(D:D,'Master Table'!C:O,13,FALSE)</f>
        <v>2933.44</v>
      </c>
      <c r="P76" s="446">
        <v>2933.44</v>
      </c>
      <c r="Q76" s="476">
        <v>1349.1399999999999</v>
      </c>
      <c r="R76" s="644">
        <v>1783</v>
      </c>
      <c r="S76" s="645">
        <v>1702.12</v>
      </c>
      <c r="T76" s="645">
        <v>1489</v>
      </c>
    </row>
    <row r="77" spans="1:20" ht="29.1" customHeight="1" x14ac:dyDescent="0.2">
      <c r="A77" s="89" t="s">
        <v>3802</v>
      </c>
      <c r="B77" s="89" t="s">
        <v>3805</v>
      </c>
      <c r="C77" s="89" t="s">
        <v>3804</v>
      </c>
      <c r="D77" s="769" t="s">
        <v>3802</v>
      </c>
      <c r="E77" s="769" t="s">
        <v>3803</v>
      </c>
      <c r="F77" s="769" t="s">
        <v>3804</v>
      </c>
      <c r="G77" s="769" t="s">
        <v>3805</v>
      </c>
      <c r="H77" s="769" t="s">
        <v>351</v>
      </c>
      <c r="I77" s="790"/>
      <c r="J77" s="790">
        <v>120</v>
      </c>
      <c r="K77" s="790"/>
      <c r="L77" s="312">
        <v>120</v>
      </c>
      <c r="M77" s="429"/>
      <c r="N77" s="369"/>
      <c r="O77" s="69"/>
      <c r="P77" s="446"/>
      <c r="Q77" s="476"/>
      <c r="R77" s="644"/>
      <c r="S77" s="645"/>
      <c r="T77" s="645"/>
    </row>
    <row r="78" spans="1:20" ht="29.1" customHeight="1" x14ac:dyDescent="0.2">
      <c r="A78" s="89" t="s">
        <v>3806</v>
      </c>
      <c r="B78" s="89" t="s">
        <v>3807</v>
      </c>
      <c r="C78" s="89" t="s">
        <v>453</v>
      </c>
      <c r="D78" s="769" t="s">
        <v>3806</v>
      </c>
      <c r="E78" s="769" t="s">
        <v>8426</v>
      </c>
      <c r="F78" s="769" t="s">
        <v>453</v>
      </c>
      <c r="G78" s="769" t="s">
        <v>3807</v>
      </c>
      <c r="H78" s="769" t="s">
        <v>351</v>
      </c>
      <c r="I78" s="790"/>
      <c r="J78" s="790">
        <v>100</v>
      </c>
      <c r="K78" s="790"/>
      <c r="L78" s="312">
        <v>100</v>
      </c>
      <c r="M78" s="429"/>
      <c r="N78" s="369"/>
      <c r="O78" s="69"/>
      <c r="P78" s="446"/>
      <c r="Q78" s="476"/>
      <c r="R78" s="644"/>
      <c r="S78" s="645"/>
      <c r="T78" s="645"/>
    </row>
    <row r="79" spans="1:20" ht="29.1" customHeight="1" x14ac:dyDescent="0.2">
      <c r="A79" s="291" t="str">
        <f t="shared" ref="A79:A85" si="13">M79&amp;" / "&amp;N79</f>
        <v>NOR070 / 449</v>
      </c>
      <c r="B79" s="89" t="s">
        <v>3810</v>
      </c>
      <c r="C79" s="89" t="s">
        <v>453</v>
      </c>
      <c r="D79" s="769" t="s">
        <v>3808</v>
      </c>
      <c r="E79" s="769" t="s">
        <v>3809</v>
      </c>
      <c r="F79" s="769" t="s">
        <v>56</v>
      </c>
      <c r="G79" s="769" t="s">
        <v>3810</v>
      </c>
      <c r="H79" s="769" t="s">
        <v>351</v>
      </c>
      <c r="I79" s="790">
        <v>422.91</v>
      </c>
      <c r="J79" s="790">
        <v>50</v>
      </c>
      <c r="K79" s="790"/>
      <c r="L79" s="312">
        <v>472.91</v>
      </c>
      <c r="M79" s="429" t="s">
        <v>3808</v>
      </c>
      <c r="N79" s="369" t="str">
        <f>VLOOKUP(D:D,'Master Table'!C:D,2,FALSE)</f>
        <v>449</v>
      </c>
      <c r="O79" s="69">
        <f>VLOOKUP(D:D,'Master Table'!C:O,13,FALSE)</f>
        <v>831.72</v>
      </c>
      <c r="P79" s="446">
        <v>831.72</v>
      </c>
      <c r="Q79" s="476">
        <v>902</v>
      </c>
      <c r="R79" s="644">
        <v>508</v>
      </c>
      <c r="S79" s="645">
        <v>553</v>
      </c>
      <c r="T79" s="645">
        <v>200</v>
      </c>
    </row>
    <row r="80" spans="1:20" ht="29.1" customHeight="1" x14ac:dyDescent="0.2">
      <c r="A80" s="291" t="str">
        <f t="shared" si="13"/>
        <v>NOR071 / 450</v>
      </c>
      <c r="B80" s="89" t="s">
        <v>3813</v>
      </c>
      <c r="C80" s="89" t="s">
        <v>1696</v>
      </c>
      <c r="D80" s="769" t="s">
        <v>3811</v>
      </c>
      <c r="E80" s="769" t="s">
        <v>3812</v>
      </c>
      <c r="F80" s="769" t="s">
        <v>1696</v>
      </c>
      <c r="G80" s="769" t="s">
        <v>3813</v>
      </c>
      <c r="H80" s="769" t="s">
        <v>324</v>
      </c>
      <c r="I80" s="790"/>
      <c r="J80" s="790">
        <v>180</v>
      </c>
      <c r="K80" s="790">
        <v>467.84</v>
      </c>
      <c r="L80" s="312">
        <v>647.83999999999992</v>
      </c>
      <c r="M80" s="429" t="s">
        <v>3811</v>
      </c>
      <c r="N80" s="369" t="str">
        <f>VLOOKUP(D:D,'Master Table'!C:D,2,FALSE)</f>
        <v>450</v>
      </c>
      <c r="O80" s="69">
        <f>VLOOKUP(D:D,'Master Table'!C:O,13,FALSE)</f>
        <v>1705.45</v>
      </c>
      <c r="P80" s="446">
        <v>1705.45</v>
      </c>
      <c r="Q80" s="476">
        <v>456.96</v>
      </c>
      <c r="R80" s="644">
        <v>1115</v>
      </c>
      <c r="S80" s="645">
        <v>501.11</v>
      </c>
      <c r="T80" s="645">
        <v>1144</v>
      </c>
    </row>
    <row r="81" spans="1:20" ht="29.1" customHeight="1" x14ac:dyDescent="0.2">
      <c r="A81" s="291" t="str">
        <f t="shared" si="13"/>
        <v>NOR072 / 0444533</v>
      </c>
      <c r="B81" s="89" t="s">
        <v>3822</v>
      </c>
      <c r="C81" s="89" t="s">
        <v>7683</v>
      </c>
      <c r="D81" s="769" t="s">
        <v>3820</v>
      </c>
      <c r="E81" s="769" t="s">
        <v>3821</v>
      </c>
      <c r="F81" s="769" t="s">
        <v>66</v>
      </c>
      <c r="G81" s="769" t="s">
        <v>3822</v>
      </c>
      <c r="H81" s="769" t="s">
        <v>351</v>
      </c>
      <c r="I81" s="790"/>
      <c r="J81" s="790"/>
      <c r="K81" s="790"/>
      <c r="L81" s="312">
        <v>0</v>
      </c>
      <c r="M81" s="429" t="s">
        <v>3820</v>
      </c>
      <c r="N81" s="369" t="str">
        <f>VLOOKUP(D:D,'Master Table'!C:D,2,FALSE)</f>
        <v>0444533</v>
      </c>
      <c r="O81" s="69">
        <f>VLOOKUP(D:D,'Master Table'!C:O,13,FALSE)</f>
        <v>0</v>
      </c>
      <c r="P81" s="446">
        <v>0</v>
      </c>
      <c r="Q81" s="476">
        <v>260</v>
      </c>
      <c r="R81" s="644">
        <v>260</v>
      </c>
      <c r="S81" s="645"/>
      <c r="T81" s="645">
        <v>860</v>
      </c>
    </row>
    <row r="82" spans="1:20" ht="29.1" customHeight="1" x14ac:dyDescent="0.2">
      <c r="A82" s="291" t="str">
        <f t="shared" si="13"/>
        <v>NOR073 / 451</v>
      </c>
      <c r="B82" s="89" t="s">
        <v>3826</v>
      </c>
      <c r="C82" s="89" t="s">
        <v>7684</v>
      </c>
      <c r="D82" s="769" t="s">
        <v>3823</v>
      </c>
      <c r="E82" s="769" t="s">
        <v>3824</v>
      </c>
      <c r="F82" s="769" t="s">
        <v>3825</v>
      </c>
      <c r="G82" s="769" t="s">
        <v>3826</v>
      </c>
      <c r="H82" s="769" t="s">
        <v>324</v>
      </c>
      <c r="I82" s="790"/>
      <c r="J82" s="790">
        <v>130</v>
      </c>
      <c r="K82" s="790"/>
      <c r="L82" s="312">
        <v>130</v>
      </c>
      <c r="M82" s="429" t="s">
        <v>3823</v>
      </c>
      <c r="N82" s="369" t="str">
        <f>VLOOKUP(D:D,'Master Table'!C:D,2,FALSE)</f>
        <v>451</v>
      </c>
      <c r="O82" s="69">
        <f>VLOOKUP(D:D,'Master Table'!C:O,13,FALSE)</f>
        <v>85</v>
      </c>
      <c r="P82" s="446">
        <v>85</v>
      </c>
      <c r="Q82" s="476">
        <v>680</v>
      </c>
      <c r="R82" s="644">
        <v>165</v>
      </c>
      <c r="S82" s="645">
        <v>140</v>
      </c>
      <c r="T82" s="645">
        <v>95</v>
      </c>
    </row>
    <row r="83" spans="1:20" ht="29.1" customHeight="1" x14ac:dyDescent="0.2">
      <c r="A83" s="291" t="str">
        <f t="shared" si="13"/>
        <v>NOR074 / 452</v>
      </c>
      <c r="B83" s="89" t="s">
        <v>3829</v>
      </c>
      <c r="C83" s="89" t="s">
        <v>226</v>
      </c>
      <c r="D83" s="769" t="s">
        <v>3827</v>
      </c>
      <c r="E83" s="769" t="s">
        <v>3828</v>
      </c>
      <c r="F83" s="769" t="s">
        <v>31</v>
      </c>
      <c r="G83" s="769" t="s">
        <v>3829</v>
      </c>
      <c r="H83" s="769" t="s">
        <v>324</v>
      </c>
      <c r="I83" s="790">
        <v>54</v>
      </c>
      <c r="J83" s="790">
        <v>420</v>
      </c>
      <c r="K83" s="790"/>
      <c r="L83" s="312">
        <v>474</v>
      </c>
      <c r="M83" s="429" t="s">
        <v>3827</v>
      </c>
      <c r="N83" s="369" t="str">
        <f>VLOOKUP(D:D,'Master Table'!C:D,2,FALSE)</f>
        <v>452</v>
      </c>
      <c r="O83" s="69">
        <f>VLOOKUP(D:D,'Master Table'!C:O,13,FALSE)</f>
        <v>450</v>
      </c>
      <c r="P83" s="446">
        <v>450</v>
      </c>
      <c r="Q83" s="476">
        <v>579</v>
      </c>
      <c r="R83" s="644">
        <v>742</v>
      </c>
      <c r="S83" s="645">
        <v>644.22</v>
      </c>
      <c r="T83" s="645">
        <v>925</v>
      </c>
    </row>
    <row r="84" spans="1:20" ht="29.1" customHeight="1" x14ac:dyDescent="0.2">
      <c r="A84" s="89" t="str">
        <f t="shared" si="13"/>
        <v>NOR076 / 455</v>
      </c>
      <c r="B84" s="89" t="s">
        <v>3646</v>
      </c>
      <c r="C84" s="89" t="s">
        <v>3838</v>
      </c>
      <c r="D84" s="769" t="s">
        <v>3836</v>
      </c>
      <c r="E84" s="769" t="s">
        <v>3837</v>
      </c>
      <c r="F84" s="769" t="s">
        <v>3838</v>
      </c>
      <c r="G84" s="769" t="s">
        <v>3646</v>
      </c>
      <c r="H84" s="769" t="s">
        <v>324</v>
      </c>
      <c r="I84" s="790"/>
      <c r="J84" s="790">
        <v>125.64</v>
      </c>
      <c r="K84" s="790"/>
      <c r="L84" s="312">
        <v>125.64</v>
      </c>
      <c r="M84" s="429" t="s">
        <v>3836</v>
      </c>
      <c r="N84" s="369" t="str">
        <f>VLOOKUP(D:D,'Master Table'!C:D,2,FALSE)</f>
        <v>455</v>
      </c>
      <c r="O84" s="69">
        <f>VLOOKUP(D:D,'Master Table'!C:O,13,FALSE)</f>
        <v>175.64</v>
      </c>
      <c r="P84" s="446">
        <v>175.64</v>
      </c>
      <c r="Q84" s="476">
        <v>490.82</v>
      </c>
      <c r="R84" s="644">
        <v>294</v>
      </c>
      <c r="S84" s="645">
        <v>839.65000000000009</v>
      </c>
      <c r="T84" s="645">
        <v>289</v>
      </c>
    </row>
    <row r="85" spans="1:20" ht="15" customHeight="1" x14ac:dyDescent="0.2">
      <c r="A85" s="89" t="str">
        <f t="shared" si="13"/>
        <v>NOR999 / 458</v>
      </c>
      <c r="B85" s="89" t="s">
        <v>7261</v>
      </c>
      <c r="C85" s="89" t="s">
        <v>7261</v>
      </c>
      <c r="D85" s="769" t="s">
        <v>3839</v>
      </c>
      <c r="E85" s="769" t="s">
        <v>3840</v>
      </c>
      <c r="F85" s="769" t="s">
        <v>3841</v>
      </c>
      <c r="G85" s="750"/>
      <c r="H85" s="769" t="s">
        <v>324</v>
      </c>
      <c r="I85" s="790">
        <v>2648.61</v>
      </c>
      <c r="J85" s="790">
        <v>4988.3500000000004</v>
      </c>
      <c r="K85" s="790">
        <v>20</v>
      </c>
      <c r="L85" s="312">
        <v>7656.9600000000009</v>
      </c>
      <c r="M85" s="429" t="s">
        <v>3839</v>
      </c>
      <c r="N85" s="369" t="str">
        <f>VLOOKUP(D:D,'Master Table'!C:D,2,FALSE)</f>
        <v>458</v>
      </c>
      <c r="O85" s="69">
        <f>VLOOKUP(D:D,'Master Table'!C:O,13,FALSE)</f>
        <v>2736.2400000000002</v>
      </c>
      <c r="P85" s="446">
        <v>2736.2400000000002</v>
      </c>
      <c r="Q85" s="476">
        <v>1949.79</v>
      </c>
      <c r="R85" s="644">
        <v>1848.08</v>
      </c>
      <c r="S85" s="645">
        <v>3346.82</v>
      </c>
      <c r="T85" s="645">
        <v>3819</v>
      </c>
    </row>
    <row r="86" spans="1:20" x14ac:dyDescent="0.2">
      <c r="M86" s="649"/>
      <c r="N86" s="648"/>
      <c r="Q86" s="650"/>
      <c r="R86" s="642"/>
      <c r="S86" s="642"/>
      <c r="T86" s="642"/>
    </row>
    <row r="87" spans="1:20" ht="13.5" thickBot="1" x14ac:dyDescent="0.25">
      <c r="D87" s="643"/>
      <c r="E87" s="643"/>
      <c r="F87" s="643"/>
      <c r="G87" s="643"/>
      <c r="H87" s="643"/>
      <c r="I87" s="643"/>
      <c r="J87" s="643"/>
      <c r="K87" s="643"/>
    </row>
    <row r="88" spans="1:20" ht="12.75" hidden="1" x14ac:dyDescent="0.2">
      <c r="D88" s="643"/>
      <c r="E88" s="643"/>
      <c r="F88" s="643"/>
      <c r="G88" s="643"/>
      <c r="H88" s="643"/>
      <c r="I88" s="643"/>
      <c r="J88" s="643"/>
      <c r="K88" s="643"/>
    </row>
    <row r="89" spans="1:20" ht="12.75" hidden="1" x14ac:dyDescent="0.2">
      <c r="D89" s="643"/>
      <c r="E89" s="643"/>
      <c r="F89" s="643"/>
      <c r="G89" s="643"/>
      <c r="H89" s="643"/>
      <c r="I89" s="643"/>
      <c r="J89" s="643"/>
      <c r="K89" s="643"/>
    </row>
    <row r="90" spans="1:20" ht="12.75" hidden="1" x14ac:dyDescent="0.2">
      <c r="D90" s="643"/>
      <c r="E90" s="643"/>
      <c r="F90" s="643"/>
      <c r="G90" s="643"/>
      <c r="H90" s="643"/>
      <c r="I90" s="643"/>
      <c r="J90" s="643"/>
      <c r="K90" s="643"/>
    </row>
    <row r="91" spans="1:20" s="74" customFormat="1" ht="83.25" customHeight="1" thickBot="1" x14ac:dyDescent="0.25">
      <c r="A91" s="854" t="s">
        <v>10987</v>
      </c>
      <c r="B91" s="855"/>
      <c r="C91" s="855"/>
      <c r="D91" s="855"/>
      <c r="E91" s="855"/>
      <c r="F91" s="855"/>
      <c r="G91" s="855"/>
      <c r="H91" s="855"/>
      <c r="I91" s="855"/>
      <c r="J91" s="855"/>
      <c r="K91" s="855"/>
      <c r="L91" s="855"/>
      <c r="M91" s="855"/>
      <c r="N91" s="855"/>
      <c r="O91" s="855"/>
    </row>
    <row r="92" spans="1:20" s="74" customFormat="1" x14ac:dyDescent="0.2">
      <c r="A92" s="718"/>
      <c r="B92" s="718"/>
      <c r="C92" s="718"/>
    </row>
    <row r="93" spans="1:20" s="74" customFormat="1" ht="30" x14ac:dyDescent="0.2">
      <c r="A93" s="763" t="s">
        <v>7422</v>
      </c>
      <c r="B93" s="764" t="s">
        <v>11007</v>
      </c>
      <c r="C93" s="715"/>
    </row>
    <row r="94" spans="1:20" s="74" customFormat="1" ht="60" x14ac:dyDescent="0.2">
      <c r="A94" s="763" t="s">
        <v>10990</v>
      </c>
      <c r="B94" s="764" t="s">
        <v>11008</v>
      </c>
      <c r="C94" s="715"/>
    </row>
    <row r="95" spans="1:20" s="74" customFormat="1" ht="60" x14ac:dyDescent="0.2">
      <c r="A95" s="763" t="s">
        <v>10991</v>
      </c>
      <c r="B95" s="764" t="s">
        <v>11009</v>
      </c>
      <c r="C95" s="715"/>
    </row>
    <row r="96" spans="1:20" x14ac:dyDescent="0.2">
      <c r="M96" s="649"/>
      <c r="N96" s="648"/>
      <c r="O96" s="651"/>
      <c r="P96" s="651"/>
      <c r="Q96" s="650"/>
      <c r="R96" s="642"/>
      <c r="S96" s="642"/>
      <c r="T96" s="642"/>
    </row>
    <row r="97" spans="13:20" x14ac:dyDescent="0.2">
      <c r="M97" s="649"/>
      <c r="N97" s="648"/>
      <c r="O97" s="651"/>
      <c r="P97" s="651"/>
      <c r="Q97" s="650"/>
      <c r="R97" s="642"/>
      <c r="S97" s="642"/>
      <c r="T97" s="642"/>
    </row>
    <row r="98" spans="13:20" x14ac:dyDescent="0.2">
      <c r="M98" s="649"/>
      <c r="N98" s="648"/>
      <c r="O98" s="651"/>
      <c r="P98" s="651"/>
      <c r="Q98" s="650"/>
      <c r="R98" s="642"/>
      <c r="S98" s="642"/>
      <c r="T98" s="642"/>
    </row>
    <row r="99" spans="13:20" x14ac:dyDescent="0.2">
      <c r="M99" s="649"/>
      <c r="N99" s="648"/>
      <c r="O99" s="651"/>
      <c r="P99" s="651"/>
      <c r="Q99" s="650"/>
      <c r="R99" s="642"/>
      <c r="S99" s="642"/>
      <c r="T99" s="642"/>
    </row>
    <row r="100" spans="13:20" x14ac:dyDescent="0.2">
      <c r="M100" s="649"/>
      <c r="N100" s="648"/>
      <c r="O100" s="651"/>
      <c r="P100" s="651"/>
      <c r="Q100" s="650"/>
      <c r="R100" s="642"/>
      <c r="S100" s="642"/>
      <c r="T100" s="642"/>
    </row>
    <row r="101" spans="13:20" x14ac:dyDescent="0.2">
      <c r="M101" s="649"/>
      <c r="N101" s="648"/>
      <c r="O101" s="651"/>
      <c r="P101" s="651"/>
      <c r="Q101" s="650"/>
      <c r="R101" s="642"/>
      <c r="S101" s="642"/>
      <c r="T101" s="642"/>
    </row>
    <row r="102" spans="13:20" x14ac:dyDescent="0.2">
      <c r="M102" s="649"/>
      <c r="N102" s="648"/>
      <c r="O102" s="651"/>
      <c r="P102" s="651"/>
      <c r="Q102" s="650"/>
      <c r="R102" s="642"/>
      <c r="S102" s="642"/>
      <c r="T102" s="642"/>
    </row>
    <row r="103" spans="13:20" x14ac:dyDescent="0.2">
      <c r="M103" s="649"/>
      <c r="N103" s="648"/>
      <c r="O103" s="651"/>
      <c r="P103" s="651"/>
      <c r="Q103" s="650"/>
      <c r="R103" s="642"/>
      <c r="S103" s="642"/>
      <c r="T103" s="642"/>
    </row>
    <row r="104" spans="13:20" x14ac:dyDescent="0.2">
      <c r="M104" s="649"/>
      <c r="N104" s="648"/>
      <c r="O104" s="651"/>
      <c r="P104" s="651"/>
      <c r="Q104" s="650"/>
      <c r="R104" s="642"/>
      <c r="S104" s="642"/>
      <c r="T104" s="642"/>
    </row>
    <row r="105" spans="13:20" x14ac:dyDescent="0.2">
      <c r="M105" s="649"/>
      <c r="N105" s="648"/>
      <c r="O105" s="651"/>
      <c r="P105" s="651"/>
      <c r="Q105" s="650"/>
      <c r="R105" s="642"/>
      <c r="S105" s="642"/>
      <c r="T105" s="642"/>
    </row>
    <row r="106" spans="13:20" x14ac:dyDescent="0.2">
      <c r="M106" s="649"/>
      <c r="N106" s="648"/>
      <c r="O106" s="651"/>
      <c r="P106" s="651"/>
      <c r="Q106" s="650"/>
      <c r="R106" s="642"/>
      <c r="S106" s="642"/>
      <c r="T106" s="642"/>
    </row>
    <row r="107" spans="13:20" x14ac:dyDescent="0.2">
      <c r="M107" s="649"/>
      <c r="N107" s="648"/>
      <c r="O107" s="651"/>
      <c r="P107" s="651"/>
      <c r="Q107" s="650"/>
      <c r="R107" s="642"/>
      <c r="S107" s="642"/>
      <c r="T107" s="642"/>
    </row>
    <row r="108" spans="13:20" x14ac:dyDescent="0.2">
      <c r="M108" s="649"/>
      <c r="N108" s="648"/>
      <c r="O108" s="651"/>
      <c r="P108" s="651"/>
      <c r="Q108" s="650"/>
      <c r="R108" s="642"/>
      <c r="S108" s="642"/>
      <c r="T108" s="642"/>
    </row>
  </sheetData>
  <mergeCells count="28">
    <mergeCell ref="A91:O91"/>
    <mergeCell ref="B10:B11"/>
    <mergeCell ref="B15:B16"/>
    <mergeCell ref="B18:B19"/>
    <mergeCell ref="B50:B51"/>
    <mergeCell ref="B59:B60"/>
    <mergeCell ref="B36:B37"/>
    <mergeCell ref="B39:B41"/>
    <mergeCell ref="B44:B45"/>
    <mergeCell ref="B52:B53"/>
    <mergeCell ref="Q10:Q11"/>
    <mergeCell ref="P10:P11"/>
    <mergeCell ref="Q18:Q19"/>
    <mergeCell ref="P18:P19"/>
    <mergeCell ref="Q23:Q24"/>
    <mergeCell ref="P23:P24"/>
    <mergeCell ref="Q36:Q37"/>
    <mergeCell ref="P36:P37"/>
    <mergeCell ref="Q39:Q41"/>
    <mergeCell ref="P39:P41"/>
    <mergeCell ref="Q44:Q45"/>
    <mergeCell ref="P44:P45"/>
    <mergeCell ref="Q50:Q51"/>
    <mergeCell ref="P50:P51"/>
    <mergeCell ref="Q52:Q53"/>
    <mergeCell ref="P52:P53"/>
    <mergeCell ref="Q59:Q60"/>
    <mergeCell ref="P59:P60"/>
  </mergeCells>
  <pageMargins left="0.23622047244094491" right="0.23622047244094491" top="0.39370078740157483" bottom="0.39370078740157483" header="0.31496062992125984" footer="0.31496062992125984"/>
  <pageSetup paperSize="9" scale="68" fitToHeight="0" orientation="portrait" r:id="rId1"/>
  <headerFooter>
    <oddFooter>&amp;RPage &amp;P / &amp;N</oddFooter>
  </headerFooter>
  <rowBreaks count="2" manualBreakCount="2">
    <brk id="40" max="6" man="1"/>
    <brk id="80" max="6"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fitToPage="1"/>
  </sheetPr>
  <dimension ref="A1:T156"/>
  <sheetViews>
    <sheetView zoomScale="90" zoomScaleNormal="90" workbookViewId="0">
      <pane ySplit="2" topLeftCell="A111" activePane="bottomLeft" state="frozen"/>
      <selection pane="bottomLeft" activeCell="O3" sqref="O3:O126"/>
    </sheetView>
  </sheetViews>
  <sheetFormatPr defaultRowHeight="30" customHeight="1" outlineLevelCol="1" x14ac:dyDescent="0.2"/>
  <cols>
    <col min="1" max="1" width="22.5703125" style="643" customWidth="1"/>
    <col min="2" max="2" width="52.42578125" style="643" customWidth="1"/>
    <col min="3" max="3" width="49.28515625" style="643" customWidth="1"/>
    <col min="4" max="4" width="23.5703125" style="649" hidden="1" customWidth="1" outlineLevel="1"/>
    <col min="5" max="5" width="16.28515625" style="648" hidden="1" customWidth="1" outlineLevel="1"/>
    <col min="6" max="6" width="19.42578125" style="651" hidden="1" customWidth="1" outlineLevel="1"/>
    <col min="7" max="7" width="19.42578125" style="651" hidden="1" customWidth="1" collapsed="1"/>
    <col min="8" max="8" width="19.42578125" style="654" hidden="1" customWidth="1"/>
    <col min="9" max="9" width="15.140625" style="655" hidden="1" customWidth="1"/>
    <col min="10" max="11" width="15.5703125" style="656" hidden="1" customWidth="1"/>
    <col min="12" max="12" width="13.28515625" style="643" bestFit="1" customWidth="1"/>
    <col min="13" max="13" width="15.7109375" style="643" bestFit="1" customWidth="1"/>
    <col min="14" max="14" width="20.7109375" style="643" bestFit="1" customWidth="1"/>
    <col min="15" max="15" width="16.85546875" style="643" bestFit="1" customWidth="1"/>
    <col min="16" max="16" width="12.85546875" style="643" bestFit="1" customWidth="1"/>
    <col min="17" max="17" width="13.28515625" style="643" bestFit="1" customWidth="1"/>
    <col min="18" max="18" width="9.140625" style="643"/>
    <col min="19" max="19" width="0" style="643" hidden="1" customWidth="1"/>
    <col min="20" max="20" width="15.5703125" style="643" bestFit="1" customWidth="1"/>
    <col min="21" max="254" width="9.140625" style="643"/>
    <col min="255" max="255" width="17.7109375" style="643" customWidth="1"/>
    <col min="256" max="256" width="52.42578125" style="643" customWidth="1"/>
    <col min="257" max="257" width="49.28515625" style="643" customWidth="1"/>
    <col min="258" max="259" width="0" style="643" hidden="1" customWidth="1"/>
    <col min="260" max="260" width="19.42578125" style="643" customWidth="1"/>
    <col min="261" max="261" width="18.85546875" style="643" bestFit="1" customWidth="1"/>
    <col min="262" max="262" width="0" style="643" hidden="1" customWidth="1"/>
    <col min="263" max="263" width="15.5703125" style="643" bestFit="1" customWidth="1"/>
    <col min="264" max="510" width="9.140625" style="643"/>
    <col min="511" max="511" width="17.7109375" style="643" customWidth="1"/>
    <col min="512" max="512" width="52.42578125" style="643" customWidth="1"/>
    <col min="513" max="513" width="49.28515625" style="643" customWidth="1"/>
    <col min="514" max="515" width="0" style="643" hidden="1" customWidth="1"/>
    <col min="516" max="516" width="19.42578125" style="643" customWidth="1"/>
    <col min="517" max="517" width="18.85546875" style="643" bestFit="1" customWidth="1"/>
    <col min="518" max="518" width="0" style="643" hidden="1" customWidth="1"/>
    <col min="519" max="519" width="15.5703125" style="643" bestFit="1" customWidth="1"/>
    <col min="520" max="766" width="9.140625" style="643"/>
    <col min="767" max="767" width="17.7109375" style="643" customWidth="1"/>
    <col min="768" max="768" width="52.42578125" style="643" customWidth="1"/>
    <col min="769" max="769" width="49.28515625" style="643" customWidth="1"/>
    <col min="770" max="771" width="0" style="643" hidden="1" customWidth="1"/>
    <col min="772" max="772" width="19.42578125" style="643" customWidth="1"/>
    <col min="773" max="773" width="18.85546875" style="643" bestFit="1" customWidth="1"/>
    <col min="774" max="774" width="0" style="643" hidden="1" customWidth="1"/>
    <col min="775" max="775" width="15.5703125" style="643" bestFit="1" customWidth="1"/>
    <col min="776" max="1022" width="9.140625" style="643"/>
    <col min="1023" max="1023" width="17.7109375" style="643" customWidth="1"/>
    <col min="1024" max="1024" width="52.42578125" style="643" customWidth="1"/>
    <col min="1025" max="1025" width="49.28515625" style="643" customWidth="1"/>
    <col min="1026" max="1027" width="0" style="643" hidden="1" customWidth="1"/>
    <col min="1028" max="1028" width="19.42578125" style="643" customWidth="1"/>
    <col min="1029" max="1029" width="18.85546875" style="643" bestFit="1" customWidth="1"/>
    <col min="1030" max="1030" width="0" style="643" hidden="1" customWidth="1"/>
    <col min="1031" max="1031" width="15.5703125" style="643" bestFit="1" customWidth="1"/>
    <col min="1032" max="1278" width="9.140625" style="643"/>
    <col min="1279" max="1279" width="17.7109375" style="643" customWidth="1"/>
    <col min="1280" max="1280" width="52.42578125" style="643" customWidth="1"/>
    <col min="1281" max="1281" width="49.28515625" style="643" customWidth="1"/>
    <col min="1282" max="1283" width="0" style="643" hidden="1" customWidth="1"/>
    <col min="1284" max="1284" width="19.42578125" style="643" customWidth="1"/>
    <col min="1285" max="1285" width="18.85546875" style="643" bestFit="1" customWidth="1"/>
    <col min="1286" max="1286" width="0" style="643" hidden="1" customWidth="1"/>
    <col min="1287" max="1287" width="15.5703125" style="643" bestFit="1" customWidth="1"/>
    <col min="1288" max="1534" width="9.140625" style="643"/>
    <col min="1535" max="1535" width="17.7109375" style="643" customWidth="1"/>
    <col min="1536" max="1536" width="52.42578125" style="643" customWidth="1"/>
    <col min="1537" max="1537" width="49.28515625" style="643" customWidth="1"/>
    <col min="1538" max="1539" width="0" style="643" hidden="1" customWidth="1"/>
    <col min="1540" max="1540" width="19.42578125" style="643" customWidth="1"/>
    <col min="1541" max="1541" width="18.85546875" style="643" bestFit="1" customWidth="1"/>
    <col min="1542" max="1542" width="0" style="643" hidden="1" customWidth="1"/>
    <col min="1543" max="1543" width="15.5703125" style="643" bestFit="1" customWidth="1"/>
    <col min="1544" max="1790" width="9.140625" style="643"/>
    <col min="1791" max="1791" width="17.7109375" style="643" customWidth="1"/>
    <col min="1792" max="1792" width="52.42578125" style="643" customWidth="1"/>
    <col min="1793" max="1793" width="49.28515625" style="643" customWidth="1"/>
    <col min="1794" max="1795" width="0" style="643" hidden="1" customWidth="1"/>
    <col min="1796" max="1796" width="19.42578125" style="643" customWidth="1"/>
    <col min="1797" max="1797" width="18.85546875" style="643" bestFit="1" customWidth="1"/>
    <col min="1798" max="1798" width="0" style="643" hidden="1" customWidth="1"/>
    <col min="1799" max="1799" width="15.5703125" style="643" bestFit="1" customWidth="1"/>
    <col min="1800" max="2046" width="9.140625" style="643"/>
    <col min="2047" max="2047" width="17.7109375" style="643" customWidth="1"/>
    <col min="2048" max="2048" width="52.42578125" style="643" customWidth="1"/>
    <col min="2049" max="2049" width="49.28515625" style="643" customWidth="1"/>
    <col min="2050" max="2051" width="0" style="643" hidden="1" customWidth="1"/>
    <col min="2052" max="2052" width="19.42578125" style="643" customWidth="1"/>
    <col min="2053" max="2053" width="18.85546875" style="643" bestFit="1" customWidth="1"/>
    <col min="2054" max="2054" width="0" style="643" hidden="1" customWidth="1"/>
    <col min="2055" max="2055" width="15.5703125" style="643" bestFit="1" customWidth="1"/>
    <col min="2056" max="2302" width="9.140625" style="643"/>
    <col min="2303" max="2303" width="17.7109375" style="643" customWidth="1"/>
    <col min="2304" max="2304" width="52.42578125" style="643" customWidth="1"/>
    <col min="2305" max="2305" width="49.28515625" style="643" customWidth="1"/>
    <col min="2306" max="2307" width="0" style="643" hidden="1" customWidth="1"/>
    <col min="2308" max="2308" width="19.42578125" style="643" customWidth="1"/>
    <col min="2309" max="2309" width="18.85546875" style="643" bestFit="1" customWidth="1"/>
    <col min="2310" max="2310" width="0" style="643" hidden="1" customWidth="1"/>
    <col min="2311" max="2311" width="15.5703125" style="643" bestFit="1" customWidth="1"/>
    <col min="2312" max="2558" width="9.140625" style="643"/>
    <col min="2559" max="2559" width="17.7109375" style="643" customWidth="1"/>
    <col min="2560" max="2560" width="52.42578125" style="643" customWidth="1"/>
    <col min="2561" max="2561" width="49.28515625" style="643" customWidth="1"/>
    <col min="2562" max="2563" width="0" style="643" hidden="1" customWidth="1"/>
    <col min="2564" max="2564" width="19.42578125" style="643" customWidth="1"/>
    <col min="2565" max="2565" width="18.85546875" style="643" bestFit="1" customWidth="1"/>
    <col min="2566" max="2566" width="0" style="643" hidden="1" customWidth="1"/>
    <col min="2567" max="2567" width="15.5703125" style="643" bestFit="1" customWidth="1"/>
    <col min="2568" max="2814" width="9.140625" style="643"/>
    <col min="2815" max="2815" width="17.7109375" style="643" customWidth="1"/>
    <col min="2816" max="2816" width="52.42578125" style="643" customWidth="1"/>
    <col min="2817" max="2817" width="49.28515625" style="643" customWidth="1"/>
    <col min="2818" max="2819" width="0" style="643" hidden="1" customWidth="1"/>
    <col min="2820" max="2820" width="19.42578125" style="643" customWidth="1"/>
    <col min="2821" max="2821" width="18.85546875" style="643" bestFit="1" customWidth="1"/>
    <col min="2822" max="2822" width="0" style="643" hidden="1" customWidth="1"/>
    <col min="2823" max="2823" width="15.5703125" style="643" bestFit="1" customWidth="1"/>
    <col min="2824" max="3070" width="9.140625" style="643"/>
    <col min="3071" max="3071" width="17.7109375" style="643" customWidth="1"/>
    <col min="3072" max="3072" width="52.42578125" style="643" customWidth="1"/>
    <col min="3073" max="3073" width="49.28515625" style="643" customWidth="1"/>
    <col min="3074" max="3075" width="0" style="643" hidden="1" customWidth="1"/>
    <col min="3076" max="3076" width="19.42578125" style="643" customWidth="1"/>
    <col min="3077" max="3077" width="18.85546875" style="643" bestFit="1" customWidth="1"/>
    <col min="3078" max="3078" width="0" style="643" hidden="1" customWidth="1"/>
    <col min="3079" max="3079" width="15.5703125" style="643" bestFit="1" customWidth="1"/>
    <col min="3080" max="3326" width="9.140625" style="643"/>
    <col min="3327" max="3327" width="17.7109375" style="643" customWidth="1"/>
    <col min="3328" max="3328" width="52.42578125" style="643" customWidth="1"/>
    <col min="3329" max="3329" width="49.28515625" style="643" customWidth="1"/>
    <col min="3330" max="3331" width="0" style="643" hidden="1" customWidth="1"/>
    <col min="3332" max="3332" width="19.42578125" style="643" customWidth="1"/>
    <col min="3333" max="3333" width="18.85546875" style="643" bestFit="1" customWidth="1"/>
    <col min="3334" max="3334" width="0" style="643" hidden="1" customWidth="1"/>
    <col min="3335" max="3335" width="15.5703125" style="643" bestFit="1" customWidth="1"/>
    <col min="3336" max="3582" width="9.140625" style="643"/>
    <col min="3583" max="3583" width="17.7109375" style="643" customWidth="1"/>
    <col min="3584" max="3584" width="52.42578125" style="643" customWidth="1"/>
    <col min="3585" max="3585" width="49.28515625" style="643" customWidth="1"/>
    <col min="3586" max="3587" width="0" style="643" hidden="1" customWidth="1"/>
    <col min="3588" max="3588" width="19.42578125" style="643" customWidth="1"/>
    <col min="3589" max="3589" width="18.85546875" style="643" bestFit="1" customWidth="1"/>
    <col min="3590" max="3590" width="0" style="643" hidden="1" customWidth="1"/>
    <col min="3591" max="3591" width="15.5703125" style="643" bestFit="1" customWidth="1"/>
    <col min="3592" max="3838" width="9.140625" style="643"/>
    <col min="3839" max="3839" width="17.7109375" style="643" customWidth="1"/>
    <col min="3840" max="3840" width="52.42578125" style="643" customWidth="1"/>
    <col min="3841" max="3841" width="49.28515625" style="643" customWidth="1"/>
    <col min="3842" max="3843" width="0" style="643" hidden="1" customWidth="1"/>
    <col min="3844" max="3844" width="19.42578125" style="643" customWidth="1"/>
    <col min="3845" max="3845" width="18.85546875" style="643" bestFit="1" customWidth="1"/>
    <col min="3846" max="3846" width="0" style="643" hidden="1" customWidth="1"/>
    <col min="3847" max="3847" width="15.5703125" style="643" bestFit="1" customWidth="1"/>
    <col min="3848" max="4094" width="9.140625" style="643"/>
    <col min="4095" max="4095" width="17.7109375" style="643" customWidth="1"/>
    <col min="4096" max="4096" width="52.42578125" style="643" customWidth="1"/>
    <col min="4097" max="4097" width="49.28515625" style="643" customWidth="1"/>
    <col min="4098" max="4099" width="0" style="643" hidden="1" customWidth="1"/>
    <col min="4100" max="4100" width="19.42578125" style="643" customWidth="1"/>
    <col min="4101" max="4101" width="18.85546875" style="643" bestFit="1" customWidth="1"/>
    <col min="4102" max="4102" width="0" style="643" hidden="1" customWidth="1"/>
    <col min="4103" max="4103" width="15.5703125" style="643" bestFit="1" customWidth="1"/>
    <col min="4104" max="4350" width="9.140625" style="643"/>
    <col min="4351" max="4351" width="17.7109375" style="643" customWidth="1"/>
    <col min="4352" max="4352" width="52.42578125" style="643" customWidth="1"/>
    <col min="4353" max="4353" width="49.28515625" style="643" customWidth="1"/>
    <col min="4354" max="4355" width="0" style="643" hidden="1" customWidth="1"/>
    <col min="4356" max="4356" width="19.42578125" style="643" customWidth="1"/>
    <col min="4357" max="4357" width="18.85546875" style="643" bestFit="1" customWidth="1"/>
    <col min="4358" max="4358" width="0" style="643" hidden="1" customWidth="1"/>
    <col min="4359" max="4359" width="15.5703125" style="643" bestFit="1" customWidth="1"/>
    <col min="4360" max="4606" width="9.140625" style="643"/>
    <col min="4607" max="4607" width="17.7109375" style="643" customWidth="1"/>
    <col min="4608" max="4608" width="52.42578125" style="643" customWidth="1"/>
    <col min="4609" max="4609" width="49.28515625" style="643" customWidth="1"/>
    <col min="4610" max="4611" width="0" style="643" hidden="1" customWidth="1"/>
    <col min="4612" max="4612" width="19.42578125" style="643" customWidth="1"/>
    <col min="4613" max="4613" width="18.85546875" style="643" bestFit="1" customWidth="1"/>
    <col min="4614" max="4614" width="0" style="643" hidden="1" customWidth="1"/>
    <col min="4615" max="4615" width="15.5703125" style="643" bestFit="1" customWidth="1"/>
    <col min="4616" max="4862" width="9.140625" style="643"/>
    <col min="4863" max="4863" width="17.7109375" style="643" customWidth="1"/>
    <col min="4864" max="4864" width="52.42578125" style="643" customWidth="1"/>
    <col min="4865" max="4865" width="49.28515625" style="643" customWidth="1"/>
    <col min="4866" max="4867" width="0" style="643" hidden="1" customWidth="1"/>
    <col min="4868" max="4868" width="19.42578125" style="643" customWidth="1"/>
    <col min="4869" max="4869" width="18.85546875" style="643" bestFit="1" customWidth="1"/>
    <col min="4870" max="4870" width="0" style="643" hidden="1" customWidth="1"/>
    <col min="4871" max="4871" width="15.5703125" style="643" bestFit="1" customWidth="1"/>
    <col min="4872" max="5118" width="9.140625" style="643"/>
    <col min="5119" max="5119" width="17.7109375" style="643" customWidth="1"/>
    <col min="5120" max="5120" width="52.42578125" style="643" customWidth="1"/>
    <col min="5121" max="5121" width="49.28515625" style="643" customWidth="1"/>
    <col min="5122" max="5123" width="0" style="643" hidden="1" customWidth="1"/>
    <col min="5124" max="5124" width="19.42578125" style="643" customWidth="1"/>
    <col min="5125" max="5125" width="18.85546875" style="643" bestFit="1" customWidth="1"/>
    <col min="5126" max="5126" width="0" style="643" hidden="1" customWidth="1"/>
    <col min="5127" max="5127" width="15.5703125" style="643" bestFit="1" customWidth="1"/>
    <col min="5128" max="5374" width="9.140625" style="643"/>
    <col min="5375" max="5375" width="17.7109375" style="643" customWidth="1"/>
    <col min="5376" max="5376" width="52.42578125" style="643" customWidth="1"/>
    <col min="5377" max="5377" width="49.28515625" style="643" customWidth="1"/>
    <col min="5378" max="5379" width="0" style="643" hidden="1" customWidth="1"/>
    <col min="5380" max="5380" width="19.42578125" style="643" customWidth="1"/>
    <col min="5381" max="5381" width="18.85546875" style="643" bestFit="1" customWidth="1"/>
    <col min="5382" max="5382" width="0" style="643" hidden="1" customWidth="1"/>
    <col min="5383" max="5383" width="15.5703125" style="643" bestFit="1" customWidth="1"/>
    <col min="5384" max="5630" width="9.140625" style="643"/>
    <col min="5631" max="5631" width="17.7109375" style="643" customWidth="1"/>
    <col min="5632" max="5632" width="52.42578125" style="643" customWidth="1"/>
    <col min="5633" max="5633" width="49.28515625" style="643" customWidth="1"/>
    <col min="5634" max="5635" width="0" style="643" hidden="1" customWidth="1"/>
    <col min="5636" max="5636" width="19.42578125" style="643" customWidth="1"/>
    <col min="5637" max="5637" width="18.85546875" style="643" bestFit="1" customWidth="1"/>
    <col min="5638" max="5638" width="0" style="643" hidden="1" customWidth="1"/>
    <col min="5639" max="5639" width="15.5703125" style="643" bestFit="1" customWidth="1"/>
    <col min="5640" max="5886" width="9.140625" style="643"/>
    <col min="5887" max="5887" width="17.7109375" style="643" customWidth="1"/>
    <col min="5888" max="5888" width="52.42578125" style="643" customWidth="1"/>
    <col min="5889" max="5889" width="49.28515625" style="643" customWidth="1"/>
    <col min="5890" max="5891" width="0" style="643" hidden="1" customWidth="1"/>
    <col min="5892" max="5892" width="19.42578125" style="643" customWidth="1"/>
    <col min="5893" max="5893" width="18.85546875" style="643" bestFit="1" customWidth="1"/>
    <col min="5894" max="5894" width="0" style="643" hidden="1" customWidth="1"/>
    <col min="5895" max="5895" width="15.5703125" style="643" bestFit="1" customWidth="1"/>
    <col min="5896" max="6142" width="9.140625" style="643"/>
    <col min="6143" max="6143" width="17.7109375" style="643" customWidth="1"/>
    <col min="6144" max="6144" width="52.42578125" style="643" customWidth="1"/>
    <col min="6145" max="6145" width="49.28515625" style="643" customWidth="1"/>
    <col min="6146" max="6147" width="0" style="643" hidden="1" customWidth="1"/>
    <col min="6148" max="6148" width="19.42578125" style="643" customWidth="1"/>
    <col min="6149" max="6149" width="18.85546875" style="643" bestFit="1" customWidth="1"/>
    <col min="6150" max="6150" width="0" style="643" hidden="1" customWidth="1"/>
    <col min="6151" max="6151" width="15.5703125" style="643" bestFit="1" customWidth="1"/>
    <col min="6152" max="6398" width="9.140625" style="643"/>
    <col min="6399" max="6399" width="17.7109375" style="643" customWidth="1"/>
    <col min="6400" max="6400" width="52.42578125" style="643" customWidth="1"/>
    <col min="6401" max="6401" width="49.28515625" style="643" customWidth="1"/>
    <col min="6402" max="6403" width="0" style="643" hidden="1" customWidth="1"/>
    <col min="6404" max="6404" width="19.42578125" style="643" customWidth="1"/>
    <col min="6405" max="6405" width="18.85546875" style="643" bestFit="1" customWidth="1"/>
    <col min="6406" max="6406" width="0" style="643" hidden="1" customWidth="1"/>
    <col min="6407" max="6407" width="15.5703125" style="643" bestFit="1" customWidth="1"/>
    <col min="6408" max="6654" width="9.140625" style="643"/>
    <col min="6655" max="6655" width="17.7109375" style="643" customWidth="1"/>
    <col min="6656" max="6656" width="52.42578125" style="643" customWidth="1"/>
    <col min="6657" max="6657" width="49.28515625" style="643" customWidth="1"/>
    <col min="6658" max="6659" width="0" style="643" hidden="1" customWidth="1"/>
    <col min="6660" max="6660" width="19.42578125" style="643" customWidth="1"/>
    <col min="6661" max="6661" width="18.85546875" style="643" bestFit="1" customWidth="1"/>
    <col min="6662" max="6662" width="0" style="643" hidden="1" customWidth="1"/>
    <col min="6663" max="6663" width="15.5703125" style="643" bestFit="1" customWidth="1"/>
    <col min="6664" max="6910" width="9.140625" style="643"/>
    <col min="6911" max="6911" width="17.7109375" style="643" customWidth="1"/>
    <col min="6912" max="6912" width="52.42578125" style="643" customWidth="1"/>
    <col min="6913" max="6913" width="49.28515625" style="643" customWidth="1"/>
    <col min="6914" max="6915" width="0" style="643" hidden="1" customWidth="1"/>
    <col min="6916" max="6916" width="19.42578125" style="643" customWidth="1"/>
    <col min="6917" max="6917" width="18.85546875" style="643" bestFit="1" customWidth="1"/>
    <col min="6918" max="6918" width="0" style="643" hidden="1" customWidth="1"/>
    <col min="6919" max="6919" width="15.5703125" style="643" bestFit="1" customWidth="1"/>
    <col min="6920" max="7166" width="9.140625" style="643"/>
    <col min="7167" max="7167" width="17.7109375" style="643" customWidth="1"/>
    <col min="7168" max="7168" width="52.42578125" style="643" customWidth="1"/>
    <col min="7169" max="7169" width="49.28515625" style="643" customWidth="1"/>
    <col min="7170" max="7171" width="0" style="643" hidden="1" customWidth="1"/>
    <col min="7172" max="7172" width="19.42578125" style="643" customWidth="1"/>
    <col min="7173" max="7173" width="18.85546875" style="643" bestFit="1" customWidth="1"/>
    <col min="7174" max="7174" width="0" style="643" hidden="1" customWidth="1"/>
    <col min="7175" max="7175" width="15.5703125" style="643" bestFit="1" customWidth="1"/>
    <col min="7176" max="7422" width="9.140625" style="643"/>
    <col min="7423" max="7423" width="17.7109375" style="643" customWidth="1"/>
    <col min="7424" max="7424" width="52.42578125" style="643" customWidth="1"/>
    <col min="7425" max="7425" width="49.28515625" style="643" customWidth="1"/>
    <col min="7426" max="7427" width="0" style="643" hidden="1" customWidth="1"/>
    <col min="7428" max="7428" width="19.42578125" style="643" customWidth="1"/>
    <col min="7429" max="7429" width="18.85546875" style="643" bestFit="1" customWidth="1"/>
    <col min="7430" max="7430" width="0" style="643" hidden="1" customWidth="1"/>
    <col min="7431" max="7431" width="15.5703125" style="643" bestFit="1" customWidth="1"/>
    <col min="7432" max="7678" width="9.140625" style="643"/>
    <col min="7679" max="7679" width="17.7109375" style="643" customWidth="1"/>
    <col min="7680" max="7680" width="52.42578125" style="643" customWidth="1"/>
    <col min="7681" max="7681" width="49.28515625" style="643" customWidth="1"/>
    <col min="7682" max="7683" width="0" style="643" hidden="1" customWidth="1"/>
    <col min="7684" max="7684" width="19.42578125" style="643" customWidth="1"/>
    <col min="7685" max="7685" width="18.85546875" style="643" bestFit="1" customWidth="1"/>
    <col min="7686" max="7686" width="0" style="643" hidden="1" customWidth="1"/>
    <col min="7687" max="7687" width="15.5703125" style="643" bestFit="1" customWidth="1"/>
    <col min="7688" max="7934" width="9.140625" style="643"/>
    <col min="7935" max="7935" width="17.7109375" style="643" customWidth="1"/>
    <col min="7936" max="7936" width="52.42578125" style="643" customWidth="1"/>
    <col min="7937" max="7937" width="49.28515625" style="643" customWidth="1"/>
    <col min="7938" max="7939" width="0" style="643" hidden="1" customWidth="1"/>
    <col min="7940" max="7940" width="19.42578125" style="643" customWidth="1"/>
    <col min="7941" max="7941" width="18.85546875" style="643" bestFit="1" customWidth="1"/>
    <col min="7942" max="7942" width="0" style="643" hidden="1" customWidth="1"/>
    <col min="7943" max="7943" width="15.5703125" style="643" bestFit="1" customWidth="1"/>
    <col min="7944" max="8190" width="9.140625" style="643"/>
    <col min="8191" max="8191" width="17.7109375" style="643" customWidth="1"/>
    <col min="8192" max="8192" width="52.42578125" style="643" customWidth="1"/>
    <col min="8193" max="8193" width="49.28515625" style="643" customWidth="1"/>
    <col min="8194" max="8195" width="0" style="643" hidden="1" customWidth="1"/>
    <col min="8196" max="8196" width="19.42578125" style="643" customWidth="1"/>
    <col min="8197" max="8197" width="18.85546875" style="643" bestFit="1" customWidth="1"/>
    <col min="8198" max="8198" width="0" style="643" hidden="1" customWidth="1"/>
    <col min="8199" max="8199" width="15.5703125" style="643" bestFit="1" customWidth="1"/>
    <col min="8200" max="8446" width="9.140625" style="643"/>
    <col min="8447" max="8447" width="17.7109375" style="643" customWidth="1"/>
    <col min="8448" max="8448" width="52.42578125" style="643" customWidth="1"/>
    <col min="8449" max="8449" width="49.28515625" style="643" customWidth="1"/>
    <col min="8450" max="8451" width="0" style="643" hidden="1" customWidth="1"/>
    <col min="8452" max="8452" width="19.42578125" style="643" customWidth="1"/>
    <col min="8453" max="8453" width="18.85546875" style="643" bestFit="1" customWidth="1"/>
    <col min="8454" max="8454" width="0" style="643" hidden="1" customWidth="1"/>
    <col min="8455" max="8455" width="15.5703125" style="643" bestFit="1" customWidth="1"/>
    <col min="8456" max="8702" width="9.140625" style="643"/>
    <col min="8703" max="8703" width="17.7109375" style="643" customWidth="1"/>
    <col min="8704" max="8704" width="52.42578125" style="643" customWidth="1"/>
    <col min="8705" max="8705" width="49.28515625" style="643" customWidth="1"/>
    <col min="8706" max="8707" width="0" style="643" hidden="1" customWidth="1"/>
    <col min="8708" max="8708" width="19.42578125" style="643" customWidth="1"/>
    <col min="8709" max="8709" width="18.85546875" style="643" bestFit="1" customWidth="1"/>
    <col min="8710" max="8710" width="0" style="643" hidden="1" customWidth="1"/>
    <col min="8711" max="8711" width="15.5703125" style="643" bestFit="1" customWidth="1"/>
    <col min="8712" max="8958" width="9.140625" style="643"/>
    <col min="8959" max="8959" width="17.7109375" style="643" customWidth="1"/>
    <col min="8960" max="8960" width="52.42578125" style="643" customWidth="1"/>
    <col min="8961" max="8961" width="49.28515625" style="643" customWidth="1"/>
    <col min="8962" max="8963" width="0" style="643" hidden="1" customWidth="1"/>
    <col min="8964" max="8964" width="19.42578125" style="643" customWidth="1"/>
    <col min="8965" max="8965" width="18.85546875" style="643" bestFit="1" customWidth="1"/>
    <col min="8966" max="8966" width="0" style="643" hidden="1" customWidth="1"/>
    <col min="8967" max="8967" width="15.5703125" style="643" bestFit="1" customWidth="1"/>
    <col min="8968" max="9214" width="9.140625" style="643"/>
    <col min="9215" max="9215" width="17.7109375" style="643" customWidth="1"/>
    <col min="9216" max="9216" width="52.42578125" style="643" customWidth="1"/>
    <col min="9217" max="9217" width="49.28515625" style="643" customWidth="1"/>
    <col min="9218" max="9219" width="0" style="643" hidden="1" customWidth="1"/>
    <col min="9220" max="9220" width="19.42578125" style="643" customWidth="1"/>
    <col min="9221" max="9221" width="18.85546875" style="643" bestFit="1" customWidth="1"/>
    <col min="9222" max="9222" width="0" style="643" hidden="1" customWidth="1"/>
    <col min="9223" max="9223" width="15.5703125" style="643" bestFit="1" customWidth="1"/>
    <col min="9224" max="9470" width="9.140625" style="643"/>
    <col min="9471" max="9471" width="17.7109375" style="643" customWidth="1"/>
    <col min="9472" max="9472" width="52.42578125" style="643" customWidth="1"/>
    <col min="9473" max="9473" width="49.28515625" style="643" customWidth="1"/>
    <col min="9474" max="9475" width="0" style="643" hidden="1" customWidth="1"/>
    <col min="9476" max="9476" width="19.42578125" style="643" customWidth="1"/>
    <col min="9477" max="9477" width="18.85546875" style="643" bestFit="1" customWidth="1"/>
    <col min="9478" max="9478" width="0" style="643" hidden="1" customWidth="1"/>
    <col min="9479" max="9479" width="15.5703125" style="643" bestFit="1" customWidth="1"/>
    <col min="9480" max="9726" width="9.140625" style="643"/>
    <col min="9727" max="9727" width="17.7109375" style="643" customWidth="1"/>
    <col min="9728" max="9728" width="52.42578125" style="643" customWidth="1"/>
    <col min="9729" max="9729" width="49.28515625" style="643" customWidth="1"/>
    <col min="9730" max="9731" width="0" style="643" hidden="1" customWidth="1"/>
    <col min="9732" max="9732" width="19.42578125" style="643" customWidth="1"/>
    <col min="9733" max="9733" width="18.85546875" style="643" bestFit="1" customWidth="1"/>
    <col min="9734" max="9734" width="0" style="643" hidden="1" customWidth="1"/>
    <col min="9735" max="9735" width="15.5703125" style="643" bestFit="1" customWidth="1"/>
    <col min="9736" max="9982" width="9.140625" style="643"/>
    <col min="9983" max="9983" width="17.7109375" style="643" customWidth="1"/>
    <col min="9984" max="9984" width="52.42578125" style="643" customWidth="1"/>
    <col min="9985" max="9985" width="49.28515625" style="643" customWidth="1"/>
    <col min="9986" max="9987" width="0" style="643" hidden="1" customWidth="1"/>
    <col min="9988" max="9988" width="19.42578125" style="643" customWidth="1"/>
    <col min="9989" max="9989" width="18.85546875" style="643" bestFit="1" customWidth="1"/>
    <col min="9990" max="9990" width="0" style="643" hidden="1" customWidth="1"/>
    <col min="9991" max="9991" width="15.5703125" style="643" bestFit="1" customWidth="1"/>
    <col min="9992" max="10238" width="9.140625" style="643"/>
    <col min="10239" max="10239" width="17.7109375" style="643" customWidth="1"/>
    <col min="10240" max="10240" width="52.42578125" style="643" customWidth="1"/>
    <col min="10241" max="10241" width="49.28515625" style="643" customWidth="1"/>
    <col min="10242" max="10243" width="0" style="643" hidden="1" customWidth="1"/>
    <col min="10244" max="10244" width="19.42578125" style="643" customWidth="1"/>
    <col min="10245" max="10245" width="18.85546875" style="643" bestFit="1" customWidth="1"/>
    <col min="10246" max="10246" width="0" style="643" hidden="1" customWidth="1"/>
    <col min="10247" max="10247" width="15.5703125" style="643" bestFit="1" customWidth="1"/>
    <col min="10248" max="10494" width="9.140625" style="643"/>
    <col min="10495" max="10495" width="17.7109375" style="643" customWidth="1"/>
    <col min="10496" max="10496" width="52.42578125" style="643" customWidth="1"/>
    <col min="10497" max="10497" width="49.28515625" style="643" customWidth="1"/>
    <col min="10498" max="10499" width="0" style="643" hidden="1" customWidth="1"/>
    <col min="10500" max="10500" width="19.42578125" style="643" customWidth="1"/>
    <col min="10501" max="10501" width="18.85546875" style="643" bestFit="1" customWidth="1"/>
    <col min="10502" max="10502" width="0" style="643" hidden="1" customWidth="1"/>
    <col min="10503" max="10503" width="15.5703125" style="643" bestFit="1" customWidth="1"/>
    <col min="10504" max="10750" width="9.140625" style="643"/>
    <col min="10751" max="10751" width="17.7109375" style="643" customWidth="1"/>
    <col min="10752" max="10752" width="52.42578125" style="643" customWidth="1"/>
    <col min="10753" max="10753" width="49.28515625" style="643" customWidth="1"/>
    <col min="10754" max="10755" width="0" style="643" hidden="1" customWidth="1"/>
    <col min="10756" max="10756" width="19.42578125" style="643" customWidth="1"/>
    <col min="10757" max="10757" width="18.85546875" style="643" bestFit="1" customWidth="1"/>
    <col min="10758" max="10758" width="0" style="643" hidden="1" customWidth="1"/>
    <col min="10759" max="10759" width="15.5703125" style="643" bestFit="1" customWidth="1"/>
    <col min="10760" max="11006" width="9.140625" style="643"/>
    <col min="11007" max="11007" width="17.7109375" style="643" customWidth="1"/>
    <col min="11008" max="11008" width="52.42578125" style="643" customWidth="1"/>
    <col min="11009" max="11009" width="49.28515625" style="643" customWidth="1"/>
    <col min="11010" max="11011" width="0" style="643" hidden="1" customWidth="1"/>
    <col min="11012" max="11012" width="19.42578125" style="643" customWidth="1"/>
    <col min="11013" max="11013" width="18.85546875" style="643" bestFit="1" customWidth="1"/>
    <col min="11014" max="11014" width="0" style="643" hidden="1" customWidth="1"/>
    <col min="11015" max="11015" width="15.5703125" style="643" bestFit="1" customWidth="1"/>
    <col min="11016" max="11262" width="9.140625" style="643"/>
    <col min="11263" max="11263" width="17.7109375" style="643" customWidth="1"/>
    <col min="11264" max="11264" width="52.42578125" style="643" customWidth="1"/>
    <col min="11265" max="11265" width="49.28515625" style="643" customWidth="1"/>
    <col min="11266" max="11267" width="0" style="643" hidden="1" customWidth="1"/>
    <col min="11268" max="11268" width="19.42578125" style="643" customWidth="1"/>
    <col min="11269" max="11269" width="18.85546875" style="643" bestFit="1" customWidth="1"/>
    <col min="11270" max="11270" width="0" style="643" hidden="1" customWidth="1"/>
    <col min="11271" max="11271" width="15.5703125" style="643" bestFit="1" customWidth="1"/>
    <col min="11272" max="11518" width="9.140625" style="643"/>
    <col min="11519" max="11519" width="17.7109375" style="643" customWidth="1"/>
    <col min="11520" max="11520" width="52.42578125" style="643" customWidth="1"/>
    <col min="11521" max="11521" width="49.28515625" style="643" customWidth="1"/>
    <col min="11522" max="11523" width="0" style="643" hidden="1" customWidth="1"/>
    <col min="11524" max="11524" width="19.42578125" style="643" customWidth="1"/>
    <col min="11525" max="11525" width="18.85546875" style="643" bestFit="1" customWidth="1"/>
    <col min="11526" max="11526" width="0" style="643" hidden="1" customWidth="1"/>
    <col min="11527" max="11527" width="15.5703125" style="643" bestFit="1" customWidth="1"/>
    <col min="11528" max="11774" width="9.140625" style="643"/>
    <col min="11775" max="11775" width="17.7109375" style="643" customWidth="1"/>
    <col min="11776" max="11776" width="52.42578125" style="643" customWidth="1"/>
    <col min="11777" max="11777" width="49.28515625" style="643" customWidth="1"/>
    <col min="11778" max="11779" width="0" style="643" hidden="1" customWidth="1"/>
    <col min="11780" max="11780" width="19.42578125" style="643" customWidth="1"/>
    <col min="11781" max="11781" width="18.85546875" style="643" bestFit="1" customWidth="1"/>
    <col min="11782" max="11782" width="0" style="643" hidden="1" customWidth="1"/>
    <col min="11783" max="11783" width="15.5703125" style="643" bestFit="1" customWidth="1"/>
    <col min="11784" max="12030" width="9.140625" style="643"/>
    <col min="12031" max="12031" width="17.7109375" style="643" customWidth="1"/>
    <col min="12032" max="12032" width="52.42578125" style="643" customWidth="1"/>
    <col min="12033" max="12033" width="49.28515625" style="643" customWidth="1"/>
    <col min="12034" max="12035" width="0" style="643" hidden="1" customWidth="1"/>
    <col min="12036" max="12036" width="19.42578125" style="643" customWidth="1"/>
    <col min="12037" max="12037" width="18.85546875" style="643" bestFit="1" customWidth="1"/>
    <col min="12038" max="12038" width="0" style="643" hidden="1" customWidth="1"/>
    <col min="12039" max="12039" width="15.5703125" style="643" bestFit="1" customWidth="1"/>
    <col min="12040" max="12286" width="9.140625" style="643"/>
    <col min="12287" max="12287" width="17.7109375" style="643" customWidth="1"/>
    <col min="12288" max="12288" width="52.42578125" style="643" customWidth="1"/>
    <col min="12289" max="12289" width="49.28515625" style="643" customWidth="1"/>
    <col min="12290" max="12291" width="0" style="643" hidden="1" customWidth="1"/>
    <col min="12292" max="12292" width="19.42578125" style="643" customWidth="1"/>
    <col min="12293" max="12293" width="18.85546875" style="643" bestFit="1" customWidth="1"/>
    <col min="12294" max="12294" width="0" style="643" hidden="1" customWidth="1"/>
    <col min="12295" max="12295" width="15.5703125" style="643" bestFit="1" customWidth="1"/>
    <col min="12296" max="12542" width="9.140625" style="643"/>
    <col min="12543" max="12543" width="17.7109375" style="643" customWidth="1"/>
    <col min="12544" max="12544" width="52.42578125" style="643" customWidth="1"/>
    <col min="12545" max="12545" width="49.28515625" style="643" customWidth="1"/>
    <col min="12546" max="12547" width="0" style="643" hidden="1" customWidth="1"/>
    <col min="12548" max="12548" width="19.42578125" style="643" customWidth="1"/>
    <col min="12549" max="12549" width="18.85546875" style="643" bestFit="1" customWidth="1"/>
    <col min="12550" max="12550" width="0" style="643" hidden="1" customWidth="1"/>
    <col min="12551" max="12551" width="15.5703125" style="643" bestFit="1" customWidth="1"/>
    <col min="12552" max="12798" width="9.140625" style="643"/>
    <col min="12799" max="12799" width="17.7109375" style="643" customWidth="1"/>
    <col min="12800" max="12800" width="52.42578125" style="643" customWidth="1"/>
    <col min="12801" max="12801" width="49.28515625" style="643" customWidth="1"/>
    <col min="12802" max="12803" width="0" style="643" hidden="1" customWidth="1"/>
    <col min="12804" max="12804" width="19.42578125" style="643" customWidth="1"/>
    <col min="12805" max="12805" width="18.85546875" style="643" bestFit="1" customWidth="1"/>
    <col min="12806" max="12806" width="0" style="643" hidden="1" customWidth="1"/>
    <col min="12807" max="12807" width="15.5703125" style="643" bestFit="1" customWidth="1"/>
    <col min="12808" max="13054" width="9.140625" style="643"/>
    <col min="13055" max="13055" width="17.7109375" style="643" customWidth="1"/>
    <col min="13056" max="13056" width="52.42578125" style="643" customWidth="1"/>
    <col min="13057" max="13057" width="49.28515625" style="643" customWidth="1"/>
    <col min="13058" max="13059" width="0" style="643" hidden="1" customWidth="1"/>
    <col min="13060" max="13060" width="19.42578125" style="643" customWidth="1"/>
    <col min="13061" max="13061" width="18.85546875" style="643" bestFit="1" customWidth="1"/>
    <col min="13062" max="13062" width="0" style="643" hidden="1" customWidth="1"/>
    <col min="13063" max="13063" width="15.5703125" style="643" bestFit="1" customWidth="1"/>
    <col min="13064" max="13310" width="9.140625" style="643"/>
    <col min="13311" max="13311" width="17.7109375" style="643" customWidth="1"/>
    <col min="13312" max="13312" width="52.42578125" style="643" customWidth="1"/>
    <col min="13313" max="13313" width="49.28515625" style="643" customWidth="1"/>
    <col min="13314" max="13315" width="0" style="643" hidden="1" customWidth="1"/>
    <col min="13316" max="13316" width="19.42578125" style="643" customWidth="1"/>
    <col min="13317" max="13317" width="18.85546875" style="643" bestFit="1" customWidth="1"/>
    <col min="13318" max="13318" width="0" style="643" hidden="1" customWidth="1"/>
    <col min="13319" max="13319" width="15.5703125" style="643" bestFit="1" customWidth="1"/>
    <col min="13320" max="13566" width="9.140625" style="643"/>
    <col min="13567" max="13567" width="17.7109375" style="643" customWidth="1"/>
    <col min="13568" max="13568" width="52.42578125" style="643" customWidth="1"/>
    <col min="13569" max="13569" width="49.28515625" style="643" customWidth="1"/>
    <col min="13570" max="13571" width="0" style="643" hidden="1" customWidth="1"/>
    <col min="13572" max="13572" width="19.42578125" style="643" customWidth="1"/>
    <col min="13573" max="13573" width="18.85546875" style="643" bestFit="1" customWidth="1"/>
    <col min="13574" max="13574" width="0" style="643" hidden="1" customWidth="1"/>
    <col min="13575" max="13575" width="15.5703125" style="643" bestFit="1" customWidth="1"/>
    <col min="13576" max="13822" width="9.140625" style="643"/>
    <col min="13823" max="13823" width="17.7109375" style="643" customWidth="1"/>
    <col min="13824" max="13824" width="52.42578125" style="643" customWidth="1"/>
    <col min="13825" max="13825" width="49.28515625" style="643" customWidth="1"/>
    <col min="13826" max="13827" width="0" style="643" hidden="1" customWidth="1"/>
    <col min="13828" max="13828" width="19.42578125" style="643" customWidth="1"/>
    <col min="13829" max="13829" width="18.85546875" style="643" bestFit="1" customWidth="1"/>
    <col min="13830" max="13830" width="0" style="643" hidden="1" customWidth="1"/>
    <col min="13831" max="13831" width="15.5703125" style="643" bestFit="1" customWidth="1"/>
    <col min="13832" max="14078" width="9.140625" style="643"/>
    <col min="14079" max="14079" width="17.7109375" style="643" customWidth="1"/>
    <col min="14080" max="14080" width="52.42578125" style="643" customWidth="1"/>
    <col min="14081" max="14081" width="49.28515625" style="643" customWidth="1"/>
    <col min="14082" max="14083" width="0" style="643" hidden="1" customWidth="1"/>
    <col min="14084" max="14084" width="19.42578125" style="643" customWidth="1"/>
    <col min="14085" max="14085" width="18.85546875" style="643" bestFit="1" customWidth="1"/>
    <col min="14086" max="14086" width="0" style="643" hidden="1" customWidth="1"/>
    <col min="14087" max="14087" width="15.5703125" style="643" bestFit="1" customWidth="1"/>
    <col min="14088" max="14334" width="9.140625" style="643"/>
    <col min="14335" max="14335" width="17.7109375" style="643" customWidth="1"/>
    <col min="14336" max="14336" width="52.42578125" style="643" customWidth="1"/>
    <col min="14337" max="14337" width="49.28515625" style="643" customWidth="1"/>
    <col min="14338" max="14339" width="0" style="643" hidden="1" customWidth="1"/>
    <col min="14340" max="14340" width="19.42578125" style="643" customWidth="1"/>
    <col min="14341" max="14341" width="18.85546875" style="643" bestFit="1" customWidth="1"/>
    <col min="14342" max="14342" width="0" style="643" hidden="1" customWidth="1"/>
    <col min="14343" max="14343" width="15.5703125" style="643" bestFit="1" customWidth="1"/>
    <col min="14344" max="14590" width="9.140625" style="643"/>
    <col min="14591" max="14591" width="17.7109375" style="643" customWidth="1"/>
    <col min="14592" max="14592" width="52.42578125" style="643" customWidth="1"/>
    <col min="14593" max="14593" width="49.28515625" style="643" customWidth="1"/>
    <col min="14594" max="14595" width="0" style="643" hidden="1" customWidth="1"/>
    <col min="14596" max="14596" width="19.42578125" style="643" customWidth="1"/>
    <col min="14597" max="14597" width="18.85546875" style="643" bestFit="1" customWidth="1"/>
    <col min="14598" max="14598" width="0" style="643" hidden="1" customWidth="1"/>
    <col min="14599" max="14599" width="15.5703125" style="643" bestFit="1" customWidth="1"/>
    <col min="14600" max="14846" width="9.140625" style="643"/>
    <col min="14847" max="14847" width="17.7109375" style="643" customWidth="1"/>
    <col min="14848" max="14848" width="52.42578125" style="643" customWidth="1"/>
    <col min="14849" max="14849" width="49.28515625" style="643" customWidth="1"/>
    <col min="14850" max="14851" width="0" style="643" hidden="1" customWidth="1"/>
    <col min="14852" max="14852" width="19.42578125" style="643" customWidth="1"/>
    <col min="14853" max="14853" width="18.85546875" style="643" bestFit="1" customWidth="1"/>
    <col min="14854" max="14854" width="0" style="643" hidden="1" customWidth="1"/>
    <col min="14855" max="14855" width="15.5703125" style="643" bestFit="1" customWidth="1"/>
    <col min="14856" max="15102" width="9.140625" style="643"/>
    <col min="15103" max="15103" width="17.7109375" style="643" customWidth="1"/>
    <col min="15104" max="15104" width="52.42578125" style="643" customWidth="1"/>
    <col min="15105" max="15105" width="49.28515625" style="643" customWidth="1"/>
    <col min="15106" max="15107" width="0" style="643" hidden="1" customWidth="1"/>
    <col min="15108" max="15108" width="19.42578125" style="643" customWidth="1"/>
    <col min="15109" max="15109" width="18.85546875" style="643" bestFit="1" customWidth="1"/>
    <col min="15110" max="15110" width="0" style="643" hidden="1" customWidth="1"/>
    <col min="15111" max="15111" width="15.5703125" style="643" bestFit="1" customWidth="1"/>
    <col min="15112" max="15358" width="9.140625" style="643"/>
    <col min="15359" max="15359" width="17.7109375" style="643" customWidth="1"/>
    <col min="15360" max="15360" width="52.42578125" style="643" customWidth="1"/>
    <col min="15361" max="15361" width="49.28515625" style="643" customWidth="1"/>
    <col min="15362" max="15363" width="0" style="643" hidden="1" customWidth="1"/>
    <col min="15364" max="15364" width="19.42578125" style="643" customWidth="1"/>
    <col min="15365" max="15365" width="18.85546875" style="643" bestFit="1" customWidth="1"/>
    <col min="15366" max="15366" width="0" style="643" hidden="1" customWidth="1"/>
    <col min="15367" max="15367" width="15.5703125" style="643" bestFit="1" customWidth="1"/>
    <col min="15368" max="15614" width="9.140625" style="643"/>
    <col min="15615" max="15615" width="17.7109375" style="643" customWidth="1"/>
    <col min="15616" max="15616" width="52.42578125" style="643" customWidth="1"/>
    <col min="15617" max="15617" width="49.28515625" style="643" customWidth="1"/>
    <col min="15618" max="15619" width="0" style="643" hidden="1" customWidth="1"/>
    <col min="15620" max="15620" width="19.42578125" style="643" customWidth="1"/>
    <col min="15621" max="15621" width="18.85546875" style="643" bestFit="1" customWidth="1"/>
    <col min="15622" max="15622" width="0" style="643" hidden="1" customWidth="1"/>
    <col min="15623" max="15623" width="15.5703125" style="643" bestFit="1" customWidth="1"/>
    <col min="15624" max="15870" width="9.140625" style="643"/>
    <col min="15871" max="15871" width="17.7109375" style="643" customWidth="1"/>
    <col min="15872" max="15872" width="52.42578125" style="643" customWidth="1"/>
    <col min="15873" max="15873" width="49.28515625" style="643" customWidth="1"/>
    <col min="15874" max="15875" width="0" style="643" hidden="1" customWidth="1"/>
    <col min="15876" max="15876" width="19.42578125" style="643" customWidth="1"/>
    <col min="15877" max="15877" width="18.85546875" style="643" bestFit="1" customWidth="1"/>
    <col min="15878" max="15878" width="0" style="643" hidden="1" customWidth="1"/>
    <col min="15879" max="15879" width="15.5703125" style="643" bestFit="1" customWidth="1"/>
    <col min="15880" max="16126" width="9.140625" style="643"/>
    <col min="16127" max="16127" width="17.7109375" style="643" customWidth="1"/>
    <col min="16128" max="16128" width="52.42578125" style="643" customWidth="1"/>
    <col min="16129" max="16129" width="49.28515625" style="643" customWidth="1"/>
    <col min="16130" max="16131" width="0" style="643" hidden="1" customWidth="1"/>
    <col min="16132" max="16132" width="19.42578125" style="643" customWidth="1"/>
    <col min="16133" max="16133" width="18.85546875" style="643" bestFit="1" customWidth="1"/>
    <col min="16134" max="16134" width="0" style="643" hidden="1" customWidth="1"/>
    <col min="16135" max="16135" width="15.5703125" style="643" bestFit="1" customWidth="1"/>
    <col min="16136" max="16384" width="9.140625" style="643"/>
  </cols>
  <sheetData>
    <row r="1" spans="1:20" ht="30" customHeight="1" x14ac:dyDescent="0.25">
      <c r="A1" s="842" t="str">
        <f>"Missio and Mill Hill Red Box Parish Results 2020 - Nottingham Diocese"</f>
        <v>Missio and Mill Hill Red Box Parish Results 2020 - Nottingham Diocese</v>
      </c>
      <c r="B1" s="565"/>
      <c r="C1" s="565"/>
      <c r="D1" s="566"/>
      <c r="E1" s="565"/>
      <c r="F1" s="565"/>
      <c r="L1" s="757">
        <v>2020</v>
      </c>
      <c r="M1" s="757">
        <v>2020</v>
      </c>
      <c r="N1" s="757">
        <v>2020</v>
      </c>
      <c r="P1" s="565"/>
      <c r="Q1" s="604"/>
      <c r="R1" s="652"/>
      <c r="S1" s="653"/>
      <c r="T1" s="652"/>
    </row>
    <row r="2" spans="1:20" ht="30" customHeight="1" x14ac:dyDescent="0.3">
      <c r="A2" s="622" t="s">
        <v>1</v>
      </c>
      <c r="B2" s="622" t="s">
        <v>2</v>
      </c>
      <c r="C2" s="622" t="s">
        <v>3</v>
      </c>
      <c r="D2" s="622" t="s">
        <v>8214</v>
      </c>
      <c r="E2" s="622" t="s">
        <v>8165</v>
      </c>
      <c r="F2" s="622">
        <f>ARU!P2</f>
        <v>2019</v>
      </c>
      <c r="G2" s="622" t="s">
        <v>7809</v>
      </c>
      <c r="H2" s="622" t="s">
        <v>311</v>
      </c>
      <c r="I2" s="622" t="s">
        <v>312</v>
      </c>
      <c r="J2" s="622" t="s">
        <v>2</v>
      </c>
      <c r="K2" s="622" t="s">
        <v>10989</v>
      </c>
      <c r="L2" s="622" t="s">
        <v>308</v>
      </c>
      <c r="M2" s="622" t="s">
        <v>10990</v>
      </c>
      <c r="N2" s="622" t="s">
        <v>10991</v>
      </c>
      <c r="O2" s="622">
        <v>2020</v>
      </c>
      <c r="P2" s="622">
        <v>2019</v>
      </c>
      <c r="Q2" s="622">
        <v>2018</v>
      </c>
      <c r="R2" s="622">
        <v>2017</v>
      </c>
      <c r="S2" s="622" t="s">
        <v>7689</v>
      </c>
      <c r="T2" s="622">
        <v>2016</v>
      </c>
    </row>
    <row r="3" spans="1:20" ht="30" customHeight="1" x14ac:dyDescent="0.2">
      <c r="A3" s="291" t="str">
        <f t="shared" ref="A3:A12" si="0">D3&amp;" / "&amp;E3</f>
        <v>NOT001 / 459</v>
      </c>
      <c r="B3" s="89" t="s">
        <v>3846</v>
      </c>
      <c r="C3" s="89" t="s">
        <v>5806</v>
      </c>
      <c r="D3" s="457" t="s">
        <v>3843</v>
      </c>
      <c r="E3" s="369" t="str">
        <f>VLOOKUP(D:D,'Master Table'!C:D,2,FALSE)</f>
        <v>459</v>
      </c>
      <c r="F3" s="69">
        <f>VLOOKUP(D:D,'Master Table'!C:O,13,FALSE)</f>
        <v>2287.87</v>
      </c>
      <c r="G3" s="69" t="s">
        <v>3843</v>
      </c>
      <c r="H3" s="69" t="s">
        <v>3844</v>
      </c>
      <c r="I3" s="69" t="s">
        <v>3845</v>
      </c>
      <c r="J3" s="69" t="s">
        <v>3846</v>
      </c>
      <c r="K3" s="69" t="s">
        <v>324</v>
      </c>
      <c r="L3" s="790"/>
      <c r="M3" s="790">
        <v>1456.42</v>
      </c>
      <c r="N3" s="790">
        <v>458.26</v>
      </c>
      <c r="O3" s="312">
        <f>L3+M3+N3</f>
        <v>1914.68</v>
      </c>
      <c r="P3" s="657">
        <v>2287.87</v>
      </c>
      <c r="Q3" s="657">
        <v>2522.7600000000002</v>
      </c>
      <c r="R3" s="658">
        <v>2941.1</v>
      </c>
      <c r="S3" s="659">
        <v>1281.0999999999999</v>
      </c>
      <c r="T3" s="659">
        <v>2616.66</v>
      </c>
    </row>
    <row r="4" spans="1:20" ht="30" customHeight="1" x14ac:dyDescent="0.2">
      <c r="A4" s="291" t="str">
        <f t="shared" si="0"/>
        <v>NOT002 / 460</v>
      </c>
      <c r="B4" s="89" t="s">
        <v>3850</v>
      </c>
      <c r="C4" s="606" t="s">
        <v>7216</v>
      </c>
      <c r="D4" s="457" t="s">
        <v>3848</v>
      </c>
      <c r="E4" s="369" t="str">
        <f>VLOOKUP(D:D,'Master Table'!C:D,2,FALSE)</f>
        <v>460</v>
      </c>
      <c r="F4" s="69">
        <f>VLOOKUP(D:D,'Master Table'!C:O,13,FALSE)</f>
        <v>54.14</v>
      </c>
      <c r="G4" s="69" t="s">
        <v>3848</v>
      </c>
      <c r="H4" s="69" t="s">
        <v>3849</v>
      </c>
      <c r="I4" s="69" t="s">
        <v>11</v>
      </c>
      <c r="J4" s="69" t="s">
        <v>3850</v>
      </c>
      <c r="K4" s="69" t="s">
        <v>324</v>
      </c>
      <c r="L4" s="790"/>
      <c r="M4" s="790">
        <v>10</v>
      </c>
      <c r="N4" s="790">
        <v>61.34</v>
      </c>
      <c r="O4" s="312">
        <f t="shared" ref="O4:O60" si="1">L4+M4+N4</f>
        <v>71.34</v>
      </c>
      <c r="P4" s="657">
        <v>54.14</v>
      </c>
      <c r="Q4" s="657">
        <v>121.94</v>
      </c>
      <c r="R4" s="658">
        <v>160.43</v>
      </c>
      <c r="S4" s="659">
        <v>110.43</v>
      </c>
      <c r="T4" s="659">
        <v>362.95</v>
      </c>
    </row>
    <row r="5" spans="1:20" ht="30" customHeight="1" x14ac:dyDescent="0.2">
      <c r="A5" s="291" t="str">
        <f t="shared" si="0"/>
        <v>NOT003 / 462</v>
      </c>
      <c r="B5" s="906" t="s">
        <v>8350</v>
      </c>
      <c r="C5" s="536" t="s">
        <v>8348</v>
      </c>
      <c r="D5" s="538" t="s">
        <v>3851</v>
      </c>
      <c r="E5" s="369" t="str">
        <f>VLOOKUP(D:D,'Master Table'!C:D,2,FALSE)</f>
        <v>462</v>
      </c>
      <c r="F5" s="69">
        <f>VLOOKUP(D:D,'Master Table'!C:O,13,FALSE)</f>
        <v>1001.6800000000001</v>
      </c>
      <c r="G5" s="69" t="s">
        <v>3851</v>
      </c>
      <c r="H5" s="69" t="s">
        <v>3852</v>
      </c>
      <c r="I5" s="69" t="s">
        <v>1961</v>
      </c>
      <c r="J5" s="69" t="s">
        <v>3850</v>
      </c>
      <c r="K5" s="69" t="s">
        <v>324</v>
      </c>
      <c r="L5" s="790">
        <v>82.65</v>
      </c>
      <c r="M5" s="790">
        <v>756</v>
      </c>
      <c r="N5" s="790"/>
      <c r="O5" s="312">
        <f t="shared" si="1"/>
        <v>838.65</v>
      </c>
      <c r="P5" s="657">
        <v>1001.6800000000001</v>
      </c>
      <c r="Q5" s="657">
        <v>1217.48</v>
      </c>
      <c r="R5" s="658">
        <v>1431.86</v>
      </c>
      <c r="S5" s="659">
        <v>766.8599999999999</v>
      </c>
      <c r="T5" s="659">
        <v>1920.8700000000001</v>
      </c>
    </row>
    <row r="6" spans="1:20" ht="30" customHeight="1" x14ac:dyDescent="0.2">
      <c r="A6" s="291" t="str">
        <f t="shared" ref="A6" si="2">D6&amp;" / "&amp;E6</f>
        <v>NOT037A / 497</v>
      </c>
      <c r="B6" s="907"/>
      <c r="C6" s="529" t="s">
        <v>8349</v>
      </c>
      <c r="D6" s="538" t="s">
        <v>3972</v>
      </c>
      <c r="E6" s="369" t="str">
        <f>VLOOKUP(D:D,'Master Table'!C:D,2,FALSE)</f>
        <v>497</v>
      </c>
      <c r="F6" s="69">
        <f>VLOOKUP(D:D,'Master Table'!C:O,13,FALSE)</f>
        <v>80</v>
      </c>
      <c r="G6" s="69"/>
      <c r="H6" s="69"/>
      <c r="I6" s="69"/>
      <c r="J6" s="69"/>
      <c r="K6" s="69"/>
      <c r="L6" s="790"/>
      <c r="M6" s="790"/>
      <c r="N6" s="790"/>
      <c r="O6" s="312"/>
      <c r="P6" s="657">
        <v>80</v>
      </c>
      <c r="Q6" s="657">
        <v>130</v>
      </c>
      <c r="R6" s="658">
        <v>1431.86</v>
      </c>
      <c r="S6" s="659"/>
      <c r="T6" s="659"/>
    </row>
    <row r="7" spans="1:20" ht="30" customHeight="1" x14ac:dyDescent="0.2">
      <c r="A7" s="291" t="str">
        <f t="shared" si="0"/>
        <v>NOT004 / 463</v>
      </c>
      <c r="B7" s="89" t="s">
        <v>3850</v>
      </c>
      <c r="C7" s="607" t="s">
        <v>7693</v>
      </c>
      <c r="D7" s="457" t="s">
        <v>3853</v>
      </c>
      <c r="E7" s="369" t="str">
        <f>VLOOKUP(D:D,'Master Table'!C:D,2,FALSE)</f>
        <v>463</v>
      </c>
      <c r="F7" s="69">
        <f>VLOOKUP(D:D,'Master Table'!C:O,13,FALSE)</f>
        <v>1847.8799999999999</v>
      </c>
      <c r="G7" s="69" t="s">
        <v>3853</v>
      </c>
      <c r="H7" s="69" t="s">
        <v>3854</v>
      </c>
      <c r="I7" s="69" t="s">
        <v>2530</v>
      </c>
      <c r="J7" s="69" t="s">
        <v>3850</v>
      </c>
      <c r="K7" s="69" t="s">
        <v>324</v>
      </c>
      <c r="L7" s="790">
        <v>424.23</v>
      </c>
      <c r="M7" s="790">
        <v>1384</v>
      </c>
      <c r="N7" s="790"/>
      <c r="O7" s="312">
        <f t="shared" si="1"/>
        <v>1808.23</v>
      </c>
      <c r="P7" s="657">
        <v>1847.8799999999999</v>
      </c>
      <c r="Q7" s="657">
        <v>1109.96</v>
      </c>
      <c r="R7" s="658">
        <v>1244.48</v>
      </c>
      <c r="S7" s="659">
        <v>721.48</v>
      </c>
      <c r="T7" s="659">
        <v>1545.97</v>
      </c>
    </row>
    <row r="8" spans="1:20" ht="30" customHeight="1" x14ac:dyDescent="0.2">
      <c r="A8" s="291" t="str">
        <f t="shared" si="0"/>
        <v>NOT005 / 464</v>
      </c>
      <c r="B8" s="89" t="s">
        <v>3850</v>
      </c>
      <c r="C8" s="89" t="s">
        <v>7694</v>
      </c>
      <c r="D8" s="457" t="s">
        <v>3855</v>
      </c>
      <c r="E8" s="369" t="str">
        <f>VLOOKUP(D:D,'Master Table'!C:D,2,FALSE)</f>
        <v>464</v>
      </c>
      <c r="F8" s="69">
        <f>VLOOKUP(D:D,'Master Table'!C:O,13,FALSE)</f>
        <v>2793</v>
      </c>
      <c r="G8" s="69" t="s">
        <v>3855</v>
      </c>
      <c r="H8" s="69" t="s">
        <v>3856</v>
      </c>
      <c r="I8" s="69" t="s">
        <v>3857</v>
      </c>
      <c r="J8" s="69" t="s">
        <v>3850</v>
      </c>
      <c r="K8" s="69" t="s">
        <v>324</v>
      </c>
      <c r="L8" s="790">
        <v>0</v>
      </c>
      <c r="M8" s="790">
        <v>1411</v>
      </c>
      <c r="N8" s="790">
        <v>317</v>
      </c>
      <c r="O8" s="312">
        <f t="shared" si="1"/>
        <v>1728</v>
      </c>
      <c r="P8" s="657">
        <v>2793</v>
      </c>
      <c r="Q8" s="657">
        <v>2381.1999999999998</v>
      </c>
      <c r="R8" s="658">
        <v>2513</v>
      </c>
      <c r="S8" s="659">
        <v>947</v>
      </c>
      <c r="T8" s="659">
        <v>2784</v>
      </c>
    </row>
    <row r="9" spans="1:20" ht="30" customHeight="1" x14ac:dyDescent="0.2">
      <c r="A9" s="291" t="str">
        <f t="shared" si="0"/>
        <v>NOT006 / 465</v>
      </c>
      <c r="B9" s="89" t="s">
        <v>3850</v>
      </c>
      <c r="C9" s="89" t="s">
        <v>7511</v>
      </c>
      <c r="D9" s="457" t="s">
        <v>3859</v>
      </c>
      <c r="E9" s="369" t="str">
        <f>VLOOKUP(D:D,'Master Table'!C:D,2,FALSE)</f>
        <v>465</v>
      </c>
      <c r="F9" s="69">
        <f>VLOOKUP(D:D,'Master Table'!C:O,13,FALSE)</f>
        <v>941.5</v>
      </c>
      <c r="G9" s="69" t="s">
        <v>3859</v>
      </c>
      <c r="H9" s="69" t="s">
        <v>3860</v>
      </c>
      <c r="I9" s="69" t="s">
        <v>3861</v>
      </c>
      <c r="J9" s="69" t="s">
        <v>3850</v>
      </c>
      <c r="K9" s="69" t="s">
        <v>324</v>
      </c>
      <c r="L9" s="790">
        <v>710.85</v>
      </c>
      <c r="M9" s="790">
        <v>281</v>
      </c>
      <c r="N9" s="790"/>
      <c r="O9" s="312">
        <f t="shared" si="1"/>
        <v>991.85</v>
      </c>
      <c r="P9" s="657">
        <v>941.5</v>
      </c>
      <c r="Q9" s="657">
        <v>922.69999999999993</v>
      </c>
      <c r="R9" s="658">
        <v>1263</v>
      </c>
      <c r="S9" s="659">
        <v>859</v>
      </c>
      <c r="T9" s="659">
        <v>1444.7</v>
      </c>
    </row>
    <row r="10" spans="1:20" ht="30" customHeight="1" x14ac:dyDescent="0.2">
      <c r="A10" s="291" t="str">
        <f t="shared" si="0"/>
        <v>NOT007 / 466</v>
      </c>
      <c r="B10" s="89" t="s">
        <v>3850</v>
      </c>
      <c r="C10" s="89" t="s">
        <v>3864</v>
      </c>
      <c r="D10" s="457" t="s">
        <v>3862</v>
      </c>
      <c r="E10" s="369" t="str">
        <f>VLOOKUP(D:D,'Master Table'!C:D,2,FALSE)</f>
        <v>466</v>
      </c>
      <c r="F10" s="69">
        <f>VLOOKUP(D:D,'Master Table'!C:O,13,FALSE)</f>
        <v>85</v>
      </c>
      <c r="G10" s="69" t="s">
        <v>3862</v>
      </c>
      <c r="H10" s="69" t="s">
        <v>3863</v>
      </c>
      <c r="I10" s="69" t="s">
        <v>3864</v>
      </c>
      <c r="J10" s="69" t="s">
        <v>3850</v>
      </c>
      <c r="K10" s="69" t="s">
        <v>324</v>
      </c>
      <c r="L10" s="790"/>
      <c r="M10" s="790">
        <v>85</v>
      </c>
      <c r="N10" s="790">
        <v>137.5</v>
      </c>
      <c r="O10" s="312">
        <f t="shared" si="1"/>
        <v>222.5</v>
      </c>
      <c r="P10" s="657">
        <v>85</v>
      </c>
      <c r="Q10" s="657">
        <v>60</v>
      </c>
      <c r="R10" s="658">
        <v>60</v>
      </c>
      <c r="S10" s="659">
        <v>0</v>
      </c>
      <c r="T10" s="659">
        <v>60</v>
      </c>
    </row>
    <row r="11" spans="1:20" ht="30" customHeight="1" x14ac:dyDescent="0.2">
      <c r="A11" s="291" t="str">
        <f t="shared" si="0"/>
        <v>NOT008 / 467</v>
      </c>
      <c r="B11" s="89" t="s">
        <v>3850</v>
      </c>
      <c r="C11" s="89" t="s">
        <v>1032</v>
      </c>
      <c r="D11" s="457" t="s">
        <v>3865</v>
      </c>
      <c r="E11" s="369" t="str">
        <f>VLOOKUP(D:D,'Master Table'!C:D,2,FALSE)</f>
        <v>467</v>
      </c>
      <c r="F11" s="69">
        <f>VLOOKUP(D:D,'Master Table'!C:O,13,FALSE)</f>
        <v>600.29</v>
      </c>
      <c r="G11" s="69" t="s">
        <v>3865</v>
      </c>
      <c r="H11" s="69" t="s">
        <v>3866</v>
      </c>
      <c r="I11" s="69" t="s">
        <v>1032</v>
      </c>
      <c r="J11" s="69" t="s">
        <v>3867</v>
      </c>
      <c r="K11" s="69" t="s">
        <v>324</v>
      </c>
      <c r="L11" s="790"/>
      <c r="M11" s="790">
        <v>128</v>
      </c>
      <c r="N11" s="790"/>
      <c r="O11" s="312">
        <f t="shared" si="1"/>
        <v>128</v>
      </c>
      <c r="P11" s="657">
        <v>600.29</v>
      </c>
      <c r="Q11" s="657">
        <v>398.5</v>
      </c>
      <c r="R11" s="658">
        <v>210</v>
      </c>
      <c r="S11" s="659">
        <v>0</v>
      </c>
      <c r="T11" s="659">
        <v>367</v>
      </c>
    </row>
    <row r="12" spans="1:20" ht="30" customHeight="1" x14ac:dyDescent="0.2">
      <c r="A12" s="291" t="str">
        <f t="shared" si="0"/>
        <v>NOT009 / 468</v>
      </c>
      <c r="B12" s="89" t="s">
        <v>3850</v>
      </c>
      <c r="C12" s="89" t="s">
        <v>3870</v>
      </c>
      <c r="D12" s="457" t="s">
        <v>3868</v>
      </c>
      <c r="E12" s="369" t="str">
        <f>VLOOKUP(D:D,'Master Table'!C:D,2,FALSE)</f>
        <v>468</v>
      </c>
      <c r="F12" s="69">
        <f>VLOOKUP(D:D,'Master Table'!C:O,13,FALSE)</f>
        <v>0</v>
      </c>
      <c r="G12" s="69" t="s">
        <v>3868</v>
      </c>
      <c r="H12" s="69" t="s">
        <v>3869</v>
      </c>
      <c r="I12" s="69" t="s">
        <v>3870</v>
      </c>
      <c r="J12" s="69" t="s">
        <v>3850</v>
      </c>
      <c r="K12" s="69" t="s">
        <v>324</v>
      </c>
      <c r="L12" s="790"/>
      <c r="M12" s="790">
        <v>60</v>
      </c>
      <c r="N12" s="790"/>
      <c r="O12" s="312">
        <f t="shared" si="1"/>
        <v>60</v>
      </c>
      <c r="P12" s="657">
        <v>0</v>
      </c>
      <c r="Q12" s="657">
        <v>0</v>
      </c>
      <c r="R12" s="658">
        <v>15</v>
      </c>
      <c r="S12" s="659">
        <v>0</v>
      </c>
      <c r="T12" s="659">
        <v>20</v>
      </c>
    </row>
    <row r="13" spans="1:20" ht="30" customHeight="1" x14ac:dyDescent="0.2">
      <c r="A13" s="291" t="s">
        <v>11040</v>
      </c>
      <c r="B13" s="89" t="s">
        <v>3850</v>
      </c>
      <c r="C13" s="89" t="s">
        <v>7449</v>
      </c>
      <c r="D13" s="457" t="s">
        <v>3878</v>
      </c>
      <c r="E13" s="369" t="str">
        <f>VLOOKUP(D:D,'Master Table'!C:D,2,FALSE)</f>
        <v>473</v>
      </c>
      <c r="F13" s="69">
        <f>VLOOKUP(D:D,'Master Table'!C:O,13,FALSE)</f>
        <v>446.02</v>
      </c>
      <c r="G13" s="69" t="s">
        <v>3874</v>
      </c>
      <c r="H13" s="69" t="s">
        <v>3875</v>
      </c>
      <c r="I13" s="69" t="s">
        <v>3876</v>
      </c>
      <c r="J13" s="69" t="s">
        <v>3850</v>
      </c>
      <c r="K13" s="69" t="s">
        <v>324</v>
      </c>
      <c r="L13" s="790">
        <v>85.32</v>
      </c>
      <c r="M13" s="790">
        <v>70</v>
      </c>
      <c r="N13" s="790"/>
      <c r="O13" s="312">
        <f t="shared" si="1"/>
        <v>155.32</v>
      </c>
      <c r="P13" s="657">
        <v>345.77000000000004</v>
      </c>
      <c r="Q13" s="657">
        <v>298.7</v>
      </c>
      <c r="R13" s="658">
        <v>301.27</v>
      </c>
      <c r="S13" s="659">
        <v>241.27</v>
      </c>
      <c r="T13" s="659">
        <v>317.49</v>
      </c>
    </row>
    <row r="14" spans="1:20" ht="30" customHeight="1" x14ac:dyDescent="0.2">
      <c r="A14" s="291" t="str">
        <f>D13&amp;" / "&amp;E13</f>
        <v>NOT012 / 473</v>
      </c>
      <c r="B14" s="89" t="s">
        <v>3850</v>
      </c>
      <c r="C14" s="89" t="s">
        <v>3880</v>
      </c>
      <c r="D14" s="457" t="s">
        <v>3882</v>
      </c>
      <c r="E14" s="369" t="str">
        <f>VLOOKUP(D:D,'Master Table'!C:D,2,FALSE)</f>
        <v>474</v>
      </c>
      <c r="F14" s="69">
        <f>VLOOKUP(D:D,'Master Table'!C:O,13,FALSE)</f>
        <v>369</v>
      </c>
      <c r="G14" s="69" t="s">
        <v>3878</v>
      </c>
      <c r="H14" s="69" t="s">
        <v>3879</v>
      </c>
      <c r="I14" s="69" t="s">
        <v>3880</v>
      </c>
      <c r="J14" s="69" t="s">
        <v>3850</v>
      </c>
      <c r="K14" s="69" t="s">
        <v>351</v>
      </c>
      <c r="L14" s="790"/>
      <c r="M14" s="790">
        <v>110</v>
      </c>
      <c r="N14" s="790"/>
      <c r="O14" s="312">
        <f t="shared" si="1"/>
        <v>110</v>
      </c>
      <c r="P14" s="657">
        <v>446.02</v>
      </c>
      <c r="Q14" s="657">
        <v>280.15999999999997</v>
      </c>
      <c r="R14" s="658">
        <v>151.84</v>
      </c>
      <c r="S14" s="659">
        <v>46.84</v>
      </c>
      <c r="T14" s="659">
        <v>199.08</v>
      </c>
    </row>
    <row r="15" spans="1:20" ht="30" customHeight="1" x14ac:dyDescent="0.2">
      <c r="A15" s="291" t="str">
        <f>D14&amp;" / "&amp;E14</f>
        <v>NOT013 / 474</v>
      </c>
      <c r="B15" s="877" t="s">
        <v>3850</v>
      </c>
      <c r="C15" s="536" t="s">
        <v>8346</v>
      </c>
      <c r="D15" s="457" t="s">
        <v>3871</v>
      </c>
      <c r="E15" s="369" t="str">
        <f>VLOOKUP(D:D,'Master Table'!C:D,2,FALSE)</f>
        <v>470</v>
      </c>
      <c r="F15" s="69">
        <f>VLOOKUP(D:D,'Master Table'!C:O,13,FALSE)</f>
        <v>510</v>
      </c>
      <c r="G15" s="69" t="s">
        <v>3882</v>
      </c>
      <c r="H15" s="69" t="s">
        <v>3883</v>
      </c>
      <c r="I15" s="69" t="s">
        <v>3884</v>
      </c>
      <c r="J15" s="69" t="s">
        <v>3850</v>
      </c>
      <c r="K15" s="69" t="s">
        <v>324</v>
      </c>
      <c r="L15" s="790"/>
      <c r="M15" s="790">
        <v>152</v>
      </c>
      <c r="N15" s="790"/>
      <c r="O15" s="312">
        <f t="shared" si="1"/>
        <v>152</v>
      </c>
      <c r="P15" s="657">
        <f>F14+F15</f>
        <v>879</v>
      </c>
      <c r="Q15" s="869">
        <v>1545</v>
      </c>
      <c r="R15" s="658">
        <v>503</v>
      </c>
      <c r="S15" s="659">
        <v>0</v>
      </c>
      <c r="T15" s="659">
        <v>225</v>
      </c>
    </row>
    <row r="16" spans="1:20" ht="30" customHeight="1" x14ac:dyDescent="0.2">
      <c r="A16" s="291" t="str">
        <f t="shared" ref="A16" si="3">D15&amp;" / "&amp;E15</f>
        <v>NOT010 / 470</v>
      </c>
      <c r="B16" s="878" t="s">
        <v>3850</v>
      </c>
      <c r="C16" s="529" t="s">
        <v>8347</v>
      </c>
      <c r="D16" s="457" t="s">
        <v>3885</v>
      </c>
      <c r="E16" s="369" t="str">
        <f>VLOOKUP(D:D,'Master Table'!C:D,2,FALSE)</f>
        <v>475</v>
      </c>
      <c r="F16" s="69">
        <f>VLOOKUP(D:D,'Master Table'!C:O,13,FALSE)</f>
        <v>497.29</v>
      </c>
      <c r="G16" s="69" t="s">
        <v>3871</v>
      </c>
      <c r="H16" s="69" t="s">
        <v>3872</v>
      </c>
      <c r="I16" s="69" t="s">
        <v>3873</v>
      </c>
      <c r="J16" s="69" t="s">
        <v>3850</v>
      </c>
      <c r="K16" s="69" t="s">
        <v>324</v>
      </c>
      <c r="L16" s="790"/>
      <c r="M16" s="790">
        <v>1548</v>
      </c>
      <c r="N16" s="790"/>
      <c r="O16" s="312">
        <f>L16+M16+N16</f>
        <v>1548</v>
      </c>
      <c r="P16" s="657"/>
      <c r="Q16" s="870"/>
      <c r="R16" s="658">
        <v>503</v>
      </c>
      <c r="S16" s="659"/>
      <c r="T16" s="659"/>
    </row>
    <row r="17" spans="1:20" ht="30" customHeight="1" x14ac:dyDescent="0.2">
      <c r="A17" s="291" t="str">
        <f t="shared" ref="A17:A23" si="4">D16&amp;" / "&amp;E16</f>
        <v>NOT014 / 475</v>
      </c>
      <c r="B17" s="89" t="s">
        <v>3850</v>
      </c>
      <c r="C17" s="89" t="s">
        <v>659</v>
      </c>
      <c r="D17" s="457" t="s">
        <v>3887</v>
      </c>
      <c r="E17" s="369" t="str">
        <f>VLOOKUP(D:D,'Master Table'!C:D,2,FALSE)</f>
        <v>476</v>
      </c>
      <c r="F17" s="69">
        <f>VLOOKUP(D:D,'Master Table'!C:O,13,FALSE)</f>
        <v>238.19</v>
      </c>
      <c r="G17" s="69" t="s">
        <v>3885</v>
      </c>
      <c r="H17" s="69" t="s">
        <v>3886</v>
      </c>
      <c r="I17" s="69" t="s">
        <v>659</v>
      </c>
      <c r="J17" s="69" t="s">
        <v>3850</v>
      </c>
      <c r="K17" s="69" t="s">
        <v>351</v>
      </c>
      <c r="L17" s="790"/>
      <c r="M17" s="790">
        <v>130</v>
      </c>
      <c r="N17" s="790"/>
      <c r="O17" s="312">
        <f t="shared" si="1"/>
        <v>130</v>
      </c>
      <c r="P17" s="657">
        <v>497.29</v>
      </c>
      <c r="Q17" s="657">
        <v>858.7</v>
      </c>
      <c r="R17" s="658">
        <v>589</v>
      </c>
      <c r="S17" s="659">
        <v>0</v>
      </c>
      <c r="T17" s="659">
        <v>604.94000000000005</v>
      </c>
    </row>
    <row r="18" spans="1:20" ht="30" customHeight="1" x14ac:dyDescent="0.2">
      <c r="A18" s="291" t="str">
        <f t="shared" si="4"/>
        <v>NOT015 / 476</v>
      </c>
      <c r="B18" s="89" t="s">
        <v>3850</v>
      </c>
      <c r="C18" s="89" t="s">
        <v>453</v>
      </c>
      <c r="D18" s="457" t="s">
        <v>3889</v>
      </c>
      <c r="E18" s="369" t="str">
        <f>VLOOKUP(D:D,'Master Table'!C:D,2,FALSE)</f>
        <v>477</v>
      </c>
      <c r="F18" s="69">
        <f>VLOOKUP(D:D,'Master Table'!C:O,13,FALSE)</f>
        <v>200</v>
      </c>
      <c r="G18" s="69" t="s">
        <v>3887</v>
      </c>
      <c r="H18" s="69" t="s">
        <v>3888</v>
      </c>
      <c r="I18" s="69" t="s">
        <v>453</v>
      </c>
      <c r="J18" s="69" t="s">
        <v>3850</v>
      </c>
      <c r="K18" s="69" t="s">
        <v>351</v>
      </c>
      <c r="L18" s="790">
        <v>123.96</v>
      </c>
      <c r="M18" s="790">
        <v>55</v>
      </c>
      <c r="N18" s="790"/>
      <c r="O18" s="312">
        <f t="shared" si="1"/>
        <v>178.95999999999998</v>
      </c>
      <c r="P18" s="657">
        <v>238.19</v>
      </c>
      <c r="Q18" s="657">
        <v>275.45</v>
      </c>
      <c r="R18" s="658">
        <v>147.93</v>
      </c>
      <c r="S18" s="659">
        <v>127.93</v>
      </c>
      <c r="T18" s="659">
        <v>176.87</v>
      </c>
    </row>
    <row r="19" spans="1:20" ht="30" customHeight="1" x14ac:dyDescent="0.2">
      <c r="A19" s="291" t="str">
        <f t="shared" si="4"/>
        <v>NOT016 / 477</v>
      </c>
      <c r="B19" s="89" t="s">
        <v>3850</v>
      </c>
      <c r="C19" s="89" t="s">
        <v>7697</v>
      </c>
      <c r="D19" s="457" t="s">
        <v>3892</v>
      </c>
      <c r="E19" s="369" t="str">
        <f>VLOOKUP(D:D,'Master Table'!C:D,2,FALSE)</f>
        <v>479</v>
      </c>
      <c r="F19" s="69">
        <f>VLOOKUP(D:D,'Master Table'!C:O,13,FALSE)</f>
        <v>415.24</v>
      </c>
      <c r="G19" s="69" t="s">
        <v>3889</v>
      </c>
      <c r="H19" s="69" t="s">
        <v>3890</v>
      </c>
      <c r="I19" s="69" t="s">
        <v>3891</v>
      </c>
      <c r="J19" s="69" t="s">
        <v>3850</v>
      </c>
      <c r="K19" s="69" t="s">
        <v>324</v>
      </c>
      <c r="L19" s="790"/>
      <c r="M19" s="790">
        <v>200</v>
      </c>
      <c r="N19" s="790"/>
      <c r="O19" s="312">
        <f t="shared" si="1"/>
        <v>200</v>
      </c>
      <c r="P19" s="657">
        <v>200</v>
      </c>
      <c r="Q19" s="657">
        <v>275</v>
      </c>
      <c r="R19" s="658">
        <v>251</v>
      </c>
      <c r="S19" s="659">
        <v>0</v>
      </c>
      <c r="T19" s="659">
        <v>232</v>
      </c>
    </row>
    <row r="20" spans="1:20" ht="30" customHeight="1" x14ac:dyDescent="0.2">
      <c r="A20" s="291" t="str">
        <f t="shared" si="4"/>
        <v>NOT017 / 479</v>
      </c>
      <c r="B20" s="89" t="s">
        <v>3894</v>
      </c>
      <c r="C20" s="89" t="s">
        <v>916</v>
      </c>
      <c r="D20" s="457" t="s">
        <v>3895</v>
      </c>
      <c r="E20" s="369" t="str">
        <f>VLOOKUP(D:D,'Master Table'!C:D,2,FALSE)</f>
        <v>480</v>
      </c>
      <c r="F20" s="69">
        <f>VLOOKUP(D:D,'Master Table'!C:O,13,FALSE)</f>
        <v>791</v>
      </c>
      <c r="G20" s="69" t="s">
        <v>3892</v>
      </c>
      <c r="H20" s="69" t="s">
        <v>3893</v>
      </c>
      <c r="I20" s="69" t="s">
        <v>214</v>
      </c>
      <c r="J20" s="69" t="s">
        <v>3894</v>
      </c>
      <c r="K20" s="69" t="s">
        <v>324</v>
      </c>
      <c r="L20" s="790"/>
      <c r="M20" s="790">
        <v>75</v>
      </c>
      <c r="N20" s="790"/>
      <c r="O20" s="312">
        <f t="shared" si="1"/>
        <v>75</v>
      </c>
      <c r="P20" s="657">
        <v>415.24</v>
      </c>
      <c r="Q20" s="657">
        <v>75</v>
      </c>
      <c r="R20" s="658">
        <v>860</v>
      </c>
      <c r="S20" s="659">
        <v>0</v>
      </c>
      <c r="T20" s="659">
        <v>125</v>
      </c>
    </row>
    <row r="21" spans="1:20" ht="30" customHeight="1" x14ac:dyDescent="0.2">
      <c r="A21" s="291" t="str">
        <f t="shared" si="4"/>
        <v>NOT017A / 480</v>
      </c>
      <c r="B21" s="89" t="s">
        <v>3898</v>
      </c>
      <c r="C21" s="89" t="s">
        <v>7698</v>
      </c>
      <c r="D21" s="457" t="s">
        <v>3899</v>
      </c>
      <c r="E21" s="369" t="str">
        <f>VLOOKUP(D:D,'Master Table'!C:D,2,FALSE)</f>
        <v>481</v>
      </c>
      <c r="F21" s="69">
        <f>VLOOKUP(D:D,'Master Table'!C:O,13,FALSE)</f>
        <v>325</v>
      </c>
      <c r="G21" s="69" t="s">
        <v>3895</v>
      </c>
      <c r="H21" s="69" t="s">
        <v>3896</v>
      </c>
      <c r="I21" s="69" t="s">
        <v>3897</v>
      </c>
      <c r="J21" s="69" t="s">
        <v>3898</v>
      </c>
      <c r="K21" s="69" t="s">
        <v>324</v>
      </c>
      <c r="L21" s="790"/>
      <c r="M21" s="790"/>
      <c r="N21" s="790"/>
      <c r="O21" s="312">
        <f t="shared" si="1"/>
        <v>0</v>
      </c>
      <c r="P21" s="657">
        <v>791</v>
      </c>
      <c r="Q21" s="657">
        <v>738</v>
      </c>
      <c r="R21" s="658">
        <v>680</v>
      </c>
      <c r="S21" s="659">
        <v>670</v>
      </c>
      <c r="T21" s="659">
        <v>561</v>
      </c>
    </row>
    <row r="22" spans="1:20" ht="30" customHeight="1" x14ac:dyDescent="0.2">
      <c r="A22" s="291" t="str">
        <f t="shared" si="4"/>
        <v>NOT018 / 481</v>
      </c>
      <c r="B22" s="89" t="s">
        <v>3901</v>
      </c>
      <c r="C22" s="89" t="s">
        <v>1871</v>
      </c>
      <c r="D22" s="457" t="s">
        <v>3903</v>
      </c>
      <c r="E22" s="369" t="str">
        <f>VLOOKUP(D:D,'Master Table'!C:D,2,FALSE)</f>
        <v>482</v>
      </c>
      <c r="F22" s="69">
        <f>VLOOKUP(D:D,'Master Table'!C:O,13,FALSE)</f>
        <v>534.69000000000005</v>
      </c>
      <c r="G22" s="69" t="s">
        <v>3899</v>
      </c>
      <c r="H22" s="69" t="s">
        <v>3900</v>
      </c>
      <c r="I22" s="69" t="s">
        <v>1871</v>
      </c>
      <c r="J22" s="69" t="s">
        <v>3901</v>
      </c>
      <c r="K22" s="69" t="s">
        <v>324</v>
      </c>
      <c r="L22" s="790"/>
      <c r="M22" s="790">
        <v>315</v>
      </c>
      <c r="N22" s="790"/>
      <c r="O22" s="312">
        <f t="shared" si="1"/>
        <v>315</v>
      </c>
      <c r="P22" s="657">
        <v>325</v>
      </c>
      <c r="Q22" s="657">
        <v>272</v>
      </c>
      <c r="R22" s="658">
        <v>214.25</v>
      </c>
      <c r="S22" s="659">
        <v>0</v>
      </c>
      <c r="T22" s="659">
        <v>395.5</v>
      </c>
    </row>
    <row r="23" spans="1:20" ht="30" customHeight="1" x14ac:dyDescent="0.2">
      <c r="A23" s="291" t="str">
        <f t="shared" si="4"/>
        <v>NOT019 / 482</v>
      </c>
      <c r="B23" s="877" t="s">
        <v>7700</v>
      </c>
      <c r="C23" s="536" t="s">
        <v>8336</v>
      </c>
      <c r="D23" s="457" t="s">
        <v>4186</v>
      </c>
      <c r="E23" s="369" t="str">
        <f>VLOOKUP(D:D,'Master Table'!C:D,2,FALSE)</f>
        <v>559</v>
      </c>
      <c r="F23" s="69">
        <f>VLOOKUP(D:D,'Master Table'!C:O,13,FALSE)</f>
        <v>30</v>
      </c>
      <c r="G23" s="69" t="s">
        <v>3903</v>
      </c>
      <c r="H23" s="69" t="s">
        <v>3904</v>
      </c>
      <c r="I23" s="69" t="s">
        <v>3905</v>
      </c>
      <c r="J23" s="69" t="s">
        <v>3906</v>
      </c>
      <c r="K23" s="69" t="s">
        <v>324</v>
      </c>
      <c r="L23" s="790">
        <v>0</v>
      </c>
      <c r="M23" s="790">
        <v>547</v>
      </c>
      <c r="N23" s="790"/>
      <c r="O23" s="312">
        <f t="shared" si="1"/>
        <v>547</v>
      </c>
      <c r="P23" s="657">
        <v>534.69000000000005</v>
      </c>
      <c r="Q23" s="657">
        <v>537.34</v>
      </c>
      <c r="R23" s="658">
        <v>682.12</v>
      </c>
      <c r="S23" s="659">
        <v>282.12</v>
      </c>
      <c r="T23" s="659">
        <v>1410.33</v>
      </c>
    </row>
    <row r="24" spans="1:20" ht="30" customHeight="1" x14ac:dyDescent="0.2">
      <c r="A24" s="291" t="str">
        <f t="shared" ref="A24" si="5">D23&amp;" / "&amp;E23</f>
        <v>NOT098 / 559</v>
      </c>
      <c r="B24" s="878" t="s">
        <v>7700</v>
      </c>
      <c r="C24" s="529" t="s">
        <v>8337</v>
      </c>
      <c r="D24" s="457" t="s">
        <v>3907</v>
      </c>
      <c r="E24" s="369" t="str">
        <f>VLOOKUP(D:D,'Master Table'!C:D,2,FALSE)</f>
        <v>483</v>
      </c>
      <c r="F24" s="69">
        <f>VLOOKUP(D:D,'Master Table'!C:O,13,FALSE)</f>
        <v>659.27</v>
      </c>
      <c r="G24" s="69"/>
      <c r="H24" s="69"/>
      <c r="I24" s="69"/>
      <c r="J24" s="69"/>
      <c r="K24" s="69"/>
      <c r="L24" s="790"/>
      <c r="M24" s="790"/>
      <c r="N24" s="790"/>
      <c r="O24" s="312"/>
      <c r="P24" s="657">
        <v>30</v>
      </c>
      <c r="Q24" s="657">
        <v>0</v>
      </c>
      <c r="R24" s="660">
        <v>0</v>
      </c>
      <c r="S24" s="659">
        <v>40</v>
      </c>
      <c r="T24" s="659"/>
    </row>
    <row r="25" spans="1:20" ht="30" customHeight="1" x14ac:dyDescent="0.2">
      <c r="A25" s="291" t="str">
        <f t="shared" ref="A25:A32" si="6">D24&amp;" / "&amp;E24</f>
        <v>NOT021 / 483</v>
      </c>
      <c r="B25" s="89" t="s">
        <v>7702</v>
      </c>
      <c r="C25" s="89" t="s">
        <v>3909</v>
      </c>
      <c r="D25" s="457" t="s">
        <v>3912</v>
      </c>
      <c r="E25" s="369" t="str">
        <f>VLOOKUP(D:D,'Master Table'!C:D,2,FALSE)</f>
        <v>484</v>
      </c>
      <c r="F25" s="69">
        <f>VLOOKUP(D:D,'Master Table'!C:O,13,FALSE)</f>
        <v>3013.21</v>
      </c>
      <c r="G25" s="69" t="s">
        <v>3907</v>
      </c>
      <c r="H25" s="69" t="s">
        <v>3908</v>
      </c>
      <c r="I25" s="69" t="s">
        <v>3909</v>
      </c>
      <c r="J25" s="69" t="s">
        <v>3910</v>
      </c>
      <c r="K25" s="69" t="s">
        <v>324</v>
      </c>
      <c r="L25" s="790">
        <v>188.74</v>
      </c>
      <c r="M25" s="790">
        <v>45</v>
      </c>
      <c r="N25" s="790"/>
      <c r="O25" s="312">
        <f t="shared" si="1"/>
        <v>233.74</v>
      </c>
      <c r="P25" s="657">
        <v>659.27</v>
      </c>
      <c r="Q25" s="657">
        <v>820.74</v>
      </c>
      <c r="R25" s="658">
        <v>751.91</v>
      </c>
      <c r="S25" s="659">
        <v>631.91</v>
      </c>
      <c r="T25" s="659">
        <v>605.04</v>
      </c>
    </row>
    <row r="26" spans="1:20" ht="30" customHeight="1" x14ac:dyDescent="0.2">
      <c r="A26" s="291" t="str">
        <f t="shared" si="6"/>
        <v>NOT022 / 484</v>
      </c>
      <c r="B26" s="89" t="s">
        <v>3915</v>
      </c>
      <c r="C26" s="89" t="s">
        <v>7703</v>
      </c>
      <c r="D26" s="457" t="s">
        <v>3920</v>
      </c>
      <c r="E26" s="369" t="str">
        <f>VLOOKUP(D:D,'Master Table'!C:D,2,FALSE)</f>
        <v>485</v>
      </c>
      <c r="F26" s="69">
        <f>VLOOKUP(D:D,'Master Table'!C:O,13,FALSE)</f>
        <v>3845</v>
      </c>
      <c r="G26" s="69" t="s">
        <v>3912</v>
      </c>
      <c r="H26" s="69" t="s">
        <v>3913</v>
      </c>
      <c r="I26" s="69" t="s">
        <v>3914</v>
      </c>
      <c r="J26" s="69" t="s">
        <v>3915</v>
      </c>
      <c r="K26" s="69" t="s">
        <v>324</v>
      </c>
      <c r="L26" s="790">
        <v>0</v>
      </c>
      <c r="M26" s="790">
        <v>2530</v>
      </c>
      <c r="N26" s="790"/>
      <c r="O26" s="312">
        <f t="shared" si="1"/>
        <v>2530</v>
      </c>
      <c r="P26" s="657">
        <v>3013.21</v>
      </c>
      <c r="Q26" s="657">
        <v>3415.83</v>
      </c>
      <c r="R26" s="658">
        <v>3482.54</v>
      </c>
      <c r="S26" s="659">
        <v>1007.54</v>
      </c>
      <c r="T26" s="659">
        <v>2245.23</v>
      </c>
    </row>
    <row r="27" spans="1:20" ht="30" customHeight="1" x14ac:dyDescent="0.2">
      <c r="A27" s="291" t="str">
        <f t="shared" si="6"/>
        <v>NOT023 / 485</v>
      </c>
      <c r="B27" s="89" t="s">
        <v>3923</v>
      </c>
      <c r="C27" s="89" t="s">
        <v>5155</v>
      </c>
      <c r="D27" s="457" t="s">
        <v>3928</v>
      </c>
      <c r="E27" s="369" t="str">
        <f>VLOOKUP(D:D,'Master Table'!C:D,2,FALSE)</f>
        <v>486</v>
      </c>
      <c r="F27" s="69">
        <f>VLOOKUP(D:D,'Master Table'!C:O,13,FALSE)</f>
        <v>104.27000000000001</v>
      </c>
      <c r="G27" s="69" t="s">
        <v>3920</v>
      </c>
      <c r="H27" s="69" t="s">
        <v>3921</v>
      </c>
      <c r="I27" s="69" t="s">
        <v>3922</v>
      </c>
      <c r="J27" s="69" t="s">
        <v>4080</v>
      </c>
      <c r="K27" s="69" t="s">
        <v>324</v>
      </c>
      <c r="L27" s="790"/>
      <c r="M27" s="790">
        <v>65</v>
      </c>
      <c r="N27" s="790"/>
      <c r="O27" s="312">
        <f t="shared" si="1"/>
        <v>65</v>
      </c>
      <c r="P27" s="657">
        <v>3845</v>
      </c>
      <c r="Q27" s="657">
        <v>3635</v>
      </c>
      <c r="R27" s="658">
        <v>3575</v>
      </c>
      <c r="S27" s="659">
        <v>3530</v>
      </c>
      <c r="T27" s="659">
        <v>3380</v>
      </c>
    </row>
    <row r="28" spans="1:20" ht="30" customHeight="1" x14ac:dyDescent="0.2">
      <c r="A28" s="291" t="str">
        <f t="shared" si="6"/>
        <v>NOT024 / 486</v>
      </c>
      <c r="B28" s="89" t="s">
        <v>3931</v>
      </c>
      <c r="C28" s="89" t="s">
        <v>7704</v>
      </c>
      <c r="D28" s="457" t="s">
        <v>3932</v>
      </c>
      <c r="E28" s="369" t="str">
        <f>VLOOKUP(D:D,'Master Table'!C:D,2,FALSE)</f>
        <v>487</v>
      </c>
      <c r="F28" s="69">
        <f>VLOOKUP(D:D,'Master Table'!C:O,13,FALSE)</f>
        <v>1238.22</v>
      </c>
      <c r="G28" s="69" t="s">
        <v>3928</v>
      </c>
      <c r="H28" s="69" t="s">
        <v>3929</v>
      </c>
      <c r="I28" s="69" t="s">
        <v>3930</v>
      </c>
      <c r="J28" s="69" t="s">
        <v>3931</v>
      </c>
      <c r="K28" s="69" t="s">
        <v>324</v>
      </c>
      <c r="L28" s="790">
        <v>33.53</v>
      </c>
      <c r="M28" s="790">
        <v>80</v>
      </c>
      <c r="N28" s="790"/>
      <c r="O28" s="312">
        <f t="shared" si="1"/>
        <v>113.53</v>
      </c>
      <c r="P28" s="657">
        <v>104.27000000000001</v>
      </c>
      <c r="Q28" s="657">
        <v>323.75</v>
      </c>
      <c r="R28" s="658">
        <v>519.11</v>
      </c>
      <c r="S28" s="659">
        <v>309.11</v>
      </c>
      <c r="T28" s="659">
        <v>463.40000000000003</v>
      </c>
    </row>
    <row r="29" spans="1:20" ht="30" customHeight="1" x14ac:dyDescent="0.2">
      <c r="A29" s="291" t="str">
        <f t="shared" si="6"/>
        <v>NOT025 / 487</v>
      </c>
      <c r="B29" s="89" t="s">
        <v>3935</v>
      </c>
      <c r="C29" s="89" t="s">
        <v>226</v>
      </c>
      <c r="D29" s="457" t="s">
        <v>3936</v>
      </c>
      <c r="E29" s="369" t="str">
        <f>VLOOKUP(D:D,'Master Table'!C:D,2,FALSE)</f>
        <v>488</v>
      </c>
      <c r="F29" s="69">
        <f>VLOOKUP(D:D,'Master Table'!C:O,13,FALSE)</f>
        <v>728.47</v>
      </c>
      <c r="G29" s="69" t="s">
        <v>3932</v>
      </c>
      <c r="H29" s="69" t="s">
        <v>3933</v>
      </c>
      <c r="I29" s="69" t="s">
        <v>3934</v>
      </c>
      <c r="J29" s="69" t="s">
        <v>3935</v>
      </c>
      <c r="K29" s="69" t="s">
        <v>324</v>
      </c>
      <c r="L29" s="790">
        <v>18.32</v>
      </c>
      <c r="M29" s="790">
        <v>337.21000000000004</v>
      </c>
      <c r="N29" s="790"/>
      <c r="O29" s="312">
        <f t="shared" si="1"/>
        <v>355.53000000000003</v>
      </c>
      <c r="P29" s="657">
        <v>1238.22</v>
      </c>
      <c r="Q29" s="657">
        <v>1352.1299999999999</v>
      </c>
      <c r="R29" s="658">
        <v>1332.3</v>
      </c>
      <c r="S29" s="659">
        <v>1148.3</v>
      </c>
      <c r="T29" s="659">
        <v>1236.6300000000001</v>
      </c>
    </row>
    <row r="30" spans="1:20" ht="30" customHeight="1" x14ac:dyDescent="0.2">
      <c r="A30" s="291" t="str">
        <f t="shared" si="6"/>
        <v>NOT026 / 488</v>
      </c>
      <c r="B30" s="89" t="s">
        <v>3939</v>
      </c>
      <c r="C30" s="89" t="s">
        <v>7705</v>
      </c>
      <c r="D30" s="457" t="s">
        <v>3945</v>
      </c>
      <c r="E30" s="369" t="str">
        <f>VLOOKUP(D:D,'Master Table'!C:D,2,FALSE)</f>
        <v>489</v>
      </c>
      <c r="F30" s="69">
        <f>VLOOKUP(D:D,'Master Table'!C:O,13,FALSE)</f>
        <v>3708.2000000000003</v>
      </c>
      <c r="G30" s="69" t="s">
        <v>3936</v>
      </c>
      <c r="H30" s="69" t="s">
        <v>3937</v>
      </c>
      <c r="I30" s="69" t="s">
        <v>3938</v>
      </c>
      <c r="J30" s="69" t="s">
        <v>3939</v>
      </c>
      <c r="K30" s="69" t="s">
        <v>324</v>
      </c>
      <c r="L30" s="790"/>
      <c r="M30" s="790">
        <v>570</v>
      </c>
      <c r="N30" s="790">
        <v>305.22000000000003</v>
      </c>
      <c r="O30" s="312">
        <f t="shared" si="1"/>
        <v>875.22</v>
      </c>
      <c r="P30" s="657">
        <v>728.47</v>
      </c>
      <c r="Q30" s="657">
        <v>1214.17</v>
      </c>
      <c r="R30" s="658">
        <v>996.49</v>
      </c>
      <c r="S30" s="659">
        <v>646.49</v>
      </c>
      <c r="T30" s="659">
        <v>1095.55</v>
      </c>
    </row>
    <row r="31" spans="1:20" ht="30" customHeight="1" x14ac:dyDescent="0.2">
      <c r="A31" s="291" t="str">
        <f t="shared" si="6"/>
        <v>NOT027 / 489</v>
      </c>
      <c r="B31" s="89" t="s">
        <v>3947</v>
      </c>
      <c r="C31" s="89" t="s">
        <v>226</v>
      </c>
      <c r="D31" s="457" t="s">
        <v>3948</v>
      </c>
      <c r="E31" s="369" t="str">
        <f>VLOOKUP(D:D,'Master Table'!C:D,2,FALSE)</f>
        <v>490</v>
      </c>
      <c r="F31" s="69">
        <f>VLOOKUP(D:D,'Master Table'!C:O,13,FALSE)</f>
        <v>340</v>
      </c>
      <c r="G31" s="69" t="s">
        <v>3945</v>
      </c>
      <c r="H31" s="69" t="s">
        <v>3946</v>
      </c>
      <c r="I31" s="69" t="s">
        <v>31</v>
      </c>
      <c r="J31" s="69" t="s">
        <v>3947</v>
      </c>
      <c r="K31" s="69" t="s">
        <v>324</v>
      </c>
      <c r="L31" s="790">
        <v>467.02</v>
      </c>
      <c r="M31" s="790">
        <v>100</v>
      </c>
      <c r="N31" s="790"/>
      <c r="O31" s="312">
        <f t="shared" si="1"/>
        <v>567.02</v>
      </c>
      <c r="P31" s="657">
        <v>3708.2000000000003</v>
      </c>
      <c r="Q31" s="657">
        <v>3605.9199999999996</v>
      </c>
      <c r="R31" s="658">
        <v>3620.81</v>
      </c>
      <c r="S31" s="659">
        <v>3430.81</v>
      </c>
      <c r="T31" s="659">
        <v>3132.14</v>
      </c>
    </row>
    <row r="32" spans="1:20" ht="30" customHeight="1" x14ac:dyDescent="0.2">
      <c r="A32" s="291" t="str">
        <f t="shared" si="6"/>
        <v>NOT028 / 490</v>
      </c>
      <c r="B32" s="89" t="s">
        <v>1092</v>
      </c>
      <c r="C32" s="89" t="s">
        <v>7706</v>
      </c>
      <c r="D32" s="457" t="s">
        <v>3950</v>
      </c>
      <c r="E32" s="369" t="str">
        <f>VLOOKUP(D:D,'Master Table'!C:D,2,FALSE)</f>
        <v>0444514</v>
      </c>
      <c r="F32" s="69">
        <f>VLOOKUP(D:D,'Master Table'!C:O,13,FALSE)</f>
        <v>30</v>
      </c>
      <c r="G32" s="69" t="s">
        <v>3948</v>
      </c>
      <c r="H32" s="69" t="s">
        <v>3949</v>
      </c>
      <c r="I32" s="69" t="s">
        <v>3630</v>
      </c>
      <c r="J32" s="69" t="s">
        <v>1092</v>
      </c>
      <c r="K32" s="69" t="s">
        <v>324</v>
      </c>
      <c r="L32" s="790"/>
      <c r="M32" s="790">
        <v>115</v>
      </c>
      <c r="N32" s="790"/>
      <c r="O32" s="312">
        <f t="shared" si="1"/>
        <v>115</v>
      </c>
      <c r="P32" s="657">
        <v>340</v>
      </c>
      <c r="Q32" s="657">
        <v>488.34</v>
      </c>
      <c r="R32" s="658">
        <v>584.67000000000007</v>
      </c>
      <c r="S32" s="659">
        <v>424.67</v>
      </c>
      <c r="T32" s="659">
        <v>622.93000000000006</v>
      </c>
    </row>
    <row r="33" spans="1:20" ht="30" customHeight="1" x14ac:dyDescent="0.2">
      <c r="A33" s="291" t="str">
        <f t="shared" ref="A33" si="7">D32&amp;" / "&amp;E32</f>
        <v>NOT028S / 0444514</v>
      </c>
      <c r="B33" s="89" t="s">
        <v>1092</v>
      </c>
      <c r="C33" s="89" t="s">
        <v>532</v>
      </c>
      <c r="D33" s="457" t="s">
        <v>3952</v>
      </c>
      <c r="E33" s="369" t="str">
        <f>VLOOKUP(D:D,'Master Table'!C:D,2,FALSE)</f>
        <v>491</v>
      </c>
      <c r="F33" s="69">
        <f>VLOOKUP(D:D,'Master Table'!C:O,13,FALSE)</f>
        <v>208.75</v>
      </c>
      <c r="G33" s="69" t="s">
        <v>3950</v>
      </c>
      <c r="H33" s="69" t="s">
        <v>3951</v>
      </c>
      <c r="I33" s="69" t="s">
        <v>532</v>
      </c>
      <c r="J33" s="69" t="s">
        <v>1092</v>
      </c>
      <c r="K33" s="69" t="s">
        <v>324</v>
      </c>
      <c r="L33" s="790"/>
      <c r="M33" s="790"/>
      <c r="N33" s="790"/>
      <c r="O33" s="312">
        <f t="shared" si="1"/>
        <v>0</v>
      </c>
      <c r="P33" s="657">
        <v>30</v>
      </c>
      <c r="Q33" s="657">
        <v>0</v>
      </c>
      <c r="R33" s="658">
        <v>584.67000000000007</v>
      </c>
      <c r="S33" s="659"/>
      <c r="T33" s="659"/>
    </row>
    <row r="34" spans="1:20" ht="30" customHeight="1" x14ac:dyDescent="0.2">
      <c r="A34" s="291" t="str">
        <f>D33&amp;" / "&amp;E33</f>
        <v>NOT029 / 491</v>
      </c>
      <c r="B34" s="89" t="s">
        <v>3954</v>
      </c>
      <c r="C34" s="89" t="s">
        <v>839</v>
      </c>
      <c r="D34" s="457" t="s">
        <v>3955</v>
      </c>
      <c r="E34" s="369" t="str">
        <f>VLOOKUP(D:D,'Master Table'!C:D,2,FALSE)</f>
        <v>493</v>
      </c>
      <c r="F34" s="69">
        <f>VLOOKUP(D:D,'Master Table'!C:O,13,FALSE)</f>
        <v>600.92999999999995</v>
      </c>
      <c r="G34" s="69" t="s">
        <v>3952</v>
      </c>
      <c r="H34" s="69" t="s">
        <v>3953</v>
      </c>
      <c r="I34" s="69" t="s">
        <v>66</v>
      </c>
      <c r="J34" s="69" t="s">
        <v>3954</v>
      </c>
      <c r="K34" s="69" t="s">
        <v>324</v>
      </c>
      <c r="L34" s="790"/>
      <c r="M34" s="790">
        <v>114</v>
      </c>
      <c r="N34" s="790">
        <v>163.86</v>
      </c>
      <c r="O34" s="312">
        <f t="shared" si="1"/>
        <v>277.86</v>
      </c>
      <c r="P34" s="657">
        <v>208.75</v>
      </c>
      <c r="Q34" s="657">
        <v>552.20000000000005</v>
      </c>
      <c r="R34" s="658">
        <v>238</v>
      </c>
      <c r="S34" s="659">
        <v>22</v>
      </c>
      <c r="T34" s="659">
        <v>195</v>
      </c>
    </row>
    <row r="35" spans="1:20" ht="30" customHeight="1" x14ac:dyDescent="0.2">
      <c r="A35" s="291" t="str">
        <f>D34&amp;" / "&amp;E34</f>
        <v>NOT030 / 493</v>
      </c>
      <c r="B35" s="89" t="s">
        <v>3957</v>
      </c>
      <c r="C35" s="89" t="s">
        <v>1087</v>
      </c>
      <c r="D35" s="457" t="s">
        <v>3961</v>
      </c>
      <c r="E35" s="369" t="str">
        <f>VLOOKUP(D:D,'Master Table'!C:D,2,FALSE)</f>
        <v>494</v>
      </c>
      <c r="F35" s="69">
        <f>VLOOKUP(D:D,'Master Table'!C:O,13,FALSE)</f>
        <v>1177.92</v>
      </c>
      <c r="G35" s="69" t="s">
        <v>3955</v>
      </c>
      <c r="H35" s="69" t="s">
        <v>3956</v>
      </c>
      <c r="I35" s="69" t="s">
        <v>1087</v>
      </c>
      <c r="J35" s="69" t="s">
        <v>3957</v>
      </c>
      <c r="K35" s="69" t="s">
        <v>324</v>
      </c>
      <c r="L35" s="790"/>
      <c r="M35" s="790">
        <v>105</v>
      </c>
      <c r="N35" s="790"/>
      <c r="O35" s="312">
        <f t="shared" si="1"/>
        <v>105</v>
      </c>
      <c r="P35" s="657">
        <v>600.92999999999995</v>
      </c>
      <c r="Q35" s="657">
        <v>595.79999999999995</v>
      </c>
      <c r="R35" s="658">
        <v>280</v>
      </c>
      <c r="S35" s="659">
        <v>0</v>
      </c>
      <c r="T35" s="659">
        <v>446.72</v>
      </c>
    </row>
    <row r="36" spans="1:20" ht="30" customHeight="1" x14ac:dyDescent="0.2">
      <c r="A36" s="291" t="str">
        <f>D35&amp;" / "&amp;E35</f>
        <v>NOT034 / 494</v>
      </c>
      <c r="B36" s="89" t="s">
        <v>3963</v>
      </c>
      <c r="C36" s="89" t="s">
        <v>7216</v>
      </c>
      <c r="D36" s="457" t="s">
        <v>3964</v>
      </c>
      <c r="E36" s="369" t="str">
        <f>VLOOKUP(D:D,'Master Table'!C:D,2,FALSE)</f>
        <v>495</v>
      </c>
      <c r="F36" s="69">
        <f>VLOOKUP(D:D,'Master Table'!C:O,13,FALSE)</f>
        <v>310</v>
      </c>
      <c r="G36" s="69" t="s">
        <v>3961</v>
      </c>
      <c r="H36" s="69" t="s">
        <v>3962</v>
      </c>
      <c r="I36" s="69" t="s">
        <v>11</v>
      </c>
      <c r="J36" s="69" t="s">
        <v>3963</v>
      </c>
      <c r="K36" s="69" t="s">
        <v>324</v>
      </c>
      <c r="L36" s="790">
        <v>154.4</v>
      </c>
      <c r="M36" s="790">
        <v>105</v>
      </c>
      <c r="N36" s="790"/>
      <c r="O36" s="312">
        <f t="shared" si="1"/>
        <v>259.39999999999998</v>
      </c>
      <c r="P36" s="657">
        <v>1177.92</v>
      </c>
      <c r="Q36" s="657">
        <v>904.39</v>
      </c>
      <c r="R36" s="658">
        <v>867.6</v>
      </c>
      <c r="S36" s="659">
        <v>727.6</v>
      </c>
      <c r="T36" s="659">
        <v>1004.26</v>
      </c>
    </row>
    <row r="37" spans="1:20" ht="30" customHeight="1" x14ac:dyDescent="0.2">
      <c r="A37" s="291" t="str">
        <f>D36&amp;" / "&amp;E36</f>
        <v>NOT036 / 495</v>
      </c>
      <c r="B37" s="89" t="s">
        <v>3967</v>
      </c>
      <c r="C37" s="89" t="s">
        <v>3966</v>
      </c>
      <c r="D37" s="457" t="s">
        <v>3968</v>
      </c>
      <c r="E37" s="369" t="str">
        <f>VLOOKUP(D:D,'Master Table'!C:D,2,FALSE)</f>
        <v>496</v>
      </c>
      <c r="F37" s="69">
        <f>VLOOKUP(D:D,'Master Table'!C:O,13,FALSE)</f>
        <v>559.6</v>
      </c>
      <c r="G37" s="69" t="s">
        <v>3964</v>
      </c>
      <c r="H37" s="69" t="s">
        <v>3965</v>
      </c>
      <c r="I37" s="69" t="s">
        <v>3966</v>
      </c>
      <c r="J37" s="69" t="s">
        <v>3967</v>
      </c>
      <c r="K37" s="69" t="s">
        <v>324</v>
      </c>
      <c r="L37" s="790"/>
      <c r="M37" s="790">
        <v>327</v>
      </c>
      <c r="N37" s="790">
        <v>337.52</v>
      </c>
      <c r="O37" s="312">
        <f t="shared" si="1"/>
        <v>664.52</v>
      </c>
      <c r="P37" s="657">
        <v>310</v>
      </c>
      <c r="Q37" s="657">
        <v>551.83000000000004</v>
      </c>
      <c r="R37" s="658">
        <v>704.22</v>
      </c>
      <c r="S37" s="659">
        <v>165.22</v>
      </c>
      <c r="T37" s="659">
        <v>686.74</v>
      </c>
    </row>
    <row r="38" spans="1:20" ht="30" customHeight="1" x14ac:dyDescent="0.2">
      <c r="A38" s="291" t="str">
        <f>D37&amp;" / "&amp;E37</f>
        <v>NOT037 / 496</v>
      </c>
      <c r="B38" s="89" t="s">
        <v>3970</v>
      </c>
      <c r="C38" s="89" t="s">
        <v>63</v>
      </c>
      <c r="D38" s="457" t="s">
        <v>3976</v>
      </c>
      <c r="E38" s="369" t="str">
        <f>VLOOKUP(D:D,'Master Table'!C:D,2,FALSE)</f>
        <v>498</v>
      </c>
      <c r="F38" s="69">
        <f>VLOOKUP(D:D,'Master Table'!C:O,13,FALSE)</f>
        <v>111.84</v>
      </c>
      <c r="G38" s="69" t="s">
        <v>3968</v>
      </c>
      <c r="H38" s="69" t="s">
        <v>3969</v>
      </c>
      <c r="I38" s="69" t="s">
        <v>63</v>
      </c>
      <c r="J38" s="69" t="s">
        <v>3970</v>
      </c>
      <c r="K38" s="69" t="s">
        <v>324</v>
      </c>
      <c r="L38" s="790">
        <v>404.2</v>
      </c>
      <c r="M38" s="790">
        <v>130</v>
      </c>
      <c r="N38" s="790"/>
      <c r="O38" s="312">
        <f t="shared" si="1"/>
        <v>534.20000000000005</v>
      </c>
      <c r="P38" s="657">
        <v>559.6</v>
      </c>
      <c r="Q38" s="657">
        <v>640.27</v>
      </c>
      <c r="R38" s="658">
        <v>738.3</v>
      </c>
      <c r="S38" s="659">
        <v>583.29999999999995</v>
      </c>
      <c r="T38" s="659">
        <v>575.6</v>
      </c>
    </row>
    <row r="39" spans="1:20" ht="30" customHeight="1" x14ac:dyDescent="0.2">
      <c r="A39" s="291" t="s">
        <v>11042</v>
      </c>
      <c r="B39" s="89" t="s">
        <v>3975</v>
      </c>
      <c r="C39" s="69" t="s">
        <v>3974</v>
      </c>
      <c r="D39" s="457" t="s">
        <v>3980</v>
      </c>
      <c r="E39" s="369" t="str">
        <f>VLOOKUP(D:D,'Master Table'!C:D,2,FALSE)</f>
        <v>499</v>
      </c>
      <c r="F39" s="69">
        <f>VLOOKUP(D:D,'Master Table'!C:O,13,FALSE)</f>
        <v>3394.63</v>
      </c>
      <c r="G39" s="69" t="s">
        <v>3972</v>
      </c>
      <c r="H39" s="69" t="s">
        <v>3973</v>
      </c>
      <c r="I39" s="69" t="s">
        <v>3974</v>
      </c>
      <c r="J39" s="69" t="s">
        <v>3975</v>
      </c>
      <c r="K39" s="69" t="s">
        <v>324</v>
      </c>
      <c r="L39" s="790">
        <v>68.41</v>
      </c>
      <c r="M39" s="790">
        <v>265</v>
      </c>
      <c r="N39" s="790"/>
      <c r="O39" s="312">
        <f t="shared" si="1"/>
        <v>333.40999999999997</v>
      </c>
      <c r="P39" s="657"/>
      <c r="Q39" s="657"/>
      <c r="R39" s="661"/>
      <c r="S39" s="659"/>
      <c r="T39" s="659"/>
    </row>
    <row r="40" spans="1:20" ht="30" customHeight="1" x14ac:dyDescent="0.2">
      <c r="A40" s="291" t="str">
        <f t="shared" ref="A40:A57" si="8">D38&amp;" / "&amp;E38</f>
        <v>NOT039 / 498</v>
      </c>
      <c r="B40" s="89" t="s">
        <v>3979</v>
      </c>
      <c r="C40" s="89" t="s">
        <v>7708</v>
      </c>
      <c r="D40" s="457" t="s">
        <v>3984</v>
      </c>
      <c r="E40" s="369" t="str">
        <f>VLOOKUP(D:D,'Master Table'!C:D,2,FALSE)</f>
        <v>500</v>
      </c>
      <c r="F40" s="69">
        <f>VLOOKUP(D:D,'Master Table'!C:O,13,FALSE)</f>
        <v>1145.74</v>
      </c>
      <c r="G40" s="69" t="s">
        <v>3976</v>
      </c>
      <c r="H40" s="69" t="s">
        <v>3977</v>
      </c>
      <c r="I40" s="69" t="s">
        <v>3978</v>
      </c>
      <c r="J40" s="69" t="s">
        <v>3979</v>
      </c>
      <c r="K40" s="69" t="s">
        <v>324</v>
      </c>
      <c r="L40" s="790"/>
      <c r="M40" s="790"/>
      <c r="N40" s="790"/>
      <c r="O40" s="312">
        <f t="shared" si="1"/>
        <v>0</v>
      </c>
      <c r="P40" s="657">
        <v>111.84</v>
      </c>
      <c r="Q40" s="657">
        <v>97.96</v>
      </c>
      <c r="R40" s="661">
        <v>154</v>
      </c>
      <c r="S40" s="659">
        <v>0</v>
      </c>
      <c r="T40" s="659">
        <v>282.69</v>
      </c>
    </row>
    <row r="41" spans="1:20" ht="30" customHeight="1" x14ac:dyDescent="0.2">
      <c r="A41" s="291" t="str">
        <f t="shared" si="8"/>
        <v>NOT040 / 499</v>
      </c>
      <c r="B41" s="89" t="s">
        <v>3982</v>
      </c>
      <c r="C41" s="89" t="s">
        <v>226</v>
      </c>
      <c r="D41" s="457" t="s">
        <v>3986</v>
      </c>
      <c r="E41" s="369" t="str">
        <f>VLOOKUP(D:D,'Master Table'!C:D,2,FALSE)</f>
        <v>2727</v>
      </c>
      <c r="F41" s="69">
        <f>VLOOKUP(D:D,'Master Table'!C:O,13,FALSE)</f>
        <v>900</v>
      </c>
      <c r="G41" s="69" t="s">
        <v>3980</v>
      </c>
      <c r="H41" s="69" t="s">
        <v>3981</v>
      </c>
      <c r="I41" s="69" t="s">
        <v>31</v>
      </c>
      <c r="J41" s="69" t="s">
        <v>3982</v>
      </c>
      <c r="K41" s="69" t="s">
        <v>324</v>
      </c>
      <c r="L41" s="790">
        <v>462</v>
      </c>
      <c r="M41" s="790">
        <v>1907</v>
      </c>
      <c r="N41" s="790"/>
      <c r="O41" s="312">
        <f t="shared" si="1"/>
        <v>2369</v>
      </c>
      <c r="P41" s="657">
        <v>3394.63</v>
      </c>
      <c r="Q41" s="657">
        <v>2969.84</v>
      </c>
      <c r="R41" s="658">
        <v>3332.0299999999997</v>
      </c>
      <c r="S41" s="659">
        <v>1810.03</v>
      </c>
      <c r="T41" s="659">
        <v>2927.67</v>
      </c>
    </row>
    <row r="42" spans="1:20" ht="30" customHeight="1" x14ac:dyDescent="0.2">
      <c r="A42" s="291" t="str">
        <f t="shared" si="8"/>
        <v>NOT041 / 500</v>
      </c>
      <c r="B42" s="89" t="s">
        <v>3982</v>
      </c>
      <c r="C42" s="89" t="s">
        <v>532</v>
      </c>
      <c r="D42" s="457" t="s">
        <v>3993</v>
      </c>
      <c r="E42" s="369" t="str">
        <f>VLOOKUP(D:D,'Master Table'!C:D,2,FALSE)</f>
        <v>501</v>
      </c>
      <c r="F42" s="69">
        <f>VLOOKUP(D:D,'Master Table'!C:O,13,FALSE)</f>
        <v>2245.41</v>
      </c>
      <c r="G42" s="69" t="s">
        <v>3984</v>
      </c>
      <c r="H42" s="69" t="s">
        <v>3985</v>
      </c>
      <c r="I42" s="69" t="s">
        <v>61</v>
      </c>
      <c r="J42" s="69" t="s">
        <v>3982</v>
      </c>
      <c r="K42" s="69" t="s">
        <v>324</v>
      </c>
      <c r="L42" s="790">
        <v>423.07</v>
      </c>
      <c r="M42" s="790">
        <v>352</v>
      </c>
      <c r="N42" s="790"/>
      <c r="O42" s="312">
        <f t="shared" si="1"/>
        <v>775.06999999999994</v>
      </c>
      <c r="P42" s="657">
        <v>1145.74</v>
      </c>
      <c r="Q42" s="657">
        <v>1122.6299999999999</v>
      </c>
      <c r="R42" s="658">
        <v>1613</v>
      </c>
      <c r="S42" s="659">
        <v>1528</v>
      </c>
      <c r="T42" s="659">
        <v>1449</v>
      </c>
    </row>
    <row r="43" spans="1:20" ht="30" customHeight="1" x14ac:dyDescent="0.2">
      <c r="A43" s="291" t="str">
        <f t="shared" si="8"/>
        <v>NOT042 / 2727</v>
      </c>
      <c r="B43" s="89" t="s">
        <v>3982</v>
      </c>
      <c r="C43" s="89" t="s">
        <v>3988</v>
      </c>
      <c r="D43" s="457" t="s">
        <v>3998</v>
      </c>
      <c r="E43" s="369" t="str">
        <f>VLOOKUP(D:D,'Master Table'!C:D,2,FALSE)</f>
        <v>502</v>
      </c>
      <c r="F43" s="69">
        <f>VLOOKUP(D:D,'Master Table'!C:O,13,FALSE)</f>
        <v>191.38</v>
      </c>
      <c r="G43" s="69" t="s">
        <v>3986</v>
      </c>
      <c r="H43" s="69" t="s">
        <v>3987</v>
      </c>
      <c r="I43" s="69" t="s">
        <v>3988</v>
      </c>
      <c r="J43" s="69" t="s">
        <v>3982</v>
      </c>
      <c r="K43" s="69" t="s">
        <v>324</v>
      </c>
      <c r="L43" s="790"/>
      <c r="M43" s="790"/>
      <c r="N43" s="790"/>
      <c r="O43" s="312">
        <f t="shared" si="1"/>
        <v>0</v>
      </c>
      <c r="P43" s="657">
        <v>900</v>
      </c>
      <c r="Q43" s="657">
        <v>1096.25</v>
      </c>
      <c r="R43" s="658">
        <v>630</v>
      </c>
      <c r="S43" s="659">
        <v>565</v>
      </c>
      <c r="T43" s="659">
        <v>655</v>
      </c>
    </row>
    <row r="44" spans="1:20" ht="30" customHeight="1" x14ac:dyDescent="0.2">
      <c r="A44" s="291" t="str">
        <f t="shared" si="8"/>
        <v>NOT043 / 501</v>
      </c>
      <c r="B44" s="89" t="s">
        <v>3982</v>
      </c>
      <c r="C44" s="89" t="s">
        <v>1047</v>
      </c>
      <c r="D44" s="457" t="s">
        <v>4005</v>
      </c>
      <c r="E44" s="369" t="str">
        <f>VLOOKUP(D:D,'Master Table'!C:D,2,FALSE)</f>
        <v>503</v>
      </c>
      <c r="F44" s="69">
        <f>VLOOKUP(D:D,'Master Table'!C:O,13,FALSE)</f>
        <v>65</v>
      </c>
      <c r="G44" s="69" t="s">
        <v>3993</v>
      </c>
      <c r="H44" s="69" t="s">
        <v>3994</v>
      </c>
      <c r="I44" s="69" t="s">
        <v>1047</v>
      </c>
      <c r="J44" s="69" t="s">
        <v>3982</v>
      </c>
      <c r="K44" s="69" t="s">
        <v>324</v>
      </c>
      <c r="L44" s="790">
        <v>717.83</v>
      </c>
      <c r="M44" s="790">
        <v>277</v>
      </c>
      <c r="N44" s="790">
        <v>187.64</v>
      </c>
      <c r="O44" s="312">
        <f t="shared" si="1"/>
        <v>1182.47</v>
      </c>
      <c r="P44" s="657">
        <v>2245.41</v>
      </c>
      <c r="Q44" s="657">
        <v>3491.66</v>
      </c>
      <c r="R44" s="658">
        <v>3627.26</v>
      </c>
      <c r="S44" s="659">
        <v>1835.26</v>
      </c>
      <c r="T44" s="659">
        <v>2836.42</v>
      </c>
    </row>
    <row r="45" spans="1:20" ht="30" customHeight="1" x14ac:dyDescent="0.2">
      <c r="A45" s="291" t="str">
        <f t="shared" si="8"/>
        <v>NOT044 / 502</v>
      </c>
      <c r="B45" s="89" t="s">
        <v>3982</v>
      </c>
      <c r="C45" s="89" t="s">
        <v>5256</v>
      </c>
      <c r="D45" s="457" t="s">
        <v>4007</v>
      </c>
      <c r="E45" s="369" t="str">
        <f>VLOOKUP(D:D,'Master Table'!C:D,2,FALSE)</f>
        <v>504</v>
      </c>
      <c r="F45" s="69">
        <f>VLOOKUP(D:D,'Master Table'!C:O,13,FALSE)</f>
        <v>499.74</v>
      </c>
      <c r="G45" s="69" t="s">
        <v>3998</v>
      </c>
      <c r="H45" s="69" t="s">
        <v>3999</v>
      </c>
      <c r="I45" s="69" t="s">
        <v>4000</v>
      </c>
      <c r="J45" s="69" t="s">
        <v>3982</v>
      </c>
      <c r="K45" s="69" t="s">
        <v>324</v>
      </c>
      <c r="L45" s="790"/>
      <c r="M45" s="790">
        <v>35</v>
      </c>
      <c r="N45" s="790"/>
      <c r="O45" s="312">
        <f t="shared" si="1"/>
        <v>35</v>
      </c>
      <c r="P45" s="657">
        <v>191.38</v>
      </c>
      <c r="Q45" s="657">
        <v>25</v>
      </c>
      <c r="R45" s="658">
        <v>272</v>
      </c>
      <c r="S45" s="659">
        <v>0</v>
      </c>
      <c r="T45" s="659">
        <v>45</v>
      </c>
    </row>
    <row r="46" spans="1:20" ht="30" customHeight="1" x14ac:dyDescent="0.2">
      <c r="A46" s="291" t="str">
        <f t="shared" si="8"/>
        <v>NOT045 / 503</v>
      </c>
      <c r="B46" s="89" t="s">
        <v>3982</v>
      </c>
      <c r="C46" s="89" t="s">
        <v>916</v>
      </c>
      <c r="D46" s="457" t="s">
        <v>4009</v>
      </c>
      <c r="E46" s="369" t="str">
        <f>VLOOKUP(D:D,'Master Table'!C:D,2,FALSE)</f>
        <v>507</v>
      </c>
      <c r="F46" s="69">
        <f>VLOOKUP(D:D,'Master Table'!C:O,13,FALSE)</f>
        <v>215</v>
      </c>
      <c r="G46" s="69" t="s">
        <v>4005</v>
      </c>
      <c r="H46" s="69" t="s">
        <v>4006</v>
      </c>
      <c r="I46" s="69" t="s">
        <v>214</v>
      </c>
      <c r="J46" s="69" t="s">
        <v>3982</v>
      </c>
      <c r="K46" s="69" t="s">
        <v>324</v>
      </c>
      <c r="L46" s="790"/>
      <c r="M46" s="790">
        <v>65</v>
      </c>
      <c r="N46" s="790"/>
      <c r="O46" s="312">
        <f t="shared" si="1"/>
        <v>65</v>
      </c>
      <c r="P46" s="657">
        <v>65</v>
      </c>
      <c r="Q46" s="657">
        <v>50</v>
      </c>
      <c r="R46" s="658">
        <v>45</v>
      </c>
      <c r="S46" s="659">
        <v>0</v>
      </c>
      <c r="T46" s="659">
        <v>45</v>
      </c>
    </row>
    <row r="47" spans="1:20" ht="30" customHeight="1" x14ac:dyDescent="0.2">
      <c r="A47" s="291" t="str">
        <f t="shared" si="8"/>
        <v>NOT046 / 504</v>
      </c>
      <c r="B47" s="89" t="s">
        <v>3982</v>
      </c>
      <c r="C47" s="89" t="s">
        <v>1165</v>
      </c>
      <c r="D47" s="457" t="s">
        <v>4012</v>
      </c>
      <c r="E47" s="369" t="str">
        <f>VLOOKUP(D:D,'Master Table'!C:D,2,FALSE)</f>
        <v>508</v>
      </c>
      <c r="F47" s="69">
        <f>VLOOKUP(D:D,'Master Table'!C:O,13,FALSE)</f>
        <v>751</v>
      </c>
      <c r="G47" s="69" t="s">
        <v>4007</v>
      </c>
      <c r="H47" s="69" t="s">
        <v>4008</v>
      </c>
      <c r="I47" s="69" t="s">
        <v>238</v>
      </c>
      <c r="J47" s="69" t="s">
        <v>3982</v>
      </c>
      <c r="K47" s="69" t="s">
        <v>324</v>
      </c>
      <c r="L47" s="790"/>
      <c r="M47" s="790">
        <v>431</v>
      </c>
      <c r="N47" s="790"/>
      <c r="O47" s="312">
        <f t="shared" si="1"/>
        <v>431</v>
      </c>
      <c r="P47" s="657">
        <v>499.74</v>
      </c>
      <c r="Q47" s="657">
        <v>436</v>
      </c>
      <c r="R47" s="658">
        <v>460</v>
      </c>
      <c r="S47" s="659">
        <v>84</v>
      </c>
      <c r="T47" s="659">
        <v>652.41</v>
      </c>
    </row>
    <row r="48" spans="1:20" ht="30" customHeight="1" x14ac:dyDescent="0.2">
      <c r="A48" s="291" t="str">
        <f t="shared" si="8"/>
        <v>NOT049 / 507</v>
      </c>
      <c r="B48" s="89" t="s">
        <v>4011</v>
      </c>
      <c r="C48" s="89" t="s">
        <v>942</v>
      </c>
      <c r="D48" s="457" t="s">
        <v>4015</v>
      </c>
      <c r="E48" s="369" t="str">
        <f>VLOOKUP(D:D,'Master Table'!C:D,2,FALSE)</f>
        <v>509</v>
      </c>
      <c r="F48" s="69">
        <f>VLOOKUP(D:D,'Master Table'!C:O,13,FALSE)</f>
        <v>560.73</v>
      </c>
      <c r="G48" s="69" t="s">
        <v>4009</v>
      </c>
      <c r="H48" s="69" t="s">
        <v>4010</v>
      </c>
      <c r="I48" s="69" t="s">
        <v>942</v>
      </c>
      <c r="J48" s="69" t="s">
        <v>4011</v>
      </c>
      <c r="K48" s="69" t="s">
        <v>324</v>
      </c>
      <c r="L48" s="790"/>
      <c r="M48" s="790">
        <v>455</v>
      </c>
      <c r="N48" s="790"/>
      <c r="O48" s="312">
        <f t="shared" si="1"/>
        <v>455</v>
      </c>
      <c r="P48" s="657">
        <v>215</v>
      </c>
      <c r="Q48" s="657">
        <v>257.14</v>
      </c>
      <c r="R48" s="658">
        <v>30</v>
      </c>
      <c r="S48" s="659">
        <v>0</v>
      </c>
      <c r="T48" s="659">
        <v>50</v>
      </c>
    </row>
    <row r="49" spans="1:20" ht="30" customHeight="1" x14ac:dyDescent="0.2">
      <c r="A49" s="291" t="str">
        <f t="shared" si="8"/>
        <v>NOT050 / 508</v>
      </c>
      <c r="B49" s="89" t="s">
        <v>4014</v>
      </c>
      <c r="C49" s="89" t="s">
        <v>1376</v>
      </c>
      <c r="D49" s="457" t="s">
        <v>4019</v>
      </c>
      <c r="E49" s="369" t="str">
        <f>VLOOKUP(D:D,'Master Table'!C:D,2,FALSE)</f>
        <v>510</v>
      </c>
      <c r="F49" s="69">
        <f>VLOOKUP(D:D,'Master Table'!C:O,13,FALSE)</f>
        <v>889</v>
      </c>
      <c r="G49" s="69" t="s">
        <v>4012</v>
      </c>
      <c r="H49" s="69" t="s">
        <v>4013</v>
      </c>
      <c r="I49" s="69" t="s">
        <v>1376</v>
      </c>
      <c r="J49" s="69" t="s">
        <v>4014</v>
      </c>
      <c r="K49" s="69" t="s">
        <v>324</v>
      </c>
      <c r="L49" s="790">
        <v>561</v>
      </c>
      <c r="M49" s="790">
        <v>402</v>
      </c>
      <c r="N49" s="790"/>
      <c r="O49" s="312">
        <f t="shared" si="1"/>
        <v>963</v>
      </c>
      <c r="P49" s="657">
        <v>751</v>
      </c>
      <c r="Q49" s="657">
        <v>620.65</v>
      </c>
      <c r="R49" s="658">
        <v>496.95</v>
      </c>
      <c r="S49" s="659">
        <v>206.95</v>
      </c>
      <c r="T49" s="659">
        <v>495.98</v>
      </c>
    </row>
    <row r="50" spans="1:20" ht="30" customHeight="1" x14ac:dyDescent="0.2">
      <c r="A50" s="291" t="str">
        <f t="shared" si="8"/>
        <v>NOT051 / 509</v>
      </c>
      <c r="B50" s="89" t="s">
        <v>4018</v>
      </c>
      <c r="C50" s="89" t="s">
        <v>4017</v>
      </c>
      <c r="D50" s="457" t="s">
        <v>4029</v>
      </c>
      <c r="E50" s="369" t="str">
        <f>VLOOKUP(D:D,'Master Table'!C:D,2,FALSE)</f>
        <v>512</v>
      </c>
      <c r="F50" s="69">
        <f>VLOOKUP(D:D,'Master Table'!C:O,13,FALSE)</f>
        <v>4375</v>
      </c>
      <c r="G50" s="69" t="s">
        <v>4015</v>
      </c>
      <c r="H50" s="69" t="s">
        <v>4016</v>
      </c>
      <c r="I50" s="69" t="s">
        <v>4017</v>
      </c>
      <c r="J50" s="69" t="s">
        <v>4018</v>
      </c>
      <c r="K50" s="69" t="s">
        <v>324</v>
      </c>
      <c r="L50" s="790">
        <v>0</v>
      </c>
      <c r="M50" s="790">
        <v>168</v>
      </c>
      <c r="N50" s="790"/>
      <c r="O50" s="312">
        <f t="shared" si="1"/>
        <v>168</v>
      </c>
      <c r="P50" s="657">
        <v>560.73</v>
      </c>
      <c r="Q50" s="657">
        <v>440.62</v>
      </c>
      <c r="R50" s="658">
        <v>736.67</v>
      </c>
      <c r="S50" s="659">
        <v>591.66999999999996</v>
      </c>
      <c r="T50" s="659">
        <v>332.88</v>
      </c>
    </row>
    <row r="51" spans="1:20" ht="30" customHeight="1" x14ac:dyDescent="0.2">
      <c r="A51" s="291" t="str">
        <f t="shared" si="8"/>
        <v>NOT053 / 510</v>
      </c>
      <c r="B51" s="89" t="s">
        <v>4021</v>
      </c>
      <c r="C51" s="89" t="s">
        <v>78</v>
      </c>
      <c r="D51" s="457" t="s">
        <v>4033</v>
      </c>
      <c r="E51" s="369" t="str">
        <f>VLOOKUP(D:D,'Master Table'!C:D,2,FALSE)</f>
        <v>513</v>
      </c>
      <c r="F51" s="69">
        <f>VLOOKUP(D:D,'Master Table'!C:O,13,FALSE)</f>
        <v>80.09</v>
      </c>
      <c r="G51" s="69" t="s">
        <v>4019</v>
      </c>
      <c r="H51" s="69" t="s">
        <v>4020</v>
      </c>
      <c r="I51" s="69" t="s">
        <v>78</v>
      </c>
      <c r="J51" s="69" t="s">
        <v>4021</v>
      </c>
      <c r="K51" s="69" t="s">
        <v>324</v>
      </c>
      <c r="L51" s="790">
        <v>249.19</v>
      </c>
      <c r="M51" s="790">
        <v>100</v>
      </c>
      <c r="N51" s="790"/>
      <c r="O51" s="312">
        <f t="shared" si="1"/>
        <v>349.19</v>
      </c>
      <c r="P51" s="657">
        <v>889</v>
      </c>
      <c r="Q51" s="657">
        <v>857.81999999999994</v>
      </c>
      <c r="R51" s="658">
        <v>774.25</v>
      </c>
      <c r="S51" s="659">
        <v>669.25</v>
      </c>
      <c r="T51" s="659">
        <v>1058.6100000000001</v>
      </c>
    </row>
    <row r="52" spans="1:20" ht="30" customHeight="1" x14ac:dyDescent="0.2">
      <c r="A52" s="291" t="str">
        <f t="shared" si="8"/>
        <v>NOT055 / 512</v>
      </c>
      <c r="B52" s="89" t="s">
        <v>4032</v>
      </c>
      <c r="C52" s="89" t="s">
        <v>7709</v>
      </c>
      <c r="D52" s="457" t="s">
        <v>4035</v>
      </c>
      <c r="E52" s="369" t="str">
        <f>VLOOKUP(D:D,'Master Table'!C:D,2,FALSE)</f>
        <v>514</v>
      </c>
      <c r="F52" s="69">
        <f>VLOOKUP(D:D,'Master Table'!C:O,13,FALSE)</f>
        <v>618.14</v>
      </c>
      <c r="G52" s="69" t="s">
        <v>4029</v>
      </c>
      <c r="H52" s="69" t="s">
        <v>4030</v>
      </c>
      <c r="I52" s="69" t="s">
        <v>4031</v>
      </c>
      <c r="J52" s="69" t="s">
        <v>4032</v>
      </c>
      <c r="K52" s="69" t="s">
        <v>324</v>
      </c>
      <c r="L52" s="790">
        <v>1697.65</v>
      </c>
      <c r="M52" s="790">
        <v>15</v>
      </c>
      <c r="N52" s="790"/>
      <c r="O52" s="312">
        <f t="shared" si="1"/>
        <v>1712.65</v>
      </c>
      <c r="P52" s="657">
        <v>4375</v>
      </c>
      <c r="Q52" s="657">
        <v>5448</v>
      </c>
      <c r="R52" s="658">
        <v>5229</v>
      </c>
      <c r="S52" s="659">
        <v>5164</v>
      </c>
      <c r="T52" s="659">
        <v>4000</v>
      </c>
    </row>
    <row r="53" spans="1:20" ht="30" customHeight="1" x14ac:dyDescent="0.2">
      <c r="A53" s="291" t="str">
        <f t="shared" si="8"/>
        <v>NOT056 / 513</v>
      </c>
      <c r="B53" s="131" t="s">
        <v>4032</v>
      </c>
      <c r="C53" s="131" t="s">
        <v>1871</v>
      </c>
      <c r="D53" s="457" t="s">
        <v>4039</v>
      </c>
      <c r="E53" s="369" t="str">
        <f>VLOOKUP(D:D,'Master Table'!C:D,2,FALSE)</f>
        <v>515</v>
      </c>
      <c r="F53" s="69">
        <f>VLOOKUP(D:D,'Master Table'!C:O,13,FALSE)</f>
        <v>1079.3400000000001</v>
      </c>
      <c r="G53" s="69" t="s">
        <v>4033</v>
      </c>
      <c r="H53" s="69" t="s">
        <v>4034</v>
      </c>
      <c r="I53" s="69" t="s">
        <v>579</v>
      </c>
      <c r="J53" s="69" t="s">
        <v>4032</v>
      </c>
      <c r="K53" s="69" t="s">
        <v>324</v>
      </c>
      <c r="L53" s="790"/>
      <c r="M53" s="790">
        <v>100</v>
      </c>
      <c r="N53" s="790"/>
      <c r="O53" s="312">
        <f t="shared" si="1"/>
        <v>100</v>
      </c>
      <c r="P53" s="657">
        <v>80.09</v>
      </c>
      <c r="Q53" s="657">
        <v>242.98</v>
      </c>
      <c r="R53" s="658">
        <v>584.96</v>
      </c>
      <c r="S53" s="659">
        <v>459.96</v>
      </c>
      <c r="T53" s="659">
        <v>178.88</v>
      </c>
    </row>
    <row r="54" spans="1:20" ht="30" customHeight="1" x14ac:dyDescent="0.2">
      <c r="A54" s="291" t="str">
        <f t="shared" si="8"/>
        <v>NOT057 / 514</v>
      </c>
      <c r="B54" s="89" t="s">
        <v>4038</v>
      </c>
      <c r="C54" s="89" t="s">
        <v>4037</v>
      </c>
      <c r="D54" s="457" t="s">
        <v>4045</v>
      </c>
      <c r="E54" s="369" t="str">
        <f>VLOOKUP(D:D,'Master Table'!C:D,2,FALSE)</f>
        <v>516</v>
      </c>
      <c r="F54" s="69">
        <f>VLOOKUP(D:D,'Master Table'!C:O,13,FALSE)</f>
        <v>25</v>
      </c>
      <c r="G54" s="69" t="s">
        <v>4035</v>
      </c>
      <c r="H54" s="69" t="s">
        <v>4036</v>
      </c>
      <c r="I54" s="69" t="s">
        <v>4037</v>
      </c>
      <c r="J54" s="69" t="s">
        <v>4038</v>
      </c>
      <c r="K54" s="69" t="s">
        <v>324</v>
      </c>
      <c r="L54" s="790"/>
      <c r="M54" s="790">
        <v>482</v>
      </c>
      <c r="N54" s="790"/>
      <c r="O54" s="312">
        <f t="shared" si="1"/>
        <v>482</v>
      </c>
      <c r="P54" s="657">
        <v>618.14</v>
      </c>
      <c r="Q54" s="657">
        <v>784.34</v>
      </c>
      <c r="R54" s="658">
        <v>1003</v>
      </c>
      <c r="S54" s="659">
        <v>0</v>
      </c>
      <c r="T54" s="659">
        <v>874.49</v>
      </c>
    </row>
    <row r="55" spans="1:20" ht="30" customHeight="1" x14ac:dyDescent="0.2">
      <c r="A55" s="291" t="str">
        <f t="shared" si="8"/>
        <v>NOT058 / 515</v>
      </c>
      <c r="B55" s="89" t="s">
        <v>4042</v>
      </c>
      <c r="C55" s="89" t="s">
        <v>7710</v>
      </c>
      <c r="D55" s="538" t="s">
        <v>4049</v>
      </c>
      <c r="E55" s="369" t="str">
        <f>VLOOKUP(D:D,'Master Table'!C:D,2,FALSE)</f>
        <v>517</v>
      </c>
      <c r="F55" s="69">
        <f>VLOOKUP(D:D,'Master Table'!C:O,13,FALSE)</f>
        <v>1399.5900000000001</v>
      </c>
      <c r="G55" s="69" t="s">
        <v>4039</v>
      </c>
      <c r="H55" s="69" t="s">
        <v>4040</v>
      </c>
      <c r="I55" s="69" t="s">
        <v>4041</v>
      </c>
      <c r="J55" s="69" t="s">
        <v>4042</v>
      </c>
      <c r="K55" s="69" t="s">
        <v>324</v>
      </c>
      <c r="L55" s="790">
        <v>1306.45</v>
      </c>
      <c r="M55" s="790">
        <v>135</v>
      </c>
      <c r="N55" s="790"/>
      <c r="O55" s="312">
        <f t="shared" si="1"/>
        <v>1441.45</v>
      </c>
      <c r="P55" s="657">
        <v>1079.3400000000001</v>
      </c>
      <c r="Q55" s="657">
        <v>1080.5</v>
      </c>
      <c r="R55" s="658">
        <v>1056.9000000000001</v>
      </c>
      <c r="S55" s="659">
        <v>925.9</v>
      </c>
      <c r="T55" s="659">
        <v>1010.47</v>
      </c>
    </row>
    <row r="56" spans="1:20" ht="30" customHeight="1" x14ac:dyDescent="0.2">
      <c r="A56" s="291" t="str">
        <f t="shared" si="8"/>
        <v>NOT059 / 516</v>
      </c>
      <c r="B56" s="89" t="s">
        <v>4048</v>
      </c>
      <c r="C56" s="606" t="s">
        <v>7433</v>
      </c>
      <c r="D56" s="538" t="s">
        <v>4022</v>
      </c>
      <c r="E56" s="369" t="str">
        <f>VLOOKUP(D:D,'Master Table'!C:D,2,FALSE)</f>
        <v>511</v>
      </c>
      <c r="F56" s="69">
        <f>VLOOKUP(D:D,'Master Table'!C:O,13,FALSE)</f>
        <v>0</v>
      </c>
      <c r="G56" s="69" t="s">
        <v>4045</v>
      </c>
      <c r="H56" s="69" t="s">
        <v>4046</v>
      </c>
      <c r="I56" s="69" t="s">
        <v>4047</v>
      </c>
      <c r="J56" s="69" t="s">
        <v>4048</v>
      </c>
      <c r="K56" s="69" t="s">
        <v>324</v>
      </c>
      <c r="L56" s="790"/>
      <c r="M56" s="790">
        <v>78.3</v>
      </c>
      <c r="N56" s="790"/>
      <c r="O56" s="312">
        <f t="shared" si="1"/>
        <v>78.3</v>
      </c>
      <c r="P56" s="657">
        <v>25</v>
      </c>
      <c r="Q56" s="657">
        <v>20</v>
      </c>
      <c r="R56" s="658">
        <v>254</v>
      </c>
      <c r="S56" s="659"/>
      <c r="T56" s="659">
        <v>231.88</v>
      </c>
    </row>
    <row r="57" spans="1:20" ht="30" customHeight="1" x14ac:dyDescent="0.2">
      <c r="A57" s="291" t="str">
        <f t="shared" si="8"/>
        <v>NOT061 / 517</v>
      </c>
      <c r="B57" s="906" t="s">
        <v>7712</v>
      </c>
      <c r="C57" s="468" t="s">
        <v>8345</v>
      </c>
      <c r="D57" s="457" t="s">
        <v>4052</v>
      </c>
      <c r="E57" s="369" t="str">
        <f>VLOOKUP(D:D,'Master Table'!C:D,2,FALSE)</f>
        <v>518</v>
      </c>
      <c r="F57" s="69">
        <f>VLOOKUP(D:D,'Master Table'!C:O,13,FALSE)</f>
        <v>478</v>
      </c>
      <c r="G57" s="69" t="s">
        <v>4049</v>
      </c>
      <c r="H57" s="69" t="s">
        <v>4050</v>
      </c>
      <c r="I57" s="69" t="s">
        <v>812</v>
      </c>
      <c r="J57" s="69" t="s">
        <v>4051</v>
      </c>
      <c r="K57" s="69" t="s">
        <v>324</v>
      </c>
      <c r="L57" s="790">
        <v>363.73</v>
      </c>
      <c r="M57" s="790">
        <v>380</v>
      </c>
      <c r="N57" s="790">
        <v>272.68</v>
      </c>
      <c r="O57" s="312">
        <f t="shared" si="1"/>
        <v>1016.4100000000001</v>
      </c>
      <c r="P57" s="657">
        <v>1399.5900000000001</v>
      </c>
      <c r="Q57" s="869">
        <v>1226</v>
      </c>
      <c r="R57" s="658">
        <v>2155</v>
      </c>
      <c r="S57" s="659">
        <v>1580</v>
      </c>
      <c r="T57" s="659">
        <v>2113.1999999999998</v>
      </c>
    </row>
    <row r="58" spans="1:20" ht="30" customHeight="1" x14ac:dyDescent="0.2">
      <c r="A58" s="291" t="str">
        <f t="shared" ref="A58" si="9">D56&amp;" / "&amp;E56</f>
        <v>NOT054 / 511</v>
      </c>
      <c r="B58" s="907" t="s">
        <v>7712</v>
      </c>
      <c r="C58" s="469" t="s">
        <v>8344</v>
      </c>
      <c r="D58" s="457" t="s">
        <v>4058</v>
      </c>
      <c r="E58" s="369" t="str">
        <f>VLOOKUP(D:D,'Master Table'!C:D,2,FALSE)</f>
        <v>519</v>
      </c>
      <c r="F58" s="69">
        <f>VLOOKUP(D:D,'Master Table'!C:O,13,FALSE)</f>
        <v>1844.68</v>
      </c>
      <c r="G58" s="69"/>
      <c r="H58" s="69"/>
      <c r="I58" s="69"/>
      <c r="J58" s="69"/>
      <c r="K58" s="69"/>
      <c r="L58" s="790"/>
      <c r="M58" s="790"/>
      <c r="N58" s="790"/>
      <c r="O58" s="312"/>
      <c r="P58" s="657"/>
      <c r="Q58" s="870"/>
      <c r="R58" s="658">
        <v>2155</v>
      </c>
      <c r="S58" s="659"/>
      <c r="T58" s="659"/>
    </row>
    <row r="59" spans="1:20" ht="30" customHeight="1" x14ac:dyDescent="0.2">
      <c r="A59" s="291" t="str">
        <f t="shared" ref="A59:A65" si="10">D57&amp;" / "&amp;E57</f>
        <v>NOT063 / 518</v>
      </c>
      <c r="B59" s="131" t="s">
        <v>4054</v>
      </c>
      <c r="C59" s="539" t="s">
        <v>1871</v>
      </c>
      <c r="D59" s="457" t="s">
        <v>4061</v>
      </c>
      <c r="E59" s="369" t="str">
        <f>VLOOKUP(D:D,'Master Table'!C:D,2,FALSE)</f>
        <v>520</v>
      </c>
      <c r="F59" s="69">
        <f>VLOOKUP(D:D,'Master Table'!C:O,13,FALSE)</f>
        <v>0</v>
      </c>
      <c r="G59" s="69" t="s">
        <v>4052</v>
      </c>
      <c r="H59" s="69" t="s">
        <v>4053</v>
      </c>
      <c r="I59" s="69" t="s">
        <v>1871</v>
      </c>
      <c r="J59" s="69" t="s">
        <v>4054</v>
      </c>
      <c r="K59" s="69" t="s">
        <v>324</v>
      </c>
      <c r="L59" s="790"/>
      <c r="M59" s="790">
        <v>30</v>
      </c>
      <c r="N59" s="790">
        <v>253</v>
      </c>
      <c r="O59" s="312">
        <f t="shared" si="1"/>
        <v>283</v>
      </c>
      <c r="P59" s="657">
        <v>478</v>
      </c>
      <c r="Q59" s="657">
        <v>705</v>
      </c>
      <c r="R59" s="658">
        <v>785</v>
      </c>
      <c r="S59" s="659">
        <v>0</v>
      </c>
      <c r="T59" s="659">
        <v>1032.5</v>
      </c>
    </row>
    <row r="60" spans="1:20" ht="30" customHeight="1" x14ac:dyDescent="0.2">
      <c r="A60" s="291" t="str">
        <f t="shared" si="10"/>
        <v>NOT065 / 519</v>
      </c>
      <c r="B60" s="89" t="s">
        <v>4060</v>
      </c>
      <c r="C60" s="89" t="s">
        <v>1065</v>
      </c>
      <c r="D60" s="457" t="s">
        <v>4064</v>
      </c>
      <c r="E60" s="369" t="str">
        <f>VLOOKUP(D:D,'Master Table'!C:D,2,FALSE)</f>
        <v>521</v>
      </c>
      <c r="F60" s="69">
        <f>VLOOKUP(D:D,'Master Table'!C:O,13,FALSE)</f>
        <v>823.42</v>
      </c>
      <c r="G60" s="69" t="s">
        <v>4058</v>
      </c>
      <c r="H60" s="69" t="s">
        <v>4059</v>
      </c>
      <c r="I60" s="69" t="s">
        <v>276</v>
      </c>
      <c r="J60" s="69" t="s">
        <v>4060</v>
      </c>
      <c r="K60" s="69" t="s">
        <v>351</v>
      </c>
      <c r="L60" s="790">
        <v>539.65</v>
      </c>
      <c r="M60" s="790">
        <v>221.05</v>
      </c>
      <c r="N60" s="790"/>
      <c r="O60" s="312">
        <f t="shared" si="1"/>
        <v>760.7</v>
      </c>
      <c r="P60" s="657">
        <v>1844.68</v>
      </c>
      <c r="Q60" s="657">
        <v>2667.95</v>
      </c>
      <c r="R60" s="658">
        <v>2363.73</v>
      </c>
      <c r="S60" s="659">
        <v>1532.73</v>
      </c>
      <c r="T60" s="659">
        <v>1926.25</v>
      </c>
    </row>
    <row r="61" spans="1:20" ht="30" customHeight="1" x14ac:dyDescent="0.2">
      <c r="A61" s="291" t="str">
        <f t="shared" si="10"/>
        <v>NOT066 / 520</v>
      </c>
      <c r="B61" s="89" t="s">
        <v>4063</v>
      </c>
      <c r="C61" s="89" t="s">
        <v>1371</v>
      </c>
      <c r="D61" s="457" t="s">
        <v>4067</v>
      </c>
      <c r="E61" s="369" t="str">
        <f>VLOOKUP(D:D,'Master Table'!C:D,2,FALSE)</f>
        <v>522</v>
      </c>
      <c r="F61" s="69">
        <f>VLOOKUP(D:D,'Master Table'!C:O,13,FALSE)</f>
        <v>406.31</v>
      </c>
      <c r="G61" s="69" t="s">
        <v>4061</v>
      </c>
      <c r="H61" s="69" t="s">
        <v>4062</v>
      </c>
      <c r="I61" s="69" t="s">
        <v>1371</v>
      </c>
      <c r="J61" s="69" t="s">
        <v>4063</v>
      </c>
      <c r="K61" s="69" t="s">
        <v>324</v>
      </c>
      <c r="L61" s="790"/>
      <c r="M61" s="790"/>
      <c r="N61" s="790">
        <v>212.47</v>
      </c>
      <c r="O61" s="312">
        <f t="shared" ref="O61:O108" si="11">L61+M61+N61</f>
        <v>212.47</v>
      </c>
      <c r="P61" s="657">
        <v>0</v>
      </c>
      <c r="Q61" s="657">
        <v>529.91999999999996</v>
      </c>
      <c r="R61" s="658">
        <v>50</v>
      </c>
      <c r="S61" s="659">
        <v>0</v>
      </c>
      <c r="T61" s="659">
        <v>141.64000000000001</v>
      </c>
    </row>
    <row r="62" spans="1:20" ht="30" customHeight="1" x14ac:dyDescent="0.2">
      <c r="A62" s="291" t="str">
        <f t="shared" si="10"/>
        <v>NOT067 / 521</v>
      </c>
      <c r="B62" s="89" t="s">
        <v>4066</v>
      </c>
      <c r="C62" s="89" t="s">
        <v>1349</v>
      </c>
      <c r="D62" s="457" t="s">
        <v>4071</v>
      </c>
      <c r="E62" s="369" t="str">
        <f>VLOOKUP(D:D,'Master Table'!C:D,2,FALSE)</f>
        <v>523</v>
      </c>
      <c r="F62" s="69">
        <f>VLOOKUP(D:D,'Master Table'!C:O,13,FALSE)</f>
        <v>194.4</v>
      </c>
      <c r="G62" s="69" t="s">
        <v>4064</v>
      </c>
      <c r="H62" s="69" t="s">
        <v>4065</v>
      </c>
      <c r="I62" s="69" t="s">
        <v>94</v>
      </c>
      <c r="J62" s="69" t="s">
        <v>4066</v>
      </c>
      <c r="K62" s="69" t="s">
        <v>324</v>
      </c>
      <c r="L62" s="790">
        <v>151</v>
      </c>
      <c r="M62" s="790">
        <v>160</v>
      </c>
      <c r="N62" s="790"/>
      <c r="O62" s="312">
        <f t="shared" si="11"/>
        <v>311</v>
      </c>
      <c r="P62" s="657">
        <v>823.42</v>
      </c>
      <c r="Q62" s="657">
        <v>917.94</v>
      </c>
      <c r="R62" s="658">
        <v>853.43</v>
      </c>
      <c r="S62" s="659">
        <v>609.42999999999995</v>
      </c>
      <c r="T62" s="659">
        <v>823.61</v>
      </c>
    </row>
    <row r="63" spans="1:20" ht="30" customHeight="1" x14ac:dyDescent="0.2">
      <c r="A63" s="291" t="str">
        <f t="shared" si="10"/>
        <v>NOT068 / 522</v>
      </c>
      <c r="B63" s="89" t="s">
        <v>4070</v>
      </c>
      <c r="C63" s="89" t="s">
        <v>4069</v>
      </c>
      <c r="D63" s="457" t="s">
        <v>4074</v>
      </c>
      <c r="E63" s="369" t="str">
        <f>VLOOKUP(D:D,'Master Table'!C:D,2,FALSE)</f>
        <v>524</v>
      </c>
      <c r="F63" s="69">
        <f>VLOOKUP(D:D,'Master Table'!C:O,13,FALSE)</f>
        <v>211</v>
      </c>
      <c r="G63" s="69" t="s">
        <v>4067</v>
      </c>
      <c r="H63" s="69" t="s">
        <v>4068</v>
      </c>
      <c r="I63" s="69" t="s">
        <v>4069</v>
      </c>
      <c r="J63" s="69" t="s">
        <v>4070</v>
      </c>
      <c r="K63" s="69" t="s">
        <v>324</v>
      </c>
      <c r="L63" s="790"/>
      <c r="M63" s="790">
        <v>95</v>
      </c>
      <c r="N63" s="790"/>
      <c r="O63" s="312">
        <f t="shared" si="11"/>
        <v>95</v>
      </c>
      <c r="P63" s="657">
        <v>406.31</v>
      </c>
      <c r="Q63" s="657">
        <v>744.32</v>
      </c>
      <c r="R63" s="658">
        <v>145</v>
      </c>
      <c r="S63" s="659">
        <v>0</v>
      </c>
      <c r="T63" s="659">
        <v>150</v>
      </c>
    </row>
    <row r="64" spans="1:20" ht="30" customHeight="1" x14ac:dyDescent="0.2">
      <c r="A64" s="291" t="str">
        <f t="shared" si="10"/>
        <v>NOT069 / 523</v>
      </c>
      <c r="B64" s="606" t="s">
        <v>4073</v>
      </c>
      <c r="C64" s="89" t="s">
        <v>119</v>
      </c>
      <c r="D64" s="457" t="s">
        <v>4302</v>
      </c>
      <c r="E64" s="369" t="str">
        <f>VLOOKUP(D:D,'Master Table'!C:D,2,FALSE)</f>
        <v>588</v>
      </c>
      <c r="F64" s="69">
        <f>VLOOKUP(D:D,'Master Table'!C:O,13,FALSE)</f>
        <v>20</v>
      </c>
      <c r="G64" s="69" t="s">
        <v>4071</v>
      </c>
      <c r="H64" s="69" t="s">
        <v>4072</v>
      </c>
      <c r="I64" s="69" t="s">
        <v>119</v>
      </c>
      <c r="J64" s="69" t="s">
        <v>4073</v>
      </c>
      <c r="K64" s="69" t="s">
        <v>324</v>
      </c>
      <c r="L64" s="790">
        <v>41</v>
      </c>
      <c r="M64" s="790"/>
      <c r="N64" s="790"/>
      <c r="O64" s="312">
        <f t="shared" si="11"/>
        <v>41</v>
      </c>
      <c r="P64" s="657">
        <v>194.4</v>
      </c>
      <c r="Q64" s="657">
        <v>221.2</v>
      </c>
      <c r="R64" s="658">
        <v>135.75</v>
      </c>
      <c r="S64" s="659">
        <v>120.75</v>
      </c>
      <c r="T64" s="659">
        <v>57.5</v>
      </c>
    </row>
    <row r="65" spans="1:20" ht="30" customHeight="1" x14ac:dyDescent="0.2">
      <c r="A65" s="532" t="str">
        <f t="shared" si="10"/>
        <v>NOT070 / 524</v>
      </c>
      <c r="B65" s="606" t="s">
        <v>8339</v>
      </c>
      <c r="C65" s="606" t="s">
        <v>8341</v>
      </c>
      <c r="D65" s="457" t="s">
        <v>4077</v>
      </c>
      <c r="E65" s="369" t="str">
        <f>VLOOKUP(D:D,'Master Table'!C:D,2,FALSE)</f>
        <v>525</v>
      </c>
      <c r="F65" s="69">
        <f>VLOOKUP(D:D,'Master Table'!C:O,13,FALSE)</f>
        <v>600</v>
      </c>
      <c r="G65" s="69" t="s">
        <v>4074</v>
      </c>
      <c r="H65" s="69" t="s">
        <v>4075</v>
      </c>
      <c r="I65" s="69" t="s">
        <v>783</v>
      </c>
      <c r="J65" s="69" t="s">
        <v>4076</v>
      </c>
      <c r="K65" s="69" t="s">
        <v>324</v>
      </c>
      <c r="L65" s="790">
        <v>0</v>
      </c>
      <c r="M65" s="790">
        <v>100</v>
      </c>
      <c r="N65" s="790"/>
      <c r="O65" s="312">
        <f t="shared" si="11"/>
        <v>100</v>
      </c>
      <c r="P65" s="657">
        <f>F63+F64</f>
        <v>231</v>
      </c>
      <c r="Q65" s="869">
        <v>90</v>
      </c>
      <c r="R65" s="658">
        <v>165</v>
      </c>
      <c r="S65" s="659">
        <v>80</v>
      </c>
      <c r="T65" s="659">
        <v>213.94</v>
      </c>
    </row>
    <row r="66" spans="1:20" ht="30" customHeight="1" x14ac:dyDescent="0.2">
      <c r="A66" s="532" t="str">
        <f t="shared" ref="A66" si="12">D64&amp;" / "&amp;E64</f>
        <v>NOT128 / 588</v>
      </c>
      <c r="B66" s="607" t="s">
        <v>8338</v>
      </c>
      <c r="C66" s="607" t="s">
        <v>8340</v>
      </c>
      <c r="D66" s="457" t="s">
        <v>4084</v>
      </c>
      <c r="E66" s="369" t="str">
        <f>VLOOKUP(D:D,'Master Table'!C:D,2,FALSE)</f>
        <v>528</v>
      </c>
      <c r="F66" s="69">
        <f>VLOOKUP(D:D,'Master Table'!C:O,13,FALSE)</f>
        <v>1444.97</v>
      </c>
      <c r="G66" s="69" t="s">
        <v>4302</v>
      </c>
      <c r="H66" s="69" t="s">
        <v>4303</v>
      </c>
      <c r="I66" s="69" t="s">
        <v>1026</v>
      </c>
      <c r="J66" s="69" t="s">
        <v>4304</v>
      </c>
      <c r="K66" s="69" t="s">
        <v>324</v>
      </c>
      <c r="L66" s="790"/>
      <c r="M66" s="790">
        <v>60</v>
      </c>
      <c r="N66" s="790"/>
      <c r="O66" s="312">
        <f>L66+M66+N66</f>
        <v>60</v>
      </c>
      <c r="P66" s="657"/>
      <c r="Q66" s="870"/>
      <c r="R66" s="658">
        <v>165</v>
      </c>
      <c r="S66" s="659"/>
      <c r="T66" s="659"/>
    </row>
    <row r="67" spans="1:20" ht="30" customHeight="1" x14ac:dyDescent="0.2">
      <c r="A67" s="291" t="str">
        <f t="shared" ref="A67" si="13">D65&amp;" / "&amp;E65</f>
        <v>NOT071 / 525</v>
      </c>
      <c r="B67" s="607" t="s">
        <v>4080</v>
      </c>
      <c r="C67" s="89" t="s">
        <v>4079</v>
      </c>
      <c r="D67" s="457" t="s">
        <v>4087</v>
      </c>
      <c r="E67" s="369" t="str">
        <f>VLOOKUP(D:D,'Master Table'!C:D,2,FALSE)</f>
        <v>530</v>
      </c>
      <c r="F67" s="69">
        <f>VLOOKUP(D:D,'Master Table'!C:O,13,FALSE)</f>
        <v>237.32999999999998</v>
      </c>
      <c r="G67" s="69" t="s">
        <v>4077</v>
      </c>
      <c r="H67" s="69" t="s">
        <v>4078</v>
      </c>
      <c r="I67" s="69" t="s">
        <v>4079</v>
      </c>
      <c r="J67" s="69" t="s">
        <v>4080</v>
      </c>
      <c r="K67" s="69" t="s">
        <v>324</v>
      </c>
      <c r="L67" s="790"/>
      <c r="M67" s="790">
        <v>630</v>
      </c>
      <c r="N67" s="790"/>
      <c r="O67" s="312">
        <f t="shared" si="11"/>
        <v>630</v>
      </c>
      <c r="P67" s="657">
        <v>600</v>
      </c>
      <c r="Q67" s="657">
        <v>0</v>
      </c>
      <c r="R67" s="658">
        <v>1450</v>
      </c>
      <c r="S67" s="659"/>
      <c r="T67" s="659"/>
    </row>
    <row r="68" spans="1:20" ht="30" customHeight="1" x14ac:dyDescent="0.2">
      <c r="A68" s="291" t="str">
        <f t="shared" ref="A68:A73" si="14">D66&amp;" / "&amp;E66</f>
        <v>NOT072 / 528</v>
      </c>
      <c r="B68" s="89" t="s">
        <v>4080</v>
      </c>
      <c r="C68" s="89" t="s">
        <v>7366</v>
      </c>
      <c r="D68" s="457" t="s">
        <v>4091</v>
      </c>
      <c r="E68" s="369" t="str">
        <f>VLOOKUP(D:D,'Master Table'!C:D,2,FALSE)</f>
        <v>531</v>
      </c>
      <c r="F68" s="69">
        <f>VLOOKUP(D:D,'Master Table'!C:O,13,FALSE)</f>
        <v>710.99</v>
      </c>
      <c r="G68" s="69" t="s">
        <v>4084</v>
      </c>
      <c r="H68" s="69" t="s">
        <v>4085</v>
      </c>
      <c r="I68" s="69" t="s">
        <v>4086</v>
      </c>
      <c r="J68" s="69" t="s">
        <v>4080</v>
      </c>
      <c r="K68" s="69" t="s">
        <v>324</v>
      </c>
      <c r="L68" s="790"/>
      <c r="M68" s="790">
        <v>378</v>
      </c>
      <c r="N68" s="790"/>
      <c r="O68" s="312">
        <f t="shared" si="11"/>
        <v>378</v>
      </c>
      <c r="P68" s="657">
        <v>1444.97</v>
      </c>
      <c r="Q68" s="657">
        <v>1265</v>
      </c>
      <c r="R68" s="658">
        <v>1450</v>
      </c>
      <c r="S68" s="659">
        <v>0</v>
      </c>
      <c r="T68" s="659">
        <v>1985.39</v>
      </c>
    </row>
    <row r="69" spans="1:20" ht="30" customHeight="1" x14ac:dyDescent="0.2">
      <c r="A69" s="291" t="str">
        <f t="shared" si="14"/>
        <v>NOT073 / 530</v>
      </c>
      <c r="B69" s="89" t="s">
        <v>4080</v>
      </c>
      <c r="C69" s="89" t="s">
        <v>231</v>
      </c>
      <c r="D69" s="457" t="s">
        <v>4095</v>
      </c>
      <c r="E69" s="369" t="str">
        <f>VLOOKUP(D:D,'Master Table'!C:D,2,FALSE)</f>
        <v>532</v>
      </c>
      <c r="F69" s="69">
        <f>VLOOKUP(D:D,'Master Table'!C:O,13,FALSE)</f>
        <v>65.209999999999994</v>
      </c>
      <c r="G69" s="69" t="s">
        <v>4087</v>
      </c>
      <c r="H69" s="69" t="s">
        <v>4088</v>
      </c>
      <c r="I69" s="69" t="s">
        <v>846</v>
      </c>
      <c r="J69" s="69" t="s">
        <v>4080</v>
      </c>
      <c r="K69" s="69" t="s">
        <v>324</v>
      </c>
      <c r="L69" s="790"/>
      <c r="M69" s="790">
        <v>145</v>
      </c>
      <c r="N69" s="790"/>
      <c r="O69" s="312">
        <f t="shared" si="11"/>
        <v>145</v>
      </c>
      <c r="P69" s="657">
        <v>237.32999999999998</v>
      </c>
      <c r="Q69" s="657">
        <v>304.55</v>
      </c>
      <c r="R69" s="658">
        <v>313</v>
      </c>
      <c r="S69" s="659">
        <v>0</v>
      </c>
      <c r="T69" s="659">
        <v>326.08</v>
      </c>
    </row>
    <row r="70" spans="1:20" ht="30" customHeight="1" x14ac:dyDescent="0.2">
      <c r="A70" s="291" t="str">
        <f t="shared" si="14"/>
        <v>NOT074 / 531</v>
      </c>
      <c r="B70" s="89" t="s">
        <v>4080</v>
      </c>
      <c r="C70" s="89" t="s">
        <v>7714</v>
      </c>
      <c r="D70" s="457" t="s">
        <v>4097</v>
      </c>
      <c r="E70" s="369" t="str">
        <f>VLOOKUP(D:D,'Master Table'!C:D,2,FALSE)</f>
        <v>533</v>
      </c>
      <c r="F70" s="69">
        <f>VLOOKUP(D:D,'Master Table'!C:O,13,FALSE)</f>
        <v>444.02</v>
      </c>
      <c r="G70" s="69" t="s">
        <v>4091</v>
      </c>
      <c r="H70" s="69" t="s">
        <v>4092</v>
      </c>
      <c r="I70" s="69" t="s">
        <v>4093</v>
      </c>
      <c r="J70" s="69" t="s">
        <v>4080</v>
      </c>
      <c r="K70" s="69" t="s">
        <v>324</v>
      </c>
      <c r="L70" s="790">
        <v>160.16999999999999</v>
      </c>
      <c r="M70" s="790">
        <v>350</v>
      </c>
      <c r="N70" s="790"/>
      <c r="O70" s="312">
        <f t="shared" si="11"/>
        <v>510.16999999999996</v>
      </c>
      <c r="P70" s="657">
        <v>710.99</v>
      </c>
      <c r="Q70" s="657">
        <v>819.47</v>
      </c>
      <c r="R70" s="658">
        <v>436.43</v>
      </c>
      <c r="S70" s="659">
        <v>251.43</v>
      </c>
      <c r="T70" s="659">
        <v>510.65000000000003</v>
      </c>
    </row>
    <row r="71" spans="1:20" ht="30" customHeight="1" x14ac:dyDescent="0.2">
      <c r="A71" s="291" t="str">
        <f t="shared" si="14"/>
        <v>NOT075 / 532</v>
      </c>
      <c r="B71" s="89" t="s">
        <v>4080</v>
      </c>
      <c r="C71" s="89" t="s">
        <v>4017</v>
      </c>
      <c r="D71" s="457" t="s">
        <v>4101</v>
      </c>
      <c r="E71" s="369" t="str">
        <f>VLOOKUP(D:D,'Master Table'!C:D,2,FALSE)</f>
        <v>536</v>
      </c>
      <c r="F71" s="69">
        <f>VLOOKUP(D:D,'Master Table'!C:O,13,FALSE)</f>
        <v>1732.2</v>
      </c>
      <c r="G71" s="69" t="s">
        <v>4095</v>
      </c>
      <c r="H71" s="69" t="s">
        <v>4096</v>
      </c>
      <c r="I71" s="69" t="s">
        <v>4017</v>
      </c>
      <c r="J71" s="69" t="s">
        <v>4080</v>
      </c>
      <c r="K71" s="69" t="s">
        <v>324</v>
      </c>
      <c r="L71" s="790">
        <v>44.8</v>
      </c>
      <c r="M71" s="790"/>
      <c r="N71" s="790"/>
      <c r="O71" s="312">
        <f t="shared" si="11"/>
        <v>44.8</v>
      </c>
      <c r="P71" s="657">
        <v>65.209999999999994</v>
      </c>
      <c r="Q71" s="657">
        <v>497.08</v>
      </c>
      <c r="R71" s="658">
        <v>35.75</v>
      </c>
      <c r="S71" s="659">
        <v>25.75</v>
      </c>
      <c r="T71" s="659">
        <v>191.09</v>
      </c>
    </row>
    <row r="72" spans="1:20" ht="30" customHeight="1" x14ac:dyDescent="0.2">
      <c r="A72" s="291" t="str">
        <f t="shared" si="14"/>
        <v>NOT076 / 533</v>
      </c>
      <c r="B72" s="89" t="s">
        <v>4080</v>
      </c>
      <c r="C72" s="89" t="s">
        <v>3771</v>
      </c>
      <c r="D72" s="457" t="s">
        <v>4107</v>
      </c>
      <c r="E72" s="369" t="str">
        <f>VLOOKUP(D:D,'Master Table'!C:D,2,FALSE)</f>
        <v>537</v>
      </c>
      <c r="F72" s="69">
        <f>VLOOKUP(D:D,'Master Table'!C:O,13,FALSE)</f>
        <v>474.11</v>
      </c>
      <c r="G72" s="69" t="s">
        <v>4097</v>
      </c>
      <c r="H72" s="69" t="s">
        <v>4098</v>
      </c>
      <c r="I72" s="69" t="s">
        <v>3771</v>
      </c>
      <c r="J72" s="69" t="s">
        <v>4080</v>
      </c>
      <c r="K72" s="69" t="s">
        <v>324</v>
      </c>
      <c r="L72" s="790">
        <v>135.34</v>
      </c>
      <c r="M72" s="790">
        <v>296</v>
      </c>
      <c r="N72" s="790"/>
      <c r="O72" s="312">
        <f t="shared" si="11"/>
        <v>431.34000000000003</v>
      </c>
      <c r="P72" s="657">
        <v>444.02</v>
      </c>
      <c r="Q72" s="657">
        <v>799.71</v>
      </c>
      <c r="R72" s="658">
        <v>56</v>
      </c>
      <c r="S72" s="659">
        <v>0</v>
      </c>
      <c r="T72" s="659">
        <v>382.28000000000003</v>
      </c>
    </row>
    <row r="73" spans="1:20" ht="30" customHeight="1" x14ac:dyDescent="0.2">
      <c r="A73" s="291" t="str">
        <f t="shared" si="14"/>
        <v>NOT078 / 536</v>
      </c>
      <c r="B73" s="89" t="s">
        <v>4080</v>
      </c>
      <c r="C73" s="89" t="s">
        <v>3463</v>
      </c>
      <c r="D73" s="457" t="s">
        <v>4110</v>
      </c>
      <c r="E73" s="369" t="str">
        <f>VLOOKUP(D:D,'Master Table'!C:D,2,FALSE)</f>
        <v>538</v>
      </c>
      <c r="F73" s="69">
        <f>VLOOKUP(D:D,'Master Table'!C:O,13,FALSE)</f>
        <v>316.45000000000005</v>
      </c>
      <c r="G73" s="69" t="s">
        <v>4101</v>
      </c>
      <c r="H73" s="69" t="s">
        <v>4102</v>
      </c>
      <c r="I73" s="69" t="s">
        <v>61</v>
      </c>
      <c r="J73" s="69" t="s">
        <v>4080</v>
      </c>
      <c r="K73" s="69" t="s">
        <v>324</v>
      </c>
      <c r="L73" s="790">
        <v>74.63</v>
      </c>
      <c r="M73" s="790">
        <v>945</v>
      </c>
      <c r="N73" s="790">
        <v>500</v>
      </c>
      <c r="O73" s="312">
        <f t="shared" si="11"/>
        <v>1519.63</v>
      </c>
      <c r="P73" s="657">
        <v>1732.2</v>
      </c>
      <c r="Q73" s="657">
        <v>2689.32</v>
      </c>
      <c r="R73" s="658">
        <v>1745.55</v>
      </c>
      <c r="S73" s="659">
        <v>985.55</v>
      </c>
      <c r="T73" s="659">
        <v>1285.3700000000001</v>
      </c>
    </row>
    <row r="74" spans="1:20" ht="30" customHeight="1" x14ac:dyDescent="0.2">
      <c r="A74" s="291" t="str">
        <f t="shared" ref="A74:A99" si="15">D72&amp;" / "&amp;E72</f>
        <v>NOT079 / 537</v>
      </c>
      <c r="B74" s="89" t="s">
        <v>4080</v>
      </c>
      <c r="C74" s="89" t="s">
        <v>3516</v>
      </c>
      <c r="D74" s="457" t="s">
        <v>4112</v>
      </c>
      <c r="E74" s="369" t="str">
        <f>VLOOKUP(D:D,'Master Table'!C:D,2,FALSE)</f>
        <v>539</v>
      </c>
      <c r="F74" s="69">
        <f>VLOOKUP(D:D,'Master Table'!C:O,13,FALSE)</f>
        <v>1182.18</v>
      </c>
      <c r="G74" s="69" t="s">
        <v>4107</v>
      </c>
      <c r="H74" s="69" t="s">
        <v>4108</v>
      </c>
      <c r="I74" s="69" t="s">
        <v>4109</v>
      </c>
      <c r="J74" s="69" t="s">
        <v>4080</v>
      </c>
      <c r="K74" s="69" t="s">
        <v>324</v>
      </c>
      <c r="L74" s="790">
        <v>50.11</v>
      </c>
      <c r="M74" s="790">
        <v>120</v>
      </c>
      <c r="N74" s="790">
        <v>67.19</v>
      </c>
      <c r="O74" s="312">
        <f t="shared" si="11"/>
        <v>237.3</v>
      </c>
      <c r="P74" s="657">
        <v>474.11</v>
      </c>
      <c r="Q74" s="657">
        <v>120</v>
      </c>
      <c r="R74" s="658">
        <v>496.02</v>
      </c>
      <c r="S74" s="659">
        <v>351.02</v>
      </c>
      <c r="T74" s="659">
        <v>276.95</v>
      </c>
    </row>
    <row r="75" spans="1:20" ht="30" customHeight="1" x14ac:dyDescent="0.2">
      <c r="A75" s="291" t="str">
        <f t="shared" si="15"/>
        <v>NOT080 / 538</v>
      </c>
      <c r="B75" s="89" t="s">
        <v>4080</v>
      </c>
      <c r="C75" s="89" t="s">
        <v>7441</v>
      </c>
      <c r="D75" s="457" t="s">
        <v>4115</v>
      </c>
      <c r="E75" s="369" t="str">
        <f>VLOOKUP(D:D,'Master Table'!C:D,2,FALSE)</f>
        <v>540</v>
      </c>
      <c r="F75" s="69">
        <f>VLOOKUP(D:D,'Master Table'!C:O,13,FALSE)</f>
        <v>1153.8499999999999</v>
      </c>
      <c r="G75" s="69" t="s">
        <v>4110</v>
      </c>
      <c r="H75" s="69" t="s">
        <v>4111</v>
      </c>
      <c r="I75" s="69" t="s">
        <v>276</v>
      </c>
      <c r="J75" s="69" t="s">
        <v>4080</v>
      </c>
      <c r="K75" s="69" t="s">
        <v>324</v>
      </c>
      <c r="L75" s="790"/>
      <c r="M75" s="790">
        <v>52</v>
      </c>
      <c r="N75" s="790"/>
      <c r="O75" s="312">
        <f t="shared" si="11"/>
        <v>52</v>
      </c>
      <c r="P75" s="657">
        <v>316.45000000000005</v>
      </c>
      <c r="Q75" s="657">
        <v>72</v>
      </c>
      <c r="R75" s="658">
        <v>57</v>
      </c>
      <c r="S75" s="659">
        <v>0</v>
      </c>
      <c r="T75" s="659">
        <v>21.900000000000002</v>
      </c>
    </row>
    <row r="76" spans="1:20" ht="30" customHeight="1" x14ac:dyDescent="0.2">
      <c r="A76" s="291" t="str">
        <f t="shared" si="15"/>
        <v>NOT081 / 539</v>
      </c>
      <c r="B76" s="89" t="s">
        <v>4080</v>
      </c>
      <c r="C76" s="89" t="s">
        <v>453</v>
      </c>
      <c r="D76" s="457" t="s">
        <v>4124</v>
      </c>
      <c r="E76" s="369" t="str">
        <f>VLOOKUP(D:D,'Master Table'!C:D,2,FALSE)</f>
        <v>542</v>
      </c>
      <c r="F76" s="69">
        <f>VLOOKUP(D:D,'Master Table'!C:O,13,FALSE)</f>
        <v>1686.09</v>
      </c>
      <c r="G76" s="69" t="s">
        <v>4112</v>
      </c>
      <c r="H76" s="69" t="s">
        <v>4113</v>
      </c>
      <c r="I76" s="69" t="s">
        <v>4114</v>
      </c>
      <c r="J76" s="69" t="s">
        <v>4080</v>
      </c>
      <c r="K76" s="69" t="s">
        <v>324</v>
      </c>
      <c r="L76" s="790">
        <v>33.36</v>
      </c>
      <c r="M76" s="790">
        <v>501</v>
      </c>
      <c r="N76" s="790"/>
      <c r="O76" s="312">
        <f t="shared" si="11"/>
        <v>534.36</v>
      </c>
      <c r="P76" s="657">
        <v>1182.18</v>
      </c>
      <c r="Q76" s="657">
        <v>1751.45</v>
      </c>
      <c r="R76" s="658">
        <v>1208.0900000000001</v>
      </c>
      <c r="S76" s="659">
        <v>718.09</v>
      </c>
      <c r="T76" s="659">
        <v>2090</v>
      </c>
    </row>
    <row r="77" spans="1:20" ht="30" customHeight="1" x14ac:dyDescent="0.2">
      <c r="A77" s="291" t="str">
        <f t="shared" si="15"/>
        <v>NOT082 / 540</v>
      </c>
      <c r="B77" s="89" t="s">
        <v>4118</v>
      </c>
      <c r="C77" s="89" t="s">
        <v>7715</v>
      </c>
      <c r="D77" s="457" t="s">
        <v>4127</v>
      </c>
      <c r="E77" s="369" t="str">
        <f>VLOOKUP(D:D,'Master Table'!C:D,2,FALSE)</f>
        <v>543</v>
      </c>
      <c r="F77" s="69">
        <f>VLOOKUP(D:D,'Master Table'!C:O,13,FALSE)</f>
        <v>851.99</v>
      </c>
      <c r="G77" s="69" t="s">
        <v>4115</v>
      </c>
      <c r="H77" s="69" t="s">
        <v>4116</v>
      </c>
      <c r="I77" s="69" t="s">
        <v>4117</v>
      </c>
      <c r="J77" s="69" t="s">
        <v>4118</v>
      </c>
      <c r="K77" s="69" t="s">
        <v>324</v>
      </c>
      <c r="L77" s="790">
        <v>382.45</v>
      </c>
      <c r="M77" s="790">
        <v>375</v>
      </c>
      <c r="N77" s="790"/>
      <c r="O77" s="312">
        <f t="shared" si="11"/>
        <v>757.45</v>
      </c>
      <c r="P77" s="657">
        <v>1153.8499999999999</v>
      </c>
      <c r="Q77" s="657">
        <v>1545.3000000000002</v>
      </c>
      <c r="R77" s="658">
        <v>1430.94</v>
      </c>
      <c r="S77" s="659">
        <v>1200.94</v>
      </c>
      <c r="T77" s="659">
        <v>1820.97</v>
      </c>
    </row>
    <row r="78" spans="1:20" ht="30" customHeight="1" x14ac:dyDescent="0.2">
      <c r="A78" s="291" t="str">
        <f t="shared" si="15"/>
        <v>NOT083 / 542</v>
      </c>
      <c r="B78" s="89" t="s">
        <v>4118</v>
      </c>
      <c r="C78" s="89" t="s">
        <v>7716</v>
      </c>
      <c r="D78" s="457" t="s">
        <v>4129</v>
      </c>
      <c r="E78" s="369" t="str">
        <f>VLOOKUP(D:D,'Master Table'!C:D,2,FALSE)</f>
        <v>544</v>
      </c>
      <c r="F78" s="69">
        <f>VLOOKUP(D:D,'Master Table'!C:O,13,FALSE)</f>
        <v>688.81</v>
      </c>
      <c r="G78" s="69" t="s">
        <v>4124</v>
      </c>
      <c r="H78" s="69" t="s">
        <v>4125</v>
      </c>
      <c r="I78" s="69" t="s">
        <v>11038</v>
      </c>
      <c r="J78" s="69" t="s">
        <v>4118</v>
      </c>
      <c r="K78" s="69" t="s">
        <v>324</v>
      </c>
      <c r="L78" s="790">
        <v>628.92999999999995</v>
      </c>
      <c r="M78" s="790">
        <v>525</v>
      </c>
      <c r="N78" s="790"/>
      <c r="O78" s="312">
        <f t="shared" si="11"/>
        <v>1153.9299999999998</v>
      </c>
      <c r="P78" s="657">
        <v>1686.09</v>
      </c>
      <c r="Q78" s="657">
        <v>1682.5199999999998</v>
      </c>
      <c r="R78" s="658">
        <v>1715.17</v>
      </c>
      <c r="S78" s="659">
        <v>1397.17</v>
      </c>
      <c r="T78" s="659">
        <v>1992.3300000000002</v>
      </c>
    </row>
    <row r="79" spans="1:20" ht="30" customHeight="1" x14ac:dyDescent="0.2">
      <c r="A79" s="291" t="str">
        <f t="shared" si="15"/>
        <v>NOT084 / 543</v>
      </c>
      <c r="B79" s="89" t="s">
        <v>4118</v>
      </c>
      <c r="C79" s="89" t="s">
        <v>942</v>
      </c>
      <c r="D79" s="457" t="s">
        <v>4132</v>
      </c>
      <c r="E79" s="369" t="str">
        <f>VLOOKUP(D:D,'Master Table'!C:D,2,FALSE)</f>
        <v>545</v>
      </c>
      <c r="F79" s="69">
        <f>VLOOKUP(D:D,'Master Table'!C:O,13,FALSE)</f>
        <v>512.80999999999995</v>
      </c>
      <c r="G79" s="69" t="s">
        <v>4127</v>
      </c>
      <c r="H79" s="69" t="s">
        <v>4128</v>
      </c>
      <c r="I79" s="69" t="s">
        <v>942</v>
      </c>
      <c r="J79" s="69" t="s">
        <v>4118</v>
      </c>
      <c r="K79" s="69" t="s">
        <v>324</v>
      </c>
      <c r="L79" s="790">
        <v>259.76</v>
      </c>
      <c r="M79" s="790">
        <v>182</v>
      </c>
      <c r="N79" s="790"/>
      <c r="O79" s="312">
        <f t="shared" si="11"/>
        <v>441.76</v>
      </c>
      <c r="P79" s="657">
        <v>851.99</v>
      </c>
      <c r="Q79" s="657">
        <v>858.78</v>
      </c>
      <c r="R79" s="658">
        <v>852.99</v>
      </c>
      <c r="S79" s="659">
        <v>588.99</v>
      </c>
      <c r="T79" s="659">
        <v>759.64</v>
      </c>
    </row>
    <row r="80" spans="1:20" ht="30" customHeight="1" x14ac:dyDescent="0.2">
      <c r="A80" s="291" t="str">
        <f t="shared" si="15"/>
        <v>NOT085 / 544</v>
      </c>
      <c r="B80" s="89" t="s">
        <v>4131</v>
      </c>
      <c r="C80" s="89" t="s">
        <v>896</v>
      </c>
      <c r="D80" s="457" t="s">
        <v>4135</v>
      </c>
      <c r="E80" s="369" t="str">
        <f>VLOOKUP(D:D,'Master Table'!C:D,2,FALSE)</f>
        <v>547</v>
      </c>
      <c r="F80" s="69">
        <f>VLOOKUP(D:D,'Master Table'!C:O,13,FALSE)</f>
        <v>346.19</v>
      </c>
      <c r="G80" s="69" t="s">
        <v>4129</v>
      </c>
      <c r="H80" s="69" t="s">
        <v>4130</v>
      </c>
      <c r="I80" s="69" t="s">
        <v>896</v>
      </c>
      <c r="J80" s="69" t="s">
        <v>4131</v>
      </c>
      <c r="K80" s="69" t="s">
        <v>324</v>
      </c>
      <c r="L80" s="790"/>
      <c r="M80" s="790">
        <v>435</v>
      </c>
      <c r="N80" s="790"/>
      <c r="O80" s="312">
        <f t="shared" si="11"/>
        <v>435</v>
      </c>
      <c r="P80" s="657">
        <v>688.81</v>
      </c>
      <c r="Q80" s="657">
        <v>647.88</v>
      </c>
      <c r="R80" s="658">
        <v>567.4</v>
      </c>
      <c r="S80" s="659">
        <v>257.39999999999998</v>
      </c>
      <c r="T80" s="659">
        <v>941</v>
      </c>
    </row>
    <row r="81" spans="1:20" ht="30" customHeight="1" x14ac:dyDescent="0.2">
      <c r="A81" s="291" t="str">
        <f t="shared" si="15"/>
        <v>NOT086 / 545</v>
      </c>
      <c r="B81" s="89" t="s">
        <v>4134</v>
      </c>
      <c r="C81" s="89" t="s">
        <v>7318</v>
      </c>
      <c r="D81" s="457" t="s">
        <v>4137</v>
      </c>
      <c r="E81" s="369" t="str">
        <f>VLOOKUP(D:D,'Master Table'!C:D,2,FALSE)</f>
        <v>548</v>
      </c>
      <c r="F81" s="69">
        <f>VLOOKUP(D:D,'Master Table'!C:O,13,FALSE)</f>
        <v>490</v>
      </c>
      <c r="G81" s="69" t="s">
        <v>4132</v>
      </c>
      <c r="H81" s="69" t="s">
        <v>4133</v>
      </c>
      <c r="I81" s="69" t="s">
        <v>31</v>
      </c>
      <c r="J81" s="69" t="s">
        <v>4134</v>
      </c>
      <c r="K81" s="69" t="s">
        <v>324</v>
      </c>
      <c r="L81" s="790">
        <v>12.13</v>
      </c>
      <c r="M81" s="790">
        <v>253</v>
      </c>
      <c r="N81" s="790"/>
      <c r="O81" s="312">
        <f t="shared" si="11"/>
        <v>265.13</v>
      </c>
      <c r="P81" s="657">
        <v>512.80999999999995</v>
      </c>
      <c r="Q81" s="657">
        <v>559.75</v>
      </c>
      <c r="R81" s="658">
        <v>497.95</v>
      </c>
      <c r="S81" s="659">
        <v>264.95</v>
      </c>
      <c r="T81" s="659">
        <v>505.76</v>
      </c>
    </row>
    <row r="82" spans="1:20" ht="30" customHeight="1" x14ac:dyDescent="0.2">
      <c r="A82" s="291" t="str">
        <f t="shared" si="15"/>
        <v>NOT087 / 547</v>
      </c>
      <c r="B82" s="89" t="s">
        <v>4134</v>
      </c>
      <c r="C82" s="89" t="s">
        <v>231</v>
      </c>
      <c r="D82" s="457" t="s">
        <v>4140</v>
      </c>
      <c r="E82" s="369" t="str">
        <f>VLOOKUP(D:D,'Master Table'!C:D,2,FALSE)</f>
        <v>549</v>
      </c>
      <c r="F82" s="69">
        <f>VLOOKUP(D:D,'Master Table'!C:O,13,FALSE)</f>
        <v>580.13</v>
      </c>
      <c r="G82" s="69" t="s">
        <v>4135</v>
      </c>
      <c r="H82" s="69" t="s">
        <v>4136</v>
      </c>
      <c r="I82" s="69" t="s">
        <v>3225</v>
      </c>
      <c r="J82" s="69" t="s">
        <v>4134</v>
      </c>
      <c r="K82" s="69" t="s">
        <v>324</v>
      </c>
      <c r="L82" s="790">
        <v>221.59</v>
      </c>
      <c r="M82" s="790">
        <v>85</v>
      </c>
      <c r="N82" s="790"/>
      <c r="O82" s="312">
        <f t="shared" si="11"/>
        <v>306.59000000000003</v>
      </c>
      <c r="P82" s="657">
        <v>346.19</v>
      </c>
      <c r="Q82" s="657">
        <v>367.69</v>
      </c>
      <c r="R82" s="658">
        <v>458.5</v>
      </c>
      <c r="S82" s="659">
        <v>190.5</v>
      </c>
      <c r="T82" s="659">
        <v>450.90000000000003</v>
      </c>
    </row>
    <row r="83" spans="1:20" ht="30" customHeight="1" x14ac:dyDescent="0.2">
      <c r="A83" s="291" t="str">
        <f t="shared" si="15"/>
        <v>NOT088 / 548</v>
      </c>
      <c r="B83" s="89" t="s">
        <v>4139</v>
      </c>
      <c r="C83" s="89" t="s">
        <v>226</v>
      </c>
      <c r="D83" s="457" t="s">
        <v>4144</v>
      </c>
      <c r="E83" s="369" t="str">
        <f>VLOOKUP(D:D,'Master Table'!C:D,2,FALSE)</f>
        <v>550</v>
      </c>
      <c r="F83" s="69">
        <f>VLOOKUP(D:D,'Master Table'!C:O,13,FALSE)</f>
        <v>906.87</v>
      </c>
      <c r="G83" s="69" t="s">
        <v>4137</v>
      </c>
      <c r="H83" s="69" t="s">
        <v>4138</v>
      </c>
      <c r="I83" s="69" t="s">
        <v>31</v>
      </c>
      <c r="J83" s="69" t="s">
        <v>4139</v>
      </c>
      <c r="K83" s="69" t="s">
        <v>324</v>
      </c>
      <c r="L83" s="790">
        <v>624.41999999999996</v>
      </c>
      <c r="M83" s="790">
        <v>370</v>
      </c>
      <c r="N83" s="790"/>
      <c r="O83" s="312">
        <f t="shared" si="11"/>
        <v>994.42</v>
      </c>
      <c r="P83" s="657">
        <v>490</v>
      </c>
      <c r="Q83" s="657">
        <v>840.28</v>
      </c>
      <c r="R83" s="658">
        <v>848</v>
      </c>
      <c r="S83" s="659">
        <v>528</v>
      </c>
      <c r="T83" s="659">
        <v>875</v>
      </c>
    </row>
    <row r="84" spans="1:20" ht="30" customHeight="1" x14ac:dyDescent="0.2">
      <c r="A84" s="291" t="str">
        <f t="shared" si="15"/>
        <v>NOT089 / 549</v>
      </c>
      <c r="B84" s="89" t="s">
        <v>4143</v>
      </c>
      <c r="C84" s="89" t="s">
        <v>4142</v>
      </c>
      <c r="D84" s="457" t="s">
        <v>4147</v>
      </c>
      <c r="E84" s="369" t="str">
        <f>VLOOKUP(D:D,'Master Table'!C:D,2,FALSE)</f>
        <v>551</v>
      </c>
      <c r="F84" s="69">
        <f>VLOOKUP(D:D,'Master Table'!C:O,13,FALSE)</f>
        <v>371.89</v>
      </c>
      <c r="G84" s="69" t="s">
        <v>4140</v>
      </c>
      <c r="H84" s="69" t="s">
        <v>4141</v>
      </c>
      <c r="I84" s="69" t="s">
        <v>4142</v>
      </c>
      <c r="J84" s="69" t="s">
        <v>4143</v>
      </c>
      <c r="K84" s="69" t="s">
        <v>324</v>
      </c>
      <c r="L84" s="790">
        <v>91.5</v>
      </c>
      <c r="M84" s="790">
        <v>75</v>
      </c>
      <c r="N84" s="790"/>
      <c r="O84" s="312">
        <f t="shared" si="11"/>
        <v>166.5</v>
      </c>
      <c r="P84" s="657">
        <v>580.13</v>
      </c>
      <c r="Q84" s="657">
        <v>707.42000000000007</v>
      </c>
      <c r="R84" s="658">
        <v>361.86</v>
      </c>
      <c r="S84" s="659">
        <v>101.86</v>
      </c>
      <c r="T84" s="659">
        <v>410</v>
      </c>
    </row>
    <row r="85" spans="1:20" ht="30" customHeight="1" x14ac:dyDescent="0.2">
      <c r="A85" s="291" t="str">
        <f t="shared" si="15"/>
        <v>NOT090 / 550</v>
      </c>
      <c r="B85" s="89" t="s">
        <v>4146</v>
      </c>
      <c r="C85" s="89" t="s">
        <v>532</v>
      </c>
      <c r="D85" s="457" t="s">
        <v>4151</v>
      </c>
      <c r="E85" s="369" t="str">
        <f>VLOOKUP(D:D,'Master Table'!C:D,2,FALSE)</f>
        <v>552</v>
      </c>
      <c r="F85" s="69">
        <f>VLOOKUP(D:D,'Master Table'!C:O,13,FALSE)</f>
        <v>597.79999999999995</v>
      </c>
      <c r="G85" s="69" t="s">
        <v>4144</v>
      </c>
      <c r="H85" s="69" t="s">
        <v>4145</v>
      </c>
      <c r="I85" s="69" t="s">
        <v>61</v>
      </c>
      <c r="J85" s="69" t="s">
        <v>4146</v>
      </c>
      <c r="K85" s="69" t="s">
        <v>324</v>
      </c>
      <c r="L85" s="790">
        <v>370.53</v>
      </c>
      <c r="M85" s="790">
        <v>250</v>
      </c>
      <c r="N85" s="790"/>
      <c r="O85" s="312">
        <f t="shared" si="11"/>
        <v>620.53</v>
      </c>
      <c r="P85" s="657">
        <v>906.87</v>
      </c>
      <c r="Q85" s="657">
        <v>451.55</v>
      </c>
      <c r="R85" s="658">
        <v>595.35</v>
      </c>
      <c r="S85" s="659">
        <v>360.35</v>
      </c>
      <c r="T85" s="659">
        <v>636.20000000000005</v>
      </c>
    </row>
    <row r="86" spans="1:20" ht="30" customHeight="1" x14ac:dyDescent="0.2">
      <c r="A86" s="291" t="str">
        <f t="shared" si="15"/>
        <v>NOT091 / 551</v>
      </c>
      <c r="B86" s="89" t="s">
        <v>4150</v>
      </c>
      <c r="C86" s="89" t="s">
        <v>7717</v>
      </c>
      <c r="D86" s="457" t="s">
        <v>4154</v>
      </c>
      <c r="E86" s="369" t="str">
        <f>VLOOKUP(D:D,'Master Table'!C:D,2,FALSE)</f>
        <v>263194</v>
      </c>
      <c r="F86" s="69">
        <f>VLOOKUP(D:D,'Master Table'!C:O,13,FALSE)</f>
        <v>0</v>
      </c>
      <c r="G86" s="69" t="s">
        <v>4147</v>
      </c>
      <c r="H86" s="69" t="s">
        <v>4148</v>
      </c>
      <c r="I86" s="69" t="s">
        <v>4149</v>
      </c>
      <c r="J86" s="69" t="s">
        <v>4150</v>
      </c>
      <c r="K86" s="69" t="s">
        <v>324</v>
      </c>
      <c r="L86" s="790"/>
      <c r="M86" s="790">
        <v>256</v>
      </c>
      <c r="N86" s="790"/>
      <c r="O86" s="312">
        <f t="shared" si="11"/>
        <v>256</v>
      </c>
      <c r="P86" s="657">
        <v>371.89</v>
      </c>
      <c r="Q86" s="657">
        <v>256</v>
      </c>
      <c r="R86" s="658">
        <v>526.78</v>
      </c>
      <c r="S86" s="659">
        <v>188.78</v>
      </c>
      <c r="T86" s="659">
        <v>572.77</v>
      </c>
    </row>
    <row r="87" spans="1:20" ht="30" customHeight="1" x14ac:dyDescent="0.2">
      <c r="A87" s="291" t="str">
        <f t="shared" si="15"/>
        <v>NOT092 / 552</v>
      </c>
      <c r="B87" s="536" t="s">
        <v>8333</v>
      </c>
      <c r="C87" s="606" t="s">
        <v>8277</v>
      </c>
      <c r="D87" s="457" t="s">
        <v>4221</v>
      </c>
      <c r="E87" s="369" t="str">
        <f>VLOOKUP(D:D,'Master Table'!C:D,2,FALSE)</f>
        <v>570</v>
      </c>
      <c r="F87" s="69">
        <f>VLOOKUP(D:D,'Master Table'!C:O,13,FALSE)</f>
        <v>177.78</v>
      </c>
      <c r="G87" s="69" t="s">
        <v>4151</v>
      </c>
      <c r="H87" s="69" t="s">
        <v>4152</v>
      </c>
      <c r="I87" s="69" t="s">
        <v>4153</v>
      </c>
      <c r="J87" s="69" t="s">
        <v>4150</v>
      </c>
      <c r="K87" s="69" t="s">
        <v>324</v>
      </c>
      <c r="L87" s="790">
        <v>0</v>
      </c>
      <c r="M87" s="790">
        <v>50</v>
      </c>
      <c r="N87" s="790"/>
      <c r="O87" s="312">
        <f t="shared" si="11"/>
        <v>50</v>
      </c>
      <c r="P87" s="657">
        <v>597.79999999999995</v>
      </c>
      <c r="Q87" s="657">
        <v>636.43999999999994</v>
      </c>
      <c r="R87" s="658">
        <v>1053.4299999999998</v>
      </c>
      <c r="S87" s="659">
        <v>596.42999999999995</v>
      </c>
      <c r="T87" s="659">
        <v>563.11</v>
      </c>
    </row>
    <row r="88" spans="1:20" ht="30" customHeight="1" x14ac:dyDescent="0.2">
      <c r="A88" s="291" t="str">
        <f t="shared" ref="A88" si="16">D86&amp;" / "&amp;E86</f>
        <v>NOT092S / 263194</v>
      </c>
      <c r="B88" s="537" t="s">
        <v>8334</v>
      </c>
      <c r="C88" s="458" t="s">
        <v>8279</v>
      </c>
      <c r="D88" s="457" t="s">
        <v>4157</v>
      </c>
      <c r="E88" s="369" t="str">
        <f>VLOOKUP(D:D,'Master Table'!C:D,2,FALSE)</f>
        <v>554</v>
      </c>
      <c r="F88" s="69">
        <f>VLOOKUP(D:D,'Master Table'!C:O,13,FALSE)</f>
        <v>1244</v>
      </c>
      <c r="G88" s="69" t="s">
        <v>4154</v>
      </c>
      <c r="H88" s="69" t="s">
        <v>4155</v>
      </c>
      <c r="I88" s="69" t="s">
        <v>4156</v>
      </c>
      <c r="J88" s="69" t="s">
        <v>4150</v>
      </c>
      <c r="K88" s="69" t="s">
        <v>324</v>
      </c>
      <c r="L88" s="790"/>
      <c r="M88" s="790"/>
      <c r="N88" s="790"/>
      <c r="O88" s="312">
        <f t="shared" si="11"/>
        <v>0</v>
      </c>
      <c r="P88" s="657">
        <v>0</v>
      </c>
      <c r="Q88" s="657">
        <v>0</v>
      </c>
      <c r="R88" s="658">
        <v>1053.4299999999998</v>
      </c>
      <c r="S88" s="659"/>
      <c r="T88" s="659"/>
    </row>
    <row r="89" spans="1:20" ht="30" customHeight="1" x14ac:dyDescent="0.2">
      <c r="A89" s="291" t="str">
        <f t="shared" ref="A89" si="17">D87&amp;" / "&amp;E87</f>
        <v>NOT107 / 570</v>
      </c>
      <c r="B89" s="529" t="s">
        <v>8335</v>
      </c>
      <c r="C89" s="607" t="s">
        <v>8278</v>
      </c>
      <c r="D89" s="457" t="s">
        <v>4163</v>
      </c>
      <c r="E89" s="369" t="str">
        <f>VLOOKUP(D:D,'Master Table'!C:D,2,FALSE)</f>
        <v>555</v>
      </c>
      <c r="F89" s="69">
        <f>VLOOKUP(D:D,'Master Table'!C:O,13,FALSE)</f>
        <v>150</v>
      </c>
      <c r="G89" s="69"/>
      <c r="H89" s="69"/>
      <c r="I89" s="69"/>
      <c r="J89" s="69"/>
      <c r="K89" s="69"/>
      <c r="L89" s="790"/>
      <c r="M89" s="790"/>
      <c r="N89" s="790"/>
      <c r="O89" s="312"/>
      <c r="P89" s="657">
        <v>177.78</v>
      </c>
      <c r="Q89" s="657">
        <v>45</v>
      </c>
      <c r="R89" s="660">
        <v>0</v>
      </c>
      <c r="S89" s="659">
        <v>120</v>
      </c>
      <c r="T89" s="659"/>
    </row>
    <row r="90" spans="1:20" ht="30" customHeight="1" x14ac:dyDescent="0.2">
      <c r="A90" s="291" t="str">
        <f t="shared" si="15"/>
        <v>NOT094 / 554</v>
      </c>
      <c r="B90" s="89" t="s">
        <v>4159</v>
      </c>
      <c r="C90" s="89" t="s">
        <v>2674</v>
      </c>
      <c r="D90" s="457" t="s">
        <v>4176</v>
      </c>
      <c r="E90" s="369" t="str">
        <f>VLOOKUP(D:D,'Master Table'!C:D,2,FALSE)</f>
        <v>556</v>
      </c>
      <c r="F90" s="69">
        <f>VLOOKUP(D:D,'Master Table'!C:O,13,FALSE)</f>
        <v>840.4</v>
      </c>
      <c r="G90" s="69" t="s">
        <v>4157</v>
      </c>
      <c r="H90" s="69" t="s">
        <v>4158</v>
      </c>
      <c r="I90" s="69" t="s">
        <v>2674</v>
      </c>
      <c r="J90" s="69" t="s">
        <v>4159</v>
      </c>
      <c r="K90" s="69" t="s">
        <v>324</v>
      </c>
      <c r="L90" s="790">
        <v>31</v>
      </c>
      <c r="M90" s="790">
        <v>120</v>
      </c>
      <c r="N90" s="790"/>
      <c r="O90" s="312">
        <f t="shared" si="11"/>
        <v>151</v>
      </c>
      <c r="P90" s="657">
        <v>1244</v>
      </c>
      <c r="Q90" s="657">
        <v>1148</v>
      </c>
      <c r="R90" s="658">
        <v>1494.35</v>
      </c>
      <c r="S90" s="659">
        <v>1230.3499999999999</v>
      </c>
      <c r="T90" s="659">
        <v>1584</v>
      </c>
    </row>
    <row r="91" spans="1:20" ht="30" customHeight="1" x14ac:dyDescent="0.2">
      <c r="A91" s="291" t="str">
        <f t="shared" si="15"/>
        <v>NOT095 / 555</v>
      </c>
      <c r="B91" s="89" t="s">
        <v>4166</v>
      </c>
      <c r="C91" s="89" t="s">
        <v>7454</v>
      </c>
      <c r="D91" s="457" t="s">
        <v>4179</v>
      </c>
      <c r="E91" s="369" t="str">
        <f>VLOOKUP(D:D,'Master Table'!C:D,2,FALSE)</f>
        <v>557</v>
      </c>
      <c r="F91" s="69">
        <f>VLOOKUP(D:D,'Master Table'!C:O,13,FALSE)</f>
        <v>784.77</v>
      </c>
      <c r="G91" s="69" t="s">
        <v>4163</v>
      </c>
      <c r="H91" s="69" t="s">
        <v>4164</v>
      </c>
      <c r="I91" s="69" t="s">
        <v>4165</v>
      </c>
      <c r="J91" s="69" t="s">
        <v>4166</v>
      </c>
      <c r="K91" s="69" t="s">
        <v>324</v>
      </c>
      <c r="L91" s="790">
        <v>76.39</v>
      </c>
      <c r="M91" s="790">
        <v>95</v>
      </c>
      <c r="N91" s="790"/>
      <c r="O91" s="312">
        <f t="shared" si="11"/>
        <v>171.39</v>
      </c>
      <c r="P91" s="657">
        <v>150</v>
      </c>
      <c r="Q91" s="657">
        <v>85</v>
      </c>
      <c r="R91" s="658">
        <v>294.8</v>
      </c>
      <c r="S91" s="659">
        <v>119.8</v>
      </c>
      <c r="T91" s="659">
        <v>56</v>
      </c>
    </row>
    <row r="92" spans="1:20" ht="30" customHeight="1" x14ac:dyDescent="0.2">
      <c r="A92" s="291" t="str">
        <f t="shared" si="15"/>
        <v>NOT096 / 556</v>
      </c>
      <c r="B92" s="89" t="s">
        <v>7721</v>
      </c>
      <c r="C92" s="89" t="s">
        <v>226</v>
      </c>
      <c r="D92" s="457" t="s">
        <v>4190</v>
      </c>
      <c r="E92" s="369" t="str">
        <f>VLOOKUP(D:D,'Master Table'!C:D,2,FALSE)</f>
        <v>560</v>
      </c>
      <c r="F92" s="69">
        <f>VLOOKUP(D:D,'Master Table'!C:O,13,FALSE)</f>
        <v>508.5</v>
      </c>
      <c r="G92" s="69" t="s">
        <v>4176</v>
      </c>
      <c r="H92" s="69" t="s">
        <v>4177</v>
      </c>
      <c r="I92" s="69" t="s">
        <v>31</v>
      </c>
      <c r="J92" s="69" t="s">
        <v>4178</v>
      </c>
      <c r="K92" s="69" t="s">
        <v>324</v>
      </c>
      <c r="L92" s="790">
        <v>88.01</v>
      </c>
      <c r="M92" s="790">
        <v>260.14</v>
      </c>
      <c r="N92" s="790"/>
      <c r="O92" s="312">
        <f t="shared" si="11"/>
        <v>348.15</v>
      </c>
      <c r="P92" s="657">
        <v>840.4</v>
      </c>
      <c r="Q92" s="657">
        <v>1070.98</v>
      </c>
      <c r="R92" s="658">
        <v>728.15</v>
      </c>
      <c r="S92" s="659">
        <v>348.15</v>
      </c>
      <c r="T92" s="659">
        <v>990.69</v>
      </c>
    </row>
    <row r="93" spans="1:20" ht="30" customHeight="1" x14ac:dyDescent="0.2">
      <c r="A93" s="291" t="str">
        <f t="shared" si="15"/>
        <v>NOT097 / 557</v>
      </c>
      <c r="B93" s="89" t="s">
        <v>4181</v>
      </c>
      <c r="C93" s="89" t="s">
        <v>3238</v>
      </c>
      <c r="D93" s="457" t="s">
        <v>4198</v>
      </c>
      <c r="E93" s="369" t="str">
        <f>VLOOKUP(D:D,'Master Table'!C:D,2,FALSE)</f>
        <v>561</v>
      </c>
      <c r="F93" s="69">
        <f>VLOOKUP(D:D,'Master Table'!C:O,13,FALSE)</f>
        <v>215</v>
      </c>
      <c r="G93" s="69" t="s">
        <v>4179</v>
      </c>
      <c r="H93" s="69" t="s">
        <v>4180</v>
      </c>
      <c r="I93" s="69" t="s">
        <v>173</v>
      </c>
      <c r="J93" s="69" t="s">
        <v>4181</v>
      </c>
      <c r="K93" s="69" t="s">
        <v>324</v>
      </c>
      <c r="L93" s="790"/>
      <c r="M93" s="790">
        <v>383</v>
      </c>
      <c r="N93" s="790"/>
      <c r="O93" s="312">
        <f t="shared" si="11"/>
        <v>383</v>
      </c>
      <c r="P93" s="657">
        <v>784.77</v>
      </c>
      <c r="Q93" s="657">
        <v>1006.45</v>
      </c>
      <c r="R93" s="658">
        <v>979.08999999999992</v>
      </c>
      <c r="S93" s="659">
        <v>476.09</v>
      </c>
      <c r="T93" s="659">
        <v>1511.2</v>
      </c>
    </row>
    <row r="94" spans="1:20" ht="30" customHeight="1" x14ac:dyDescent="0.2">
      <c r="A94" s="291" t="str">
        <f t="shared" si="15"/>
        <v>NOT099 / 560</v>
      </c>
      <c r="B94" s="89" t="s">
        <v>7723</v>
      </c>
      <c r="C94" s="89" t="s">
        <v>7724</v>
      </c>
      <c r="D94" s="457" t="s">
        <v>4206</v>
      </c>
      <c r="E94" s="369" t="str">
        <f>VLOOKUP(D:D,'Master Table'!C:D,2,FALSE)</f>
        <v>565</v>
      </c>
      <c r="F94" s="69">
        <f>VLOOKUP(D:D,'Master Table'!C:O,13,FALSE)</f>
        <v>2759.9</v>
      </c>
      <c r="G94" s="69" t="s">
        <v>4190</v>
      </c>
      <c r="H94" s="69" t="s">
        <v>4191</v>
      </c>
      <c r="I94" s="69" t="s">
        <v>11039</v>
      </c>
      <c r="J94" s="69" t="s">
        <v>4193</v>
      </c>
      <c r="K94" s="69" t="s">
        <v>351</v>
      </c>
      <c r="L94" s="790"/>
      <c r="M94" s="790">
        <v>110</v>
      </c>
      <c r="N94" s="790"/>
      <c r="O94" s="312">
        <f t="shared" si="11"/>
        <v>110</v>
      </c>
      <c r="P94" s="657">
        <v>508.5</v>
      </c>
      <c r="Q94" s="657">
        <v>466</v>
      </c>
      <c r="R94" s="658">
        <v>477</v>
      </c>
      <c r="S94" s="659">
        <v>377</v>
      </c>
      <c r="T94" s="659">
        <v>637.98</v>
      </c>
    </row>
    <row r="95" spans="1:20" ht="30" customHeight="1" x14ac:dyDescent="0.2">
      <c r="A95" s="291" t="str">
        <f t="shared" si="15"/>
        <v>NOT100 / 561</v>
      </c>
      <c r="B95" s="89" t="s">
        <v>4200</v>
      </c>
      <c r="C95" s="89" t="s">
        <v>7725</v>
      </c>
      <c r="D95" s="457" t="s">
        <v>4211</v>
      </c>
      <c r="E95" s="369" t="str">
        <f>VLOOKUP(D:D,'Master Table'!C:D,2,FALSE)</f>
        <v>567</v>
      </c>
      <c r="F95" s="69">
        <f>VLOOKUP(D:D,'Master Table'!C:O,13,FALSE)</f>
        <v>356.55</v>
      </c>
      <c r="G95" s="69" t="s">
        <v>4198</v>
      </c>
      <c r="H95" s="69" t="s">
        <v>4199</v>
      </c>
      <c r="I95" s="69" t="s">
        <v>1065</v>
      </c>
      <c r="J95" s="69" t="s">
        <v>4200</v>
      </c>
      <c r="K95" s="69" t="s">
        <v>324</v>
      </c>
      <c r="L95" s="790"/>
      <c r="M95" s="790">
        <v>210</v>
      </c>
      <c r="N95" s="790"/>
      <c r="O95" s="312">
        <f t="shared" si="11"/>
        <v>210</v>
      </c>
      <c r="P95" s="657">
        <v>215</v>
      </c>
      <c r="Q95" s="657">
        <v>148.86000000000001</v>
      </c>
      <c r="R95" s="658">
        <v>238</v>
      </c>
      <c r="S95" s="659">
        <v>0</v>
      </c>
      <c r="T95" s="659">
        <v>215</v>
      </c>
    </row>
    <row r="96" spans="1:20" ht="30" customHeight="1" x14ac:dyDescent="0.2">
      <c r="A96" s="291" t="str">
        <f t="shared" si="15"/>
        <v>NOT102 / 565</v>
      </c>
      <c r="B96" s="89" t="s">
        <v>3982</v>
      </c>
      <c r="C96" s="89" t="s">
        <v>1203</v>
      </c>
      <c r="D96" s="457" t="s">
        <v>4215</v>
      </c>
      <c r="E96" s="369" t="str">
        <f>VLOOKUP(D:D,'Master Table'!C:D,2,FALSE)</f>
        <v>568</v>
      </c>
      <c r="F96" s="69">
        <f>VLOOKUP(D:D,'Master Table'!C:O,13,FALSE)</f>
        <v>2089.4700000000003</v>
      </c>
      <c r="G96" s="69" t="s">
        <v>4206</v>
      </c>
      <c r="H96" s="69" t="s">
        <v>4207</v>
      </c>
      <c r="I96" s="69" t="s">
        <v>1203</v>
      </c>
      <c r="J96" s="69" t="s">
        <v>3982</v>
      </c>
      <c r="K96" s="69" t="s">
        <v>324</v>
      </c>
      <c r="L96" s="790">
        <v>246.59</v>
      </c>
      <c r="M96" s="790">
        <v>907.6</v>
      </c>
      <c r="N96" s="790"/>
      <c r="O96" s="312">
        <f t="shared" si="11"/>
        <v>1154.19</v>
      </c>
      <c r="P96" s="657">
        <v>2759.9</v>
      </c>
      <c r="Q96" s="657">
        <v>2563.85</v>
      </c>
      <c r="R96" s="658">
        <v>2490.8000000000002</v>
      </c>
      <c r="S96" s="659">
        <v>1596.8</v>
      </c>
      <c r="T96" s="659">
        <v>2157</v>
      </c>
    </row>
    <row r="97" spans="1:20" ht="30" customHeight="1" x14ac:dyDescent="0.2">
      <c r="A97" s="291" t="str">
        <f t="shared" si="15"/>
        <v>NOT104 / 567</v>
      </c>
      <c r="B97" s="89" t="s">
        <v>4213</v>
      </c>
      <c r="C97" s="89" t="s">
        <v>5069</v>
      </c>
      <c r="D97" s="457" t="s">
        <v>4218</v>
      </c>
      <c r="E97" s="369" t="str">
        <f>VLOOKUP(D:D,'Master Table'!C:D,2,FALSE)</f>
        <v>569</v>
      </c>
      <c r="F97" s="69">
        <f>VLOOKUP(D:D,'Master Table'!C:O,13,FALSE)</f>
        <v>1537</v>
      </c>
      <c r="G97" s="69" t="s">
        <v>4211</v>
      </c>
      <c r="H97" s="69" t="s">
        <v>4212</v>
      </c>
      <c r="I97" s="69" t="s">
        <v>640</v>
      </c>
      <c r="J97" s="69" t="s">
        <v>4213</v>
      </c>
      <c r="K97" s="69" t="s">
        <v>324</v>
      </c>
      <c r="L97" s="790">
        <v>62.08</v>
      </c>
      <c r="M97" s="790">
        <v>160</v>
      </c>
      <c r="N97" s="790"/>
      <c r="O97" s="312">
        <f t="shared" si="11"/>
        <v>222.07999999999998</v>
      </c>
      <c r="P97" s="657">
        <v>356.55</v>
      </c>
      <c r="Q97" s="657">
        <v>493.57</v>
      </c>
      <c r="R97" s="658">
        <v>425.81</v>
      </c>
      <c r="S97" s="659">
        <v>177.81</v>
      </c>
      <c r="T97" s="659">
        <v>506.78000000000003</v>
      </c>
    </row>
    <row r="98" spans="1:20" ht="30" customHeight="1" x14ac:dyDescent="0.2">
      <c r="A98" s="291" t="str">
        <f t="shared" si="15"/>
        <v>NOT105 / 568</v>
      </c>
      <c r="B98" s="89" t="s">
        <v>4217</v>
      </c>
      <c r="C98" s="89" t="s">
        <v>1371</v>
      </c>
      <c r="D98" s="457" t="s">
        <v>4225</v>
      </c>
      <c r="E98" s="369" t="str">
        <f>VLOOKUP(D:D,'Master Table'!C:D,2,FALSE)</f>
        <v>571</v>
      </c>
      <c r="F98" s="69">
        <f>VLOOKUP(D:D,'Master Table'!C:O,13,FALSE)</f>
        <v>506.96</v>
      </c>
      <c r="G98" s="69" t="s">
        <v>4215</v>
      </c>
      <c r="H98" s="69" t="s">
        <v>4216</v>
      </c>
      <c r="I98" s="69" t="s">
        <v>1371</v>
      </c>
      <c r="J98" s="69" t="s">
        <v>4217</v>
      </c>
      <c r="K98" s="69" t="s">
        <v>324</v>
      </c>
      <c r="L98" s="790">
        <v>470.91</v>
      </c>
      <c r="M98" s="790">
        <v>475</v>
      </c>
      <c r="N98" s="790"/>
      <c r="O98" s="312">
        <f t="shared" si="11"/>
        <v>945.91000000000008</v>
      </c>
      <c r="P98" s="657">
        <v>2089.4700000000003</v>
      </c>
      <c r="Q98" s="657">
        <v>2041.8400000000001</v>
      </c>
      <c r="R98" s="658">
        <v>2679.48</v>
      </c>
      <c r="S98" s="659">
        <v>2280.48</v>
      </c>
      <c r="T98" s="659">
        <v>2131.21</v>
      </c>
    </row>
    <row r="99" spans="1:20" ht="30" customHeight="1" x14ac:dyDescent="0.2">
      <c r="A99" s="291" t="str">
        <f t="shared" si="15"/>
        <v>NOT106 / 569</v>
      </c>
      <c r="B99" s="89" t="s">
        <v>4220</v>
      </c>
      <c r="C99" s="89" t="s">
        <v>186</v>
      </c>
      <c r="D99" s="457" t="s">
        <v>4229</v>
      </c>
      <c r="E99" s="369" t="str">
        <f>VLOOKUP(D:D,'Master Table'!C:D,2,FALSE)</f>
        <v>572</v>
      </c>
      <c r="F99" s="69">
        <f>VLOOKUP(D:D,'Master Table'!C:O,13,FALSE)</f>
        <v>889.1</v>
      </c>
      <c r="G99" s="69" t="s">
        <v>4218</v>
      </c>
      <c r="H99" s="69" t="s">
        <v>4219</v>
      </c>
      <c r="I99" s="69" t="s">
        <v>186</v>
      </c>
      <c r="J99" s="69" t="s">
        <v>4220</v>
      </c>
      <c r="K99" s="69" t="s">
        <v>324</v>
      </c>
      <c r="L99" s="790">
        <v>750</v>
      </c>
      <c r="M99" s="790">
        <v>1330</v>
      </c>
      <c r="N99" s="790"/>
      <c r="O99" s="312">
        <f t="shared" si="11"/>
        <v>2080</v>
      </c>
      <c r="P99" s="657">
        <v>1537</v>
      </c>
      <c r="Q99" s="657">
        <v>1201</v>
      </c>
      <c r="R99" s="658">
        <v>1183.0999999999999</v>
      </c>
      <c r="S99" s="659">
        <v>1083.0999999999999</v>
      </c>
      <c r="T99" s="659">
        <v>925.4</v>
      </c>
    </row>
    <row r="100" spans="1:20" ht="30" customHeight="1" x14ac:dyDescent="0.2">
      <c r="A100" s="291" t="s">
        <v>8245</v>
      </c>
      <c r="B100" s="69" t="s">
        <v>4224</v>
      </c>
      <c r="C100" s="69" t="s">
        <v>4223</v>
      </c>
      <c r="D100" s="457" t="s">
        <v>4235</v>
      </c>
      <c r="E100" s="369" t="str">
        <f>VLOOKUP(D:D,'Master Table'!C:D,2,FALSE)</f>
        <v>573</v>
      </c>
      <c r="F100" s="69">
        <f>VLOOKUP(D:D,'Master Table'!C:O,13,FALSE)</f>
        <v>1813</v>
      </c>
      <c r="G100" s="69" t="s">
        <v>4221</v>
      </c>
      <c r="H100" s="69" t="s">
        <v>4222</v>
      </c>
      <c r="I100" s="69" t="s">
        <v>4223</v>
      </c>
      <c r="J100" s="69" t="s">
        <v>4224</v>
      </c>
      <c r="K100" s="69" t="s">
        <v>324</v>
      </c>
      <c r="L100" s="790"/>
      <c r="M100" s="790">
        <v>87</v>
      </c>
      <c r="N100" s="790"/>
      <c r="O100" s="312">
        <f t="shared" si="11"/>
        <v>87</v>
      </c>
      <c r="P100" s="657"/>
      <c r="Q100" s="657"/>
      <c r="R100" s="658"/>
      <c r="S100" s="659"/>
      <c r="T100" s="659"/>
    </row>
    <row r="101" spans="1:20" ht="30" customHeight="1" x14ac:dyDescent="0.2">
      <c r="A101" s="291" t="str">
        <f t="shared" ref="A101:A114" si="18">D98&amp;" / "&amp;E98</f>
        <v>NOT108 / 571</v>
      </c>
      <c r="B101" s="89" t="s">
        <v>4080</v>
      </c>
      <c r="C101" s="89" t="s">
        <v>4227</v>
      </c>
      <c r="D101" s="457" t="s">
        <v>4243</v>
      </c>
      <c r="E101" s="369" t="str">
        <f>VLOOKUP(D:D,'Master Table'!C:D,2,FALSE)</f>
        <v>574</v>
      </c>
      <c r="F101" s="69">
        <f>VLOOKUP(D:D,'Master Table'!C:O,13,FALSE)</f>
        <v>331.58000000000004</v>
      </c>
      <c r="G101" s="69" t="s">
        <v>4225</v>
      </c>
      <c r="H101" s="69" t="s">
        <v>4226</v>
      </c>
      <c r="I101" s="69" t="s">
        <v>4227</v>
      </c>
      <c r="J101" s="69" t="s">
        <v>4080</v>
      </c>
      <c r="K101" s="69" t="s">
        <v>324</v>
      </c>
      <c r="L101" s="790">
        <v>81.91</v>
      </c>
      <c r="M101" s="790">
        <v>247</v>
      </c>
      <c r="N101" s="790"/>
      <c r="O101" s="312">
        <f t="shared" si="11"/>
        <v>328.90999999999997</v>
      </c>
      <c r="P101" s="657">
        <v>506.96</v>
      </c>
      <c r="Q101" s="657">
        <v>524.30999999999995</v>
      </c>
      <c r="R101" s="658">
        <v>694.45</v>
      </c>
      <c r="S101" s="659">
        <v>457.45</v>
      </c>
      <c r="T101" s="659">
        <v>518.28</v>
      </c>
    </row>
    <row r="102" spans="1:20" ht="30" customHeight="1" x14ac:dyDescent="0.2">
      <c r="A102" s="291" t="str">
        <f t="shared" si="18"/>
        <v>NOT109 / 572</v>
      </c>
      <c r="B102" s="89" t="s">
        <v>4231</v>
      </c>
      <c r="C102" s="89" t="s">
        <v>532</v>
      </c>
      <c r="D102" s="457" t="s">
        <v>4246</v>
      </c>
      <c r="E102" s="369" t="str">
        <f>VLOOKUP(D:D,'Master Table'!C:D,2,FALSE)</f>
        <v>575</v>
      </c>
      <c r="F102" s="69">
        <f>VLOOKUP(D:D,'Master Table'!C:O,13,FALSE)</f>
        <v>3720.6</v>
      </c>
      <c r="G102" s="69" t="s">
        <v>4229</v>
      </c>
      <c r="H102" s="69" t="s">
        <v>4230</v>
      </c>
      <c r="I102" s="69" t="s">
        <v>532</v>
      </c>
      <c r="J102" s="69" t="s">
        <v>4231</v>
      </c>
      <c r="K102" s="69" t="s">
        <v>324</v>
      </c>
      <c r="L102" s="790">
        <v>0</v>
      </c>
      <c r="M102" s="790">
        <v>375</v>
      </c>
      <c r="N102" s="790">
        <v>258.77</v>
      </c>
      <c r="O102" s="312">
        <f t="shared" si="11"/>
        <v>633.77</v>
      </c>
      <c r="P102" s="657">
        <v>889.1</v>
      </c>
      <c r="Q102" s="657">
        <v>745.06000000000006</v>
      </c>
      <c r="R102" s="658">
        <v>685.83</v>
      </c>
      <c r="S102" s="659">
        <v>570.83000000000004</v>
      </c>
      <c r="T102" s="659">
        <v>937.80000000000007</v>
      </c>
    </row>
    <row r="103" spans="1:20" ht="30" customHeight="1" x14ac:dyDescent="0.2">
      <c r="A103" s="291" t="str">
        <f t="shared" si="18"/>
        <v>NOT111 / 573</v>
      </c>
      <c r="B103" s="89" t="s">
        <v>4238</v>
      </c>
      <c r="C103" s="89" t="s">
        <v>839</v>
      </c>
      <c r="D103" s="457" t="s">
        <v>4250</v>
      </c>
      <c r="E103" s="369" t="str">
        <f>VLOOKUP(D:D,'Master Table'!C:D,2,FALSE)</f>
        <v>576</v>
      </c>
      <c r="F103" s="69">
        <f>VLOOKUP(D:D,'Master Table'!C:O,13,FALSE)</f>
        <v>260</v>
      </c>
      <c r="G103" s="69" t="s">
        <v>4235</v>
      </c>
      <c r="H103" s="69" t="s">
        <v>4236</v>
      </c>
      <c r="I103" s="69" t="s">
        <v>4237</v>
      </c>
      <c r="J103" s="69" t="s">
        <v>4238</v>
      </c>
      <c r="K103" s="69" t="s">
        <v>324</v>
      </c>
      <c r="L103" s="790">
        <v>356.1</v>
      </c>
      <c r="M103" s="790">
        <v>1195</v>
      </c>
      <c r="N103" s="790">
        <v>100</v>
      </c>
      <c r="O103" s="312">
        <f t="shared" si="11"/>
        <v>1651.1</v>
      </c>
      <c r="P103" s="657">
        <v>1813</v>
      </c>
      <c r="Q103" s="657">
        <v>1750.53</v>
      </c>
      <c r="R103" s="658">
        <v>1428</v>
      </c>
      <c r="S103" s="659">
        <v>0</v>
      </c>
      <c r="T103" s="659">
        <v>1425</v>
      </c>
    </row>
    <row r="104" spans="1:20" ht="30" customHeight="1" x14ac:dyDescent="0.2">
      <c r="A104" s="291" t="str">
        <f t="shared" si="18"/>
        <v>NOT114 / 574</v>
      </c>
      <c r="B104" s="89" t="s">
        <v>4245</v>
      </c>
      <c r="C104" s="89" t="s">
        <v>532</v>
      </c>
      <c r="D104" s="457" t="s">
        <v>4256</v>
      </c>
      <c r="E104" s="369" t="str">
        <f>VLOOKUP(D:D,'Master Table'!C:D,2,FALSE)</f>
        <v>577</v>
      </c>
      <c r="F104" s="69">
        <f>VLOOKUP(D:D,'Master Table'!C:O,13,FALSE)</f>
        <v>749.81</v>
      </c>
      <c r="G104" s="69" t="s">
        <v>4243</v>
      </c>
      <c r="H104" s="69" t="s">
        <v>4244</v>
      </c>
      <c r="I104" s="69" t="s">
        <v>61</v>
      </c>
      <c r="J104" s="69" t="s">
        <v>4245</v>
      </c>
      <c r="K104" s="69" t="s">
        <v>324</v>
      </c>
      <c r="L104" s="790">
        <v>221.5</v>
      </c>
      <c r="M104" s="790">
        <v>145</v>
      </c>
      <c r="N104" s="790"/>
      <c r="O104" s="312">
        <f t="shared" si="11"/>
        <v>366.5</v>
      </c>
      <c r="P104" s="657">
        <v>331.58000000000004</v>
      </c>
      <c r="Q104" s="657">
        <v>360.4</v>
      </c>
      <c r="R104" s="658">
        <v>409.09</v>
      </c>
      <c r="S104" s="659">
        <v>294.08999999999997</v>
      </c>
      <c r="T104" s="659">
        <v>545.18000000000006</v>
      </c>
    </row>
    <row r="105" spans="1:20" ht="30" customHeight="1" x14ac:dyDescent="0.2">
      <c r="A105" s="291" t="str">
        <f t="shared" si="18"/>
        <v>NOT115 / 575</v>
      </c>
      <c r="B105" s="89" t="s">
        <v>4249</v>
      </c>
      <c r="C105" s="89" t="s">
        <v>2896</v>
      </c>
      <c r="D105" s="457" t="s">
        <v>4260</v>
      </c>
      <c r="E105" s="369" t="str">
        <f>VLOOKUP(D:D,'Master Table'!C:D,2,FALSE)</f>
        <v>578</v>
      </c>
      <c r="F105" s="69">
        <f>VLOOKUP(D:D,'Master Table'!C:O,13,FALSE)</f>
        <v>30</v>
      </c>
      <c r="G105" s="69" t="s">
        <v>4246</v>
      </c>
      <c r="H105" s="69" t="s">
        <v>4247</v>
      </c>
      <c r="I105" s="69" t="s">
        <v>4248</v>
      </c>
      <c r="J105" s="69" t="s">
        <v>4249</v>
      </c>
      <c r="K105" s="69" t="s">
        <v>324</v>
      </c>
      <c r="L105" s="790">
        <v>3274.83</v>
      </c>
      <c r="M105" s="790">
        <v>335</v>
      </c>
      <c r="N105" s="790"/>
      <c r="O105" s="312">
        <f t="shared" si="11"/>
        <v>3609.83</v>
      </c>
      <c r="P105" s="657">
        <v>3720.6</v>
      </c>
      <c r="Q105" s="657">
        <v>3454.7200000000003</v>
      </c>
      <c r="R105" s="658">
        <v>4122.46</v>
      </c>
      <c r="S105" s="659">
        <v>3637.46</v>
      </c>
      <c r="T105" s="659">
        <v>2956.79</v>
      </c>
    </row>
    <row r="106" spans="1:20" ht="30" customHeight="1" x14ac:dyDescent="0.2">
      <c r="A106" s="291" t="str">
        <f t="shared" si="18"/>
        <v>NOT116 / 576</v>
      </c>
      <c r="B106" s="89" t="s">
        <v>4249</v>
      </c>
      <c r="C106" s="89" t="s">
        <v>7727</v>
      </c>
      <c r="D106" s="457" t="s">
        <v>4266</v>
      </c>
      <c r="E106" s="369" t="str">
        <f>VLOOKUP(D:D,'Master Table'!C:D,2,FALSE)</f>
        <v>579</v>
      </c>
      <c r="F106" s="69">
        <f>VLOOKUP(D:D,'Master Table'!C:O,13,FALSE)</f>
        <v>662.56999999999994</v>
      </c>
      <c r="G106" s="69" t="s">
        <v>4250</v>
      </c>
      <c r="H106" s="69" t="s">
        <v>4251</v>
      </c>
      <c r="I106" s="69" t="s">
        <v>4252</v>
      </c>
      <c r="J106" s="69" t="s">
        <v>4249</v>
      </c>
      <c r="K106" s="69" t="s">
        <v>324</v>
      </c>
      <c r="L106" s="790"/>
      <c r="M106" s="790">
        <v>145</v>
      </c>
      <c r="N106" s="790"/>
      <c r="O106" s="312">
        <f t="shared" si="11"/>
        <v>145</v>
      </c>
      <c r="P106" s="657">
        <v>260</v>
      </c>
      <c r="Q106" s="657">
        <v>1612.45</v>
      </c>
      <c r="R106" s="658">
        <v>313</v>
      </c>
      <c r="S106" s="659">
        <v>0</v>
      </c>
      <c r="T106" s="659">
        <v>923.30000000000007</v>
      </c>
    </row>
    <row r="107" spans="1:20" ht="30" customHeight="1" x14ac:dyDescent="0.2">
      <c r="A107" s="291" t="str">
        <f t="shared" si="18"/>
        <v>NOT117 / 577</v>
      </c>
      <c r="B107" s="89" t="s">
        <v>4259</v>
      </c>
      <c r="C107" s="89" t="s">
        <v>5066</v>
      </c>
      <c r="D107" s="457" t="s">
        <v>4270</v>
      </c>
      <c r="E107" s="369" t="str">
        <f>VLOOKUP(D:D,'Master Table'!C:D,2,FALSE)</f>
        <v>580</v>
      </c>
      <c r="F107" s="69">
        <f>VLOOKUP(D:D,'Master Table'!C:O,13,FALSE)</f>
        <v>206.98000000000002</v>
      </c>
      <c r="G107" s="69" t="s">
        <v>4256</v>
      </c>
      <c r="H107" s="69" t="s">
        <v>4257</v>
      </c>
      <c r="I107" s="69" t="s">
        <v>4258</v>
      </c>
      <c r="J107" s="69" t="s">
        <v>4259</v>
      </c>
      <c r="K107" s="69" t="s">
        <v>324</v>
      </c>
      <c r="L107" s="790"/>
      <c r="M107" s="790">
        <v>140</v>
      </c>
      <c r="N107" s="790"/>
      <c r="O107" s="312">
        <f t="shared" si="11"/>
        <v>140</v>
      </c>
      <c r="P107" s="657">
        <v>749.81</v>
      </c>
      <c r="Q107" s="657">
        <v>830.14</v>
      </c>
      <c r="R107" s="658">
        <v>662.11</v>
      </c>
      <c r="S107" s="659">
        <v>462.11</v>
      </c>
      <c r="T107" s="659">
        <v>747.81000000000006</v>
      </c>
    </row>
    <row r="108" spans="1:20" ht="30" customHeight="1" x14ac:dyDescent="0.2">
      <c r="A108" s="291" t="str">
        <f t="shared" si="18"/>
        <v>NOT118 / 578</v>
      </c>
      <c r="B108" s="89" t="s">
        <v>4262</v>
      </c>
      <c r="C108" s="89" t="s">
        <v>532</v>
      </c>
      <c r="D108" s="457" t="s">
        <v>4273</v>
      </c>
      <c r="E108" s="369" t="str">
        <f>VLOOKUP(D:D,'Master Table'!C:D,2,FALSE)</f>
        <v>581</v>
      </c>
      <c r="F108" s="69">
        <f>VLOOKUP(D:D,'Master Table'!C:O,13,FALSE)</f>
        <v>692.42</v>
      </c>
      <c r="G108" s="69" t="s">
        <v>4260</v>
      </c>
      <c r="H108" s="69" t="s">
        <v>4261</v>
      </c>
      <c r="I108" s="69" t="s">
        <v>61</v>
      </c>
      <c r="J108" s="69" t="s">
        <v>4262</v>
      </c>
      <c r="K108" s="69" t="s">
        <v>324</v>
      </c>
      <c r="L108" s="790"/>
      <c r="M108" s="790">
        <v>10</v>
      </c>
      <c r="N108" s="790"/>
      <c r="O108" s="312">
        <f t="shared" si="11"/>
        <v>10</v>
      </c>
      <c r="P108" s="657">
        <v>30</v>
      </c>
      <c r="Q108" s="657">
        <v>52</v>
      </c>
      <c r="R108" s="658">
        <v>10</v>
      </c>
      <c r="S108" s="659">
        <v>0</v>
      </c>
      <c r="T108" s="659">
        <v>25</v>
      </c>
    </row>
    <row r="109" spans="1:20" ht="30" customHeight="1" x14ac:dyDescent="0.2">
      <c r="A109" s="291" t="str">
        <f t="shared" si="18"/>
        <v>NOT119 / 579</v>
      </c>
      <c r="B109" s="89" t="s">
        <v>4269</v>
      </c>
      <c r="C109" s="89" t="s">
        <v>476</v>
      </c>
      <c r="D109" s="457" t="s">
        <v>4279</v>
      </c>
      <c r="E109" s="369" t="str">
        <f>VLOOKUP(D:D,'Master Table'!C:D,2,FALSE)</f>
        <v>582</v>
      </c>
      <c r="F109" s="69">
        <f>VLOOKUP(D:D,'Master Table'!C:O,13,FALSE)</f>
        <v>867.8</v>
      </c>
      <c r="G109" s="69" t="s">
        <v>4266</v>
      </c>
      <c r="H109" s="69" t="s">
        <v>4267</v>
      </c>
      <c r="I109" s="69" t="s">
        <v>4268</v>
      </c>
      <c r="J109" s="69" t="s">
        <v>4269</v>
      </c>
      <c r="K109" s="69" t="s">
        <v>324</v>
      </c>
      <c r="L109" s="790">
        <v>475</v>
      </c>
      <c r="M109" s="790">
        <v>356</v>
      </c>
      <c r="N109" s="790"/>
      <c r="O109" s="312">
        <f t="shared" ref="O109:O126" si="19">L109+M109+N109</f>
        <v>831</v>
      </c>
      <c r="P109" s="657">
        <v>662.56999999999994</v>
      </c>
      <c r="Q109" s="657">
        <v>620</v>
      </c>
      <c r="R109" s="658">
        <v>839.72</v>
      </c>
      <c r="S109" s="659">
        <v>478.72</v>
      </c>
      <c r="T109" s="659">
        <v>749.06000000000006</v>
      </c>
    </row>
    <row r="110" spans="1:20" ht="30" customHeight="1" x14ac:dyDescent="0.2">
      <c r="A110" s="291" t="str">
        <f t="shared" si="18"/>
        <v>NOT120 / 580</v>
      </c>
      <c r="B110" s="89" t="s">
        <v>4272</v>
      </c>
      <c r="C110" s="89" t="s">
        <v>1284</v>
      </c>
      <c r="D110" s="457" t="s">
        <v>4283</v>
      </c>
      <c r="E110" s="369" t="str">
        <f>VLOOKUP(D:D,'Master Table'!C:D,2,FALSE)</f>
        <v>583</v>
      </c>
      <c r="F110" s="69">
        <f>VLOOKUP(D:D,'Master Table'!C:O,13,FALSE)</f>
        <v>420.01</v>
      </c>
      <c r="G110" s="69" t="s">
        <v>4270</v>
      </c>
      <c r="H110" s="69" t="s">
        <v>4271</v>
      </c>
      <c r="I110" s="69" t="s">
        <v>1284</v>
      </c>
      <c r="J110" s="69" t="s">
        <v>4272</v>
      </c>
      <c r="K110" s="69" t="s">
        <v>324</v>
      </c>
      <c r="L110" s="790"/>
      <c r="M110" s="790">
        <v>235</v>
      </c>
      <c r="N110" s="790">
        <v>203.06</v>
      </c>
      <c r="O110" s="312">
        <f t="shared" si="19"/>
        <v>438.06</v>
      </c>
      <c r="P110" s="657">
        <v>206.98000000000002</v>
      </c>
      <c r="Q110" s="657">
        <v>984.72</v>
      </c>
      <c r="R110" s="658">
        <v>790</v>
      </c>
      <c r="S110" s="659">
        <v>0</v>
      </c>
      <c r="T110" s="659">
        <v>585</v>
      </c>
    </row>
    <row r="111" spans="1:20" ht="30" customHeight="1" x14ac:dyDescent="0.2">
      <c r="A111" s="291" t="str">
        <f t="shared" si="18"/>
        <v>NOT121 / 581</v>
      </c>
      <c r="B111" s="89" t="s">
        <v>4275</v>
      </c>
      <c r="C111" s="89" t="s">
        <v>4017</v>
      </c>
      <c r="D111" s="457" t="s">
        <v>4287</v>
      </c>
      <c r="E111" s="369" t="str">
        <f>VLOOKUP(D:D,'Master Table'!C:D,2,FALSE)</f>
        <v>584</v>
      </c>
      <c r="F111" s="69">
        <f>VLOOKUP(D:D,'Master Table'!C:O,13,FALSE)</f>
        <v>135</v>
      </c>
      <c r="G111" s="69" t="s">
        <v>4273</v>
      </c>
      <c r="H111" s="69" t="s">
        <v>4274</v>
      </c>
      <c r="I111" s="69" t="s">
        <v>4017</v>
      </c>
      <c r="J111" s="69" t="s">
        <v>4275</v>
      </c>
      <c r="K111" s="69" t="s">
        <v>324</v>
      </c>
      <c r="L111" s="790">
        <v>0</v>
      </c>
      <c r="M111" s="790">
        <v>310</v>
      </c>
      <c r="N111" s="790">
        <v>205.33</v>
      </c>
      <c r="O111" s="312">
        <f t="shared" si="19"/>
        <v>515.33000000000004</v>
      </c>
      <c r="P111" s="657">
        <v>692.42</v>
      </c>
      <c r="Q111" s="657">
        <v>384.97</v>
      </c>
      <c r="R111" s="658">
        <v>377.53</v>
      </c>
      <c r="S111" s="659">
        <v>142.53</v>
      </c>
      <c r="T111" s="659">
        <v>446.85</v>
      </c>
    </row>
    <row r="112" spans="1:20" ht="30" customHeight="1" x14ac:dyDescent="0.2">
      <c r="A112" s="291" t="str">
        <f t="shared" si="18"/>
        <v>NOT122 / 582</v>
      </c>
      <c r="B112" s="89" t="s">
        <v>4282</v>
      </c>
      <c r="C112" s="89" t="s">
        <v>2674</v>
      </c>
      <c r="D112" s="457" t="s">
        <v>4099</v>
      </c>
      <c r="E112" s="369" t="str">
        <f>VLOOKUP(D:D,'Master Table'!C:D,2,FALSE)</f>
        <v>534</v>
      </c>
      <c r="F112" s="69">
        <f>VLOOKUP(D:D,'Master Table'!C:O,13,FALSE)</f>
        <v>0</v>
      </c>
      <c r="G112" s="69" t="s">
        <v>4279</v>
      </c>
      <c r="H112" s="69" t="s">
        <v>4280</v>
      </c>
      <c r="I112" s="69" t="s">
        <v>4281</v>
      </c>
      <c r="J112" s="69" t="s">
        <v>4282</v>
      </c>
      <c r="K112" s="69" t="s">
        <v>324</v>
      </c>
      <c r="L112" s="790"/>
      <c r="M112" s="790">
        <v>302</v>
      </c>
      <c r="N112" s="790"/>
      <c r="O112" s="312">
        <f t="shared" si="19"/>
        <v>302</v>
      </c>
      <c r="P112" s="657">
        <v>867.8</v>
      </c>
      <c r="Q112" s="657">
        <v>460</v>
      </c>
      <c r="R112" s="658">
        <v>626</v>
      </c>
      <c r="S112" s="659">
        <v>0</v>
      </c>
      <c r="T112" s="659">
        <v>1226</v>
      </c>
    </row>
    <row r="113" spans="1:20" ht="30" customHeight="1" x14ac:dyDescent="0.2">
      <c r="A113" s="291" t="str">
        <f t="shared" si="18"/>
        <v>NOT122B / 583</v>
      </c>
      <c r="B113" s="89" t="s">
        <v>4286</v>
      </c>
      <c r="C113" s="89" t="s">
        <v>7660</v>
      </c>
      <c r="D113" s="457" t="s">
        <v>4290</v>
      </c>
      <c r="E113" s="369" t="str">
        <f>VLOOKUP(D:D,'Master Table'!C:D,2,FALSE)</f>
        <v>585</v>
      </c>
      <c r="F113" s="69">
        <f>VLOOKUP(D:D,'Master Table'!C:O,13,FALSE)</f>
        <v>703.02</v>
      </c>
      <c r="G113" s="69" t="s">
        <v>4283</v>
      </c>
      <c r="H113" s="69" t="s">
        <v>4284</v>
      </c>
      <c r="I113" s="69" t="s">
        <v>4285</v>
      </c>
      <c r="J113" s="69" t="s">
        <v>4286</v>
      </c>
      <c r="K113" s="69" t="s">
        <v>324</v>
      </c>
      <c r="L113" s="790">
        <v>0</v>
      </c>
      <c r="M113" s="790">
        <v>328</v>
      </c>
      <c r="N113" s="790"/>
      <c r="O113" s="312">
        <f t="shared" si="19"/>
        <v>328</v>
      </c>
      <c r="P113" s="657">
        <v>420.01</v>
      </c>
      <c r="Q113" s="657">
        <v>290.75</v>
      </c>
      <c r="R113" s="658">
        <v>394.55</v>
      </c>
      <c r="S113" s="659">
        <v>279.55</v>
      </c>
      <c r="T113" s="659">
        <v>313.43</v>
      </c>
    </row>
    <row r="114" spans="1:20" ht="30" customHeight="1" x14ac:dyDescent="0.2">
      <c r="A114" s="291" t="str">
        <f t="shared" si="18"/>
        <v>NOT123 / 584</v>
      </c>
      <c r="B114" s="877" t="s">
        <v>7729</v>
      </c>
      <c r="C114" s="536" t="s">
        <v>8342</v>
      </c>
      <c r="D114" s="457" t="s">
        <v>4294</v>
      </c>
      <c r="E114" s="369" t="str">
        <f>VLOOKUP(D:D,'Master Table'!C:D,2,FALSE)</f>
        <v>586</v>
      </c>
      <c r="F114" s="69">
        <f>VLOOKUP(D:D,'Master Table'!C:O,13,FALSE)</f>
        <v>941.89</v>
      </c>
      <c r="G114" s="69" t="s">
        <v>4287</v>
      </c>
      <c r="H114" s="69" t="s">
        <v>4288</v>
      </c>
      <c r="I114" s="69" t="s">
        <v>31</v>
      </c>
      <c r="J114" s="69" t="s">
        <v>4289</v>
      </c>
      <c r="K114" s="69" t="s">
        <v>324</v>
      </c>
      <c r="L114" s="790"/>
      <c r="M114" s="790">
        <v>135</v>
      </c>
      <c r="N114" s="790"/>
      <c r="O114" s="312">
        <f t="shared" si="19"/>
        <v>135</v>
      </c>
      <c r="P114" s="657">
        <v>135</v>
      </c>
      <c r="Q114" s="869">
        <v>350</v>
      </c>
      <c r="R114" s="658">
        <v>843.24</v>
      </c>
      <c r="S114" s="659">
        <v>668.24</v>
      </c>
      <c r="T114" s="659">
        <v>1054.99</v>
      </c>
    </row>
    <row r="115" spans="1:20" ht="30" customHeight="1" x14ac:dyDescent="0.2">
      <c r="A115" s="291" t="str">
        <f t="shared" ref="A115" si="20">D112&amp;" / "&amp;E112</f>
        <v>NOT077 / 534</v>
      </c>
      <c r="B115" s="878" t="s">
        <v>7729</v>
      </c>
      <c r="C115" s="529" t="s">
        <v>8343</v>
      </c>
      <c r="D115" s="457" t="s">
        <v>4298</v>
      </c>
      <c r="E115" s="369" t="str">
        <f>VLOOKUP(D:D,'Master Table'!C:D,2,FALSE)</f>
        <v>587</v>
      </c>
      <c r="F115" s="69">
        <f>VLOOKUP(D:D,'Master Table'!C:O,13,FALSE)</f>
        <v>554.08000000000004</v>
      </c>
      <c r="G115" s="69"/>
      <c r="H115" s="69"/>
      <c r="I115" s="69"/>
      <c r="J115" s="69"/>
      <c r="K115" s="69"/>
      <c r="L115" s="790"/>
      <c r="M115" s="790"/>
      <c r="N115" s="790"/>
      <c r="O115" s="312"/>
      <c r="P115" s="657"/>
      <c r="Q115" s="870"/>
      <c r="R115" s="658">
        <v>843.24</v>
      </c>
      <c r="S115" s="659"/>
      <c r="T115" s="659"/>
    </row>
    <row r="116" spans="1:20" ht="30" customHeight="1" x14ac:dyDescent="0.2">
      <c r="A116" s="291" t="str">
        <f t="shared" ref="A116:A124" si="21">D113&amp;" / "&amp;E113</f>
        <v>NOT124 / 585</v>
      </c>
      <c r="B116" s="89" t="s">
        <v>4293</v>
      </c>
      <c r="C116" s="89" t="s">
        <v>4292</v>
      </c>
      <c r="D116" s="457" t="s">
        <v>4305</v>
      </c>
      <c r="E116" s="369" t="str">
        <f>VLOOKUP(D:D,'Master Table'!C:D,2,FALSE)</f>
        <v>589</v>
      </c>
      <c r="F116" s="69">
        <f>VLOOKUP(D:D,'Master Table'!C:O,13,FALSE)</f>
        <v>235</v>
      </c>
      <c r="G116" s="69" t="s">
        <v>4290</v>
      </c>
      <c r="H116" s="69" t="s">
        <v>4291</v>
      </c>
      <c r="I116" s="69" t="s">
        <v>4292</v>
      </c>
      <c r="J116" s="69" t="s">
        <v>4293</v>
      </c>
      <c r="K116" s="69" t="s">
        <v>324</v>
      </c>
      <c r="L116" s="790">
        <v>405.51</v>
      </c>
      <c r="M116" s="790">
        <v>200</v>
      </c>
      <c r="N116" s="790"/>
      <c r="O116" s="312">
        <f t="shared" si="19"/>
        <v>605.51</v>
      </c>
      <c r="P116" s="657">
        <v>703.02</v>
      </c>
      <c r="Q116" s="657">
        <v>741.66000000000008</v>
      </c>
      <c r="R116" s="658">
        <v>701.39</v>
      </c>
      <c r="S116" s="659">
        <v>601.39</v>
      </c>
      <c r="T116" s="659">
        <v>856.67000000000007</v>
      </c>
    </row>
    <row r="117" spans="1:20" ht="30" customHeight="1" x14ac:dyDescent="0.2">
      <c r="A117" s="291" t="str">
        <f t="shared" si="21"/>
        <v>NOT125 / 586</v>
      </c>
      <c r="B117" s="89" t="s">
        <v>4297</v>
      </c>
      <c r="C117" s="89" t="s">
        <v>4296</v>
      </c>
      <c r="D117" s="457" t="s">
        <v>4309</v>
      </c>
      <c r="E117" s="369" t="str">
        <f>VLOOKUP(D:D,'Master Table'!C:D,2,FALSE)</f>
        <v>590</v>
      </c>
      <c r="F117" s="69">
        <f>VLOOKUP(D:D,'Master Table'!C:O,13,FALSE)</f>
        <v>779</v>
      </c>
      <c r="G117" s="69" t="s">
        <v>4294</v>
      </c>
      <c r="H117" s="69" t="s">
        <v>4295</v>
      </c>
      <c r="I117" s="69" t="s">
        <v>4296</v>
      </c>
      <c r="J117" s="69" t="s">
        <v>4297</v>
      </c>
      <c r="K117" s="69" t="s">
        <v>324</v>
      </c>
      <c r="L117" s="790">
        <v>0</v>
      </c>
      <c r="M117" s="790">
        <v>570</v>
      </c>
      <c r="N117" s="790"/>
      <c r="O117" s="312">
        <f t="shared" si="19"/>
        <v>570</v>
      </c>
      <c r="P117" s="657">
        <v>941.89</v>
      </c>
      <c r="Q117" s="657">
        <v>780</v>
      </c>
      <c r="R117" s="658">
        <v>1594</v>
      </c>
      <c r="S117" s="659">
        <v>0</v>
      </c>
      <c r="T117" s="659">
        <v>672</v>
      </c>
    </row>
    <row r="118" spans="1:20" ht="30" customHeight="1" x14ac:dyDescent="0.2">
      <c r="A118" s="291" t="str">
        <f t="shared" si="21"/>
        <v>NOT126 / 587</v>
      </c>
      <c r="B118" s="89" t="s">
        <v>3850</v>
      </c>
      <c r="C118" s="89" t="s">
        <v>164</v>
      </c>
      <c r="D118" s="457" t="s">
        <v>4317</v>
      </c>
      <c r="E118" s="369" t="str">
        <f>VLOOKUP(D:D,'Master Table'!C:D,2,FALSE)</f>
        <v>592</v>
      </c>
      <c r="F118" s="69">
        <f>VLOOKUP(D:D,'Master Table'!C:O,13,FALSE)</f>
        <v>1642.86</v>
      </c>
      <c r="G118" s="69" t="s">
        <v>4298</v>
      </c>
      <c r="H118" s="69" t="s">
        <v>4299</v>
      </c>
      <c r="I118" s="69" t="s">
        <v>164</v>
      </c>
      <c r="J118" s="69" t="s">
        <v>4300</v>
      </c>
      <c r="K118" s="69" t="s">
        <v>324</v>
      </c>
      <c r="L118" s="790">
        <v>118.24</v>
      </c>
      <c r="M118" s="790">
        <v>145</v>
      </c>
      <c r="N118" s="790"/>
      <c r="O118" s="312">
        <f t="shared" si="19"/>
        <v>263.24</v>
      </c>
      <c r="P118" s="657">
        <v>554.08000000000004</v>
      </c>
      <c r="Q118" s="657">
        <v>560.52</v>
      </c>
      <c r="R118" s="658">
        <v>573.73</v>
      </c>
      <c r="S118" s="659">
        <v>343.73</v>
      </c>
      <c r="T118" s="659">
        <v>700.08</v>
      </c>
    </row>
    <row r="119" spans="1:20" ht="30" customHeight="1" x14ac:dyDescent="0.2">
      <c r="A119" s="291" t="str">
        <f t="shared" si="21"/>
        <v>NOT129 / 589</v>
      </c>
      <c r="B119" s="89" t="s">
        <v>4308</v>
      </c>
      <c r="C119" s="89" t="s">
        <v>942</v>
      </c>
      <c r="D119" s="457" t="s">
        <v>4320</v>
      </c>
      <c r="E119" s="369" t="str">
        <f>VLOOKUP(D:D,'Master Table'!C:D,2,FALSE)</f>
        <v>593</v>
      </c>
      <c r="F119" s="69">
        <f>VLOOKUP(D:D,'Master Table'!C:O,13,FALSE)</f>
        <v>788.8</v>
      </c>
      <c r="G119" s="69" t="s">
        <v>4305</v>
      </c>
      <c r="H119" s="69" t="s">
        <v>4306</v>
      </c>
      <c r="I119" s="69" t="s">
        <v>4307</v>
      </c>
      <c r="J119" s="69" t="s">
        <v>4308</v>
      </c>
      <c r="K119" s="69" t="s">
        <v>324</v>
      </c>
      <c r="L119" s="790"/>
      <c r="M119" s="790">
        <v>250</v>
      </c>
      <c r="N119" s="790"/>
      <c r="O119" s="312">
        <f t="shared" si="19"/>
        <v>250</v>
      </c>
      <c r="P119" s="657">
        <v>235</v>
      </c>
      <c r="Q119" s="657">
        <v>290.11</v>
      </c>
      <c r="R119" s="658">
        <v>354</v>
      </c>
      <c r="S119" s="659">
        <v>0</v>
      </c>
      <c r="T119" s="659">
        <v>391.77</v>
      </c>
    </row>
    <row r="120" spans="1:20" ht="30" customHeight="1" x14ac:dyDescent="0.2">
      <c r="A120" s="291" t="str">
        <f t="shared" si="21"/>
        <v>NOT130 / 590</v>
      </c>
      <c r="B120" s="89" t="s">
        <v>4312</v>
      </c>
      <c r="C120" s="89" t="s">
        <v>4311</v>
      </c>
      <c r="D120" s="457" t="s">
        <v>4327</v>
      </c>
      <c r="E120" s="369" t="str">
        <f>VLOOKUP(D:D,'Master Table'!C:D,2,FALSE)</f>
        <v>147921</v>
      </c>
      <c r="F120" s="69">
        <f>VLOOKUP(D:D,'Master Table'!C:O,13,FALSE)</f>
        <v>0</v>
      </c>
      <c r="G120" s="69" t="s">
        <v>4309</v>
      </c>
      <c r="H120" s="69" t="s">
        <v>4310</v>
      </c>
      <c r="I120" s="69" t="s">
        <v>4311</v>
      </c>
      <c r="J120" s="69" t="s">
        <v>4312</v>
      </c>
      <c r="K120" s="69" t="s">
        <v>324</v>
      </c>
      <c r="L120" s="790">
        <v>271.77</v>
      </c>
      <c r="M120" s="790">
        <v>310</v>
      </c>
      <c r="N120" s="790"/>
      <c r="O120" s="312">
        <f t="shared" si="19"/>
        <v>581.77</v>
      </c>
      <c r="P120" s="657">
        <v>779</v>
      </c>
      <c r="Q120" s="657">
        <v>852.83999999999992</v>
      </c>
      <c r="R120" s="658">
        <v>773.06999999999994</v>
      </c>
      <c r="S120" s="659">
        <v>373.07</v>
      </c>
      <c r="T120" s="659">
        <v>752.43000000000006</v>
      </c>
    </row>
    <row r="121" spans="1:20" ht="30" customHeight="1" x14ac:dyDescent="0.2">
      <c r="A121" s="291" t="str">
        <f t="shared" si="21"/>
        <v>NOT133 / 592</v>
      </c>
      <c r="B121" s="89" t="s">
        <v>4319</v>
      </c>
      <c r="C121" s="89" t="s">
        <v>1349</v>
      </c>
      <c r="D121" s="457" t="s">
        <v>4331</v>
      </c>
      <c r="E121" s="369" t="str">
        <f>VLOOKUP(D:D,'Master Table'!C:D,2,FALSE)</f>
        <v>249426</v>
      </c>
      <c r="F121" s="69">
        <f>VLOOKUP(D:D,'Master Table'!C:O,13,FALSE)</f>
        <v>390.32</v>
      </c>
      <c r="G121" s="69" t="s">
        <v>4317</v>
      </c>
      <c r="H121" s="69" t="s">
        <v>4318</v>
      </c>
      <c r="I121" s="69" t="s">
        <v>94</v>
      </c>
      <c r="J121" s="69" t="s">
        <v>4319</v>
      </c>
      <c r="K121" s="69" t="s">
        <v>324</v>
      </c>
      <c r="L121" s="790">
        <v>895</v>
      </c>
      <c r="M121" s="790">
        <v>141</v>
      </c>
      <c r="N121" s="790"/>
      <c r="O121" s="312">
        <f t="shared" si="19"/>
        <v>1036</v>
      </c>
      <c r="P121" s="657">
        <v>1642.86</v>
      </c>
      <c r="Q121" s="657">
        <v>2463.6499999999996</v>
      </c>
      <c r="R121" s="658">
        <v>2467</v>
      </c>
      <c r="S121" s="659">
        <v>2417</v>
      </c>
      <c r="T121" s="659">
        <v>2462.19</v>
      </c>
    </row>
    <row r="122" spans="1:20" ht="30" customHeight="1" x14ac:dyDescent="0.2">
      <c r="A122" s="291" t="str">
        <f t="shared" si="21"/>
        <v>NOT134 / 593</v>
      </c>
      <c r="B122" s="89" t="s">
        <v>4322</v>
      </c>
      <c r="C122" s="89" t="s">
        <v>2816</v>
      </c>
      <c r="D122" s="457" t="s">
        <v>4338</v>
      </c>
      <c r="E122" s="369" t="str">
        <f>VLOOKUP(D:D,'Master Table'!C:D,2,FALSE)</f>
        <v>596</v>
      </c>
      <c r="F122" s="69">
        <f>VLOOKUP(D:D,'Master Table'!C:O,13,FALSE)</f>
        <v>246.37</v>
      </c>
      <c r="G122" s="69" t="s">
        <v>4320</v>
      </c>
      <c r="H122" s="69" t="s">
        <v>4321</v>
      </c>
      <c r="I122" s="69" t="s">
        <v>2816</v>
      </c>
      <c r="J122" s="69" t="s">
        <v>4322</v>
      </c>
      <c r="K122" s="69" t="s">
        <v>324</v>
      </c>
      <c r="L122" s="790">
        <v>61</v>
      </c>
      <c r="M122" s="790">
        <v>280</v>
      </c>
      <c r="N122" s="790"/>
      <c r="O122" s="312">
        <f t="shared" si="19"/>
        <v>341</v>
      </c>
      <c r="P122" s="657">
        <v>788.8</v>
      </c>
      <c r="Q122" s="657">
        <v>1026.72</v>
      </c>
      <c r="R122" s="658">
        <v>717.37</v>
      </c>
      <c r="S122" s="659">
        <v>457.37</v>
      </c>
      <c r="T122" s="659">
        <v>607.79</v>
      </c>
    </row>
    <row r="123" spans="1:20" ht="30" customHeight="1" x14ac:dyDescent="0.2">
      <c r="A123" s="291" t="str">
        <f t="shared" si="21"/>
        <v>NOT134V / 147921</v>
      </c>
      <c r="B123" s="89" t="s">
        <v>4330</v>
      </c>
      <c r="C123" s="89" t="s">
        <v>4329</v>
      </c>
      <c r="F123" s="651" t="s">
        <v>8169</v>
      </c>
      <c r="G123" s="69" t="s">
        <v>4327</v>
      </c>
      <c r="H123" s="69" t="s">
        <v>4328</v>
      </c>
      <c r="I123" s="69" t="s">
        <v>4329</v>
      </c>
      <c r="J123" s="69" t="s">
        <v>4330</v>
      </c>
      <c r="K123" s="69" t="s">
        <v>324</v>
      </c>
      <c r="L123" s="790">
        <v>0</v>
      </c>
      <c r="M123" s="790"/>
      <c r="N123" s="790"/>
      <c r="O123" s="312">
        <f t="shared" si="19"/>
        <v>0</v>
      </c>
      <c r="P123" s="657">
        <v>0</v>
      </c>
      <c r="Q123" s="657">
        <v>259.27</v>
      </c>
      <c r="R123" s="658">
        <v>393</v>
      </c>
      <c r="S123" s="659">
        <v>0</v>
      </c>
      <c r="T123" s="659">
        <v>70.23</v>
      </c>
    </row>
    <row r="124" spans="1:20" ht="30" customHeight="1" x14ac:dyDescent="0.2">
      <c r="A124" s="291" t="str">
        <f t="shared" si="21"/>
        <v>NOT136 / 249426</v>
      </c>
      <c r="B124" s="89" t="s">
        <v>7731</v>
      </c>
      <c r="C124" s="89" t="s">
        <v>7732</v>
      </c>
      <c r="G124" s="69" t="s">
        <v>4331</v>
      </c>
      <c r="H124" s="69" t="s">
        <v>4332</v>
      </c>
      <c r="I124" s="69" t="s">
        <v>4333</v>
      </c>
      <c r="J124" s="69" t="s">
        <v>4334</v>
      </c>
      <c r="K124" s="69" t="s">
        <v>351</v>
      </c>
      <c r="L124" s="790">
        <v>196.57</v>
      </c>
      <c r="M124" s="790">
        <v>100</v>
      </c>
      <c r="N124" s="790"/>
      <c r="O124" s="312">
        <f t="shared" si="19"/>
        <v>296.57</v>
      </c>
      <c r="P124" s="657">
        <v>390.32</v>
      </c>
      <c r="Q124" s="657">
        <v>211.04000000000002</v>
      </c>
      <c r="R124" s="658">
        <v>198.8</v>
      </c>
      <c r="S124" s="659">
        <v>98.8</v>
      </c>
      <c r="T124" s="659">
        <v>164.98</v>
      </c>
    </row>
    <row r="125" spans="1:20" ht="30" customHeight="1" x14ac:dyDescent="0.2">
      <c r="A125" s="89" t="s">
        <v>11041</v>
      </c>
      <c r="B125" s="89" t="s">
        <v>4150</v>
      </c>
      <c r="C125" s="89" t="s">
        <v>4337</v>
      </c>
      <c r="E125" s="649" t="s">
        <v>8311</v>
      </c>
      <c r="F125" s="651" t="e">
        <f>#REF!-#REF!</f>
        <v>#REF!</v>
      </c>
      <c r="G125" s="69" t="s">
        <v>4335</v>
      </c>
      <c r="H125" s="69" t="s">
        <v>4336</v>
      </c>
      <c r="I125" s="69" t="s">
        <v>4337</v>
      </c>
      <c r="J125" s="69" t="s">
        <v>4150</v>
      </c>
      <c r="K125" s="69" t="s">
        <v>324</v>
      </c>
      <c r="L125" s="790"/>
      <c r="M125" s="790"/>
      <c r="N125" s="790">
        <v>1535.13</v>
      </c>
      <c r="O125" s="312">
        <f t="shared" si="19"/>
        <v>1535.13</v>
      </c>
      <c r="P125" s="657"/>
      <c r="Q125" s="657"/>
      <c r="R125" s="658"/>
      <c r="S125" s="659"/>
      <c r="T125" s="659"/>
    </row>
    <row r="126" spans="1:20" ht="30" customHeight="1" x14ac:dyDescent="0.2">
      <c r="A126" s="291" t="str">
        <f>D122&amp;" / "&amp;E122</f>
        <v>NOT999 / 596</v>
      </c>
      <c r="B126" s="89" t="s">
        <v>305</v>
      </c>
      <c r="C126" s="89" t="s">
        <v>7261</v>
      </c>
      <c r="F126" s="656"/>
      <c r="G126" s="69" t="s">
        <v>4338</v>
      </c>
      <c r="H126" s="69" t="s">
        <v>4339</v>
      </c>
      <c r="I126" s="69" t="s">
        <v>4340</v>
      </c>
      <c r="J126" s="69"/>
      <c r="K126" s="69" t="s">
        <v>324</v>
      </c>
      <c r="L126" s="790">
        <v>10</v>
      </c>
      <c r="M126" s="790">
        <v>4036</v>
      </c>
      <c r="N126" s="790">
        <v>108.27</v>
      </c>
      <c r="O126" s="312">
        <f t="shared" si="19"/>
        <v>4154.2700000000004</v>
      </c>
      <c r="P126" s="657">
        <v>246.37</v>
      </c>
      <c r="Q126" s="657">
        <v>198.15</v>
      </c>
      <c r="R126" s="658">
        <v>608.95000000000005</v>
      </c>
      <c r="S126" s="659">
        <v>376.95</v>
      </c>
      <c r="T126" s="659">
        <v>674.98</v>
      </c>
    </row>
    <row r="127" spans="1:20" ht="30" customHeight="1" x14ac:dyDescent="0.2">
      <c r="D127" s="643"/>
      <c r="E127" s="643"/>
      <c r="F127" s="643"/>
      <c r="G127" s="643"/>
      <c r="H127" s="643"/>
      <c r="I127" s="643"/>
      <c r="J127" s="643"/>
      <c r="K127" s="643"/>
    </row>
    <row r="128" spans="1:20" ht="30" hidden="1" customHeight="1" x14ac:dyDescent="0.2">
      <c r="D128" s="643"/>
      <c r="E128" s="643"/>
      <c r="F128" s="643"/>
      <c r="G128" s="643"/>
      <c r="H128" s="643"/>
      <c r="I128" s="643"/>
      <c r="J128" s="643"/>
      <c r="K128" s="643"/>
    </row>
    <row r="129" spans="1:20" ht="30" hidden="1" customHeight="1" thickBot="1" x14ac:dyDescent="0.25">
      <c r="D129" s="643"/>
      <c r="E129" s="643"/>
      <c r="F129" s="643"/>
      <c r="G129" s="643"/>
      <c r="H129" s="643"/>
      <c r="I129" s="643"/>
      <c r="J129" s="643"/>
      <c r="K129" s="643"/>
    </row>
    <row r="130" spans="1:20" ht="30" customHeight="1" thickBot="1" x14ac:dyDescent="0.25">
      <c r="D130" s="643"/>
      <c r="E130" s="643"/>
      <c r="F130" s="643"/>
      <c r="G130" s="643"/>
      <c r="H130" s="643"/>
      <c r="I130" s="643"/>
      <c r="J130" s="643"/>
      <c r="K130" s="643"/>
    </row>
    <row r="131" spans="1:20" s="74" customFormat="1" ht="83.25" customHeight="1" thickBot="1" x14ac:dyDescent="0.25">
      <c r="A131" s="854" t="s">
        <v>10987</v>
      </c>
      <c r="B131" s="855"/>
      <c r="C131" s="855"/>
      <c r="D131" s="855"/>
      <c r="E131" s="855"/>
      <c r="F131" s="855"/>
      <c r="G131" s="855"/>
      <c r="H131" s="855"/>
      <c r="I131" s="855"/>
      <c r="J131" s="855"/>
      <c r="K131" s="855"/>
      <c r="L131" s="855"/>
      <c r="M131" s="855"/>
      <c r="N131" s="855"/>
      <c r="O131" s="855"/>
    </row>
    <row r="132" spans="1:20" s="74" customFormat="1" ht="15" x14ac:dyDescent="0.2">
      <c r="A132" s="718"/>
      <c r="B132" s="718"/>
      <c r="C132" s="718"/>
    </row>
    <row r="133" spans="1:20" s="74" customFormat="1" x14ac:dyDescent="0.2">
      <c r="A133" s="763" t="s">
        <v>7422</v>
      </c>
      <c r="B133" s="764" t="s">
        <v>11007</v>
      </c>
      <c r="C133" s="715"/>
    </row>
    <row r="134" spans="1:20" s="74" customFormat="1" ht="45" x14ac:dyDescent="0.2">
      <c r="A134" s="763" t="s">
        <v>10990</v>
      </c>
      <c r="B134" s="764" t="s">
        <v>11008</v>
      </c>
      <c r="C134" s="715"/>
    </row>
    <row r="135" spans="1:20" s="74" customFormat="1" ht="45" x14ac:dyDescent="0.2">
      <c r="A135" s="763" t="s">
        <v>10991</v>
      </c>
      <c r="B135" s="764" t="s">
        <v>11009</v>
      </c>
      <c r="C135" s="715"/>
    </row>
    <row r="136" spans="1:20" ht="30" customHeight="1" x14ac:dyDescent="0.2">
      <c r="P136" s="651"/>
      <c r="Q136" s="654"/>
      <c r="R136" s="656"/>
      <c r="S136" s="656"/>
      <c r="T136" s="656"/>
    </row>
    <row r="137" spans="1:20" ht="30" customHeight="1" x14ac:dyDescent="0.2">
      <c r="P137" s="651"/>
      <c r="Q137" s="654"/>
      <c r="R137" s="656"/>
      <c r="S137" s="656"/>
      <c r="T137" s="656"/>
    </row>
    <row r="138" spans="1:20" ht="30" customHeight="1" x14ac:dyDescent="0.2">
      <c r="P138" s="651"/>
      <c r="Q138" s="654"/>
      <c r="R138" s="655"/>
      <c r="S138" s="656"/>
      <c r="T138" s="656"/>
    </row>
    <row r="139" spans="1:20" ht="30" customHeight="1" x14ac:dyDescent="0.2">
      <c r="P139" s="651"/>
      <c r="Q139" s="654"/>
      <c r="R139" s="655"/>
      <c r="S139" s="656"/>
      <c r="T139" s="656"/>
    </row>
    <row r="140" spans="1:20" ht="30" customHeight="1" x14ac:dyDescent="0.2">
      <c r="P140" s="651"/>
      <c r="Q140" s="654"/>
      <c r="R140" s="655"/>
      <c r="S140" s="656"/>
      <c r="T140" s="656"/>
    </row>
    <row r="141" spans="1:20" ht="30" customHeight="1" x14ac:dyDescent="0.2">
      <c r="P141" s="651"/>
      <c r="Q141" s="654"/>
      <c r="R141" s="655"/>
      <c r="S141" s="656"/>
      <c r="T141" s="656"/>
    </row>
    <row r="142" spans="1:20" ht="30" customHeight="1" x14ac:dyDescent="0.2">
      <c r="P142" s="651"/>
      <c r="Q142" s="654"/>
      <c r="R142" s="655"/>
      <c r="S142" s="656"/>
      <c r="T142" s="656"/>
    </row>
    <row r="143" spans="1:20" ht="30" customHeight="1" x14ac:dyDescent="0.2">
      <c r="P143" s="651"/>
      <c r="Q143" s="654"/>
      <c r="R143" s="655"/>
      <c r="S143" s="656"/>
      <c r="T143" s="656"/>
    </row>
    <row r="144" spans="1:20" ht="30" customHeight="1" x14ac:dyDescent="0.2">
      <c r="P144" s="651"/>
      <c r="Q144" s="654"/>
      <c r="R144" s="655"/>
      <c r="S144" s="656"/>
      <c r="T144" s="656"/>
    </row>
    <row r="145" spans="16:20" ht="30" customHeight="1" x14ac:dyDescent="0.2">
      <c r="P145" s="651"/>
      <c r="Q145" s="654"/>
      <c r="R145" s="655"/>
      <c r="S145" s="656"/>
      <c r="T145" s="656"/>
    </row>
    <row r="146" spans="16:20" ht="30" customHeight="1" x14ac:dyDescent="0.2">
      <c r="P146" s="651"/>
      <c r="Q146" s="654"/>
      <c r="R146" s="655"/>
      <c r="S146" s="656"/>
      <c r="T146" s="656"/>
    </row>
    <row r="147" spans="16:20" ht="30" customHeight="1" x14ac:dyDescent="0.2">
      <c r="P147" s="651"/>
      <c r="Q147" s="654"/>
      <c r="R147" s="655"/>
      <c r="S147" s="656"/>
      <c r="T147" s="656"/>
    </row>
    <row r="148" spans="16:20" ht="30" customHeight="1" x14ac:dyDescent="0.2">
      <c r="P148" s="651"/>
      <c r="Q148" s="654"/>
      <c r="R148" s="655"/>
      <c r="S148" s="656"/>
      <c r="T148" s="656"/>
    </row>
    <row r="149" spans="16:20" ht="30" customHeight="1" x14ac:dyDescent="0.2">
      <c r="P149" s="651"/>
      <c r="Q149" s="654"/>
      <c r="R149" s="655"/>
      <c r="S149" s="656"/>
      <c r="T149" s="656"/>
    </row>
    <row r="150" spans="16:20" ht="30" customHeight="1" x14ac:dyDescent="0.2">
      <c r="P150" s="651"/>
      <c r="Q150" s="654"/>
      <c r="R150" s="655"/>
      <c r="S150" s="656"/>
      <c r="T150" s="656"/>
    </row>
    <row r="151" spans="16:20" ht="30" customHeight="1" x14ac:dyDescent="0.2">
      <c r="P151" s="651"/>
      <c r="Q151" s="654"/>
      <c r="R151" s="655"/>
      <c r="S151" s="656"/>
      <c r="T151" s="656"/>
    </row>
    <row r="152" spans="16:20" ht="30" customHeight="1" x14ac:dyDescent="0.2">
      <c r="P152" s="651"/>
      <c r="Q152" s="654"/>
      <c r="R152" s="655"/>
      <c r="S152" s="656"/>
      <c r="T152" s="656"/>
    </row>
    <row r="153" spans="16:20" ht="30" customHeight="1" x14ac:dyDescent="0.2">
      <c r="P153" s="651"/>
      <c r="Q153" s="654"/>
      <c r="R153" s="655"/>
      <c r="S153" s="656"/>
      <c r="T153" s="656"/>
    </row>
    <row r="154" spans="16:20" ht="30" customHeight="1" x14ac:dyDescent="0.2">
      <c r="P154" s="651"/>
      <c r="Q154" s="654"/>
      <c r="R154" s="655"/>
      <c r="S154" s="656"/>
      <c r="T154" s="656"/>
    </row>
    <row r="155" spans="16:20" ht="30" customHeight="1" x14ac:dyDescent="0.2">
      <c r="P155" s="651"/>
      <c r="Q155" s="654"/>
      <c r="R155" s="655"/>
      <c r="S155" s="656"/>
      <c r="T155" s="656"/>
    </row>
    <row r="156" spans="16:20" ht="30" customHeight="1" x14ac:dyDescent="0.2">
      <c r="P156" s="651"/>
      <c r="Q156" s="654"/>
      <c r="R156" s="655"/>
      <c r="S156" s="656"/>
      <c r="T156" s="656"/>
    </row>
  </sheetData>
  <mergeCells count="10">
    <mergeCell ref="A131:O131"/>
    <mergeCell ref="B5:B6"/>
    <mergeCell ref="B15:B16"/>
    <mergeCell ref="B23:B24"/>
    <mergeCell ref="Q114:Q115"/>
    <mergeCell ref="Q15:Q16"/>
    <mergeCell ref="Q57:Q58"/>
    <mergeCell ref="Q65:Q66"/>
    <mergeCell ref="B57:B58"/>
    <mergeCell ref="B114:B115"/>
  </mergeCells>
  <conditionalFormatting sqref="D3:D5 D16:D22 D57:D63 D113:D122 D24:E31 D88:E111 D66:D85 D33:E55 D7:E14">
    <cfRule type="cellIs" dxfId="45" priority="24" stopIfTrue="1" operator="equal">
      <formula>0</formula>
    </cfRule>
  </conditionalFormatting>
  <conditionalFormatting sqref="E3:E5 E16:E22 E57:E63 E113:E122 E66:E85">
    <cfRule type="cellIs" dxfId="44" priority="23" stopIfTrue="1" operator="equal">
      <formula>0</formula>
    </cfRule>
  </conditionalFormatting>
  <conditionalFormatting sqref="D6">
    <cfRule type="cellIs" dxfId="43" priority="20" stopIfTrue="1" operator="equal">
      <formula>0</formula>
    </cfRule>
  </conditionalFormatting>
  <conditionalFormatting sqref="E6">
    <cfRule type="cellIs" dxfId="42" priority="19" stopIfTrue="1" operator="equal">
      <formula>0</formula>
    </cfRule>
  </conditionalFormatting>
  <conditionalFormatting sqref="D15">
    <cfRule type="cellIs" dxfId="41" priority="18" stopIfTrue="1" operator="equal">
      <formula>0</formula>
    </cfRule>
  </conditionalFormatting>
  <conditionalFormatting sqref="E15">
    <cfRule type="cellIs" dxfId="40" priority="17" stopIfTrue="1" operator="equal">
      <formula>0</formula>
    </cfRule>
  </conditionalFormatting>
  <conditionalFormatting sqref="D23">
    <cfRule type="cellIs" dxfId="39" priority="16" stopIfTrue="1" operator="equal">
      <formula>0</formula>
    </cfRule>
  </conditionalFormatting>
  <conditionalFormatting sqref="E23">
    <cfRule type="cellIs" dxfId="38" priority="15" stopIfTrue="1" operator="equal">
      <formula>0</formula>
    </cfRule>
  </conditionalFormatting>
  <conditionalFormatting sqref="D56">
    <cfRule type="cellIs" dxfId="37" priority="14" stopIfTrue="1" operator="equal">
      <formula>0</formula>
    </cfRule>
  </conditionalFormatting>
  <conditionalFormatting sqref="E56">
    <cfRule type="cellIs" dxfId="36" priority="13" stopIfTrue="1" operator="equal">
      <formula>0</formula>
    </cfRule>
  </conditionalFormatting>
  <conditionalFormatting sqref="D86">
    <cfRule type="cellIs" dxfId="35" priority="12" stopIfTrue="1" operator="equal">
      <formula>0</formula>
    </cfRule>
  </conditionalFormatting>
  <conditionalFormatting sqref="E86">
    <cfRule type="cellIs" dxfId="34" priority="11" stopIfTrue="1" operator="equal">
      <formula>0</formula>
    </cfRule>
  </conditionalFormatting>
  <conditionalFormatting sqref="D87">
    <cfRule type="cellIs" dxfId="33" priority="10" stopIfTrue="1" operator="equal">
      <formula>0</formula>
    </cfRule>
  </conditionalFormatting>
  <conditionalFormatting sqref="E87">
    <cfRule type="cellIs" dxfId="32" priority="9" stopIfTrue="1" operator="equal">
      <formula>0</formula>
    </cfRule>
  </conditionalFormatting>
  <conditionalFormatting sqref="D112">
    <cfRule type="cellIs" dxfId="31" priority="8" stopIfTrue="1" operator="equal">
      <formula>0</formula>
    </cfRule>
  </conditionalFormatting>
  <conditionalFormatting sqref="E112">
    <cfRule type="cellIs" dxfId="30" priority="7" stopIfTrue="1" operator="equal">
      <formula>0</formula>
    </cfRule>
  </conditionalFormatting>
  <conditionalFormatting sqref="D65">
    <cfRule type="cellIs" dxfId="29" priority="6" stopIfTrue="1" operator="equal">
      <formula>0</formula>
    </cfRule>
  </conditionalFormatting>
  <conditionalFormatting sqref="E65">
    <cfRule type="cellIs" dxfId="28" priority="5" stopIfTrue="1" operator="equal">
      <formula>0</formula>
    </cfRule>
  </conditionalFormatting>
  <conditionalFormatting sqref="D32:E32">
    <cfRule type="cellIs" dxfId="27" priority="4" stopIfTrue="1" operator="equal">
      <formula>0</formula>
    </cfRule>
  </conditionalFormatting>
  <conditionalFormatting sqref="D64">
    <cfRule type="cellIs" dxfId="26" priority="3" stopIfTrue="1" operator="equal">
      <formula>0</formula>
    </cfRule>
  </conditionalFormatting>
  <conditionalFormatting sqref="E64">
    <cfRule type="cellIs" dxfId="25" priority="2" stopIfTrue="1" operator="equal">
      <formula>0</formula>
    </cfRule>
  </conditionalFormatting>
  <pageMargins left="0.23622047244094491" right="0.23622047244094491" top="0.39370078740157483" bottom="0.39370078740157483" header="0.31496062992125984" footer="0.31496062992125984"/>
  <pageSetup paperSize="9" scale="62" fitToHeight="0" orientation="portrait" r:id="rId1"/>
  <headerFooter>
    <oddFooter>&amp;RPage &amp;P / &amp;N</oddFooter>
  </headerFooter>
  <rowBreaks count="1" manualBreakCount="1">
    <brk id="84" max="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tint="-0.249977111117893"/>
    <pageSetUpPr fitToPage="1"/>
  </sheetPr>
  <dimension ref="A1:T110"/>
  <sheetViews>
    <sheetView zoomScaleNormal="100" workbookViewId="0">
      <pane ySplit="2" topLeftCell="A87" activePane="bottomLeft" state="frozen"/>
      <selection pane="bottomLeft" activeCell="N2" sqref="N2"/>
    </sheetView>
  </sheetViews>
  <sheetFormatPr defaultRowHeight="30" customHeight="1" outlineLevelCol="1" x14ac:dyDescent="0.2"/>
  <cols>
    <col min="1" max="1" width="22.28515625" style="188" customWidth="1"/>
    <col min="2" max="2" width="41.5703125" style="188" customWidth="1"/>
    <col min="3" max="3" width="51" style="188" customWidth="1"/>
    <col min="4" max="4" width="25.28515625" style="466" hidden="1" customWidth="1" outlineLevel="1"/>
    <col min="5" max="5" width="23.140625" style="359" hidden="1" customWidth="1" outlineLevel="1"/>
    <col min="6" max="6" width="17.42578125" style="202" hidden="1" customWidth="1" outlineLevel="1"/>
    <col min="7" max="7" width="17.42578125" style="202" hidden="1" customWidth="1" collapsed="1"/>
    <col min="8" max="8" width="17.42578125" style="564" hidden="1" customWidth="1"/>
    <col min="9" max="9" width="20.7109375" style="202" hidden="1" customWidth="1"/>
    <col min="10" max="10" width="20.140625" style="188" hidden="1" customWidth="1"/>
    <col min="11" max="11" width="19.140625" style="188" bestFit="1" customWidth="1"/>
    <col min="12" max="12" width="15.140625" style="188" bestFit="1" customWidth="1"/>
    <col min="13" max="13" width="20" style="188" bestFit="1" customWidth="1"/>
    <col min="14" max="14" width="12.85546875" style="188" bestFit="1" customWidth="1"/>
    <col min="15" max="15" width="14.28515625" style="188" hidden="1" customWidth="1"/>
    <col min="16" max="16" width="14.28515625" style="188" bestFit="1" customWidth="1"/>
    <col min="17" max="18" width="12.85546875" style="188" bestFit="1" customWidth="1"/>
    <col min="19" max="19" width="12.7109375" style="188" bestFit="1" customWidth="1"/>
    <col min="20" max="253" width="9.140625" style="188"/>
    <col min="254" max="254" width="15.7109375" style="188" customWidth="1"/>
    <col min="255" max="255" width="41.5703125" style="188" customWidth="1"/>
    <col min="256" max="256" width="51" style="188" customWidth="1"/>
    <col min="257" max="258" width="0" style="188" hidden="1" customWidth="1"/>
    <col min="259" max="259" width="17.42578125" style="188" bestFit="1" customWidth="1"/>
    <col min="260" max="260" width="20.7109375" style="188" customWidth="1"/>
    <col min="261" max="261" width="20.140625" style="188" customWidth="1"/>
    <col min="262" max="509" width="9.140625" style="188"/>
    <col min="510" max="510" width="15.7109375" style="188" customWidth="1"/>
    <col min="511" max="511" width="41.5703125" style="188" customWidth="1"/>
    <col min="512" max="512" width="51" style="188" customWidth="1"/>
    <col min="513" max="514" width="0" style="188" hidden="1" customWidth="1"/>
    <col min="515" max="515" width="17.42578125" style="188" bestFit="1" customWidth="1"/>
    <col min="516" max="516" width="20.7109375" style="188" customWidth="1"/>
    <col min="517" max="517" width="20.140625" style="188" customWidth="1"/>
    <col min="518" max="765" width="9.140625" style="188"/>
    <col min="766" max="766" width="15.7109375" style="188" customWidth="1"/>
    <col min="767" max="767" width="41.5703125" style="188" customWidth="1"/>
    <col min="768" max="768" width="51" style="188" customWidth="1"/>
    <col min="769" max="770" width="0" style="188" hidden="1" customWidth="1"/>
    <col min="771" max="771" width="17.42578125" style="188" bestFit="1" customWidth="1"/>
    <col min="772" max="772" width="20.7109375" style="188" customWidth="1"/>
    <col min="773" max="773" width="20.140625" style="188" customWidth="1"/>
    <col min="774" max="1021" width="9.140625" style="188"/>
    <col min="1022" max="1022" width="15.7109375" style="188" customWidth="1"/>
    <col min="1023" max="1023" width="41.5703125" style="188" customWidth="1"/>
    <col min="1024" max="1024" width="51" style="188" customWidth="1"/>
    <col min="1025" max="1026" width="0" style="188" hidden="1" customWidth="1"/>
    <col min="1027" max="1027" width="17.42578125" style="188" bestFit="1" customWidth="1"/>
    <col min="1028" max="1028" width="20.7109375" style="188" customWidth="1"/>
    <col min="1029" max="1029" width="20.140625" style="188" customWidth="1"/>
    <col min="1030" max="1277" width="9.140625" style="188"/>
    <col min="1278" max="1278" width="15.7109375" style="188" customWidth="1"/>
    <col min="1279" max="1279" width="41.5703125" style="188" customWidth="1"/>
    <col min="1280" max="1280" width="51" style="188" customWidth="1"/>
    <col min="1281" max="1282" width="0" style="188" hidden="1" customWidth="1"/>
    <col min="1283" max="1283" width="17.42578125" style="188" bestFit="1" customWidth="1"/>
    <col min="1284" max="1284" width="20.7109375" style="188" customWidth="1"/>
    <col min="1285" max="1285" width="20.140625" style="188" customWidth="1"/>
    <col min="1286" max="1533" width="9.140625" style="188"/>
    <col min="1534" max="1534" width="15.7109375" style="188" customWidth="1"/>
    <col min="1535" max="1535" width="41.5703125" style="188" customWidth="1"/>
    <col min="1536" max="1536" width="51" style="188" customWidth="1"/>
    <col min="1537" max="1538" width="0" style="188" hidden="1" customWidth="1"/>
    <col min="1539" max="1539" width="17.42578125" style="188" bestFit="1" customWidth="1"/>
    <col min="1540" max="1540" width="20.7109375" style="188" customWidth="1"/>
    <col min="1541" max="1541" width="20.140625" style="188" customWidth="1"/>
    <col min="1542" max="1789" width="9.140625" style="188"/>
    <col min="1790" max="1790" width="15.7109375" style="188" customWidth="1"/>
    <col min="1791" max="1791" width="41.5703125" style="188" customWidth="1"/>
    <col min="1792" max="1792" width="51" style="188" customWidth="1"/>
    <col min="1793" max="1794" width="0" style="188" hidden="1" customWidth="1"/>
    <col min="1795" max="1795" width="17.42578125" style="188" bestFit="1" customWidth="1"/>
    <col min="1796" max="1796" width="20.7109375" style="188" customWidth="1"/>
    <col min="1797" max="1797" width="20.140625" style="188" customWidth="1"/>
    <col min="1798" max="2045" width="9.140625" style="188"/>
    <col min="2046" max="2046" width="15.7109375" style="188" customWidth="1"/>
    <col min="2047" max="2047" width="41.5703125" style="188" customWidth="1"/>
    <col min="2048" max="2048" width="51" style="188" customWidth="1"/>
    <col min="2049" max="2050" width="0" style="188" hidden="1" customWidth="1"/>
    <col min="2051" max="2051" width="17.42578125" style="188" bestFit="1" customWidth="1"/>
    <col min="2052" max="2052" width="20.7109375" style="188" customWidth="1"/>
    <col min="2053" max="2053" width="20.140625" style="188" customWidth="1"/>
    <col min="2054" max="2301" width="9.140625" style="188"/>
    <col min="2302" max="2302" width="15.7109375" style="188" customWidth="1"/>
    <col min="2303" max="2303" width="41.5703125" style="188" customWidth="1"/>
    <col min="2304" max="2304" width="51" style="188" customWidth="1"/>
    <col min="2305" max="2306" width="0" style="188" hidden="1" customWidth="1"/>
    <col min="2307" max="2307" width="17.42578125" style="188" bestFit="1" customWidth="1"/>
    <col min="2308" max="2308" width="20.7109375" style="188" customWidth="1"/>
    <col min="2309" max="2309" width="20.140625" style="188" customWidth="1"/>
    <col min="2310" max="2557" width="9.140625" style="188"/>
    <col min="2558" max="2558" width="15.7109375" style="188" customWidth="1"/>
    <col min="2559" max="2559" width="41.5703125" style="188" customWidth="1"/>
    <col min="2560" max="2560" width="51" style="188" customWidth="1"/>
    <col min="2561" max="2562" width="0" style="188" hidden="1" customWidth="1"/>
    <col min="2563" max="2563" width="17.42578125" style="188" bestFit="1" customWidth="1"/>
    <col min="2564" max="2564" width="20.7109375" style="188" customWidth="1"/>
    <col min="2565" max="2565" width="20.140625" style="188" customWidth="1"/>
    <col min="2566" max="2813" width="9.140625" style="188"/>
    <col min="2814" max="2814" width="15.7109375" style="188" customWidth="1"/>
    <col min="2815" max="2815" width="41.5703125" style="188" customWidth="1"/>
    <col min="2816" max="2816" width="51" style="188" customWidth="1"/>
    <col min="2817" max="2818" width="0" style="188" hidden="1" customWidth="1"/>
    <col min="2819" max="2819" width="17.42578125" style="188" bestFit="1" customWidth="1"/>
    <col min="2820" max="2820" width="20.7109375" style="188" customWidth="1"/>
    <col min="2821" max="2821" width="20.140625" style="188" customWidth="1"/>
    <col min="2822" max="3069" width="9.140625" style="188"/>
    <col min="3070" max="3070" width="15.7109375" style="188" customWidth="1"/>
    <col min="3071" max="3071" width="41.5703125" style="188" customWidth="1"/>
    <col min="3072" max="3072" width="51" style="188" customWidth="1"/>
    <col min="3073" max="3074" width="0" style="188" hidden="1" customWidth="1"/>
    <col min="3075" max="3075" width="17.42578125" style="188" bestFit="1" customWidth="1"/>
    <col min="3076" max="3076" width="20.7109375" style="188" customWidth="1"/>
    <col min="3077" max="3077" width="20.140625" style="188" customWidth="1"/>
    <col min="3078" max="3325" width="9.140625" style="188"/>
    <col min="3326" max="3326" width="15.7109375" style="188" customWidth="1"/>
    <col min="3327" max="3327" width="41.5703125" style="188" customWidth="1"/>
    <col min="3328" max="3328" width="51" style="188" customWidth="1"/>
    <col min="3329" max="3330" width="0" style="188" hidden="1" customWidth="1"/>
    <col min="3331" max="3331" width="17.42578125" style="188" bestFit="1" customWidth="1"/>
    <col min="3332" max="3332" width="20.7109375" style="188" customWidth="1"/>
    <col min="3333" max="3333" width="20.140625" style="188" customWidth="1"/>
    <col min="3334" max="3581" width="9.140625" style="188"/>
    <col min="3582" max="3582" width="15.7109375" style="188" customWidth="1"/>
    <col min="3583" max="3583" width="41.5703125" style="188" customWidth="1"/>
    <col min="3584" max="3584" width="51" style="188" customWidth="1"/>
    <col min="3585" max="3586" width="0" style="188" hidden="1" customWidth="1"/>
    <col min="3587" max="3587" width="17.42578125" style="188" bestFit="1" customWidth="1"/>
    <col min="3588" max="3588" width="20.7109375" style="188" customWidth="1"/>
    <col min="3589" max="3589" width="20.140625" style="188" customWidth="1"/>
    <col min="3590" max="3837" width="9.140625" style="188"/>
    <col min="3838" max="3838" width="15.7109375" style="188" customWidth="1"/>
    <col min="3839" max="3839" width="41.5703125" style="188" customWidth="1"/>
    <col min="3840" max="3840" width="51" style="188" customWidth="1"/>
    <col min="3841" max="3842" width="0" style="188" hidden="1" customWidth="1"/>
    <col min="3843" max="3843" width="17.42578125" style="188" bestFit="1" customWidth="1"/>
    <col min="3844" max="3844" width="20.7109375" style="188" customWidth="1"/>
    <col min="3845" max="3845" width="20.140625" style="188" customWidth="1"/>
    <col min="3846" max="4093" width="9.140625" style="188"/>
    <col min="4094" max="4094" width="15.7109375" style="188" customWidth="1"/>
    <col min="4095" max="4095" width="41.5703125" style="188" customWidth="1"/>
    <col min="4096" max="4096" width="51" style="188" customWidth="1"/>
    <col min="4097" max="4098" width="0" style="188" hidden="1" customWidth="1"/>
    <col min="4099" max="4099" width="17.42578125" style="188" bestFit="1" customWidth="1"/>
    <col min="4100" max="4100" width="20.7109375" style="188" customWidth="1"/>
    <col min="4101" max="4101" width="20.140625" style="188" customWidth="1"/>
    <col min="4102" max="4349" width="9.140625" style="188"/>
    <col min="4350" max="4350" width="15.7109375" style="188" customWidth="1"/>
    <col min="4351" max="4351" width="41.5703125" style="188" customWidth="1"/>
    <col min="4352" max="4352" width="51" style="188" customWidth="1"/>
    <col min="4353" max="4354" width="0" style="188" hidden="1" customWidth="1"/>
    <col min="4355" max="4355" width="17.42578125" style="188" bestFit="1" customWidth="1"/>
    <col min="4356" max="4356" width="20.7109375" style="188" customWidth="1"/>
    <col min="4357" max="4357" width="20.140625" style="188" customWidth="1"/>
    <col min="4358" max="4605" width="9.140625" style="188"/>
    <col min="4606" max="4606" width="15.7109375" style="188" customWidth="1"/>
    <col min="4607" max="4607" width="41.5703125" style="188" customWidth="1"/>
    <col min="4608" max="4608" width="51" style="188" customWidth="1"/>
    <col min="4609" max="4610" width="0" style="188" hidden="1" customWidth="1"/>
    <col min="4611" max="4611" width="17.42578125" style="188" bestFit="1" customWidth="1"/>
    <col min="4612" max="4612" width="20.7109375" style="188" customWidth="1"/>
    <col min="4613" max="4613" width="20.140625" style="188" customWidth="1"/>
    <col min="4614" max="4861" width="9.140625" style="188"/>
    <col min="4862" max="4862" width="15.7109375" style="188" customWidth="1"/>
    <col min="4863" max="4863" width="41.5703125" style="188" customWidth="1"/>
    <col min="4864" max="4864" width="51" style="188" customWidth="1"/>
    <col min="4865" max="4866" width="0" style="188" hidden="1" customWidth="1"/>
    <col min="4867" max="4867" width="17.42578125" style="188" bestFit="1" customWidth="1"/>
    <col min="4868" max="4868" width="20.7109375" style="188" customWidth="1"/>
    <col min="4869" max="4869" width="20.140625" style="188" customWidth="1"/>
    <col min="4870" max="5117" width="9.140625" style="188"/>
    <col min="5118" max="5118" width="15.7109375" style="188" customWidth="1"/>
    <col min="5119" max="5119" width="41.5703125" style="188" customWidth="1"/>
    <col min="5120" max="5120" width="51" style="188" customWidth="1"/>
    <col min="5121" max="5122" width="0" style="188" hidden="1" customWidth="1"/>
    <col min="5123" max="5123" width="17.42578125" style="188" bestFit="1" customWidth="1"/>
    <col min="5124" max="5124" width="20.7109375" style="188" customWidth="1"/>
    <col min="5125" max="5125" width="20.140625" style="188" customWidth="1"/>
    <col min="5126" max="5373" width="9.140625" style="188"/>
    <col min="5374" max="5374" width="15.7109375" style="188" customWidth="1"/>
    <col min="5375" max="5375" width="41.5703125" style="188" customWidth="1"/>
    <col min="5376" max="5376" width="51" style="188" customWidth="1"/>
    <col min="5377" max="5378" width="0" style="188" hidden="1" customWidth="1"/>
    <col min="5379" max="5379" width="17.42578125" style="188" bestFit="1" customWidth="1"/>
    <col min="5380" max="5380" width="20.7109375" style="188" customWidth="1"/>
    <col min="5381" max="5381" width="20.140625" style="188" customWidth="1"/>
    <col min="5382" max="5629" width="9.140625" style="188"/>
    <col min="5630" max="5630" width="15.7109375" style="188" customWidth="1"/>
    <col min="5631" max="5631" width="41.5703125" style="188" customWidth="1"/>
    <col min="5632" max="5632" width="51" style="188" customWidth="1"/>
    <col min="5633" max="5634" width="0" style="188" hidden="1" customWidth="1"/>
    <col min="5635" max="5635" width="17.42578125" style="188" bestFit="1" customWidth="1"/>
    <col min="5636" max="5636" width="20.7109375" style="188" customWidth="1"/>
    <col min="5637" max="5637" width="20.140625" style="188" customWidth="1"/>
    <col min="5638" max="5885" width="9.140625" style="188"/>
    <col min="5886" max="5886" width="15.7109375" style="188" customWidth="1"/>
    <col min="5887" max="5887" width="41.5703125" style="188" customWidth="1"/>
    <col min="5888" max="5888" width="51" style="188" customWidth="1"/>
    <col min="5889" max="5890" width="0" style="188" hidden="1" customWidth="1"/>
    <col min="5891" max="5891" width="17.42578125" style="188" bestFit="1" customWidth="1"/>
    <col min="5892" max="5892" width="20.7109375" style="188" customWidth="1"/>
    <col min="5893" max="5893" width="20.140625" style="188" customWidth="1"/>
    <col min="5894" max="6141" width="9.140625" style="188"/>
    <col min="6142" max="6142" width="15.7109375" style="188" customWidth="1"/>
    <col min="6143" max="6143" width="41.5703125" style="188" customWidth="1"/>
    <col min="6144" max="6144" width="51" style="188" customWidth="1"/>
    <col min="6145" max="6146" width="0" style="188" hidden="1" customWidth="1"/>
    <col min="6147" max="6147" width="17.42578125" style="188" bestFit="1" customWidth="1"/>
    <col min="6148" max="6148" width="20.7109375" style="188" customWidth="1"/>
    <col min="6149" max="6149" width="20.140625" style="188" customWidth="1"/>
    <col min="6150" max="6397" width="9.140625" style="188"/>
    <col min="6398" max="6398" width="15.7109375" style="188" customWidth="1"/>
    <col min="6399" max="6399" width="41.5703125" style="188" customWidth="1"/>
    <col min="6400" max="6400" width="51" style="188" customWidth="1"/>
    <col min="6401" max="6402" width="0" style="188" hidden="1" customWidth="1"/>
    <col min="6403" max="6403" width="17.42578125" style="188" bestFit="1" customWidth="1"/>
    <col min="6404" max="6404" width="20.7109375" style="188" customWidth="1"/>
    <col min="6405" max="6405" width="20.140625" style="188" customWidth="1"/>
    <col min="6406" max="6653" width="9.140625" style="188"/>
    <col min="6654" max="6654" width="15.7109375" style="188" customWidth="1"/>
    <col min="6655" max="6655" width="41.5703125" style="188" customWidth="1"/>
    <col min="6656" max="6656" width="51" style="188" customWidth="1"/>
    <col min="6657" max="6658" width="0" style="188" hidden="1" customWidth="1"/>
    <col min="6659" max="6659" width="17.42578125" style="188" bestFit="1" customWidth="1"/>
    <col min="6660" max="6660" width="20.7109375" style="188" customWidth="1"/>
    <col min="6661" max="6661" width="20.140625" style="188" customWidth="1"/>
    <col min="6662" max="6909" width="9.140625" style="188"/>
    <col min="6910" max="6910" width="15.7109375" style="188" customWidth="1"/>
    <col min="6911" max="6911" width="41.5703125" style="188" customWidth="1"/>
    <col min="6912" max="6912" width="51" style="188" customWidth="1"/>
    <col min="6913" max="6914" width="0" style="188" hidden="1" customWidth="1"/>
    <col min="6915" max="6915" width="17.42578125" style="188" bestFit="1" customWidth="1"/>
    <col min="6916" max="6916" width="20.7109375" style="188" customWidth="1"/>
    <col min="6917" max="6917" width="20.140625" style="188" customWidth="1"/>
    <col min="6918" max="7165" width="9.140625" style="188"/>
    <col min="7166" max="7166" width="15.7109375" style="188" customWidth="1"/>
    <col min="7167" max="7167" width="41.5703125" style="188" customWidth="1"/>
    <col min="7168" max="7168" width="51" style="188" customWidth="1"/>
    <col min="7169" max="7170" width="0" style="188" hidden="1" customWidth="1"/>
    <col min="7171" max="7171" width="17.42578125" style="188" bestFit="1" customWidth="1"/>
    <col min="7172" max="7172" width="20.7109375" style="188" customWidth="1"/>
    <col min="7173" max="7173" width="20.140625" style="188" customWidth="1"/>
    <col min="7174" max="7421" width="9.140625" style="188"/>
    <col min="7422" max="7422" width="15.7109375" style="188" customWidth="1"/>
    <col min="7423" max="7423" width="41.5703125" style="188" customWidth="1"/>
    <col min="7424" max="7424" width="51" style="188" customWidth="1"/>
    <col min="7425" max="7426" width="0" style="188" hidden="1" customWidth="1"/>
    <col min="7427" max="7427" width="17.42578125" style="188" bestFit="1" customWidth="1"/>
    <col min="7428" max="7428" width="20.7109375" style="188" customWidth="1"/>
    <col min="7429" max="7429" width="20.140625" style="188" customWidth="1"/>
    <col min="7430" max="7677" width="9.140625" style="188"/>
    <col min="7678" max="7678" width="15.7109375" style="188" customWidth="1"/>
    <col min="7679" max="7679" width="41.5703125" style="188" customWidth="1"/>
    <col min="7680" max="7680" width="51" style="188" customWidth="1"/>
    <col min="7681" max="7682" width="0" style="188" hidden="1" customWidth="1"/>
    <col min="7683" max="7683" width="17.42578125" style="188" bestFit="1" customWidth="1"/>
    <col min="7684" max="7684" width="20.7109375" style="188" customWidth="1"/>
    <col min="7685" max="7685" width="20.140625" style="188" customWidth="1"/>
    <col min="7686" max="7933" width="9.140625" style="188"/>
    <col min="7934" max="7934" width="15.7109375" style="188" customWidth="1"/>
    <col min="7935" max="7935" width="41.5703125" style="188" customWidth="1"/>
    <col min="7936" max="7936" width="51" style="188" customWidth="1"/>
    <col min="7937" max="7938" width="0" style="188" hidden="1" customWidth="1"/>
    <col min="7939" max="7939" width="17.42578125" style="188" bestFit="1" customWidth="1"/>
    <col min="7940" max="7940" width="20.7109375" style="188" customWidth="1"/>
    <col min="7941" max="7941" width="20.140625" style="188" customWidth="1"/>
    <col min="7942" max="8189" width="9.140625" style="188"/>
    <col min="8190" max="8190" width="15.7109375" style="188" customWidth="1"/>
    <col min="8191" max="8191" width="41.5703125" style="188" customWidth="1"/>
    <col min="8192" max="8192" width="51" style="188" customWidth="1"/>
    <col min="8193" max="8194" width="0" style="188" hidden="1" customWidth="1"/>
    <col min="8195" max="8195" width="17.42578125" style="188" bestFit="1" customWidth="1"/>
    <col min="8196" max="8196" width="20.7109375" style="188" customWidth="1"/>
    <col min="8197" max="8197" width="20.140625" style="188" customWidth="1"/>
    <col min="8198" max="8445" width="9.140625" style="188"/>
    <col min="8446" max="8446" width="15.7109375" style="188" customWidth="1"/>
    <col min="8447" max="8447" width="41.5703125" style="188" customWidth="1"/>
    <col min="8448" max="8448" width="51" style="188" customWidth="1"/>
    <col min="8449" max="8450" width="0" style="188" hidden="1" customWidth="1"/>
    <col min="8451" max="8451" width="17.42578125" style="188" bestFit="1" customWidth="1"/>
    <col min="8452" max="8452" width="20.7109375" style="188" customWidth="1"/>
    <col min="8453" max="8453" width="20.140625" style="188" customWidth="1"/>
    <col min="8454" max="8701" width="9.140625" style="188"/>
    <col min="8702" max="8702" width="15.7109375" style="188" customWidth="1"/>
    <col min="8703" max="8703" width="41.5703125" style="188" customWidth="1"/>
    <col min="8704" max="8704" width="51" style="188" customWidth="1"/>
    <col min="8705" max="8706" width="0" style="188" hidden="1" customWidth="1"/>
    <col min="8707" max="8707" width="17.42578125" style="188" bestFit="1" customWidth="1"/>
    <col min="8708" max="8708" width="20.7109375" style="188" customWidth="1"/>
    <col min="8709" max="8709" width="20.140625" style="188" customWidth="1"/>
    <col min="8710" max="8957" width="9.140625" style="188"/>
    <col min="8958" max="8958" width="15.7109375" style="188" customWidth="1"/>
    <col min="8959" max="8959" width="41.5703125" style="188" customWidth="1"/>
    <col min="8960" max="8960" width="51" style="188" customWidth="1"/>
    <col min="8961" max="8962" width="0" style="188" hidden="1" customWidth="1"/>
    <col min="8963" max="8963" width="17.42578125" style="188" bestFit="1" customWidth="1"/>
    <col min="8964" max="8964" width="20.7109375" style="188" customWidth="1"/>
    <col min="8965" max="8965" width="20.140625" style="188" customWidth="1"/>
    <col min="8966" max="9213" width="9.140625" style="188"/>
    <col min="9214" max="9214" width="15.7109375" style="188" customWidth="1"/>
    <col min="9215" max="9215" width="41.5703125" style="188" customWidth="1"/>
    <col min="9216" max="9216" width="51" style="188" customWidth="1"/>
    <col min="9217" max="9218" width="0" style="188" hidden="1" customWidth="1"/>
    <col min="9219" max="9219" width="17.42578125" style="188" bestFit="1" customWidth="1"/>
    <col min="9220" max="9220" width="20.7109375" style="188" customWidth="1"/>
    <col min="9221" max="9221" width="20.140625" style="188" customWidth="1"/>
    <col min="9222" max="9469" width="9.140625" style="188"/>
    <col min="9470" max="9470" width="15.7109375" style="188" customWidth="1"/>
    <col min="9471" max="9471" width="41.5703125" style="188" customWidth="1"/>
    <col min="9472" max="9472" width="51" style="188" customWidth="1"/>
    <col min="9473" max="9474" width="0" style="188" hidden="1" customWidth="1"/>
    <col min="9475" max="9475" width="17.42578125" style="188" bestFit="1" customWidth="1"/>
    <col min="9476" max="9476" width="20.7109375" style="188" customWidth="1"/>
    <col min="9477" max="9477" width="20.140625" style="188" customWidth="1"/>
    <col min="9478" max="9725" width="9.140625" style="188"/>
    <col min="9726" max="9726" width="15.7109375" style="188" customWidth="1"/>
    <col min="9727" max="9727" width="41.5703125" style="188" customWidth="1"/>
    <col min="9728" max="9728" width="51" style="188" customWidth="1"/>
    <col min="9729" max="9730" width="0" style="188" hidden="1" customWidth="1"/>
    <col min="9731" max="9731" width="17.42578125" style="188" bestFit="1" customWidth="1"/>
    <col min="9732" max="9732" width="20.7109375" style="188" customWidth="1"/>
    <col min="9733" max="9733" width="20.140625" style="188" customWidth="1"/>
    <col min="9734" max="9981" width="9.140625" style="188"/>
    <col min="9982" max="9982" width="15.7109375" style="188" customWidth="1"/>
    <col min="9983" max="9983" width="41.5703125" style="188" customWidth="1"/>
    <col min="9984" max="9984" width="51" style="188" customWidth="1"/>
    <col min="9985" max="9986" width="0" style="188" hidden="1" customWidth="1"/>
    <col min="9987" max="9987" width="17.42578125" style="188" bestFit="1" customWidth="1"/>
    <col min="9988" max="9988" width="20.7109375" style="188" customWidth="1"/>
    <col min="9989" max="9989" width="20.140625" style="188" customWidth="1"/>
    <col min="9990" max="10237" width="9.140625" style="188"/>
    <col min="10238" max="10238" width="15.7109375" style="188" customWidth="1"/>
    <col min="10239" max="10239" width="41.5703125" style="188" customWidth="1"/>
    <col min="10240" max="10240" width="51" style="188" customWidth="1"/>
    <col min="10241" max="10242" width="0" style="188" hidden="1" customWidth="1"/>
    <col min="10243" max="10243" width="17.42578125" style="188" bestFit="1" customWidth="1"/>
    <col min="10244" max="10244" width="20.7109375" style="188" customWidth="1"/>
    <col min="10245" max="10245" width="20.140625" style="188" customWidth="1"/>
    <col min="10246" max="10493" width="9.140625" style="188"/>
    <col min="10494" max="10494" width="15.7109375" style="188" customWidth="1"/>
    <col min="10495" max="10495" width="41.5703125" style="188" customWidth="1"/>
    <col min="10496" max="10496" width="51" style="188" customWidth="1"/>
    <col min="10497" max="10498" width="0" style="188" hidden="1" customWidth="1"/>
    <col min="10499" max="10499" width="17.42578125" style="188" bestFit="1" customWidth="1"/>
    <col min="10500" max="10500" width="20.7109375" style="188" customWidth="1"/>
    <col min="10501" max="10501" width="20.140625" style="188" customWidth="1"/>
    <col min="10502" max="10749" width="9.140625" style="188"/>
    <col min="10750" max="10750" width="15.7109375" style="188" customWidth="1"/>
    <col min="10751" max="10751" width="41.5703125" style="188" customWidth="1"/>
    <col min="10752" max="10752" width="51" style="188" customWidth="1"/>
    <col min="10753" max="10754" width="0" style="188" hidden="1" customWidth="1"/>
    <col min="10755" max="10755" width="17.42578125" style="188" bestFit="1" customWidth="1"/>
    <col min="10756" max="10756" width="20.7109375" style="188" customWidth="1"/>
    <col min="10757" max="10757" width="20.140625" style="188" customWidth="1"/>
    <col min="10758" max="11005" width="9.140625" style="188"/>
    <col min="11006" max="11006" width="15.7109375" style="188" customWidth="1"/>
    <col min="11007" max="11007" width="41.5703125" style="188" customWidth="1"/>
    <col min="11008" max="11008" width="51" style="188" customWidth="1"/>
    <col min="11009" max="11010" width="0" style="188" hidden="1" customWidth="1"/>
    <col min="11011" max="11011" width="17.42578125" style="188" bestFit="1" customWidth="1"/>
    <col min="11012" max="11012" width="20.7109375" style="188" customWidth="1"/>
    <col min="11013" max="11013" width="20.140625" style="188" customWidth="1"/>
    <col min="11014" max="11261" width="9.140625" style="188"/>
    <col min="11262" max="11262" width="15.7109375" style="188" customWidth="1"/>
    <col min="11263" max="11263" width="41.5703125" style="188" customWidth="1"/>
    <col min="11264" max="11264" width="51" style="188" customWidth="1"/>
    <col min="11265" max="11266" width="0" style="188" hidden="1" customWidth="1"/>
    <col min="11267" max="11267" width="17.42578125" style="188" bestFit="1" customWidth="1"/>
    <col min="11268" max="11268" width="20.7109375" style="188" customWidth="1"/>
    <col min="11269" max="11269" width="20.140625" style="188" customWidth="1"/>
    <col min="11270" max="11517" width="9.140625" style="188"/>
    <col min="11518" max="11518" width="15.7109375" style="188" customWidth="1"/>
    <col min="11519" max="11519" width="41.5703125" style="188" customWidth="1"/>
    <col min="11520" max="11520" width="51" style="188" customWidth="1"/>
    <col min="11521" max="11522" width="0" style="188" hidden="1" customWidth="1"/>
    <col min="11523" max="11523" width="17.42578125" style="188" bestFit="1" customWidth="1"/>
    <col min="11524" max="11524" width="20.7109375" style="188" customWidth="1"/>
    <col min="11525" max="11525" width="20.140625" style="188" customWidth="1"/>
    <col min="11526" max="11773" width="9.140625" style="188"/>
    <col min="11774" max="11774" width="15.7109375" style="188" customWidth="1"/>
    <col min="11775" max="11775" width="41.5703125" style="188" customWidth="1"/>
    <col min="11776" max="11776" width="51" style="188" customWidth="1"/>
    <col min="11777" max="11778" width="0" style="188" hidden="1" customWidth="1"/>
    <col min="11779" max="11779" width="17.42578125" style="188" bestFit="1" customWidth="1"/>
    <col min="11780" max="11780" width="20.7109375" style="188" customWidth="1"/>
    <col min="11781" max="11781" width="20.140625" style="188" customWidth="1"/>
    <col min="11782" max="12029" width="9.140625" style="188"/>
    <col min="12030" max="12030" width="15.7109375" style="188" customWidth="1"/>
    <col min="12031" max="12031" width="41.5703125" style="188" customWidth="1"/>
    <col min="12032" max="12032" width="51" style="188" customWidth="1"/>
    <col min="12033" max="12034" width="0" style="188" hidden="1" customWidth="1"/>
    <col min="12035" max="12035" width="17.42578125" style="188" bestFit="1" customWidth="1"/>
    <col min="12036" max="12036" width="20.7109375" style="188" customWidth="1"/>
    <col min="12037" max="12037" width="20.140625" style="188" customWidth="1"/>
    <col min="12038" max="12285" width="9.140625" style="188"/>
    <col min="12286" max="12286" width="15.7109375" style="188" customWidth="1"/>
    <col min="12287" max="12287" width="41.5703125" style="188" customWidth="1"/>
    <col min="12288" max="12288" width="51" style="188" customWidth="1"/>
    <col min="12289" max="12290" width="0" style="188" hidden="1" customWidth="1"/>
    <col min="12291" max="12291" width="17.42578125" style="188" bestFit="1" customWidth="1"/>
    <col min="12292" max="12292" width="20.7109375" style="188" customWidth="1"/>
    <col min="12293" max="12293" width="20.140625" style="188" customWidth="1"/>
    <col min="12294" max="12541" width="9.140625" style="188"/>
    <col min="12542" max="12542" width="15.7109375" style="188" customWidth="1"/>
    <col min="12543" max="12543" width="41.5703125" style="188" customWidth="1"/>
    <col min="12544" max="12544" width="51" style="188" customWidth="1"/>
    <col min="12545" max="12546" width="0" style="188" hidden="1" customWidth="1"/>
    <col min="12547" max="12547" width="17.42578125" style="188" bestFit="1" customWidth="1"/>
    <col min="12548" max="12548" width="20.7109375" style="188" customWidth="1"/>
    <col min="12549" max="12549" width="20.140625" style="188" customWidth="1"/>
    <col min="12550" max="12797" width="9.140625" style="188"/>
    <col min="12798" max="12798" width="15.7109375" style="188" customWidth="1"/>
    <col min="12799" max="12799" width="41.5703125" style="188" customWidth="1"/>
    <col min="12800" max="12800" width="51" style="188" customWidth="1"/>
    <col min="12801" max="12802" width="0" style="188" hidden="1" customWidth="1"/>
    <col min="12803" max="12803" width="17.42578125" style="188" bestFit="1" customWidth="1"/>
    <col min="12804" max="12804" width="20.7109375" style="188" customWidth="1"/>
    <col min="12805" max="12805" width="20.140625" style="188" customWidth="1"/>
    <col min="12806" max="13053" width="9.140625" style="188"/>
    <col min="13054" max="13054" width="15.7109375" style="188" customWidth="1"/>
    <col min="13055" max="13055" width="41.5703125" style="188" customWidth="1"/>
    <col min="13056" max="13056" width="51" style="188" customWidth="1"/>
    <col min="13057" max="13058" width="0" style="188" hidden="1" customWidth="1"/>
    <col min="13059" max="13059" width="17.42578125" style="188" bestFit="1" customWidth="1"/>
    <col min="13060" max="13060" width="20.7109375" style="188" customWidth="1"/>
    <col min="13061" max="13061" width="20.140625" style="188" customWidth="1"/>
    <col min="13062" max="13309" width="9.140625" style="188"/>
    <col min="13310" max="13310" width="15.7109375" style="188" customWidth="1"/>
    <col min="13311" max="13311" width="41.5703125" style="188" customWidth="1"/>
    <col min="13312" max="13312" width="51" style="188" customWidth="1"/>
    <col min="13313" max="13314" width="0" style="188" hidden="1" customWidth="1"/>
    <col min="13315" max="13315" width="17.42578125" style="188" bestFit="1" customWidth="1"/>
    <col min="13316" max="13316" width="20.7109375" style="188" customWidth="1"/>
    <col min="13317" max="13317" width="20.140625" style="188" customWidth="1"/>
    <col min="13318" max="13565" width="9.140625" style="188"/>
    <col min="13566" max="13566" width="15.7109375" style="188" customWidth="1"/>
    <col min="13567" max="13567" width="41.5703125" style="188" customWidth="1"/>
    <col min="13568" max="13568" width="51" style="188" customWidth="1"/>
    <col min="13569" max="13570" width="0" style="188" hidden="1" customWidth="1"/>
    <col min="13571" max="13571" width="17.42578125" style="188" bestFit="1" customWidth="1"/>
    <col min="13572" max="13572" width="20.7109375" style="188" customWidth="1"/>
    <col min="13573" max="13573" width="20.140625" style="188" customWidth="1"/>
    <col min="13574" max="13821" width="9.140625" style="188"/>
    <col min="13822" max="13822" width="15.7109375" style="188" customWidth="1"/>
    <col min="13823" max="13823" width="41.5703125" style="188" customWidth="1"/>
    <col min="13824" max="13824" width="51" style="188" customWidth="1"/>
    <col min="13825" max="13826" width="0" style="188" hidden="1" customWidth="1"/>
    <col min="13827" max="13827" width="17.42578125" style="188" bestFit="1" customWidth="1"/>
    <col min="13828" max="13828" width="20.7109375" style="188" customWidth="1"/>
    <col min="13829" max="13829" width="20.140625" style="188" customWidth="1"/>
    <col min="13830" max="14077" width="9.140625" style="188"/>
    <col min="14078" max="14078" width="15.7109375" style="188" customWidth="1"/>
    <col min="14079" max="14079" width="41.5703125" style="188" customWidth="1"/>
    <col min="14080" max="14080" width="51" style="188" customWidth="1"/>
    <col min="14081" max="14082" width="0" style="188" hidden="1" customWidth="1"/>
    <col min="14083" max="14083" width="17.42578125" style="188" bestFit="1" customWidth="1"/>
    <col min="14084" max="14084" width="20.7109375" style="188" customWidth="1"/>
    <col min="14085" max="14085" width="20.140625" style="188" customWidth="1"/>
    <col min="14086" max="14333" width="9.140625" style="188"/>
    <col min="14334" max="14334" width="15.7109375" style="188" customWidth="1"/>
    <col min="14335" max="14335" width="41.5703125" style="188" customWidth="1"/>
    <col min="14336" max="14336" width="51" style="188" customWidth="1"/>
    <col min="14337" max="14338" width="0" style="188" hidden="1" customWidth="1"/>
    <col min="14339" max="14339" width="17.42578125" style="188" bestFit="1" customWidth="1"/>
    <col min="14340" max="14340" width="20.7109375" style="188" customWidth="1"/>
    <col min="14341" max="14341" width="20.140625" style="188" customWidth="1"/>
    <col min="14342" max="14589" width="9.140625" style="188"/>
    <col min="14590" max="14590" width="15.7109375" style="188" customWidth="1"/>
    <col min="14591" max="14591" width="41.5703125" style="188" customWidth="1"/>
    <col min="14592" max="14592" width="51" style="188" customWidth="1"/>
    <col min="14593" max="14594" width="0" style="188" hidden="1" customWidth="1"/>
    <col min="14595" max="14595" width="17.42578125" style="188" bestFit="1" customWidth="1"/>
    <col min="14596" max="14596" width="20.7109375" style="188" customWidth="1"/>
    <col min="14597" max="14597" width="20.140625" style="188" customWidth="1"/>
    <col min="14598" max="14845" width="9.140625" style="188"/>
    <col min="14846" max="14846" width="15.7109375" style="188" customWidth="1"/>
    <col min="14847" max="14847" width="41.5703125" style="188" customWidth="1"/>
    <col min="14848" max="14848" width="51" style="188" customWidth="1"/>
    <col min="14849" max="14850" width="0" style="188" hidden="1" customWidth="1"/>
    <col min="14851" max="14851" width="17.42578125" style="188" bestFit="1" customWidth="1"/>
    <col min="14852" max="14852" width="20.7109375" style="188" customWidth="1"/>
    <col min="14853" max="14853" width="20.140625" style="188" customWidth="1"/>
    <col min="14854" max="15101" width="9.140625" style="188"/>
    <col min="15102" max="15102" width="15.7109375" style="188" customWidth="1"/>
    <col min="15103" max="15103" width="41.5703125" style="188" customWidth="1"/>
    <col min="15104" max="15104" width="51" style="188" customWidth="1"/>
    <col min="15105" max="15106" width="0" style="188" hidden="1" customWidth="1"/>
    <col min="15107" max="15107" width="17.42578125" style="188" bestFit="1" customWidth="1"/>
    <col min="15108" max="15108" width="20.7109375" style="188" customWidth="1"/>
    <col min="15109" max="15109" width="20.140625" style="188" customWidth="1"/>
    <col min="15110" max="15357" width="9.140625" style="188"/>
    <col min="15358" max="15358" width="15.7109375" style="188" customWidth="1"/>
    <col min="15359" max="15359" width="41.5703125" style="188" customWidth="1"/>
    <col min="15360" max="15360" width="51" style="188" customWidth="1"/>
    <col min="15361" max="15362" width="0" style="188" hidden="1" customWidth="1"/>
    <col min="15363" max="15363" width="17.42578125" style="188" bestFit="1" customWidth="1"/>
    <col min="15364" max="15364" width="20.7109375" style="188" customWidth="1"/>
    <col min="15365" max="15365" width="20.140625" style="188" customWidth="1"/>
    <col min="15366" max="15613" width="9.140625" style="188"/>
    <col min="15614" max="15614" width="15.7109375" style="188" customWidth="1"/>
    <col min="15615" max="15615" width="41.5703125" style="188" customWidth="1"/>
    <col min="15616" max="15616" width="51" style="188" customWidth="1"/>
    <col min="15617" max="15618" width="0" style="188" hidden="1" customWidth="1"/>
    <col min="15619" max="15619" width="17.42578125" style="188" bestFit="1" customWidth="1"/>
    <col min="15620" max="15620" width="20.7109375" style="188" customWidth="1"/>
    <col min="15621" max="15621" width="20.140625" style="188" customWidth="1"/>
    <col min="15622" max="15869" width="9.140625" style="188"/>
    <col min="15870" max="15870" width="15.7109375" style="188" customWidth="1"/>
    <col min="15871" max="15871" width="41.5703125" style="188" customWidth="1"/>
    <col min="15872" max="15872" width="51" style="188" customWidth="1"/>
    <col min="15873" max="15874" width="0" style="188" hidden="1" customWidth="1"/>
    <col min="15875" max="15875" width="17.42578125" style="188" bestFit="1" customWidth="1"/>
    <col min="15876" max="15876" width="20.7109375" style="188" customWidth="1"/>
    <col min="15877" max="15877" width="20.140625" style="188" customWidth="1"/>
    <col min="15878" max="16125" width="9.140625" style="188"/>
    <col min="16126" max="16126" width="15.7109375" style="188" customWidth="1"/>
    <col min="16127" max="16127" width="41.5703125" style="188" customWidth="1"/>
    <col min="16128" max="16128" width="51" style="188" customWidth="1"/>
    <col min="16129" max="16130" width="0" style="188" hidden="1" customWidth="1"/>
    <col min="16131" max="16131" width="17.42578125" style="188" bestFit="1" customWidth="1"/>
    <col min="16132" max="16132" width="20.7109375" style="188" customWidth="1"/>
    <col min="16133" max="16133" width="20.140625" style="188" customWidth="1"/>
    <col min="16134" max="16384" width="9.140625" style="188"/>
  </cols>
  <sheetData>
    <row r="1" spans="1:19" ht="42" customHeight="1" x14ac:dyDescent="0.25">
      <c r="A1" s="841" t="str">
        <f>"Missio and Mill Hill Red Box Parish Results 2020 - Plymouth Diocese"</f>
        <v>Missio and Mill Hill Red Box Parish Results 2020 - Plymouth Diocese</v>
      </c>
      <c r="B1" s="248"/>
      <c r="C1" s="248"/>
      <c r="D1" s="167"/>
      <c r="E1" s="248"/>
      <c r="K1" s="757">
        <v>2020</v>
      </c>
      <c r="L1" s="757">
        <v>2020</v>
      </c>
      <c r="M1" s="757">
        <v>2020</v>
      </c>
      <c r="O1" s="248"/>
      <c r="P1" s="248"/>
      <c r="Q1" s="483"/>
      <c r="R1" s="248"/>
    </row>
    <row r="2" spans="1:19" ht="30" customHeight="1" x14ac:dyDescent="0.3">
      <c r="A2" s="622" t="s">
        <v>1</v>
      </c>
      <c r="B2" s="622" t="s">
        <v>7735</v>
      </c>
      <c r="C2" s="622" t="s">
        <v>3</v>
      </c>
      <c r="D2" s="622" t="s">
        <v>8214</v>
      </c>
      <c r="E2" s="622" t="s">
        <v>8165</v>
      </c>
      <c r="F2" s="622" t="s">
        <v>7809</v>
      </c>
      <c r="G2" s="622" t="s">
        <v>311</v>
      </c>
      <c r="H2" s="622" t="s">
        <v>312</v>
      </c>
      <c r="I2" s="622" t="s">
        <v>2</v>
      </c>
      <c r="J2" s="622" t="s">
        <v>10989</v>
      </c>
      <c r="K2" s="622" t="s">
        <v>7422</v>
      </c>
      <c r="L2" s="622" t="s">
        <v>10990</v>
      </c>
      <c r="M2" s="622" t="s">
        <v>10991</v>
      </c>
      <c r="N2" s="622">
        <v>2020</v>
      </c>
      <c r="O2" s="622">
        <f>ARU!P2</f>
        <v>2019</v>
      </c>
      <c r="P2" s="622">
        <v>2019</v>
      </c>
      <c r="Q2" s="622">
        <v>2018</v>
      </c>
      <c r="R2" s="622">
        <v>2017</v>
      </c>
      <c r="S2" s="622">
        <v>2016</v>
      </c>
    </row>
    <row r="3" spans="1:19" ht="30" customHeight="1" x14ac:dyDescent="0.2">
      <c r="A3" s="291" t="str">
        <f t="shared" ref="A3:A68" si="0">D3&amp;" / "&amp;E3</f>
        <v>PLY001 / 597</v>
      </c>
      <c r="B3" s="881" t="s">
        <v>7738</v>
      </c>
      <c r="C3" s="468" t="s">
        <v>8385</v>
      </c>
      <c r="D3" s="318" t="s">
        <v>4342</v>
      </c>
      <c r="E3" s="369" t="str">
        <f>VLOOKUP(D:D,'Master Table'!C:D,2,FALSE)</f>
        <v>597</v>
      </c>
      <c r="F3" s="769" t="s">
        <v>4342</v>
      </c>
      <c r="G3" s="769" t="s">
        <v>4343</v>
      </c>
      <c r="H3" s="769" t="s">
        <v>4344</v>
      </c>
      <c r="I3" s="769" t="s">
        <v>4345</v>
      </c>
      <c r="J3" s="769" t="s">
        <v>324</v>
      </c>
      <c r="K3" s="790">
        <v>204.46</v>
      </c>
      <c r="L3" s="790">
        <v>265</v>
      </c>
      <c r="M3" s="790">
        <v>98</v>
      </c>
      <c r="N3" s="312">
        <f>K3+L3+M3</f>
        <v>567.46</v>
      </c>
      <c r="O3" s="467">
        <f>VLOOKUP(D:D,'Master Table'!C:O,13,FALSE)</f>
        <v>1886.4899999999998</v>
      </c>
      <c r="P3" s="869">
        <f>O3+O4</f>
        <v>1916.4899999999998</v>
      </c>
      <c r="Q3" s="902">
        <v>2155.63</v>
      </c>
      <c r="R3" s="562">
        <v>3736.5099999999998</v>
      </c>
      <c r="S3" s="662">
        <v>1801.8</v>
      </c>
    </row>
    <row r="4" spans="1:19" ht="30" customHeight="1" x14ac:dyDescent="0.2">
      <c r="A4" s="291" t="str">
        <f t="shared" ref="A4" si="1">D4&amp;" / "&amp;E4</f>
        <v>PLY007 / 604</v>
      </c>
      <c r="B4" s="882"/>
      <c r="C4" s="469" t="s">
        <v>8300</v>
      </c>
      <c r="D4" s="318" t="s">
        <v>4361</v>
      </c>
      <c r="E4" s="369" t="str">
        <f>VLOOKUP(D:D,'Master Table'!C:D,2,FALSE)</f>
        <v>604</v>
      </c>
      <c r="F4" s="769" t="s">
        <v>4361</v>
      </c>
      <c r="G4" s="769" t="s">
        <v>4362</v>
      </c>
      <c r="H4" s="769" t="s">
        <v>4363</v>
      </c>
      <c r="I4" s="769" t="s">
        <v>4345</v>
      </c>
      <c r="J4" s="769" t="s">
        <v>324</v>
      </c>
      <c r="K4" s="790">
        <v>0</v>
      </c>
      <c r="L4" s="790">
        <v>30</v>
      </c>
      <c r="M4" s="790"/>
      <c r="N4" s="312">
        <f>K4+L4+M4</f>
        <v>30</v>
      </c>
      <c r="O4" s="467">
        <f>VLOOKUP(D:D,'Master Table'!C:O,13,FALSE)</f>
        <v>30</v>
      </c>
      <c r="P4" s="870"/>
      <c r="Q4" s="903"/>
      <c r="R4" s="562"/>
      <c r="S4" s="662"/>
    </row>
    <row r="5" spans="1:19" ht="30" customHeight="1" x14ac:dyDescent="0.2">
      <c r="A5" s="291" t="str">
        <f t="shared" si="0"/>
        <v>PLY002 / 0479482</v>
      </c>
      <c r="B5" s="193" t="s">
        <v>4345</v>
      </c>
      <c r="C5" s="193" t="s">
        <v>916</v>
      </c>
      <c r="D5" s="318" t="s">
        <v>4347</v>
      </c>
      <c r="E5" s="369" t="str">
        <f>VLOOKUP(D:D,'Master Table'!C:D,2,FALSE)</f>
        <v>0479482</v>
      </c>
      <c r="F5" s="769" t="s">
        <v>4347</v>
      </c>
      <c r="G5" s="769" t="s">
        <v>4348</v>
      </c>
      <c r="H5" s="769" t="s">
        <v>916</v>
      </c>
      <c r="I5" s="769" t="s">
        <v>4345</v>
      </c>
      <c r="J5" s="769" t="s">
        <v>324</v>
      </c>
      <c r="K5" s="790">
        <v>0</v>
      </c>
      <c r="L5" s="790"/>
      <c r="M5" s="790"/>
      <c r="N5" s="312">
        <f t="shared" ref="N5:N56" si="2">K5+L5+M5</f>
        <v>0</v>
      </c>
      <c r="O5" s="467">
        <f>VLOOKUP(D:D,'Master Table'!C:O,13,FALSE)</f>
        <v>0</v>
      </c>
      <c r="P5" s="657">
        <v>0</v>
      </c>
      <c r="Q5" s="562">
        <v>110</v>
      </c>
      <c r="R5" s="562">
        <v>100</v>
      </c>
      <c r="S5" s="662">
        <v>50</v>
      </c>
    </row>
    <row r="6" spans="1:19" ht="30" customHeight="1" x14ac:dyDescent="0.2">
      <c r="A6" s="291" t="str">
        <f t="shared" si="0"/>
        <v>PLY004 / 601</v>
      </c>
      <c r="B6" s="193" t="s">
        <v>4345</v>
      </c>
      <c r="C6" s="193" t="s">
        <v>7740</v>
      </c>
      <c r="D6" s="318" t="s">
        <v>4352</v>
      </c>
      <c r="E6" s="369" t="str">
        <f>VLOOKUP(D:D,'Master Table'!C:D,2,FALSE)</f>
        <v>601</v>
      </c>
      <c r="F6" s="769" t="s">
        <v>4352</v>
      </c>
      <c r="G6" s="769" t="s">
        <v>4353</v>
      </c>
      <c r="H6" s="769" t="s">
        <v>4354</v>
      </c>
      <c r="I6" s="769" t="s">
        <v>4345</v>
      </c>
      <c r="J6" s="769" t="s">
        <v>351</v>
      </c>
      <c r="K6" s="790">
        <v>0</v>
      </c>
      <c r="L6" s="790">
        <v>260</v>
      </c>
      <c r="M6" s="790"/>
      <c r="N6" s="312">
        <f t="shared" si="2"/>
        <v>260</v>
      </c>
      <c r="O6" s="467">
        <f>VLOOKUP(D:D,'Master Table'!C:O,13,FALSE)</f>
        <v>588.20000000000005</v>
      </c>
      <c r="P6" s="657">
        <v>588.20000000000005</v>
      </c>
      <c r="Q6" s="562">
        <v>778.9</v>
      </c>
      <c r="R6" s="562">
        <v>644.85</v>
      </c>
      <c r="S6" s="662">
        <v>42</v>
      </c>
    </row>
    <row r="7" spans="1:19" ht="30" customHeight="1" x14ac:dyDescent="0.2">
      <c r="A7" s="291" t="str">
        <f t="shared" si="0"/>
        <v>PLY005 / 602</v>
      </c>
      <c r="B7" s="193" t="s">
        <v>4345</v>
      </c>
      <c r="C7" s="193" t="s">
        <v>7741</v>
      </c>
      <c r="D7" s="318" t="s">
        <v>4355</v>
      </c>
      <c r="E7" s="369" t="str">
        <f>VLOOKUP(D:D,'Master Table'!C:D,2,FALSE)</f>
        <v>602</v>
      </c>
      <c r="F7" s="769" t="s">
        <v>4355</v>
      </c>
      <c r="G7" s="769" t="s">
        <v>4356</v>
      </c>
      <c r="H7" s="769" t="s">
        <v>4357</v>
      </c>
      <c r="I7" s="769" t="s">
        <v>4345</v>
      </c>
      <c r="J7" s="769" t="s">
        <v>351</v>
      </c>
      <c r="K7" s="790">
        <v>0</v>
      </c>
      <c r="L7" s="790">
        <v>50</v>
      </c>
      <c r="M7" s="790"/>
      <c r="N7" s="312">
        <f t="shared" si="2"/>
        <v>50</v>
      </c>
      <c r="O7" s="467">
        <f>VLOOKUP(D:D,'Master Table'!C:O,13,FALSE)</f>
        <v>530.43999999999994</v>
      </c>
      <c r="P7" s="657">
        <v>530.43999999999994</v>
      </c>
      <c r="Q7" s="562">
        <v>413.46000000000004</v>
      </c>
      <c r="R7" s="562">
        <v>295.45</v>
      </c>
      <c r="S7" s="662">
        <v>340.6</v>
      </c>
    </row>
    <row r="8" spans="1:19" ht="30" customHeight="1" x14ac:dyDescent="0.2">
      <c r="A8" s="291" t="str">
        <f t="shared" si="0"/>
        <v>PLY006 / 603</v>
      </c>
      <c r="B8" s="193" t="s">
        <v>4345</v>
      </c>
      <c r="C8" s="193" t="s">
        <v>72</v>
      </c>
      <c r="D8" s="318" t="s">
        <v>4358</v>
      </c>
      <c r="E8" s="369" t="str">
        <f>VLOOKUP(D:D,'Master Table'!C:D,2,FALSE)</f>
        <v>603</v>
      </c>
      <c r="F8" s="769" t="s">
        <v>4358</v>
      </c>
      <c r="G8" s="769" t="s">
        <v>4359</v>
      </c>
      <c r="H8" s="769" t="s">
        <v>72</v>
      </c>
      <c r="I8" s="769" t="s">
        <v>4345</v>
      </c>
      <c r="J8" s="769" t="s">
        <v>324</v>
      </c>
      <c r="K8" s="790">
        <v>714.23</v>
      </c>
      <c r="L8" s="790">
        <v>65</v>
      </c>
      <c r="M8" s="790"/>
      <c r="N8" s="312">
        <f t="shared" si="2"/>
        <v>779.23</v>
      </c>
      <c r="O8" s="467">
        <f>VLOOKUP(D:D,'Master Table'!C:O,13,FALSE)</f>
        <v>1312.25</v>
      </c>
      <c r="P8" s="657">
        <v>1312.25</v>
      </c>
      <c r="Q8" s="562">
        <v>1276.9100000000001</v>
      </c>
      <c r="R8" s="562">
        <v>1459.21</v>
      </c>
      <c r="S8" s="662">
        <v>1462.58</v>
      </c>
    </row>
    <row r="9" spans="1:19" ht="30" customHeight="1" x14ac:dyDescent="0.2">
      <c r="A9" s="291" t="str">
        <f t="shared" si="0"/>
        <v>PLY008 / 605</v>
      </c>
      <c r="B9" s="193" t="s">
        <v>4345</v>
      </c>
      <c r="C9" s="193" t="s">
        <v>7742</v>
      </c>
      <c r="D9" s="318" t="s">
        <v>4364</v>
      </c>
      <c r="E9" s="369" t="str">
        <f>VLOOKUP(D:D,'Master Table'!C:D,2,FALSE)</f>
        <v>605</v>
      </c>
      <c r="F9" s="769" t="s">
        <v>4364</v>
      </c>
      <c r="G9" s="769" t="s">
        <v>4365</v>
      </c>
      <c r="H9" s="769" t="s">
        <v>4366</v>
      </c>
      <c r="I9" s="769" t="s">
        <v>4345</v>
      </c>
      <c r="J9" s="769" t="s">
        <v>351</v>
      </c>
      <c r="K9" s="790">
        <v>580.75</v>
      </c>
      <c r="L9" s="790">
        <v>110</v>
      </c>
      <c r="M9" s="790">
        <v>2.4</v>
      </c>
      <c r="N9" s="312">
        <f t="shared" si="2"/>
        <v>693.15</v>
      </c>
      <c r="O9" s="467">
        <f>VLOOKUP(D:D,'Master Table'!C:O,13,FALSE)</f>
        <v>946.06999999999994</v>
      </c>
      <c r="P9" s="657">
        <v>946.06999999999994</v>
      </c>
      <c r="Q9" s="562">
        <v>955.41</v>
      </c>
      <c r="R9" s="562">
        <v>880.05</v>
      </c>
      <c r="S9" s="662">
        <v>878.06000000000006</v>
      </c>
    </row>
    <row r="10" spans="1:19" ht="30" customHeight="1" x14ac:dyDescent="0.2">
      <c r="A10" s="291" t="str">
        <f t="shared" si="0"/>
        <v>PLY009 / 606</v>
      </c>
      <c r="B10" s="193" t="s">
        <v>4345</v>
      </c>
      <c r="C10" s="193" t="s">
        <v>1065</v>
      </c>
      <c r="D10" s="318" t="s">
        <v>4367</v>
      </c>
      <c r="E10" s="369" t="str">
        <f>VLOOKUP(D:D,'Master Table'!C:D,2,FALSE)</f>
        <v>606</v>
      </c>
      <c r="F10" s="769" t="s">
        <v>4367</v>
      </c>
      <c r="G10" s="769" t="s">
        <v>4368</v>
      </c>
      <c r="H10" s="769" t="s">
        <v>276</v>
      </c>
      <c r="I10" s="769" t="s">
        <v>4345</v>
      </c>
      <c r="J10" s="769" t="s">
        <v>324</v>
      </c>
      <c r="K10" s="790">
        <v>123.64</v>
      </c>
      <c r="L10" s="790">
        <v>1216.58</v>
      </c>
      <c r="M10" s="790">
        <v>539.44000000000005</v>
      </c>
      <c r="N10" s="312">
        <f t="shared" si="2"/>
        <v>1879.66</v>
      </c>
      <c r="O10" s="467">
        <f>VLOOKUP(D:D,'Master Table'!C:O,13,FALSE)</f>
        <v>2485.89</v>
      </c>
      <c r="P10" s="657">
        <v>2485.89</v>
      </c>
      <c r="Q10" s="562">
        <v>2093.02</v>
      </c>
      <c r="R10" s="562">
        <v>3028.95</v>
      </c>
      <c r="S10" s="662">
        <v>2557.15</v>
      </c>
    </row>
    <row r="11" spans="1:19" ht="30" customHeight="1" x14ac:dyDescent="0.2">
      <c r="A11" s="291" t="str">
        <f t="shared" si="0"/>
        <v>PLY010 / 607</v>
      </c>
      <c r="B11" s="193" t="s">
        <v>4345</v>
      </c>
      <c r="C11" s="193" t="s">
        <v>4371</v>
      </c>
      <c r="D11" s="318" t="s">
        <v>4369</v>
      </c>
      <c r="E11" s="369" t="str">
        <f>VLOOKUP(D:D,'Master Table'!C:D,2,FALSE)</f>
        <v>607</v>
      </c>
      <c r="F11" s="769" t="s">
        <v>4369</v>
      </c>
      <c r="G11" s="769" t="s">
        <v>4370</v>
      </c>
      <c r="H11" s="769" t="s">
        <v>4371</v>
      </c>
      <c r="I11" s="769" t="s">
        <v>4372</v>
      </c>
      <c r="J11" s="769" t="s">
        <v>324</v>
      </c>
      <c r="K11" s="790">
        <v>29.98</v>
      </c>
      <c r="L11" s="790">
        <v>35</v>
      </c>
      <c r="M11" s="790">
        <v>50</v>
      </c>
      <c r="N11" s="312">
        <f t="shared" si="2"/>
        <v>114.98</v>
      </c>
      <c r="O11" s="467">
        <f>VLOOKUP(D:D,'Master Table'!C:O,13,FALSE)</f>
        <v>456.74</v>
      </c>
      <c r="P11" s="657">
        <v>456.74</v>
      </c>
      <c r="Q11" s="562">
        <v>280.07</v>
      </c>
      <c r="R11" s="562">
        <v>421.98</v>
      </c>
      <c r="S11" s="662">
        <v>437.77</v>
      </c>
    </row>
    <row r="12" spans="1:19" ht="30" customHeight="1" x14ac:dyDescent="0.2">
      <c r="A12" s="291" t="str">
        <f t="shared" si="0"/>
        <v>PLY011 / 0441997</v>
      </c>
      <c r="B12" s="193" t="s">
        <v>4345</v>
      </c>
      <c r="C12" s="193" t="s">
        <v>453</v>
      </c>
      <c r="D12" s="318" t="s">
        <v>4373</v>
      </c>
      <c r="E12" s="369" t="str">
        <f>VLOOKUP(D:D,'Master Table'!C:D,2,FALSE)</f>
        <v>0441997</v>
      </c>
      <c r="F12" s="769" t="s">
        <v>4373</v>
      </c>
      <c r="G12" s="769" t="s">
        <v>4374</v>
      </c>
      <c r="H12" s="769" t="s">
        <v>56</v>
      </c>
      <c r="I12" s="769" t="s">
        <v>4345</v>
      </c>
      <c r="J12" s="769" t="s">
        <v>324</v>
      </c>
      <c r="K12" s="790">
        <v>0</v>
      </c>
      <c r="L12" s="790"/>
      <c r="M12" s="790">
        <v>286</v>
      </c>
      <c r="N12" s="312">
        <f t="shared" si="2"/>
        <v>286</v>
      </c>
      <c r="O12" s="467">
        <f>VLOOKUP(D:D,'Master Table'!C:O,13,FALSE)</f>
        <v>223.18</v>
      </c>
      <c r="P12" s="657">
        <v>223.18</v>
      </c>
      <c r="Q12" s="562">
        <v>342.47</v>
      </c>
      <c r="R12" s="562">
        <v>52.14</v>
      </c>
      <c r="S12" s="662">
        <v>62</v>
      </c>
    </row>
    <row r="13" spans="1:19" ht="30" customHeight="1" x14ac:dyDescent="0.2">
      <c r="A13" s="291" t="str">
        <f t="shared" si="0"/>
        <v>PLY013 / 609</v>
      </c>
      <c r="B13" s="193" t="s">
        <v>4345</v>
      </c>
      <c r="C13" s="193" t="s">
        <v>1203</v>
      </c>
      <c r="D13" s="318" t="s">
        <v>4375</v>
      </c>
      <c r="E13" s="369" t="str">
        <f>VLOOKUP(D:D,'Master Table'!C:D,2,FALSE)</f>
        <v>609</v>
      </c>
      <c r="F13" s="769" t="s">
        <v>4375</v>
      </c>
      <c r="G13" s="769" t="s">
        <v>4376</v>
      </c>
      <c r="H13" s="769" t="s">
        <v>193</v>
      </c>
      <c r="I13" s="769" t="s">
        <v>4345</v>
      </c>
      <c r="J13" s="769" t="s">
        <v>324</v>
      </c>
      <c r="K13" s="790">
        <v>689.97</v>
      </c>
      <c r="L13" s="790">
        <v>130</v>
      </c>
      <c r="M13" s="790">
        <v>210</v>
      </c>
      <c r="N13" s="312">
        <f t="shared" si="2"/>
        <v>1029.97</v>
      </c>
      <c r="O13" s="467">
        <f>VLOOKUP(D:D,'Master Table'!C:O,13,FALSE)</f>
        <v>1934.95</v>
      </c>
      <c r="P13" s="657">
        <v>1934.95</v>
      </c>
      <c r="Q13" s="562">
        <v>1626.22</v>
      </c>
      <c r="R13" s="562">
        <v>1452.25</v>
      </c>
      <c r="S13" s="662">
        <v>1435.66</v>
      </c>
    </row>
    <row r="14" spans="1:19" ht="30" customHeight="1" x14ac:dyDescent="0.2">
      <c r="A14" s="291" t="str">
        <f t="shared" si="0"/>
        <v>PLY014 / 610</v>
      </c>
      <c r="B14" s="193" t="s">
        <v>4345</v>
      </c>
      <c r="C14" s="193" t="s">
        <v>938</v>
      </c>
      <c r="D14" s="318" t="s">
        <v>4377</v>
      </c>
      <c r="E14" s="369" t="str">
        <f>VLOOKUP(D:D,'Master Table'!C:D,2,FALSE)</f>
        <v>610</v>
      </c>
      <c r="F14" s="769" t="s">
        <v>4377</v>
      </c>
      <c r="G14" s="769" t="s">
        <v>4378</v>
      </c>
      <c r="H14" s="769" t="s">
        <v>4379</v>
      </c>
      <c r="I14" s="769" t="s">
        <v>4345</v>
      </c>
      <c r="J14" s="769" t="s">
        <v>324</v>
      </c>
      <c r="K14" s="790">
        <v>0</v>
      </c>
      <c r="L14" s="790">
        <v>320.04000000000002</v>
      </c>
      <c r="M14" s="790"/>
      <c r="N14" s="312">
        <f t="shared" si="2"/>
        <v>320.04000000000002</v>
      </c>
      <c r="O14" s="467">
        <f>VLOOKUP(D:D,'Master Table'!C:O,13,FALSE)</f>
        <v>1297.77</v>
      </c>
      <c r="P14" s="657">
        <v>1297.77</v>
      </c>
      <c r="Q14" s="562">
        <v>819.62</v>
      </c>
      <c r="R14" s="562">
        <v>876.15</v>
      </c>
      <c r="S14" s="662">
        <v>1057.6300000000001</v>
      </c>
    </row>
    <row r="15" spans="1:19" ht="30" customHeight="1" x14ac:dyDescent="0.2">
      <c r="A15" s="291" t="str">
        <f t="shared" si="0"/>
        <v>PLY015 / 611</v>
      </c>
      <c r="B15" s="193" t="s">
        <v>4382</v>
      </c>
      <c r="C15" s="193" t="s">
        <v>226</v>
      </c>
      <c r="D15" s="318" t="s">
        <v>4380</v>
      </c>
      <c r="E15" s="369" t="str">
        <f>VLOOKUP(D:D,'Master Table'!C:D,2,FALSE)</f>
        <v>611</v>
      </c>
      <c r="F15" s="769" t="s">
        <v>4380</v>
      </c>
      <c r="G15" s="769" t="s">
        <v>4381</v>
      </c>
      <c r="H15" s="769" t="s">
        <v>31</v>
      </c>
      <c r="I15" s="769" t="s">
        <v>4382</v>
      </c>
      <c r="J15" s="769" t="s">
        <v>324</v>
      </c>
      <c r="K15" s="790">
        <v>139.69</v>
      </c>
      <c r="L15" s="790">
        <v>200</v>
      </c>
      <c r="M15" s="790"/>
      <c r="N15" s="312">
        <f t="shared" si="2"/>
        <v>339.69</v>
      </c>
      <c r="O15" s="467">
        <f>VLOOKUP(D:D,'Master Table'!C:O,13,FALSE)</f>
        <v>300</v>
      </c>
      <c r="P15" s="657">
        <v>300</v>
      </c>
      <c r="Q15" s="562">
        <v>300</v>
      </c>
      <c r="R15" s="562">
        <v>275</v>
      </c>
      <c r="S15" s="662">
        <v>524.48</v>
      </c>
    </row>
    <row r="16" spans="1:19" ht="30" customHeight="1" x14ac:dyDescent="0.2">
      <c r="A16" s="291" t="str">
        <f t="shared" si="0"/>
        <v>PLY016 / 612</v>
      </c>
      <c r="B16" s="881" t="s">
        <v>7744</v>
      </c>
      <c r="C16" s="468" t="s">
        <v>8422</v>
      </c>
      <c r="D16" s="318" t="s">
        <v>4383</v>
      </c>
      <c r="E16" s="369" t="str">
        <f>VLOOKUP(D:D,'Master Table'!C:D,2,FALSE)</f>
        <v>612</v>
      </c>
      <c r="F16" s="769" t="s">
        <v>4383</v>
      </c>
      <c r="G16" s="769" t="s">
        <v>4384</v>
      </c>
      <c r="H16" s="769" t="s">
        <v>4385</v>
      </c>
      <c r="I16" s="769" t="s">
        <v>4386</v>
      </c>
      <c r="J16" s="769" t="s">
        <v>324</v>
      </c>
      <c r="K16" s="790">
        <v>295.08</v>
      </c>
      <c r="L16" s="790">
        <v>315</v>
      </c>
      <c r="M16" s="790"/>
      <c r="N16" s="312">
        <f t="shared" si="2"/>
        <v>610.07999999999993</v>
      </c>
      <c r="O16" s="467">
        <f>VLOOKUP(D:D,'Master Table'!C:O,13,FALSE)</f>
        <v>3092.59</v>
      </c>
      <c r="P16" s="869">
        <f>O16+O17</f>
        <v>3597.08</v>
      </c>
      <c r="Q16" s="902">
        <v>2443.25</v>
      </c>
      <c r="R16" s="562">
        <v>3129.98</v>
      </c>
      <c r="S16" s="662">
        <v>2551.59</v>
      </c>
    </row>
    <row r="17" spans="1:20" ht="30" customHeight="1" x14ac:dyDescent="0.2">
      <c r="A17" s="291" t="str">
        <f t="shared" ref="A17" si="3">D17&amp;" / "&amp;E17</f>
        <v>PLY016S / 443350</v>
      </c>
      <c r="B17" s="882" t="s">
        <v>7744</v>
      </c>
      <c r="C17" s="469" t="s">
        <v>8300</v>
      </c>
      <c r="D17" s="318" t="s">
        <v>4388</v>
      </c>
      <c r="E17" s="369">
        <f>VLOOKUP(D:D,'Master Table'!C:D,2,FALSE)</f>
        <v>443350</v>
      </c>
      <c r="F17" s="769" t="s">
        <v>4388</v>
      </c>
      <c r="G17" s="769" t="s">
        <v>11043</v>
      </c>
      <c r="H17" s="769" t="s">
        <v>4389</v>
      </c>
      <c r="I17" s="769" t="s">
        <v>4390</v>
      </c>
      <c r="J17" s="769" t="s">
        <v>324</v>
      </c>
      <c r="K17" s="790">
        <v>0</v>
      </c>
      <c r="L17" s="790"/>
      <c r="M17" s="790"/>
      <c r="N17" s="312">
        <f t="shared" si="2"/>
        <v>0</v>
      </c>
      <c r="O17" s="467">
        <f>VLOOKUP(D:D,'Master Table'!C:O,13,FALSE)</f>
        <v>504.49</v>
      </c>
      <c r="P17" s="870"/>
      <c r="Q17" s="903"/>
      <c r="R17" s="562"/>
      <c r="S17" s="662"/>
    </row>
    <row r="18" spans="1:20" ht="30" customHeight="1" x14ac:dyDescent="0.2">
      <c r="A18" s="291" t="str">
        <f t="shared" si="0"/>
        <v>PLY017 / 613</v>
      </c>
      <c r="B18" s="197" t="s">
        <v>7746</v>
      </c>
      <c r="C18" s="197" t="s">
        <v>7747</v>
      </c>
      <c r="D18" s="318" t="s">
        <v>4391</v>
      </c>
      <c r="E18" s="369" t="str">
        <f>VLOOKUP(D:D,'Master Table'!C:D,2,FALSE)</f>
        <v>613</v>
      </c>
      <c r="F18" s="769" t="s">
        <v>4391</v>
      </c>
      <c r="G18" s="769" t="s">
        <v>4392</v>
      </c>
      <c r="H18" s="769" t="s">
        <v>11044</v>
      </c>
      <c r="I18" s="769" t="s">
        <v>4393</v>
      </c>
      <c r="J18" s="769" t="s">
        <v>351</v>
      </c>
      <c r="K18" s="790">
        <v>0</v>
      </c>
      <c r="L18" s="790">
        <v>500</v>
      </c>
      <c r="M18" s="790"/>
      <c r="N18" s="312">
        <f t="shared" si="2"/>
        <v>500</v>
      </c>
      <c r="O18" s="467">
        <f>VLOOKUP(D:D,'Master Table'!C:O,13,FALSE)</f>
        <v>0</v>
      </c>
      <c r="P18" s="657">
        <v>0</v>
      </c>
      <c r="Q18" s="562">
        <v>870</v>
      </c>
      <c r="R18" s="562">
        <v>120</v>
      </c>
      <c r="S18" s="662">
        <v>60</v>
      </c>
    </row>
    <row r="19" spans="1:20" ht="30" customHeight="1" x14ac:dyDescent="0.2">
      <c r="A19" s="291" t="str">
        <f t="shared" si="0"/>
        <v>PLY018 / 614</v>
      </c>
      <c r="B19" s="193" t="s">
        <v>4397</v>
      </c>
      <c r="C19" s="193" t="s">
        <v>1284</v>
      </c>
      <c r="D19" s="318" t="s">
        <v>4395</v>
      </c>
      <c r="E19" s="369" t="str">
        <f>VLOOKUP(D:D,'Master Table'!C:D,2,FALSE)</f>
        <v>614</v>
      </c>
      <c r="F19" s="769" t="s">
        <v>4395</v>
      </c>
      <c r="G19" s="769" t="s">
        <v>4396</v>
      </c>
      <c r="H19" s="769" t="s">
        <v>47</v>
      </c>
      <c r="I19" s="769" t="s">
        <v>4397</v>
      </c>
      <c r="J19" s="769" t="s">
        <v>324</v>
      </c>
      <c r="K19" s="790">
        <v>0</v>
      </c>
      <c r="L19" s="790">
        <v>97</v>
      </c>
      <c r="M19" s="790"/>
      <c r="N19" s="312">
        <f t="shared" si="2"/>
        <v>97</v>
      </c>
      <c r="O19" s="467">
        <f>VLOOKUP(D:D,'Master Table'!C:O,13,FALSE)</f>
        <v>275.3</v>
      </c>
      <c r="P19" s="657">
        <v>275.3</v>
      </c>
      <c r="Q19" s="562">
        <v>314.7</v>
      </c>
      <c r="R19" s="562">
        <v>626.07999999999993</v>
      </c>
      <c r="S19" s="662">
        <v>544.32000000000005</v>
      </c>
    </row>
    <row r="20" spans="1:20" ht="30" customHeight="1" x14ac:dyDescent="0.2">
      <c r="A20" s="291" t="str">
        <f t="shared" si="0"/>
        <v>PLY018A / 147962</v>
      </c>
      <c r="B20" s="193" t="s">
        <v>4397</v>
      </c>
      <c r="C20" s="193" t="s">
        <v>1165</v>
      </c>
      <c r="D20" s="318" t="s">
        <v>4398</v>
      </c>
      <c r="E20" s="369" t="str">
        <f>VLOOKUP(D:D,'Master Table'!C:D,2,FALSE)</f>
        <v>147962</v>
      </c>
      <c r="F20" s="769" t="s">
        <v>4398</v>
      </c>
      <c r="G20" s="769" t="s">
        <v>4399</v>
      </c>
      <c r="H20" s="769" t="s">
        <v>238</v>
      </c>
      <c r="I20" s="769" t="s">
        <v>4400</v>
      </c>
      <c r="J20" s="769" t="s">
        <v>324</v>
      </c>
      <c r="K20" s="790">
        <v>301.14</v>
      </c>
      <c r="L20" s="790"/>
      <c r="M20" s="790"/>
      <c r="N20" s="312">
        <f t="shared" si="2"/>
        <v>301.14</v>
      </c>
      <c r="O20" s="467">
        <f>VLOOKUP(D:D,'Master Table'!C:O,13,FALSE)</f>
        <v>596.73</v>
      </c>
      <c r="P20" s="657">
        <v>596.73</v>
      </c>
      <c r="Q20" s="562">
        <v>239.49</v>
      </c>
      <c r="R20" s="562">
        <v>472.86</v>
      </c>
      <c r="S20" s="662">
        <v>362.14</v>
      </c>
    </row>
    <row r="21" spans="1:20" ht="30" customHeight="1" x14ac:dyDescent="0.2">
      <c r="A21" s="291" t="str">
        <f t="shared" si="0"/>
        <v>PLY019 / 615</v>
      </c>
      <c r="B21" s="193" t="s">
        <v>4404</v>
      </c>
      <c r="C21" s="193" t="s">
        <v>4403</v>
      </c>
      <c r="D21" s="318" t="s">
        <v>4401</v>
      </c>
      <c r="E21" s="369" t="str">
        <f>VLOOKUP(D:D,'Master Table'!C:D,2,FALSE)</f>
        <v>615</v>
      </c>
      <c r="F21" s="769" t="s">
        <v>4401</v>
      </c>
      <c r="G21" s="769" t="s">
        <v>4402</v>
      </c>
      <c r="H21" s="769" t="s">
        <v>4403</v>
      </c>
      <c r="I21" s="769" t="s">
        <v>4404</v>
      </c>
      <c r="J21" s="769" t="s">
        <v>324</v>
      </c>
      <c r="K21" s="790">
        <v>0</v>
      </c>
      <c r="L21" s="790">
        <v>448</v>
      </c>
      <c r="M21" s="790"/>
      <c r="N21" s="312">
        <f t="shared" si="2"/>
        <v>448</v>
      </c>
      <c r="O21" s="467">
        <f>VLOOKUP(D:D,'Master Table'!C:O,13,FALSE)</f>
        <v>563.08999999999992</v>
      </c>
      <c r="P21" s="657">
        <v>563.08999999999992</v>
      </c>
      <c r="Q21" s="562">
        <v>1040.3499999999999</v>
      </c>
      <c r="R21" s="562">
        <v>963.3</v>
      </c>
      <c r="S21" s="662">
        <v>1033.8600000000001</v>
      </c>
    </row>
    <row r="22" spans="1:20" ht="30" customHeight="1" x14ac:dyDescent="0.2">
      <c r="A22" s="291" t="str">
        <f t="shared" si="0"/>
        <v>PLY020 / 616</v>
      </c>
      <c r="B22" s="193" t="s">
        <v>4407</v>
      </c>
      <c r="C22" s="193" t="s">
        <v>226</v>
      </c>
      <c r="D22" s="318" t="s">
        <v>4405</v>
      </c>
      <c r="E22" s="369" t="str">
        <f>VLOOKUP(D:D,'Master Table'!C:D,2,FALSE)</f>
        <v>616</v>
      </c>
      <c r="F22" s="769" t="s">
        <v>4405</v>
      </c>
      <c r="G22" s="769" t="s">
        <v>4406</v>
      </c>
      <c r="H22" s="769" t="s">
        <v>31</v>
      </c>
      <c r="I22" s="769" t="s">
        <v>4407</v>
      </c>
      <c r="J22" s="769" t="s">
        <v>324</v>
      </c>
      <c r="K22" s="790">
        <v>0</v>
      </c>
      <c r="L22" s="790">
        <v>470</v>
      </c>
      <c r="M22" s="790"/>
      <c r="N22" s="312">
        <f t="shared" si="2"/>
        <v>470</v>
      </c>
      <c r="O22" s="467">
        <f>VLOOKUP(D:D,'Master Table'!C:O,13,FALSE)</f>
        <v>894.02</v>
      </c>
      <c r="P22" s="657">
        <v>894.02</v>
      </c>
      <c r="Q22" s="562">
        <v>495</v>
      </c>
      <c r="R22" s="562">
        <v>1083.3499999999999</v>
      </c>
      <c r="S22" s="662">
        <v>155</v>
      </c>
    </row>
    <row r="23" spans="1:20" ht="30" customHeight="1" x14ac:dyDescent="0.2">
      <c r="A23" s="291" t="str">
        <f t="shared" si="0"/>
        <v>PLY020C / 617</v>
      </c>
      <c r="B23" s="193" t="s">
        <v>4411</v>
      </c>
      <c r="C23" s="193" t="s">
        <v>1489</v>
      </c>
      <c r="D23" s="318" t="s">
        <v>4408</v>
      </c>
      <c r="E23" s="369" t="str">
        <f>VLOOKUP(D:D,'Master Table'!C:D,2,FALSE)</f>
        <v>617</v>
      </c>
      <c r="F23" s="769" t="s">
        <v>4408</v>
      </c>
      <c r="G23" s="769" t="s">
        <v>4409</v>
      </c>
      <c r="H23" s="769" t="s">
        <v>4410</v>
      </c>
      <c r="I23" s="769" t="s">
        <v>4411</v>
      </c>
      <c r="J23" s="769" t="s">
        <v>324</v>
      </c>
      <c r="K23" s="790">
        <v>0</v>
      </c>
      <c r="L23" s="790">
        <v>50</v>
      </c>
      <c r="M23" s="790"/>
      <c r="N23" s="312">
        <f t="shared" si="2"/>
        <v>50</v>
      </c>
      <c r="O23" s="467">
        <f>VLOOKUP(D:D,'Master Table'!C:O,13,FALSE)</f>
        <v>50</v>
      </c>
      <c r="P23" s="657">
        <v>50</v>
      </c>
      <c r="Q23" s="562">
        <v>182.93</v>
      </c>
      <c r="R23" s="562">
        <v>155</v>
      </c>
      <c r="S23" s="662">
        <v>204.9</v>
      </c>
    </row>
    <row r="24" spans="1:20" ht="30" customHeight="1" x14ac:dyDescent="0.2">
      <c r="A24" s="291" t="str">
        <f t="shared" si="0"/>
        <v>PLY020D / 618</v>
      </c>
      <c r="B24" s="193" t="s">
        <v>4415</v>
      </c>
      <c r="C24" s="193" t="s">
        <v>4414</v>
      </c>
      <c r="D24" s="318" t="s">
        <v>4412</v>
      </c>
      <c r="E24" s="369" t="str">
        <f>VLOOKUP(D:D,'Master Table'!C:D,2,FALSE)</f>
        <v>618</v>
      </c>
      <c r="F24" s="769" t="s">
        <v>4412</v>
      </c>
      <c r="G24" s="769" t="s">
        <v>4413</v>
      </c>
      <c r="H24" s="769" t="s">
        <v>4414</v>
      </c>
      <c r="I24" s="769" t="s">
        <v>4415</v>
      </c>
      <c r="J24" s="769" t="s">
        <v>324</v>
      </c>
      <c r="K24" s="790">
        <v>0</v>
      </c>
      <c r="L24" s="790">
        <v>90</v>
      </c>
      <c r="M24" s="790"/>
      <c r="N24" s="312">
        <f t="shared" si="2"/>
        <v>90</v>
      </c>
      <c r="O24" s="467">
        <f>VLOOKUP(D:D,'Master Table'!C:O,13,FALSE)</f>
        <v>267.55</v>
      </c>
      <c r="P24" s="657">
        <v>267.55</v>
      </c>
      <c r="Q24" s="562">
        <v>108.06</v>
      </c>
      <c r="R24" s="562">
        <v>216.27</v>
      </c>
      <c r="S24" s="662">
        <v>196.55</v>
      </c>
    </row>
    <row r="25" spans="1:20" ht="30" customHeight="1" x14ac:dyDescent="0.2">
      <c r="A25" s="291" t="str">
        <f t="shared" si="0"/>
        <v>PLY021 / 619</v>
      </c>
      <c r="B25" s="193" t="s">
        <v>49</v>
      </c>
      <c r="C25" s="193" t="s">
        <v>7278</v>
      </c>
      <c r="D25" s="318" t="s">
        <v>4417</v>
      </c>
      <c r="E25" s="369" t="str">
        <f>VLOOKUP(D:D,'Master Table'!C:D,2,FALSE)</f>
        <v>619</v>
      </c>
      <c r="F25" s="769" t="s">
        <v>4417</v>
      </c>
      <c r="G25" s="769" t="s">
        <v>4418</v>
      </c>
      <c r="H25" s="769" t="s">
        <v>4419</v>
      </c>
      <c r="I25" s="769" t="s">
        <v>49</v>
      </c>
      <c r="J25" s="769" t="s">
        <v>324</v>
      </c>
      <c r="K25" s="790">
        <v>0</v>
      </c>
      <c r="L25" s="790">
        <v>190</v>
      </c>
      <c r="M25" s="790"/>
      <c r="N25" s="312">
        <f t="shared" si="2"/>
        <v>190</v>
      </c>
      <c r="O25" s="467">
        <f>VLOOKUP(D:D,'Master Table'!C:O,13,FALSE)</f>
        <v>428.74</v>
      </c>
      <c r="P25" s="657">
        <v>428.74</v>
      </c>
      <c r="Q25" s="562">
        <v>404.93</v>
      </c>
      <c r="R25" s="562">
        <v>401.5</v>
      </c>
      <c r="S25" s="662">
        <v>565</v>
      </c>
    </row>
    <row r="26" spans="1:20" ht="30" customHeight="1" x14ac:dyDescent="0.2">
      <c r="A26" s="291" t="str">
        <f t="shared" si="0"/>
        <v>PLY022 / 620</v>
      </c>
      <c r="B26" s="193" t="s">
        <v>49</v>
      </c>
      <c r="C26" s="193" t="s">
        <v>2674</v>
      </c>
      <c r="D26" s="318" t="s">
        <v>4420</v>
      </c>
      <c r="E26" s="369" t="str">
        <f>VLOOKUP(D:D,'Master Table'!C:D,2,FALSE)</f>
        <v>620</v>
      </c>
      <c r="F26" s="769" t="s">
        <v>4420</v>
      </c>
      <c r="G26" s="769" t="s">
        <v>4421</v>
      </c>
      <c r="H26" s="769" t="s">
        <v>4422</v>
      </c>
      <c r="I26" s="769" t="s">
        <v>49</v>
      </c>
      <c r="J26" s="769" t="s">
        <v>324</v>
      </c>
      <c r="K26" s="790">
        <v>30.21</v>
      </c>
      <c r="L26" s="790">
        <v>135</v>
      </c>
      <c r="M26" s="790"/>
      <c r="N26" s="312">
        <f t="shared" si="2"/>
        <v>165.21</v>
      </c>
      <c r="O26" s="467">
        <f>VLOOKUP(D:D,'Master Table'!C:O,13,FALSE)</f>
        <v>314.46000000000004</v>
      </c>
      <c r="P26" s="657">
        <v>314.46000000000004</v>
      </c>
      <c r="Q26" s="562">
        <v>405.5</v>
      </c>
      <c r="R26" s="562">
        <v>613.58999999999992</v>
      </c>
      <c r="S26" s="662">
        <v>647.5</v>
      </c>
    </row>
    <row r="27" spans="1:20" ht="30" customHeight="1" x14ac:dyDescent="0.2">
      <c r="A27" s="291" t="str">
        <f t="shared" si="0"/>
        <v>PLY023 / 622</v>
      </c>
      <c r="B27" s="193" t="s">
        <v>7748</v>
      </c>
      <c r="C27" s="468" t="s">
        <v>3992</v>
      </c>
      <c r="D27" s="318" t="s">
        <v>4423</v>
      </c>
      <c r="E27" s="369" t="str">
        <f>VLOOKUP(D:D,'Master Table'!C:D,2,FALSE)</f>
        <v>622</v>
      </c>
      <c r="F27" s="769" t="s">
        <v>4423</v>
      </c>
      <c r="G27" s="769" t="s">
        <v>4424</v>
      </c>
      <c r="H27" s="769" t="s">
        <v>4425</v>
      </c>
      <c r="I27" s="769" t="s">
        <v>4426</v>
      </c>
      <c r="J27" s="769" t="s">
        <v>324</v>
      </c>
      <c r="K27" s="790">
        <v>203.57</v>
      </c>
      <c r="L27" s="790">
        <v>85</v>
      </c>
      <c r="M27" s="790"/>
      <c r="N27" s="312">
        <f t="shared" si="2"/>
        <v>288.57</v>
      </c>
      <c r="O27" s="467">
        <f>VLOOKUP(D:D,'Master Table'!C:O,13,FALSE)</f>
        <v>600.98</v>
      </c>
      <c r="P27" s="657">
        <v>600.98</v>
      </c>
      <c r="Q27" s="562">
        <v>471.82</v>
      </c>
      <c r="R27" s="562">
        <v>602.44000000000005</v>
      </c>
      <c r="S27" s="662">
        <v>618.79</v>
      </c>
    </row>
    <row r="28" spans="1:20" ht="30" customHeight="1" x14ac:dyDescent="0.2">
      <c r="A28" s="291" t="str">
        <f t="shared" si="0"/>
        <v>PLY024 / 623</v>
      </c>
      <c r="B28" s="910" t="s">
        <v>7750</v>
      </c>
      <c r="C28" s="468" t="s">
        <v>8255</v>
      </c>
      <c r="D28" s="557" t="s">
        <v>4427</v>
      </c>
      <c r="E28" s="369" t="str">
        <f>VLOOKUP(D:D,'Master Table'!C:D,2,FALSE)</f>
        <v>623</v>
      </c>
      <c r="F28" s="769" t="s">
        <v>4427</v>
      </c>
      <c r="G28" s="769" t="s">
        <v>4428</v>
      </c>
      <c r="H28" s="769" t="s">
        <v>4429</v>
      </c>
      <c r="I28" s="769" t="s">
        <v>4430</v>
      </c>
      <c r="J28" s="769" t="s">
        <v>351</v>
      </c>
      <c r="K28" s="790">
        <v>625.85</v>
      </c>
      <c r="L28" s="790">
        <v>25</v>
      </c>
      <c r="M28" s="790"/>
      <c r="N28" s="312">
        <f t="shared" si="2"/>
        <v>650.85</v>
      </c>
      <c r="O28" s="467">
        <f>VLOOKUP(D:D,'Master Table'!C:O,13,FALSE)</f>
        <v>70</v>
      </c>
      <c r="P28" s="869">
        <f>O28+O29+O30</f>
        <v>978.56999999999994</v>
      </c>
      <c r="Q28" s="893">
        <f>835.36+75+0</f>
        <v>910.36</v>
      </c>
      <c r="R28" s="562">
        <v>656.38</v>
      </c>
      <c r="S28" s="662">
        <v>808.82</v>
      </c>
    </row>
    <row r="29" spans="1:20" s="541" customFormat="1" ht="30" customHeight="1" x14ac:dyDescent="0.2">
      <c r="A29" s="291" t="str">
        <f t="shared" ref="A29" si="4">D29&amp;" / "&amp;E29</f>
        <v>PLY045 / 643</v>
      </c>
      <c r="B29" s="911"/>
      <c r="C29" s="559" t="s">
        <v>8256</v>
      </c>
      <c r="D29" s="557" t="s">
        <v>4516</v>
      </c>
      <c r="E29" s="369" t="str">
        <f>VLOOKUP(D:D,'Master Table'!C:D,2,FALSE)</f>
        <v>643</v>
      </c>
      <c r="F29" s="769" t="s">
        <v>4516</v>
      </c>
      <c r="G29" s="769" t="s">
        <v>4517</v>
      </c>
      <c r="H29" s="769" t="s">
        <v>4518</v>
      </c>
      <c r="I29" s="769" t="s">
        <v>4519</v>
      </c>
      <c r="J29" s="769" t="s">
        <v>324</v>
      </c>
      <c r="K29" s="790">
        <v>0</v>
      </c>
      <c r="L29" s="790">
        <v>175</v>
      </c>
      <c r="M29" s="790"/>
      <c r="N29" s="312">
        <f>K29+L29+M29</f>
        <v>175</v>
      </c>
      <c r="O29" s="467">
        <f>VLOOKUP(D:D,'Master Table'!C:O,13,FALSE)</f>
        <v>908.56999999999994</v>
      </c>
      <c r="P29" s="908"/>
      <c r="Q29" s="909"/>
      <c r="R29" s="563"/>
      <c r="S29" s="663"/>
    </row>
    <row r="30" spans="1:20" ht="30" customHeight="1" x14ac:dyDescent="0.2">
      <c r="A30" s="291" t="str">
        <f t="shared" ref="A30" si="5">D30&amp;" / "&amp;E30</f>
        <v>PLY045S / 651</v>
      </c>
      <c r="B30" s="912"/>
      <c r="C30" s="469" t="s">
        <v>8257</v>
      </c>
      <c r="D30" s="557" t="s">
        <v>8455</v>
      </c>
      <c r="E30" s="369">
        <f>VLOOKUP(D:D,'Master Table'!C:D,2,FALSE)</f>
        <v>651</v>
      </c>
      <c r="F30" s="769"/>
      <c r="G30" s="769"/>
      <c r="H30" s="769"/>
      <c r="I30" s="769"/>
      <c r="J30" s="769"/>
      <c r="K30" s="790"/>
      <c r="L30" s="790"/>
      <c r="M30" s="790"/>
      <c r="N30" s="312"/>
      <c r="O30" s="467">
        <f>VLOOKUP(D:D,'Master Table'!C:O,13,FALSE)</f>
        <v>0</v>
      </c>
      <c r="P30" s="870"/>
      <c r="Q30" s="894"/>
      <c r="R30" s="562"/>
      <c r="S30" s="662">
        <v>99</v>
      </c>
      <c r="T30" s="560"/>
    </row>
    <row r="31" spans="1:20" ht="30" customHeight="1" x14ac:dyDescent="0.2">
      <c r="A31" s="291" t="str">
        <f t="shared" si="0"/>
        <v>PLY025 / 624</v>
      </c>
      <c r="B31" s="197" t="s">
        <v>4435</v>
      </c>
      <c r="C31" s="558" t="s">
        <v>7752</v>
      </c>
      <c r="D31" s="318" t="s">
        <v>4432</v>
      </c>
      <c r="E31" s="369" t="str">
        <f>VLOOKUP(D:D,'Master Table'!C:D,2,FALSE)</f>
        <v>624</v>
      </c>
      <c r="F31" s="769" t="s">
        <v>4432</v>
      </c>
      <c r="G31" s="769" t="s">
        <v>4433</v>
      </c>
      <c r="H31" s="769" t="s">
        <v>11045</v>
      </c>
      <c r="I31" s="769" t="s">
        <v>4435</v>
      </c>
      <c r="J31" s="769" t="s">
        <v>351</v>
      </c>
      <c r="K31" s="790">
        <v>627.72</v>
      </c>
      <c r="L31" s="790">
        <v>370</v>
      </c>
      <c r="M31" s="790"/>
      <c r="N31" s="312">
        <f t="shared" si="2"/>
        <v>997.72</v>
      </c>
      <c r="O31" s="467">
        <f>VLOOKUP(D:D,'Master Table'!C:O,13,FALSE)</f>
        <v>1637.64</v>
      </c>
      <c r="P31" s="657">
        <v>1637.64</v>
      </c>
      <c r="Q31" s="562">
        <v>1747.36</v>
      </c>
      <c r="R31" s="562">
        <v>1753.09</v>
      </c>
      <c r="S31" s="662">
        <v>1104.56</v>
      </c>
    </row>
    <row r="32" spans="1:20" ht="30" customHeight="1" x14ac:dyDescent="0.2">
      <c r="A32" s="291" t="str">
        <f t="shared" si="0"/>
        <v>PLY026 / 625</v>
      </c>
      <c r="B32" s="193" t="s">
        <v>4443</v>
      </c>
      <c r="C32" s="193" t="s">
        <v>119</v>
      </c>
      <c r="D32" s="318" t="s">
        <v>4441</v>
      </c>
      <c r="E32" s="369" t="str">
        <f>VLOOKUP(D:D,'Master Table'!C:D,2,FALSE)</f>
        <v>625</v>
      </c>
      <c r="F32" s="769" t="s">
        <v>4441</v>
      </c>
      <c r="G32" s="769" t="s">
        <v>4442</v>
      </c>
      <c r="H32" s="769" t="s">
        <v>2120</v>
      </c>
      <c r="I32" s="769" t="s">
        <v>4443</v>
      </c>
      <c r="J32" s="769" t="s">
        <v>324</v>
      </c>
      <c r="K32" s="790">
        <v>545.21</v>
      </c>
      <c r="L32" s="790">
        <v>260</v>
      </c>
      <c r="M32" s="790"/>
      <c r="N32" s="312">
        <f t="shared" si="2"/>
        <v>805.21</v>
      </c>
      <c r="O32" s="467">
        <f>VLOOKUP(D:D,'Master Table'!C:O,13,FALSE)</f>
        <v>394.93</v>
      </c>
      <c r="P32" s="657">
        <v>394.93</v>
      </c>
      <c r="Q32" s="562">
        <v>490.55</v>
      </c>
      <c r="R32" s="562">
        <v>602.62</v>
      </c>
      <c r="S32" s="662">
        <v>610.97</v>
      </c>
    </row>
    <row r="33" spans="1:19" ht="30" customHeight="1" x14ac:dyDescent="0.2">
      <c r="A33" s="291" t="str">
        <f t="shared" si="0"/>
        <v>PLY027 / 626</v>
      </c>
      <c r="B33" s="193" t="s">
        <v>4447</v>
      </c>
      <c r="C33" s="193" t="s">
        <v>226</v>
      </c>
      <c r="D33" s="318" t="s">
        <v>4444</v>
      </c>
      <c r="E33" s="369" t="str">
        <f>VLOOKUP(D:D,'Master Table'!C:D,2,FALSE)</f>
        <v>626</v>
      </c>
      <c r="F33" s="769" t="s">
        <v>4444</v>
      </c>
      <c r="G33" s="769" t="s">
        <v>4445</v>
      </c>
      <c r="H33" s="769" t="s">
        <v>4446</v>
      </c>
      <c r="I33" s="769" t="s">
        <v>4447</v>
      </c>
      <c r="J33" s="769" t="s">
        <v>324</v>
      </c>
      <c r="K33" s="790">
        <v>0</v>
      </c>
      <c r="L33" s="790">
        <v>270</v>
      </c>
      <c r="M33" s="790">
        <v>88.99</v>
      </c>
      <c r="N33" s="312">
        <f t="shared" si="2"/>
        <v>358.99</v>
      </c>
      <c r="O33" s="467">
        <f>VLOOKUP(D:D,'Master Table'!C:O,13,FALSE)</f>
        <v>425.32</v>
      </c>
      <c r="P33" s="657">
        <v>425.32</v>
      </c>
      <c r="Q33" s="562">
        <v>295</v>
      </c>
      <c r="R33" s="562">
        <v>577.36</v>
      </c>
      <c r="S33" s="662">
        <v>265</v>
      </c>
    </row>
    <row r="34" spans="1:19" ht="30" customHeight="1" x14ac:dyDescent="0.2">
      <c r="A34" s="291" t="str">
        <f t="shared" si="0"/>
        <v>PLY028 / 627</v>
      </c>
      <c r="B34" s="193" t="s">
        <v>7753</v>
      </c>
      <c r="C34" s="193" t="s">
        <v>1065</v>
      </c>
      <c r="D34" s="318" t="s">
        <v>4449</v>
      </c>
      <c r="E34" s="369" t="str">
        <f>VLOOKUP(D:D,'Master Table'!C:D,2,FALSE)</f>
        <v>627</v>
      </c>
      <c r="F34" s="769" t="s">
        <v>4449</v>
      </c>
      <c r="G34" s="769" t="s">
        <v>4450</v>
      </c>
      <c r="H34" s="769" t="s">
        <v>276</v>
      </c>
      <c r="I34" s="769" t="s">
        <v>4451</v>
      </c>
      <c r="J34" s="769" t="s">
        <v>351</v>
      </c>
      <c r="K34" s="790">
        <v>510</v>
      </c>
      <c r="L34" s="790"/>
      <c r="M34" s="790"/>
      <c r="N34" s="312">
        <f t="shared" si="2"/>
        <v>510</v>
      </c>
      <c r="O34" s="467">
        <f>VLOOKUP(D:D,'Master Table'!C:O,13,FALSE)</f>
        <v>910</v>
      </c>
      <c r="P34" s="657">
        <v>910</v>
      </c>
      <c r="Q34" s="562">
        <v>920</v>
      </c>
      <c r="R34" s="562">
        <v>905</v>
      </c>
      <c r="S34" s="662">
        <v>780</v>
      </c>
    </row>
    <row r="35" spans="1:19" ht="30" customHeight="1" x14ac:dyDescent="0.2">
      <c r="A35" s="291" t="str">
        <f t="shared" si="0"/>
        <v>PLY029 / 628</v>
      </c>
      <c r="B35" s="193" t="s">
        <v>7754</v>
      </c>
      <c r="C35" s="193" t="s">
        <v>771</v>
      </c>
      <c r="D35" s="318" t="s">
        <v>4452</v>
      </c>
      <c r="E35" s="369" t="str">
        <f>VLOOKUP(D:D,'Master Table'!C:D,2,FALSE)</f>
        <v>628</v>
      </c>
      <c r="F35" s="769" t="s">
        <v>4452</v>
      </c>
      <c r="G35" s="769" t="s">
        <v>4453</v>
      </c>
      <c r="H35" s="769" t="s">
        <v>4454</v>
      </c>
      <c r="I35" s="769" t="s">
        <v>4455</v>
      </c>
      <c r="J35" s="769" t="s">
        <v>324</v>
      </c>
      <c r="K35" s="790">
        <v>226.49</v>
      </c>
      <c r="L35" s="790">
        <v>50</v>
      </c>
      <c r="M35" s="790"/>
      <c r="N35" s="312">
        <f t="shared" si="2"/>
        <v>276.49</v>
      </c>
      <c r="O35" s="467">
        <f>VLOOKUP(D:D,'Master Table'!C:O,13,FALSE)</f>
        <v>341.07</v>
      </c>
      <c r="P35" s="657">
        <v>341.07</v>
      </c>
      <c r="Q35" s="562">
        <v>125.39</v>
      </c>
      <c r="R35" s="562">
        <v>140.80000000000001</v>
      </c>
      <c r="S35" s="662">
        <v>205.93</v>
      </c>
    </row>
    <row r="36" spans="1:19" ht="30" customHeight="1" x14ac:dyDescent="0.2">
      <c r="A36" s="291" t="str">
        <f t="shared" si="0"/>
        <v>PLY030 / 629</v>
      </c>
      <c r="B36" s="193" t="s">
        <v>4459</v>
      </c>
      <c r="C36" s="193" t="s">
        <v>4458</v>
      </c>
      <c r="D36" s="318" t="s">
        <v>4456</v>
      </c>
      <c r="E36" s="369" t="str">
        <f>VLOOKUP(D:D,'Master Table'!C:D,2,FALSE)</f>
        <v>629</v>
      </c>
      <c r="F36" s="769" t="s">
        <v>4456</v>
      </c>
      <c r="G36" s="769" t="s">
        <v>4457</v>
      </c>
      <c r="H36" s="769" t="s">
        <v>11046</v>
      </c>
      <c r="I36" s="769" t="s">
        <v>4459</v>
      </c>
      <c r="J36" s="769" t="s">
        <v>351</v>
      </c>
      <c r="K36" s="790">
        <v>586.67999999999995</v>
      </c>
      <c r="L36" s="790">
        <v>245</v>
      </c>
      <c r="M36" s="790"/>
      <c r="N36" s="312">
        <f t="shared" si="2"/>
        <v>831.68</v>
      </c>
      <c r="O36" s="467">
        <f>VLOOKUP(D:D,'Master Table'!C:O,13,FALSE)</f>
        <v>654.30999999999995</v>
      </c>
      <c r="P36" s="657">
        <v>654.30999999999995</v>
      </c>
      <c r="Q36" s="562">
        <v>414.29</v>
      </c>
      <c r="R36" s="562">
        <v>479.9</v>
      </c>
      <c r="S36" s="662">
        <v>313.06</v>
      </c>
    </row>
    <row r="37" spans="1:19" ht="30" customHeight="1" x14ac:dyDescent="0.2">
      <c r="A37" s="291" t="str">
        <f t="shared" si="0"/>
        <v>PLY031 / 630</v>
      </c>
      <c r="B37" s="193" t="s">
        <v>7755</v>
      </c>
      <c r="C37" s="193" t="s">
        <v>7756</v>
      </c>
      <c r="D37" s="318" t="s">
        <v>4461</v>
      </c>
      <c r="E37" s="369" t="str">
        <f>VLOOKUP(D:D,'Master Table'!C:D,2,FALSE)</f>
        <v>630</v>
      </c>
      <c r="F37" s="769" t="s">
        <v>4461</v>
      </c>
      <c r="G37" s="769" t="s">
        <v>4462</v>
      </c>
      <c r="H37" s="769" t="s">
        <v>4463</v>
      </c>
      <c r="I37" s="769" t="s">
        <v>4426</v>
      </c>
      <c r="J37" s="769" t="s">
        <v>324</v>
      </c>
      <c r="K37" s="790">
        <v>136.36000000000001</v>
      </c>
      <c r="L37" s="790"/>
      <c r="M37" s="790"/>
      <c r="N37" s="312">
        <f t="shared" si="2"/>
        <v>136.36000000000001</v>
      </c>
      <c r="O37" s="467">
        <f>VLOOKUP(D:D,'Master Table'!C:O,13,FALSE)</f>
        <v>85.23</v>
      </c>
      <c r="P37" s="657">
        <v>85.23</v>
      </c>
      <c r="Q37" s="562">
        <v>90.79</v>
      </c>
      <c r="R37" s="562">
        <v>168.64</v>
      </c>
      <c r="S37" s="662">
        <v>126.44</v>
      </c>
    </row>
    <row r="38" spans="1:19" ht="30" customHeight="1" x14ac:dyDescent="0.2">
      <c r="A38" s="291" t="str">
        <f t="shared" si="0"/>
        <v>PLY032 / 147997</v>
      </c>
      <c r="B38" s="193" t="s">
        <v>7757</v>
      </c>
      <c r="C38" s="193" t="s">
        <v>2981</v>
      </c>
      <c r="D38" s="318" t="s">
        <v>4464</v>
      </c>
      <c r="E38" s="369" t="str">
        <f>VLOOKUP(D:D,'Master Table'!C:D,2,FALSE)</f>
        <v>147997</v>
      </c>
      <c r="F38" s="769" t="s">
        <v>4464</v>
      </c>
      <c r="G38" s="769" t="s">
        <v>4465</v>
      </c>
      <c r="H38" s="769" t="s">
        <v>4466</v>
      </c>
      <c r="I38" s="769" t="s">
        <v>4467</v>
      </c>
      <c r="J38" s="769" t="s">
        <v>324</v>
      </c>
      <c r="K38" s="790">
        <v>83</v>
      </c>
      <c r="L38" s="790">
        <v>10</v>
      </c>
      <c r="M38" s="790"/>
      <c r="N38" s="312">
        <f t="shared" si="2"/>
        <v>93</v>
      </c>
      <c r="O38" s="467">
        <f>VLOOKUP(D:D,'Master Table'!C:O,13,FALSE)</f>
        <v>387</v>
      </c>
      <c r="P38" s="657">
        <v>387</v>
      </c>
      <c r="Q38" s="562">
        <v>242.48</v>
      </c>
      <c r="R38" s="562">
        <v>714.66</v>
      </c>
      <c r="S38" s="662">
        <v>476.66</v>
      </c>
    </row>
    <row r="39" spans="1:19" ht="30" customHeight="1" x14ac:dyDescent="0.2">
      <c r="A39" s="291" t="str">
        <f t="shared" si="0"/>
        <v>PLY033 / 631</v>
      </c>
      <c r="B39" s="193" t="s">
        <v>7758</v>
      </c>
      <c r="C39" s="193" t="s">
        <v>7759</v>
      </c>
      <c r="D39" s="318" t="s">
        <v>4468</v>
      </c>
      <c r="E39" s="369" t="str">
        <f>VLOOKUP(D:D,'Master Table'!C:D,2,FALSE)</f>
        <v>631</v>
      </c>
      <c r="F39" s="769" t="s">
        <v>4468</v>
      </c>
      <c r="G39" s="769" t="s">
        <v>4469</v>
      </c>
      <c r="H39" s="769" t="s">
        <v>11047</v>
      </c>
      <c r="I39" s="769" t="s">
        <v>4471</v>
      </c>
      <c r="J39" s="769" t="s">
        <v>351</v>
      </c>
      <c r="K39" s="790">
        <v>0</v>
      </c>
      <c r="L39" s="790">
        <v>5</v>
      </c>
      <c r="M39" s="790"/>
      <c r="N39" s="312">
        <f t="shared" si="2"/>
        <v>5</v>
      </c>
      <c r="O39" s="467">
        <f>VLOOKUP(D:D,'Master Table'!C:O,13,FALSE)</f>
        <v>5</v>
      </c>
      <c r="P39" s="657">
        <v>5</v>
      </c>
      <c r="Q39" s="562">
        <v>55</v>
      </c>
      <c r="R39" s="562"/>
      <c r="S39" s="662">
        <v>5</v>
      </c>
    </row>
    <row r="40" spans="1:19" ht="30" customHeight="1" x14ac:dyDescent="0.2">
      <c r="A40" s="291" t="str">
        <f t="shared" si="0"/>
        <v>PLY034 / 632</v>
      </c>
      <c r="B40" s="193" t="s">
        <v>4474</v>
      </c>
      <c r="C40" s="193" t="s">
        <v>1008</v>
      </c>
      <c r="D40" s="318" t="s">
        <v>4472</v>
      </c>
      <c r="E40" s="369" t="str">
        <f>VLOOKUP(D:D,'Master Table'!C:D,2,FALSE)</f>
        <v>632</v>
      </c>
      <c r="F40" s="769" t="s">
        <v>4472</v>
      </c>
      <c r="G40" s="769" t="s">
        <v>4473</v>
      </c>
      <c r="H40" s="769" t="s">
        <v>1008</v>
      </c>
      <c r="I40" s="769" t="s">
        <v>4474</v>
      </c>
      <c r="J40" s="769" t="s">
        <v>324</v>
      </c>
      <c r="K40" s="790">
        <v>131</v>
      </c>
      <c r="L40" s="790">
        <v>95</v>
      </c>
      <c r="M40" s="790">
        <v>15</v>
      </c>
      <c r="N40" s="312">
        <f t="shared" si="2"/>
        <v>241</v>
      </c>
      <c r="O40" s="467">
        <f>VLOOKUP(D:D,'Master Table'!C:O,13,FALSE)</f>
        <v>242</v>
      </c>
      <c r="P40" s="657">
        <v>242</v>
      </c>
      <c r="Q40" s="562">
        <v>184.5</v>
      </c>
      <c r="R40" s="562">
        <v>244.4</v>
      </c>
      <c r="S40" s="662">
        <v>227</v>
      </c>
    </row>
    <row r="41" spans="1:19" ht="30" customHeight="1" x14ac:dyDescent="0.2">
      <c r="A41" s="291" t="str">
        <f t="shared" si="0"/>
        <v>PLY036 / 634</v>
      </c>
      <c r="B41" s="193" t="s">
        <v>4481</v>
      </c>
      <c r="C41" s="193" t="s">
        <v>1371</v>
      </c>
      <c r="D41" s="318" t="s">
        <v>4479</v>
      </c>
      <c r="E41" s="369" t="str">
        <f>VLOOKUP(D:D,'Master Table'!C:D,2,FALSE)</f>
        <v>634</v>
      </c>
      <c r="F41" s="769" t="s">
        <v>4479</v>
      </c>
      <c r="G41" s="769" t="s">
        <v>4480</v>
      </c>
      <c r="H41" s="769" t="s">
        <v>1054</v>
      </c>
      <c r="I41" s="769" t="s">
        <v>4481</v>
      </c>
      <c r="J41" s="769" t="s">
        <v>324</v>
      </c>
      <c r="K41" s="790">
        <v>0</v>
      </c>
      <c r="L41" s="790">
        <v>795</v>
      </c>
      <c r="M41" s="790">
        <v>202.36</v>
      </c>
      <c r="N41" s="312">
        <f t="shared" si="2"/>
        <v>997.36</v>
      </c>
      <c r="O41" s="467">
        <f>VLOOKUP(D:D,'Master Table'!C:O,13,FALSE)</f>
        <v>1156.9399999999998</v>
      </c>
      <c r="P41" s="657">
        <v>1156.9399999999998</v>
      </c>
      <c r="Q41" s="562">
        <v>1724.47</v>
      </c>
      <c r="R41" s="562">
        <v>1094.99</v>
      </c>
      <c r="S41" s="662">
        <v>1016.5600000000001</v>
      </c>
    </row>
    <row r="42" spans="1:19" ht="30" customHeight="1" x14ac:dyDescent="0.2">
      <c r="A42" s="291" t="str">
        <f t="shared" si="0"/>
        <v>PLY037 / 635</v>
      </c>
      <c r="B42" s="193" t="s">
        <v>4484</v>
      </c>
      <c r="C42" s="193" t="s">
        <v>231</v>
      </c>
      <c r="D42" s="318" t="s">
        <v>4482</v>
      </c>
      <c r="E42" s="369" t="str">
        <f>VLOOKUP(D:D,'Master Table'!C:D,2,FALSE)</f>
        <v>635</v>
      </c>
      <c r="F42" s="769" t="s">
        <v>4482</v>
      </c>
      <c r="G42" s="769" t="s">
        <v>4483</v>
      </c>
      <c r="H42" s="769" t="s">
        <v>428</v>
      </c>
      <c r="I42" s="769" t="s">
        <v>4484</v>
      </c>
      <c r="J42" s="769" t="s">
        <v>324</v>
      </c>
      <c r="K42" s="790">
        <v>197.5</v>
      </c>
      <c r="L42" s="790">
        <v>440</v>
      </c>
      <c r="M42" s="790"/>
      <c r="N42" s="312">
        <f t="shared" si="2"/>
        <v>637.5</v>
      </c>
      <c r="O42" s="467">
        <f>VLOOKUP(D:D,'Master Table'!C:O,13,FALSE)</f>
        <v>847.32999999999993</v>
      </c>
      <c r="P42" s="657">
        <v>847.32999999999993</v>
      </c>
      <c r="Q42" s="562">
        <v>1033</v>
      </c>
      <c r="R42" s="562">
        <v>670</v>
      </c>
      <c r="S42" s="662">
        <v>1367</v>
      </c>
    </row>
    <row r="43" spans="1:19" ht="30" customHeight="1" x14ac:dyDescent="0.2">
      <c r="A43" s="291" t="str">
        <f t="shared" si="0"/>
        <v>PLY038 / 636</v>
      </c>
      <c r="B43" s="193" t="s">
        <v>4484</v>
      </c>
      <c r="C43" s="193" t="s">
        <v>7366</v>
      </c>
      <c r="D43" s="318" t="s">
        <v>4486</v>
      </c>
      <c r="E43" s="369" t="str">
        <f>VLOOKUP(D:D,'Master Table'!C:D,2,FALSE)</f>
        <v>636</v>
      </c>
      <c r="F43" s="769" t="s">
        <v>4486</v>
      </c>
      <c r="G43" s="769" t="s">
        <v>4487</v>
      </c>
      <c r="H43" s="769" t="s">
        <v>2198</v>
      </c>
      <c r="I43" s="769" t="s">
        <v>4484</v>
      </c>
      <c r="J43" s="769" t="s">
        <v>324</v>
      </c>
      <c r="K43" s="790">
        <v>0</v>
      </c>
      <c r="L43" s="790">
        <v>160</v>
      </c>
      <c r="M43" s="790">
        <v>331.88</v>
      </c>
      <c r="N43" s="312">
        <f t="shared" si="2"/>
        <v>491.88</v>
      </c>
      <c r="O43" s="467">
        <f>VLOOKUP(D:D,'Master Table'!C:O,13,FALSE)</f>
        <v>343.21000000000004</v>
      </c>
      <c r="P43" s="657">
        <v>343.21000000000004</v>
      </c>
      <c r="Q43" s="562">
        <v>746.14</v>
      </c>
      <c r="R43" s="562">
        <v>255</v>
      </c>
      <c r="S43" s="662">
        <v>526.84</v>
      </c>
    </row>
    <row r="44" spans="1:19" ht="30" customHeight="1" x14ac:dyDescent="0.2">
      <c r="A44" s="291" t="str">
        <f t="shared" si="0"/>
        <v>PLY040 / 638</v>
      </c>
      <c r="B44" s="193" t="s">
        <v>4491</v>
      </c>
      <c r="C44" s="193" t="s">
        <v>7199</v>
      </c>
      <c r="D44" s="318" t="s">
        <v>4488</v>
      </c>
      <c r="E44" s="369" t="str">
        <f>VLOOKUP(D:D,'Master Table'!C:D,2,FALSE)</f>
        <v>638</v>
      </c>
      <c r="F44" s="769" t="s">
        <v>4488</v>
      </c>
      <c r="G44" s="769" t="s">
        <v>4489</v>
      </c>
      <c r="H44" s="769" t="s">
        <v>4490</v>
      </c>
      <c r="I44" s="769" t="s">
        <v>4491</v>
      </c>
      <c r="J44" s="769" t="s">
        <v>324</v>
      </c>
      <c r="K44" s="790">
        <v>0</v>
      </c>
      <c r="L44" s="790">
        <v>140</v>
      </c>
      <c r="M44" s="790"/>
      <c r="N44" s="312">
        <f t="shared" si="2"/>
        <v>140</v>
      </c>
      <c r="O44" s="467">
        <f>VLOOKUP(D:D,'Master Table'!C:O,13,FALSE)</f>
        <v>589.20000000000005</v>
      </c>
      <c r="P44" s="657">
        <v>589.20000000000005</v>
      </c>
      <c r="Q44" s="562">
        <v>432</v>
      </c>
      <c r="R44" s="562">
        <v>691</v>
      </c>
      <c r="S44" s="662">
        <v>382</v>
      </c>
    </row>
    <row r="45" spans="1:19" ht="30" customHeight="1" x14ac:dyDescent="0.2">
      <c r="A45" s="291" t="str">
        <f t="shared" si="0"/>
        <v>PLY041 / 639</v>
      </c>
      <c r="B45" s="193" t="s">
        <v>4495</v>
      </c>
      <c r="C45" s="193" t="s">
        <v>1670</v>
      </c>
      <c r="D45" s="318" t="s">
        <v>4492</v>
      </c>
      <c r="E45" s="369" t="str">
        <f>VLOOKUP(D:D,'Master Table'!C:D,2,FALSE)</f>
        <v>639</v>
      </c>
      <c r="F45" s="769" t="s">
        <v>4492</v>
      </c>
      <c r="G45" s="769" t="s">
        <v>4493</v>
      </c>
      <c r="H45" s="769" t="s">
        <v>4494</v>
      </c>
      <c r="I45" s="769" t="s">
        <v>4495</v>
      </c>
      <c r="J45" s="769" t="s">
        <v>324</v>
      </c>
      <c r="K45" s="790">
        <v>61.79</v>
      </c>
      <c r="L45" s="790">
        <v>695</v>
      </c>
      <c r="M45" s="790"/>
      <c r="N45" s="312">
        <f t="shared" si="2"/>
        <v>756.79</v>
      </c>
      <c r="O45" s="467">
        <f>VLOOKUP(D:D,'Master Table'!C:O,13,FALSE)</f>
        <v>1743.6</v>
      </c>
      <c r="P45" s="657">
        <v>1743.6</v>
      </c>
      <c r="Q45" s="562">
        <v>1734.22</v>
      </c>
      <c r="R45" s="562">
        <v>1861.63</v>
      </c>
      <c r="S45" s="662">
        <v>2057.9900000000002</v>
      </c>
    </row>
    <row r="46" spans="1:19" ht="30" customHeight="1" x14ac:dyDescent="0.2">
      <c r="A46" s="291" t="str">
        <f t="shared" si="0"/>
        <v>PLY042 / 640</v>
      </c>
      <c r="B46" s="193" t="s">
        <v>4503</v>
      </c>
      <c r="C46" s="193" t="s">
        <v>532</v>
      </c>
      <c r="D46" s="318" t="s">
        <v>4500</v>
      </c>
      <c r="E46" s="369" t="str">
        <f>VLOOKUP(D:D,'Master Table'!C:D,2,FALSE)</f>
        <v>640</v>
      </c>
      <c r="F46" s="769" t="s">
        <v>4500</v>
      </c>
      <c r="G46" s="769" t="s">
        <v>4501</v>
      </c>
      <c r="H46" s="769" t="s">
        <v>4502</v>
      </c>
      <c r="I46" s="769" t="s">
        <v>4503</v>
      </c>
      <c r="J46" s="769" t="s">
        <v>351</v>
      </c>
      <c r="K46" s="790">
        <v>101.66</v>
      </c>
      <c r="L46" s="790">
        <v>100</v>
      </c>
      <c r="M46" s="790"/>
      <c r="N46" s="312">
        <f t="shared" si="2"/>
        <v>201.66</v>
      </c>
      <c r="O46" s="467">
        <f>VLOOKUP(D:D,'Master Table'!C:O,13,FALSE)</f>
        <v>149.07999999999998</v>
      </c>
      <c r="P46" s="657">
        <v>149.07999999999998</v>
      </c>
      <c r="Q46" s="562">
        <v>207.03</v>
      </c>
      <c r="R46" s="562">
        <v>88.57</v>
      </c>
      <c r="S46" s="662">
        <v>166.1</v>
      </c>
    </row>
    <row r="47" spans="1:19" ht="30" customHeight="1" x14ac:dyDescent="0.2">
      <c r="A47" s="291" t="str">
        <f t="shared" si="0"/>
        <v>PLY043 / 641</v>
      </c>
      <c r="B47" s="193" t="s">
        <v>7760</v>
      </c>
      <c r="C47" s="193" t="s">
        <v>226</v>
      </c>
      <c r="D47" s="318" t="s">
        <v>4507</v>
      </c>
      <c r="E47" s="369" t="str">
        <f>VLOOKUP(D:D,'Master Table'!C:D,2,FALSE)</f>
        <v>641</v>
      </c>
      <c r="F47" s="769" t="s">
        <v>4507</v>
      </c>
      <c r="G47" s="769" t="s">
        <v>4508</v>
      </c>
      <c r="H47" s="769" t="s">
        <v>4509</v>
      </c>
      <c r="I47" s="769" t="s">
        <v>4495</v>
      </c>
      <c r="J47" s="769" t="s">
        <v>324</v>
      </c>
      <c r="K47" s="790">
        <v>295.2</v>
      </c>
      <c r="L47" s="790">
        <v>60</v>
      </c>
      <c r="M47" s="790"/>
      <c r="N47" s="312">
        <f t="shared" si="2"/>
        <v>355.2</v>
      </c>
      <c r="O47" s="467">
        <f>VLOOKUP(D:D,'Master Table'!C:O,13,FALSE)</f>
        <v>593.9</v>
      </c>
      <c r="P47" s="657">
        <v>593.9</v>
      </c>
      <c r="Q47" s="562">
        <v>465</v>
      </c>
      <c r="R47" s="562">
        <v>436.8</v>
      </c>
      <c r="S47" s="662">
        <v>483.55</v>
      </c>
    </row>
    <row r="48" spans="1:19" ht="30" customHeight="1" x14ac:dyDescent="0.2">
      <c r="A48" s="291" t="str">
        <f t="shared" si="0"/>
        <v>PLY044 / 642</v>
      </c>
      <c r="B48" s="193" t="s">
        <v>7761</v>
      </c>
      <c r="C48" s="193" t="s">
        <v>1584</v>
      </c>
      <c r="D48" s="318" t="s">
        <v>4513</v>
      </c>
      <c r="E48" s="369" t="str">
        <f>VLOOKUP(D:D,'Master Table'!C:D,2,FALSE)</f>
        <v>642</v>
      </c>
      <c r="F48" s="769" t="s">
        <v>4513</v>
      </c>
      <c r="G48" s="769" t="s">
        <v>4514</v>
      </c>
      <c r="H48" s="769" t="s">
        <v>335</v>
      </c>
      <c r="I48" s="769" t="s">
        <v>4515</v>
      </c>
      <c r="J48" s="769" t="s">
        <v>324</v>
      </c>
      <c r="K48" s="790">
        <v>201.73</v>
      </c>
      <c r="L48" s="790">
        <v>50</v>
      </c>
      <c r="M48" s="790"/>
      <c r="N48" s="312">
        <f t="shared" si="2"/>
        <v>251.73</v>
      </c>
      <c r="O48" s="467">
        <f>VLOOKUP(D:D,'Master Table'!C:O,13,FALSE)</f>
        <v>507.43999999999994</v>
      </c>
      <c r="P48" s="657">
        <v>507.43999999999994</v>
      </c>
      <c r="Q48" s="562">
        <v>506.81</v>
      </c>
      <c r="R48" s="562">
        <v>716.53</v>
      </c>
      <c r="S48" s="662">
        <v>724.80000000000007</v>
      </c>
    </row>
    <row r="49" spans="1:19" ht="30" customHeight="1" x14ac:dyDescent="0.2">
      <c r="A49" s="291" t="str">
        <f t="shared" si="0"/>
        <v>PLY046 / 644</v>
      </c>
      <c r="B49" s="193" t="s">
        <v>7764</v>
      </c>
      <c r="C49" s="193" t="s">
        <v>7765</v>
      </c>
      <c r="D49" s="318" t="s">
        <v>4521</v>
      </c>
      <c r="E49" s="369" t="str">
        <f>VLOOKUP(D:D,'Master Table'!C:D,2,FALSE)</f>
        <v>644</v>
      </c>
      <c r="F49" s="769" t="s">
        <v>4521</v>
      </c>
      <c r="G49" s="769" t="s">
        <v>4522</v>
      </c>
      <c r="H49" s="769" t="s">
        <v>4523</v>
      </c>
      <c r="I49" s="769" t="s">
        <v>4524</v>
      </c>
      <c r="J49" s="769" t="s">
        <v>324</v>
      </c>
      <c r="K49" s="790">
        <v>0</v>
      </c>
      <c r="L49" s="790">
        <v>335</v>
      </c>
      <c r="M49" s="790"/>
      <c r="N49" s="312">
        <f t="shared" si="2"/>
        <v>335</v>
      </c>
      <c r="O49" s="467">
        <f>VLOOKUP(D:D,'Master Table'!C:O,13,FALSE)</f>
        <v>76.95</v>
      </c>
      <c r="P49" s="657">
        <v>76.95</v>
      </c>
      <c r="Q49" s="562">
        <v>290.39999999999998</v>
      </c>
      <c r="R49" s="562">
        <v>702.21</v>
      </c>
      <c r="S49" s="662">
        <v>280.41000000000003</v>
      </c>
    </row>
    <row r="50" spans="1:19" ht="30" customHeight="1" x14ac:dyDescent="0.2">
      <c r="A50" s="291" t="str">
        <f t="shared" si="0"/>
        <v>PLY047 / 645</v>
      </c>
      <c r="B50" s="193" t="s">
        <v>7766</v>
      </c>
      <c r="C50" s="193" t="s">
        <v>7767</v>
      </c>
      <c r="D50" s="318" t="s">
        <v>4528</v>
      </c>
      <c r="E50" s="369" t="str">
        <f>VLOOKUP(D:D,'Master Table'!C:D,2,FALSE)</f>
        <v>645</v>
      </c>
      <c r="F50" s="769" t="s">
        <v>4528</v>
      </c>
      <c r="G50" s="769" t="s">
        <v>4529</v>
      </c>
      <c r="H50" s="769" t="s">
        <v>4530</v>
      </c>
      <c r="I50" s="769" t="s">
        <v>4531</v>
      </c>
      <c r="J50" s="769" t="s">
        <v>324</v>
      </c>
      <c r="K50" s="790">
        <v>0</v>
      </c>
      <c r="L50" s="790">
        <v>414</v>
      </c>
      <c r="M50" s="790"/>
      <c r="N50" s="312">
        <f t="shared" si="2"/>
        <v>414</v>
      </c>
      <c r="O50" s="467">
        <f>VLOOKUP(D:D,'Master Table'!C:O,13,FALSE)</f>
        <v>429.66999999999996</v>
      </c>
      <c r="P50" s="657">
        <v>429.66999999999996</v>
      </c>
      <c r="Q50" s="562">
        <v>420.53</v>
      </c>
      <c r="R50" s="562">
        <v>994.48</v>
      </c>
      <c r="S50" s="662">
        <v>758.83</v>
      </c>
    </row>
    <row r="51" spans="1:19" ht="30" customHeight="1" x14ac:dyDescent="0.2">
      <c r="A51" s="291" t="str">
        <f t="shared" si="0"/>
        <v>PLY049 / 647</v>
      </c>
      <c r="B51" s="193" t="s">
        <v>7768</v>
      </c>
      <c r="C51" s="193" t="s">
        <v>7769</v>
      </c>
      <c r="D51" s="318" t="s">
        <v>4536</v>
      </c>
      <c r="E51" s="369" t="str">
        <f>VLOOKUP(D:D,'Master Table'!C:D,2,FALSE)</f>
        <v>647</v>
      </c>
      <c r="F51" s="769" t="s">
        <v>4536</v>
      </c>
      <c r="G51" s="769" t="s">
        <v>4537</v>
      </c>
      <c r="H51" s="769" t="s">
        <v>4538</v>
      </c>
      <c r="I51" s="769" t="s">
        <v>4451</v>
      </c>
      <c r="J51" s="769" t="s">
        <v>351</v>
      </c>
      <c r="K51" s="790">
        <v>221.52</v>
      </c>
      <c r="L51" s="790">
        <v>535</v>
      </c>
      <c r="M51" s="790"/>
      <c r="N51" s="312">
        <f t="shared" si="2"/>
        <v>756.52</v>
      </c>
      <c r="O51" s="467">
        <f>VLOOKUP(D:D,'Master Table'!C:O,13,FALSE)</f>
        <v>2139.5700000000002</v>
      </c>
      <c r="P51" s="657">
        <v>2139.5700000000002</v>
      </c>
      <c r="Q51" s="562">
        <v>1109.96</v>
      </c>
      <c r="R51" s="562">
        <v>596.44000000000005</v>
      </c>
      <c r="S51" s="662">
        <v>407.84000000000003</v>
      </c>
    </row>
    <row r="52" spans="1:19" ht="30" customHeight="1" x14ac:dyDescent="0.2">
      <c r="A52" s="291" t="str">
        <f t="shared" si="0"/>
        <v>PLY050 / 648</v>
      </c>
      <c r="B52" s="193" t="s">
        <v>4542</v>
      </c>
      <c r="C52" s="193" t="s">
        <v>7770</v>
      </c>
      <c r="D52" s="318" t="s">
        <v>4539</v>
      </c>
      <c r="E52" s="369" t="str">
        <f>VLOOKUP(D:D,'Master Table'!C:D,2,FALSE)</f>
        <v>648</v>
      </c>
      <c r="F52" s="769" t="s">
        <v>4539</v>
      </c>
      <c r="G52" s="769" t="s">
        <v>4540</v>
      </c>
      <c r="H52" s="769" t="s">
        <v>4541</v>
      </c>
      <c r="I52" s="769" t="s">
        <v>4542</v>
      </c>
      <c r="J52" s="769" t="s">
        <v>351</v>
      </c>
      <c r="K52" s="790">
        <v>201.38</v>
      </c>
      <c r="L52" s="790">
        <v>345</v>
      </c>
      <c r="M52" s="790"/>
      <c r="N52" s="312">
        <f t="shared" si="2"/>
        <v>546.38</v>
      </c>
      <c r="O52" s="467">
        <f>VLOOKUP(D:D,'Master Table'!C:O,13,FALSE)</f>
        <v>350.22999999999996</v>
      </c>
      <c r="P52" s="657">
        <v>350.22999999999996</v>
      </c>
      <c r="Q52" s="562">
        <v>576.73</v>
      </c>
      <c r="R52" s="562">
        <v>754.22</v>
      </c>
      <c r="S52" s="662">
        <v>465.61</v>
      </c>
    </row>
    <row r="53" spans="1:19" ht="30" customHeight="1" x14ac:dyDescent="0.2">
      <c r="A53" s="291" t="str">
        <f t="shared" si="0"/>
        <v>PLY051 / 649</v>
      </c>
      <c r="B53" s="193" t="s">
        <v>7771</v>
      </c>
      <c r="C53" s="193" t="s">
        <v>7772</v>
      </c>
      <c r="D53" s="318" t="s">
        <v>4544</v>
      </c>
      <c r="E53" s="369" t="str">
        <f>VLOOKUP(D:D,'Master Table'!C:D,2,FALSE)</f>
        <v>649</v>
      </c>
      <c r="F53" s="769" t="s">
        <v>4544</v>
      </c>
      <c r="G53" s="769" t="s">
        <v>4545</v>
      </c>
      <c r="H53" s="769" t="s">
        <v>4546</v>
      </c>
      <c r="I53" s="769" t="s">
        <v>4547</v>
      </c>
      <c r="J53" s="769" t="s">
        <v>324</v>
      </c>
      <c r="K53" s="790">
        <v>0</v>
      </c>
      <c r="L53" s="790">
        <v>30</v>
      </c>
      <c r="M53" s="790">
        <v>5</v>
      </c>
      <c r="N53" s="312">
        <f t="shared" si="2"/>
        <v>35</v>
      </c>
      <c r="O53" s="467">
        <f>VLOOKUP(D:D,'Master Table'!C:O,13,FALSE)</f>
        <v>746.28</v>
      </c>
      <c r="P53" s="657">
        <v>746.28</v>
      </c>
      <c r="Q53" s="562">
        <v>531.93000000000006</v>
      </c>
      <c r="R53" s="562">
        <v>507.54</v>
      </c>
      <c r="S53" s="662">
        <v>524.26</v>
      </c>
    </row>
    <row r="54" spans="1:19" ht="30" customHeight="1" x14ac:dyDescent="0.2">
      <c r="A54" s="291" t="str">
        <f t="shared" si="0"/>
        <v>PLY052 / 650</v>
      </c>
      <c r="B54" s="193" t="s">
        <v>4554</v>
      </c>
      <c r="C54" s="193" t="s">
        <v>4553</v>
      </c>
      <c r="D54" s="318" t="s">
        <v>4551</v>
      </c>
      <c r="E54" s="369" t="str">
        <f>VLOOKUP(D:D,'Master Table'!C:D,2,FALSE)</f>
        <v>650</v>
      </c>
      <c r="F54" s="769" t="s">
        <v>4551</v>
      </c>
      <c r="G54" s="769" t="s">
        <v>4552</v>
      </c>
      <c r="H54" s="769" t="s">
        <v>4553</v>
      </c>
      <c r="I54" s="769" t="s">
        <v>4554</v>
      </c>
      <c r="J54" s="769" t="s">
        <v>324</v>
      </c>
      <c r="K54" s="790">
        <v>198.5</v>
      </c>
      <c r="L54" s="790">
        <v>490</v>
      </c>
      <c r="M54" s="790">
        <v>45</v>
      </c>
      <c r="N54" s="312">
        <f t="shared" si="2"/>
        <v>733.5</v>
      </c>
      <c r="O54" s="467">
        <f>VLOOKUP(D:D,'Master Table'!C:O,13,FALSE)</f>
        <v>781</v>
      </c>
      <c r="P54" s="657">
        <v>781</v>
      </c>
      <c r="Q54" s="562">
        <v>814.33</v>
      </c>
      <c r="R54" s="562">
        <v>873.61</v>
      </c>
      <c r="S54" s="662">
        <v>675.67</v>
      </c>
    </row>
    <row r="55" spans="1:19" ht="30" customHeight="1" x14ac:dyDescent="0.2">
      <c r="A55" s="291" t="str">
        <f t="shared" si="0"/>
        <v>PLY054 / 652</v>
      </c>
      <c r="B55" s="193" t="s">
        <v>7776</v>
      </c>
      <c r="C55" s="193" t="s">
        <v>1355</v>
      </c>
      <c r="D55" s="318" t="s">
        <v>4558</v>
      </c>
      <c r="E55" s="369" t="str">
        <f>VLOOKUP(D:D,'Master Table'!C:D,2,FALSE)</f>
        <v>652</v>
      </c>
      <c r="F55" s="769" t="s">
        <v>4558</v>
      </c>
      <c r="G55" s="769" t="s">
        <v>4559</v>
      </c>
      <c r="H55" s="769" t="s">
        <v>4560</v>
      </c>
      <c r="I55" s="769" t="s">
        <v>4561</v>
      </c>
      <c r="J55" s="769" t="s">
        <v>324</v>
      </c>
      <c r="K55" s="790">
        <v>390</v>
      </c>
      <c r="L55" s="790">
        <v>795</v>
      </c>
      <c r="M55" s="790"/>
      <c r="N55" s="312">
        <f t="shared" si="2"/>
        <v>1185</v>
      </c>
      <c r="O55" s="467">
        <f>VLOOKUP(D:D,'Master Table'!C:O,13,FALSE)</f>
        <v>1627.92</v>
      </c>
      <c r="P55" s="657">
        <v>1627.92</v>
      </c>
      <c r="Q55" s="562">
        <v>1070.6500000000001</v>
      </c>
      <c r="R55" s="562">
        <v>1951.28</v>
      </c>
      <c r="S55" s="662">
        <v>1884.1000000000001</v>
      </c>
    </row>
    <row r="56" spans="1:19" ht="30" customHeight="1" x14ac:dyDescent="0.2">
      <c r="A56" s="291" t="str">
        <f t="shared" si="0"/>
        <v>PLY055 / 653</v>
      </c>
      <c r="B56" s="193" t="s">
        <v>7777</v>
      </c>
      <c r="C56" s="193" t="s">
        <v>7778</v>
      </c>
      <c r="D56" s="318" t="s">
        <v>4565</v>
      </c>
      <c r="E56" s="369" t="str">
        <f>VLOOKUP(D:D,'Master Table'!C:D,2,FALSE)</f>
        <v>653</v>
      </c>
      <c r="F56" s="769" t="s">
        <v>4565</v>
      </c>
      <c r="G56" s="769" t="s">
        <v>4566</v>
      </c>
      <c r="H56" s="769" t="s">
        <v>11048</v>
      </c>
      <c r="I56" s="769" t="s">
        <v>4568</v>
      </c>
      <c r="J56" s="769" t="s">
        <v>351</v>
      </c>
      <c r="K56" s="790">
        <v>2292.61</v>
      </c>
      <c r="L56" s="790">
        <v>6067</v>
      </c>
      <c r="M56" s="790"/>
      <c r="N56" s="312">
        <f t="shared" si="2"/>
        <v>8359.61</v>
      </c>
      <c r="O56" s="467">
        <f>VLOOKUP(D:D,'Master Table'!C:O,13,FALSE)</f>
        <v>10137.76</v>
      </c>
      <c r="P56" s="657">
        <v>10137.76</v>
      </c>
      <c r="Q56" s="562">
        <v>7174.59</v>
      </c>
      <c r="R56" s="562">
        <v>6995.5499999999993</v>
      </c>
      <c r="S56" s="662">
        <v>7955.13</v>
      </c>
    </row>
    <row r="57" spans="1:19" ht="30" customHeight="1" x14ac:dyDescent="0.2">
      <c r="A57" s="291" t="str">
        <f t="shared" si="0"/>
        <v>PLY056 / 654</v>
      </c>
      <c r="B57" s="193" t="s">
        <v>4426</v>
      </c>
      <c r="C57" s="193" t="s">
        <v>532</v>
      </c>
      <c r="D57" s="318" t="s">
        <v>4572</v>
      </c>
      <c r="E57" s="369" t="str">
        <f>VLOOKUP(D:D,'Master Table'!C:D,2,FALSE)</f>
        <v>654</v>
      </c>
      <c r="F57" s="769" t="s">
        <v>4572</v>
      </c>
      <c r="G57" s="769" t="s">
        <v>4573</v>
      </c>
      <c r="H57" s="769" t="s">
        <v>61</v>
      </c>
      <c r="I57" s="769" t="s">
        <v>4426</v>
      </c>
      <c r="J57" s="769" t="s">
        <v>351</v>
      </c>
      <c r="K57" s="790">
        <v>0</v>
      </c>
      <c r="L57" s="790">
        <v>1975</v>
      </c>
      <c r="M57" s="790"/>
      <c r="N57" s="312">
        <f t="shared" ref="N57:N99" si="6">K57+L57+M57</f>
        <v>1975</v>
      </c>
      <c r="O57" s="467">
        <f>VLOOKUP(D:D,'Master Table'!C:O,13,FALSE)</f>
        <v>3797.04</v>
      </c>
      <c r="P57" s="657">
        <v>3797.04</v>
      </c>
      <c r="Q57" s="562">
        <v>4215.09</v>
      </c>
      <c r="R57" s="562">
        <v>4319.1000000000004</v>
      </c>
      <c r="S57" s="662">
        <v>4695.66</v>
      </c>
    </row>
    <row r="58" spans="1:19" ht="30" customHeight="1" x14ac:dyDescent="0.2">
      <c r="A58" s="291" t="str">
        <f t="shared" si="0"/>
        <v>PLY057 / 655</v>
      </c>
      <c r="B58" s="193" t="s">
        <v>4582</v>
      </c>
      <c r="C58" s="193" t="s">
        <v>2981</v>
      </c>
      <c r="D58" s="318" t="s">
        <v>4580</v>
      </c>
      <c r="E58" s="369" t="str">
        <f>VLOOKUP(D:D,'Master Table'!C:D,2,FALSE)</f>
        <v>655</v>
      </c>
      <c r="F58" s="769" t="s">
        <v>4580</v>
      </c>
      <c r="G58" s="769" t="s">
        <v>4581</v>
      </c>
      <c r="H58" s="769" t="s">
        <v>242</v>
      </c>
      <c r="I58" s="769" t="s">
        <v>4582</v>
      </c>
      <c r="J58" s="769" t="s">
        <v>351</v>
      </c>
      <c r="K58" s="790">
        <v>500</v>
      </c>
      <c r="L58" s="790">
        <v>300</v>
      </c>
      <c r="M58" s="790"/>
      <c r="N58" s="312">
        <f t="shared" si="6"/>
        <v>800</v>
      </c>
      <c r="O58" s="467">
        <f>VLOOKUP(D:D,'Master Table'!C:O,13,FALSE)</f>
        <v>899.58999999999992</v>
      </c>
      <c r="P58" s="657">
        <v>899.58999999999992</v>
      </c>
      <c r="Q58" s="562">
        <v>947.5</v>
      </c>
      <c r="R58" s="562">
        <v>1183.3</v>
      </c>
      <c r="S58" s="662">
        <v>1200</v>
      </c>
    </row>
    <row r="59" spans="1:19" ht="30" customHeight="1" x14ac:dyDescent="0.2">
      <c r="A59" s="291" t="str">
        <f t="shared" si="0"/>
        <v>PLY058 / 656</v>
      </c>
      <c r="B59" s="193" t="s">
        <v>7779</v>
      </c>
      <c r="C59" s="193" t="s">
        <v>7660</v>
      </c>
      <c r="D59" s="318" t="s">
        <v>4586</v>
      </c>
      <c r="E59" s="369" t="str">
        <f>VLOOKUP(D:D,'Master Table'!C:D,2,FALSE)</f>
        <v>656</v>
      </c>
      <c r="F59" s="769" t="s">
        <v>4586</v>
      </c>
      <c r="G59" s="769" t="s">
        <v>4587</v>
      </c>
      <c r="H59" s="769" t="s">
        <v>4588</v>
      </c>
      <c r="I59" s="769" t="s">
        <v>4589</v>
      </c>
      <c r="J59" s="769" t="s">
        <v>324</v>
      </c>
      <c r="K59" s="790">
        <v>0</v>
      </c>
      <c r="L59" s="790">
        <v>210</v>
      </c>
      <c r="M59" s="790">
        <v>172.17</v>
      </c>
      <c r="N59" s="312">
        <f t="shared" si="6"/>
        <v>382.16999999999996</v>
      </c>
      <c r="O59" s="467">
        <f>VLOOKUP(D:D,'Master Table'!C:O,13,FALSE)</f>
        <v>888.69</v>
      </c>
      <c r="P59" s="657">
        <v>888.69</v>
      </c>
      <c r="Q59" s="562">
        <v>1063.5</v>
      </c>
      <c r="R59" s="562">
        <v>1136.97</v>
      </c>
      <c r="S59" s="662">
        <v>1167.8800000000001</v>
      </c>
    </row>
    <row r="60" spans="1:19" ht="30" customHeight="1" x14ac:dyDescent="0.2">
      <c r="A60" s="291" t="str">
        <f t="shared" si="0"/>
        <v>PLY059 / 657</v>
      </c>
      <c r="B60" s="193" t="s">
        <v>4593</v>
      </c>
      <c r="C60" s="468" t="s">
        <v>7780</v>
      </c>
      <c r="D60" s="318" t="s">
        <v>4590</v>
      </c>
      <c r="E60" s="369" t="str">
        <f>VLOOKUP(D:D,'Master Table'!C:D,2,FALSE)</f>
        <v>657</v>
      </c>
      <c r="F60" s="769" t="s">
        <v>4590</v>
      </c>
      <c r="G60" s="769" t="s">
        <v>4591</v>
      </c>
      <c r="H60" s="769" t="s">
        <v>4592</v>
      </c>
      <c r="I60" s="769" t="s">
        <v>4593</v>
      </c>
      <c r="J60" s="769" t="s">
        <v>324</v>
      </c>
      <c r="K60" s="790">
        <v>0</v>
      </c>
      <c r="L60" s="790">
        <v>180</v>
      </c>
      <c r="M60" s="790"/>
      <c r="N60" s="312">
        <f t="shared" si="6"/>
        <v>180</v>
      </c>
      <c r="O60" s="467">
        <f>VLOOKUP(D:D,'Master Table'!C:O,13,FALSE)</f>
        <v>190</v>
      </c>
      <c r="P60" s="657">
        <v>190</v>
      </c>
      <c r="Q60" s="562">
        <v>215</v>
      </c>
      <c r="R60" s="562">
        <v>216</v>
      </c>
      <c r="S60" s="662">
        <v>320.92</v>
      </c>
    </row>
    <row r="61" spans="1:19" ht="30" customHeight="1" x14ac:dyDescent="0.2">
      <c r="A61" s="291" t="str">
        <f t="shared" si="0"/>
        <v>PLY060 / 658</v>
      </c>
      <c r="B61" s="910" t="s">
        <v>7782</v>
      </c>
      <c r="C61" s="536" t="s">
        <v>8352</v>
      </c>
      <c r="D61" s="557" t="s">
        <v>4594</v>
      </c>
      <c r="E61" s="369" t="str">
        <f>VLOOKUP(D:D,'Master Table'!C:D,2,FALSE)</f>
        <v>658</v>
      </c>
      <c r="F61" s="769" t="s">
        <v>4594</v>
      </c>
      <c r="G61" s="769" t="s">
        <v>4595</v>
      </c>
      <c r="H61" s="769" t="s">
        <v>4596</v>
      </c>
      <c r="I61" s="769" t="s">
        <v>4503</v>
      </c>
      <c r="J61" s="769" t="s">
        <v>351</v>
      </c>
      <c r="K61" s="790">
        <v>0</v>
      </c>
      <c r="L61" s="790">
        <v>115</v>
      </c>
      <c r="M61" s="790">
        <v>195.39</v>
      </c>
      <c r="N61" s="312">
        <f t="shared" si="6"/>
        <v>310.39</v>
      </c>
      <c r="O61" s="467">
        <f>VLOOKUP(D:D,'Master Table'!C:O,13,FALSE)</f>
        <v>752.5</v>
      </c>
      <c r="P61" s="869">
        <f>O61+O62</f>
        <v>1442.5</v>
      </c>
      <c r="Q61" s="902">
        <v>1609.58</v>
      </c>
      <c r="R61" s="562">
        <v>1612.5</v>
      </c>
      <c r="S61" s="662">
        <v>848.87</v>
      </c>
    </row>
    <row r="62" spans="1:19" s="541" customFormat="1" ht="30" customHeight="1" x14ac:dyDescent="0.2">
      <c r="A62" s="291" t="str">
        <f t="shared" ref="A62" si="7">D62&amp;" / "&amp;E62</f>
        <v>PLY069 / 667</v>
      </c>
      <c r="B62" s="912"/>
      <c r="C62" s="561" t="s">
        <v>8351</v>
      </c>
      <c r="D62" s="557" t="s">
        <v>4621</v>
      </c>
      <c r="E62" s="369" t="str">
        <f>VLOOKUP(D:D,'Master Table'!C:D,2,FALSE)</f>
        <v>667</v>
      </c>
      <c r="F62" s="769" t="s">
        <v>4621</v>
      </c>
      <c r="G62" s="769" t="s">
        <v>4622</v>
      </c>
      <c r="H62" s="769" t="s">
        <v>4623</v>
      </c>
      <c r="I62" s="769" t="s">
        <v>4503</v>
      </c>
      <c r="J62" s="769" t="s">
        <v>351</v>
      </c>
      <c r="K62" s="790">
        <v>0</v>
      </c>
      <c r="L62" s="790">
        <v>40</v>
      </c>
      <c r="M62" s="790">
        <v>185.26</v>
      </c>
      <c r="N62" s="312">
        <f>K62+L62+M62</f>
        <v>225.26</v>
      </c>
      <c r="O62" s="467">
        <f>VLOOKUP(D:D,'Master Table'!C:O,13,FALSE)</f>
        <v>690</v>
      </c>
      <c r="P62" s="870"/>
      <c r="Q62" s="903"/>
      <c r="R62" s="563"/>
      <c r="S62" s="663">
        <v>806.57</v>
      </c>
    </row>
    <row r="63" spans="1:19" ht="30" customHeight="1" x14ac:dyDescent="0.2">
      <c r="A63" s="291" t="str">
        <f t="shared" si="0"/>
        <v>PLY062 / 660</v>
      </c>
      <c r="B63" s="193" t="s">
        <v>4605</v>
      </c>
      <c r="C63" s="469" t="s">
        <v>226</v>
      </c>
      <c r="D63" s="318" t="s">
        <v>4603</v>
      </c>
      <c r="E63" s="369" t="str">
        <f>VLOOKUP(D:D,'Master Table'!C:D,2,FALSE)</f>
        <v>660</v>
      </c>
      <c r="F63" s="769" t="s">
        <v>4603</v>
      </c>
      <c r="G63" s="769" t="s">
        <v>4604</v>
      </c>
      <c r="H63" s="769" t="s">
        <v>31</v>
      </c>
      <c r="I63" s="769" t="s">
        <v>4605</v>
      </c>
      <c r="J63" s="769" t="s">
        <v>351</v>
      </c>
      <c r="K63" s="790">
        <v>122.57</v>
      </c>
      <c r="L63" s="790">
        <v>183.05</v>
      </c>
      <c r="M63" s="790"/>
      <c r="N63" s="312">
        <f>K63+L63+M63</f>
        <v>305.62</v>
      </c>
      <c r="O63" s="467">
        <f>VLOOKUP(D:D,'Master Table'!C:O,13,FALSE)</f>
        <v>742.63000000000011</v>
      </c>
      <c r="P63" s="657">
        <v>742.63000000000011</v>
      </c>
      <c r="Q63" s="562">
        <v>730.46</v>
      </c>
      <c r="R63" s="562">
        <v>455.72</v>
      </c>
      <c r="S63" s="662">
        <v>615.69000000000005</v>
      </c>
    </row>
    <row r="64" spans="1:19" ht="30" customHeight="1" x14ac:dyDescent="0.2">
      <c r="A64" s="291" t="str">
        <f t="shared" si="0"/>
        <v>PLY063 / 661</v>
      </c>
      <c r="B64" s="193" t="s">
        <v>4605</v>
      </c>
      <c r="C64" s="193" t="s">
        <v>532</v>
      </c>
      <c r="D64" s="318" t="s">
        <v>4606</v>
      </c>
      <c r="E64" s="369" t="str">
        <f>VLOOKUP(D:D,'Master Table'!C:D,2,FALSE)</f>
        <v>661</v>
      </c>
      <c r="F64" s="769" t="s">
        <v>4606</v>
      </c>
      <c r="G64" s="769" t="s">
        <v>4607</v>
      </c>
      <c r="H64" s="769" t="s">
        <v>4608</v>
      </c>
      <c r="I64" s="769" t="s">
        <v>4605</v>
      </c>
      <c r="J64" s="769" t="s">
        <v>351</v>
      </c>
      <c r="K64" s="790">
        <v>1818</v>
      </c>
      <c r="L64" s="790">
        <v>199</v>
      </c>
      <c r="M64" s="790"/>
      <c r="N64" s="312">
        <f t="shared" si="6"/>
        <v>2017</v>
      </c>
      <c r="O64" s="467">
        <f>VLOOKUP(D:D,'Master Table'!C:O,13,FALSE)</f>
        <v>2305.12</v>
      </c>
      <c r="P64" s="657">
        <v>2305.12</v>
      </c>
      <c r="Q64" s="562">
        <v>2756.98</v>
      </c>
      <c r="R64" s="562">
        <v>2831.84</v>
      </c>
      <c r="S64" s="662">
        <v>2734.86</v>
      </c>
    </row>
    <row r="65" spans="1:19" ht="30" customHeight="1" x14ac:dyDescent="0.2">
      <c r="A65" s="291" t="str">
        <f t="shared" si="0"/>
        <v>PLY064 / 662</v>
      </c>
      <c r="B65" s="193" t="s">
        <v>4605</v>
      </c>
      <c r="C65" s="193" t="s">
        <v>740</v>
      </c>
      <c r="D65" s="318" t="s">
        <v>4609</v>
      </c>
      <c r="E65" s="369" t="str">
        <f>VLOOKUP(D:D,'Master Table'!C:D,2,FALSE)</f>
        <v>662</v>
      </c>
      <c r="F65" s="769" t="s">
        <v>4609</v>
      </c>
      <c r="G65" s="769" t="s">
        <v>4610</v>
      </c>
      <c r="H65" s="769" t="s">
        <v>740</v>
      </c>
      <c r="I65" s="769" t="s">
        <v>4605</v>
      </c>
      <c r="J65" s="769" t="s">
        <v>351</v>
      </c>
      <c r="K65" s="790">
        <v>51.68</v>
      </c>
      <c r="L65" s="790">
        <v>25</v>
      </c>
      <c r="M65" s="790"/>
      <c r="N65" s="312">
        <f t="shared" si="6"/>
        <v>76.680000000000007</v>
      </c>
      <c r="O65" s="467">
        <f>VLOOKUP(D:D,'Master Table'!C:O,13,FALSE)</f>
        <v>420.75</v>
      </c>
      <c r="P65" s="657">
        <v>420.75</v>
      </c>
      <c r="Q65" s="562">
        <v>466.46</v>
      </c>
      <c r="R65" s="562">
        <v>657.52</v>
      </c>
      <c r="S65" s="662">
        <v>432</v>
      </c>
    </row>
    <row r="66" spans="1:19" ht="30" customHeight="1" x14ac:dyDescent="0.2">
      <c r="A66" s="291" t="str">
        <f t="shared" si="0"/>
        <v>PLY065 / 663</v>
      </c>
      <c r="B66" s="193" t="s">
        <v>4605</v>
      </c>
      <c r="C66" s="193" t="s">
        <v>7450</v>
      </c>
      <c r="D66" s="318" t="s">
        <v>4611</v>
      </c>
      <c r="E66" s="369" t="str">
        <f>VLOOKUP(D:D,'Master Table'!C:D,2,FALSE)</f>
        <v>663</v>
      </c>
      <c r="F66" s="769" t="s">
        <v>4611</v>
      </c>
      <c r="G66" s="769" t="s">
        <v>4612</v>
      </c>
      <c r="H66" s="769" t="s">
        <v>709</v>
      </c>
      <c r="I66" s="769" t="s">
        <v>4605</v>
      </c>
      <c r="J66" s="769" t="s">
        <v>351</v>
      </c>
      <c r="K66" s="790">
        <v>754.61</v>
      </c>
      <c r="L66" s="790">
        <v>199</v>
      </c>
      <c r="M66" s="790"/>
      <c r="N66" s="312">
        <f t="shared" si="6"/>
        <v>953.61</v>
      </c>
      <c r="O66" s="467">
        <f>VLOOKUP(D:D,'Master Table'!C:O,13,FALSE)</f>
        <v>1563.25</v>
      </c>
      <c r="P66" s="657">
        <v>1563.25</v>
      </c>
      <c r="Q66" s="562">
        <v>613.70000000000005</v>
      </c>
      <c r="R66" s="562">
        <v>1570.8899999999999</v>
      </c>
      <c r="S66" s="662">
        <v>1909.67</v>
      </c>
    </row>
    <row r="67" spans="1:19" ht="30" customHeight="1" x14ac:dyDescent="0.2">
      <c r="A67" s="291" t="str">
        <f t="shared" si="0"/>
        <v>PLY067 / 665</v>
      </c>
      <c r="B67" s="193" t="s">
        <v>7784</v>
      </c>
      <c r="C67" s="193" t="s">
        <v>4615</v>
      </c>
      <c r="D67" s="318" t="s">
        <v>4613</v>
      </c>
      <c r="E67" s="369" t="str">
        <f>VLOOKUP(D:D,'Master Table'!C:D,2,FALSE)</f>
        <v>665</v>
      </c>
      <c r="F67" s="769" t="s">
        <v>4613</v>
      </c>
      <c r="G67" s="769" t="s">
        <v>4614</v>
      </c>
      <c r="H67" s="769" t="s">
        <v>11050</v>
      </c>
      <c r="I67" s="769" t="s">
        <v>4459</v>
      </c>
      <c r="J67" s="769" t="s">
        <v>351</v>
      </c>
      <c r="K67" s="790">
        <v>500</v>
      </c>
      <c r="L67" s="790">
        <v>450</v>
      </c>
      <c r="M67" s="790"/>
      <c r="N67" s="312">
        <f t="shared" si="6"/>
        <v>950</v>
      </c>
      <c r="O67" s="467">
        <f>VLOOKUP(D:D,'Master Table'!C:O,13,FALSE)</f>
        <v>1288.74</v>
      </c>
      <c r="P67" s="657">
        <v>1288.74</v>
      </c>
      <c r="Q67" s="562">
        <v>1207.95</v>
      </c>
      <c r="R67" s="562">
        <v>1020.89</v>
      </c>
      <c r="S67" s="662">
        <v>1091.1400000000001</v>
      </c>
    </row>
    <row r="68" spans="1:19" ht="30" customHeight="1" x14ac:dyDescent="0.2">
      <c r="A68" s="291" t="str">
        <f t="shared" si="0"/>
        <v>PLY067A / 147915</v>
      </c>
      <c r="B68" s="881" t="s">
        <v>7786</v>
      </c>
      <c r="C68" s="468" t="s">
        <v>8383</v>
      </c>
      <c r="D68" s="318" t="s">
        <v>4616</v>
      </c>
      <c r="E68" s="369" t="str">
        <f>VLOOKUP(D:D,'Master Table'!C:D,2,FALSE)</f>
        <v>147915</v>
      </c>
      <c r="F68" s="769" t="s">
        <v>4616</v>
      </c>
      <c r="G68" s="769" t="s">
        <v>4617</v>
      </c>
      <c r="H68" s="769" t="s">
        <v>11051</v>
      </c>
      <c r="I68" s="769" t="s">
        <v>4568</v>
      </c>
      <c r="J68" s="769" t="s">
        <v>351</v>
      </c>
      <c r="K68" s="790">
        <v>0</v>
      </c>
      <c r="L68" s="790">
        <v>40</v>
      </c>
      <c r="M68" s="790"/>
      <c r="N68" s="312">
        <f t="shared" si="6"/>
        <v>40</v>
      </c>
      <c r="O68" s="467">
        <f>VLOOKUP(D:D,'Master Table'!C:O,13,FALSE)</f>
        <v>463.5</v>
      </c>
      <c r="P68" s="869">
        <v>463.5</v>
      </c>
      <c r="Q68" s="902">
        <v>505.55</v>
      </c>
      <c r="R68" s="562">
        <v>461.4</v>
      </c>
      <c r="S68" s="662">
        <v>406.73</v>
      </c>
    </row>
    <row r="69" spans="1:19" ht="30" customHeight="1" x14ac:dyDescent="0.2">
      <c r="A69" s="291" t="str">
        <f t="shared" ref="A69" si="8">D69&amp;" / "&amp;E69</f>
        <v>PLY061 / 659</v>
      </c>
      <c r="B69" s="882"/>
      <c r="C69" s="469" t="s">
        <v>8384</v>
      </c>
      <c r="D69" s="318" t="s">
        <v>4601</v>
      </c>
      <c r="E69" s="369" t="str">
        <f>VLOOKUP(D:D,'Master Table'!C:D,2,FALSE)</f>
        <v>659</v>
      </c>
      <c r="F69" s="769" t="s">
        <v>4601</v>
      </c>
      <c r="G69" s="769" t="s">
        <v>4602</v>
      </c>
      <c r="H69" s="769" t="s">
        <v>11049</v>
      </c>
      <c r="I69" s="769" t="s">
        <v>4568</v>
      </c>
      <c r="J69" s="769" t="s">
        <v>351</v>
      </c>
      <c r="K69" s="790">
        <v>0</v>
      </c>
      <c r="L69" s="790">
        <v>70</v>
      </c>
      <c r="M69" s="790"/>
      <c r="N69" s="312">
        <f>K69+L69+M69</f>
        <v>70</v>
      </c>
      <c r="O69" s="467">
        <f>VLOOKUP(D:D,'Master Table'!C:O,13,FALSE)</f>
        <v>0</v>
      </c>
      <c r="P69" s="870"/>
      <c r="Q69" s="903"/>
      <c r="R69" s="562"/>
      <c r="S69" s="662"/>
    </row>
    <row r="70" spans="1:19" ht="30" customHeight="1" x14ac:dyDescent="0.2">
      <c r="A70" s="291" t="str">
        <f t="shared" ref="A70:A99" si="9">D70&amp;" / "&amp;E70</f>
        <v>PLY068 / 666</v>
      </c>
      <c r="B70" s="193" t="s">
        <v>4620</v>
      </c>
      <c r="C70" s="193" t="s">
        <v>1160</v>
      </c>
      <c r="D70" s="318" t="s">
        <v>4618</v>
      </c>
      <c r="E70" s="369" t="str">
        <f>VLOOKUP(D:D,'Master Table'!C:D,2,FALSE)</f>
        <v>666</v>
      </c>
      <c r="F70" s="769" t="s">
        <v>4618</v>
      </c>
      <c r="G70" s="769" t="s">
        <v>4619</v>
      </c>
      <c r="H70" s="769" t="s">
        <v>2176</v>
      </c>
      <c r="I70" s="769" t="s">
        <v>4620</v>
      </c>
      <c r="J70" s="769" t="s">
        <v>324</v>
      </c>
      <c r="K70" s="790">
        <v>28.32</v>
      </c>
      <c r="L70" s="790">
        <v>130</v>
      </c>
      <c r="M70" s="790"/>
      <c r="N70" s="312">
        <f t="shared" si="6"/>
        <v>158.32</v>
      </c>
      <c r="O70" s="467">
        <f>VLOOKUP(D:D,'Master Table'!C:O,13,FALSE)</f>
        <v>459.25</v>
      </c>
      <c r="P70" s="657">
        <v>459.25</v>
      </c>
      <c r="Q70" s="562">
        <v>612.39</v>
      </c>
      <c r="R70" s="562">
        <v>821.29</v>
      </c>
      <c r="S70" s="662">
        <v>630.63</v>
      </c>
    </row>
    <row r="71" spans="1:19" ht="30" customHeight="1" x14ac:dyDescent="0.2">
      <c r="A71" s="291" t="str">
        <f t="shared" si="9"/>
        <v>PLY071 / 669</v>
      </c>
      <c r="B71" s="193" t="s">
        <v>4680</v>
      </c>
      <c r="C71" s="193" t="s">
        <v>1376</v>
      </c>
      <c r="D71" s="318" t="s">
        <v>4628</v>
      </c>
      <c r="E71" s="369" t="str">
        <f>VLOOKUP(D:D,'Master Table'!C:D,2,FALSE)</f>
        <v>669</v>
      </c>
      <c r="F71" s="769" t="s">
        <v>4628</v>
      </c>
      <c r="G71" s="769" t="s">
        <v>4629</v>
      </c>
      <c r="H71" s="769" t="s">
        <v>4630</v>
      </c>
      <c r="I71" s="769" t="s">
        <v>4631</v>
      </c>
      <c r="J71" s="769" t="s">
        <v>351</v>
      </c>
      <c r="K71" s="790">
        <v>38.28</v>
      </c>
      <c r="L71" s="790">
        <v>120</v>
      </c>
      <c r="M71" s="790"/>
      <c r="N71" s="312">
        <f t="shared" si="6"/>
        <v>158.28</v>
      </c>
      <c r="O71" s="467">
        <f>VLOOKUP(D:D,'Master Table'!C:O,13,FALSE)</f>
        <v>236.14</v>
      </c>
      <c r="P71" s="657">
        <v>236.14</v>
      </c>
      <c r="Q71" s="562">
        <v>384.02</v>
      </c>
      <c r="R71" s="562">
        <v>276.57</v>
      </c>
      <c r="S71" s="662">
        <v>643.72</v>
      </c>
    </row>
    <row r="72" spans="1:19" ht="30" customHeight="1" x14ac:dyDescent="0.2">
      <c r="A72" s="291" t="str">
        <f t="shared" si="9"/>
        <v>PLY072 / 670</v>
      </c>
      <c r="B72" s="193" t="s">
        <v>7790</v>
      </c>
      <c r="C72" s="193" t="s">
        <v>3719</v>
      </c>
      <c r="D72" s="318" t="s">
        <v>4632</v>
      </c>
      <c r="E72" s="369" t="str">
        <f>VLOOKUP(D:D,'Master Table'!C:D,2,FALSE)</f>
        <v>670</v>
      </c>
      <c r="F72" s="769" t="s">
        <v>4632</v>
      </c>
      <c r="G72" s="769" t="s">
        <v>4633</v>
      </c>
      <c r="H72" s="769" t="s">
        <v>4634</v>
      </c>
      <c r="I72" s="769" t="s">
        <v>4542</v>
      </c>
      <c r="J72" s="769" t="s">
        <v>351</v>
      </c>
      <c r="K72" s="790">
        <v>199.42</v>
      </c>
      <c r="L72" s="790"/>
      <c r="M72" s="790"/>
      <c r="N72" s="312">
        <f t="shared" si="6"/>
        <v>199.42</v>
      </c>
      <c r="O72" s="467">
        <f>VLOOKUP(D:D,'Master Table'!C:O,13,FALSE)</f>
        <v>354.96</v>
      </c>
      <c r="P72" s="657">
        <v>354.96</v>
      </c>
      <c r="Q72" s="562">
        <v>293.73</v>
      </c>
      <c r="R72" s="562">
        <v>293.08999999999997</v>
      </c>
      <c r="S72" s="662">
        <v>124.04</v>
      </c>
    </row>
    <row r="73" spans="1:19" ht="30" customHeight="1" x14ac:dyDescent="0.2">
      <c r="A73" s="291" t="str">
        <f t="shared" si="9"/>
        <v>PLY073 / 671</v>
      </c>
      <c r="B73" s="193" t="s">
        <v>4637</v>
      </c>
      <c r="C73" s="193" t="s">
        <v>1160</v>
      </c>
      <c r="D73" s="318" t="s">
        <v>4635</v>
      </c>
      <c r="E73" s="369" t="str">
        <f>VLOOKUP(D:D,'Master Table'!C:D,2,FALSE)</f>
        <v>671</v>
      </c>
      <c r="F73" s="769" t="s">
        <v>4635</v>
      </c>
      <c r="G73" s="769" t="s">
        <v>4636</v>
      </c>
      <c r="H73" s="769" t="s">
        <v>2176</v>
      </c>
      <c r="I73" s="769" t="s">
        <v>4637</v>
      </c>
      <c r="J73" s="769" t="s">
        <v>324</v>
      </c>
      <c r="K73" s="790">
        <v>0</v>
      </c>
      <c r="L73" s="790">
        <v>185</v>
      </c>
      <c r="M73" s="790"/>
      <c r="N73" s="312">
        <f t="shared" si="6"/>
        <v>185</v>
      </c>
      <c r="O73" s="467">
        <f>VLOOKUP(D:D,'Master Table'!C:O,13,FALSE)</f>
        <v>637.29</v>
      </c>
      <c r="P73" s="657">
        <v>637.29</v>
      </c>
      <c r="Q73" s="562">
        <v>753.21</v>
      </c>
      <c r="R73" s="562">
        <v>667.07999999999993</v>
      </c>
      <c r="S73" s="662">
        <v>672.81000000000006</v>
      </c>
    </row>
    <row r="74" spans="1:19" ht="30" customHeight="1" x14ac:dyDescent="0.2">
      <c r="A74" s="291" t="str">
        <f t="shared" si="9"/>
        <v>PLY074 / 672</v>
      </c>
      <c r="B74" s="193" t="s">
        <v>7791</v>
      </c>
      <c r="C74" s="193" t="s">
        <v>4640</v>
      </c>
      <c r="D74" s="318" t="s">
        <v>4638</v>
      </c>
      <c r="E74" s="369" t="str">
        <f>VLOOKUP(D:D,'Master Table'!C:D,2,FALSE)</f>
        <v>672</v>
      </c>
      <c r="F74" s="769" t="s">
        <v>4638</v>
      </c>
      <c r="G74" s="769" t="s">
        <v>4639</v>
      </c>
      <c r="H74" s="769" t="s">
        <v>4640</v>
      </c>
      <c r="I74" s="769" t="s">
        <v>4641</v>
      </c>
      <c r="J74" s="769" t="s">
        <v>324</v>
      </c>
      <c r="K74" s="790">
        <v>0</v>
      </c>
      <c r="L74" s="790">
        <v>74.45</v>
      </c>
      <c r="M74" s="790"/>
      <c r="N74" s="312">
        <f t="shared" si="6"/>
        <v>74.45</v>
      </c>
      <c r="O74" s="467">
        <f>VLOOKUP(D:D,'Master Table'!C:O,13,FALSE)</f>
        <v>262</v>
      </c>
      <c r="P74" s="657">
        <v>262</v>
      </c>
      <c r="Q74" s="562">
        <v>290.2</v>
      </c>
      <c r="R74" s="562">
        <v>200</v>
      </c>
      <c r="S74" s="662">
        <v>455</v>
      </c>
    </row>
    <row r="75" spans="1:19" ht="30" customHeight="1" x14ac:dyDescent="0.2">
      <c r="A75" s="291" t="str">
        <f t="shared" si="9"/>
        <v>PLY076 / 674</v>
      </c>
      <c r="B75" s="193" t="s">
        <v>4649</v>
      </c>
      <c r="C75" s="193" t="s">
        <v>4648</v>
      </c>
      <c r="D75" s="318" t="s">
        <v>4646</v>
      </c>
      <c r="E75" s="369" t="str">
        <f>VLOOKUP(D:D,'Master Table'!C:D,2,FALSE)</f>
        <v>674</v>
      </c>
      <c r="F75" s="769" t="s">
        <v>4646</v>
      </c>
      <c r="G75" s="769" t="s">
        <v>4647</v>
      </c>
      <c r="H75" s="769" t="s">
        <v>4648</v>
      </c>
      <c r="I75" s="769" t="s">
        <v>4649</v>
      </c>
      <c r="J75" s="769" t="s">
        <v>324</v>
      </c>
      <c r="K75" s="790">
        <v>0</v>
      </c>
      <c r="L75" s="790">
        <v>435</v>
      </c>
      <c r="M75" s="790"/>
      <c r="N75" s="312">
        <f t="shared" si="6"/>
        <v>435</v>
      </c>
      <c r="O75" s="467">
        <f>VLOOKUP(D:D,'Master Table'!C:O,13,FALSE)</f>
        <v>1260.1199999999999</v>
      </c>
      <c r="P75" s="657">
        <v>1260.1199999999999</v>
      </c>
      <c r="Q75" s="562">
        <v>743.17000000000007</v>
      </c>
      <c r="R75" s="562">
        <v>894.16</v>
      </c>
      <c r="S75" s="662">
        <v>1067.43</v>
      </c>
    </row>
    <row r="76" spans="1:19" ht="30" customHeight="1" x14ac:dyDescent="0.2">
      <c r="A76" s="291" t="str">
        <f t="shared" si="9"/>
        <v>PLY077 / 675</v>
      </c>
      <c r="B76" s="193" t="s">
        <v>4654</v>
      </c>
      <c r="C76" s="193" t="s">
        <v>7793</v>
      </c>
      <c r="D76" s="318" t="s">
        <v>4651</v>
      </c>
      <c r="E76" s="369" t="str">
        <f>VLOOKUP(D:D,'Master Table'!C:D,2,FALSE)</f>
        <v>675</v>
      </c>
      <c r="F76" s="769" t="s">
        <v>4651</v>
      </c>
      <c r="G76" s="769" t="s">
        <v>4652</v>
      </c>
      <c r="H76" s="769" t="s">
        <v>4653</v>
      </c>
      <c r="I76" s="769" t="s">
        <v>4654</v>
      </c>
      <c r="J76" s="769" t="s">
        <v>324</v>
      </c>
      <c r="K76" s="790">
        <v>552</v>
      </c>
      <c r="L76" s="790">
        <v>115</v>
      </c>
      <c r="M76" s="790">
        <v>200</v>
      </c>
      <c r="N76" s="312">
        <f t="shared" si="6"/>
        <v>867</v>
      </c>
      <c r="O76" s="467">
        <f>VLOOKUP(D:D,'Master Table'!C:O,13,FALSE)</f>
        <v>1242.6599999999999</v>
      </c>
      <c r="P76" s="657">
        <v>1242.6599999999999</v>
      </c>
      <c r="Q76" s="562">
        <v>1067.3900000000001</v>
      </c>
      <c r="R76" s="562">
        <v>1142.6400000000001</v>
      </c>
      <c r="S76" s="662">
        <v>1170.53</v>
      </c>
    </row>
    <row r="77" spans="1:19" ht="30" customHeight="1" x14ac:dyDescent="0.2">
      <c r="A77" s="291" t="str">
        <f t="shared" si="9"/>
        <v>PLY079 / 676</v>
      </c>
      <c r="B77" s="193" t="s">
        <v>4547</v>
      </c>
      <c r="C77" s="193" t="s">
        <v>7794</v>
      </c>
      <c r="D77" s="318" t="s">
        <v>4656</v>
      </c>
      <c r="E77" s="369" t="str">
        <f>VLOOKUP(D:D,'Master Table'!C:D,2,FALSE)</f>
        <v>676</v>
      </c>
      <c r="F77" s="769" t="s">
        <v>4656</v>
      </c>
      <c r="G77" s="769" t="s">
        <v>4657</v>
      </c>
      <c r="H77" s="769" t="s">
        <v>4658</v>
      </c>
      <c r="I77" s="769" t="s">
        <v>4547</v>
      </c>
      <c r="J77" s="769" t="s">
        <v>324</v>
      </c>
      <c r="K77" s="790">
        <v>0</v>
      </c>
      <c r="L77" s="790">
        <v>290</v>
      </c>
      <c r="M77" s="790">
        <v>6.05</v>
      </c>
      <c r="N77" s="312">
        <f t="shared" si="6"/>
        <v>296.05</v>
      </c>
      <c r="O77" s="467">
        <f>VLOOKUP(D:D,'Master Table'!C:O,13,FALSE)</f>
        <v>847.69</v>
      </c>
      <c r="P77" s="657">
        <v>847.69</v>
      </c>
      <c r="Q77" s="562">
        <v>1678.69</v>
      </c>
      <c r="R77" s="562">
        <v>1803.42</v>
      </c>
      <c r="S77" s="662">
        <v>2079.54</v>
      </c>
    </row>
    <row r="78" spans="1:19" ht="30" customHeight="1" x14ac:dyDescent="0.2">
      <c r="A78" s="291" t="str">
        <f t="shared" si="9"/>
        <v>PLY080 / 677</v>
      </c>
      <c r="B78" s="193" t="s">
        <v>4661</v>
      </c>
      <c r="C78" s="193" t="s">
        <v>127</v>
      </c>
      <c r="D78" s="318" t="s">
        <v>4659</v>
      </c>
      <c r="E78" s="369" t="str">
        <f>VLOOKUP(D:D,'Master Table'!C:D,2,FALSE)</f>
        <v>677</v>
      </c>
      <c r="F78" s="769" t="s">
        <v>4659</v>
      </c>
      <c r="G78" s="769" t="s">
        <v>4660</v>
      </c>
      <c r="H78" s="769" t="s">
        <v>127</v>
      </c>
      <c r="I78" s="769" t="s">
        <v>4661</v>
      </c>
      <c r="J78" s="769" t="s">
        <v>324</v>
      </c>
      <c r="K78" s="790">
        <v>307.12</v>
      </c>
      <c r="L78" s="790">
        <v>195</v>
      </c>
      <c r="M78" s="790"/>
      <c r="N78" s="312">
        <f t="shared" si="6"/>
        <v>502.12</v>
      </c>
      <c r="O78" s="467">
        <f>VLOOKUP(D:D,'Master Table'!C:O,13,FALSE)</f>
        <v>804.75</v>
      </c>
      <c r="P78" s="657">
        <v>804.75</v>
      </c>
      <c r="Q78" s="562">
        <v>845.97</v>
      </c>
      <c r="R78" s="562">
        <v>693.65</v>
      </c>
      <c r="S78" s="662">
        <v>906.1</v>
      </c>
    </row>
    <row r="79" spans="1:19" ht="30" customHeight="1" x14ac:dyDescent="0.2">
      <c r="A79" s="291" t="str">
        <f t="shared" si="9"/>
        <v>PLY080V / 148042</v>
      </c>
      <c r="B79" s="468" t="s">
        <v>7795</v>
      </c>
      <c r="C79" s="468" t="s">
        <v>2674</v>
      </c>
      <c r="D79" s="318" t="s">
        <v>4662</v>
      </c>
      <c r="E79" s="369" t="str">
        <f>VLOOKUP(D:D,'Master Table'!C:D,2,FALSE)</f>
        <v>148042</v>
      </c>
      <c r="F79" s="769" t="s">
        <v>4662</v>
      </c>
      <c r="G79" s="769" t="s">
        <v>4663</v>
      </c>
      <c r="H79" s="769" t="s">
        <v>2674</v>
      </c>
      <c r="I79" s="769" t="s">
        <v>4451</v>
      </c>
      <c r="J79" s="769" t="s">
        <v>351</v>
      </c>
      <c r="K79" s="790">
        <v>164.34</v>
      </c>
      <c r="L79" s="790">
        <v>30</v>
      </c>
      <c r="M79" s="790"/>
      <c r="N79" s="312">
        <f t="shared" si="6"/>
        <v>194.34</v>
      </c>
      <c r="O79" s="467">
        <f>VLOOKUP(D:D,'Master Table'!C:O,13,FALSE)</f>
        <v>132.34</v>
      </c>
      <c r="P79" s="657">
        <v>132.34</v>
      </c>
      <c r="Q79" s="562">
        <v>212</v>
      </c>
      <c r="R79" s="562">
        <v>410.29</v>
      </c>
      <c r="S79" s="662">
        <v>287.34000000000003</v>
      </c>
    </row>
    <row r="80" spans="1:19" s="541" customFormat="1" ht="30" customHeight="1" x14ac:dyDescent="0.2">
      <c r="A80" s="532" t="str">
        <f t="shared" si="9"/>
        <v>PLY081 / 678</v>
      </c>
      <c r="B80" s="540" t="s">
        <v>8358</v>
      </c>
      <c r="C80" s="581" t="s">
        <v>8353</v>
      </c>
      <c r="D80" s="557" t="s">
        <v>4664</v>
      </c>
      <c r="E80" s="473" t="str">
        <f>VLOOKUP(D:D,'Master Table'!C:D,2,FALSE)</f>
        <v>678</v>
      </c>
      <c r="F80" s="769" t="s">
        <v>4664</v>
      </c>
      <c r="G80" s="769" t="s">
        <v>4665</v>
      </c>
      <c r="H80" s="769" t="s">
        <v>8359</v>
      </c>
      <c r="I80" s="769" t="s">
        <v>4645</v>
      </c>
      <c r="J80" s="769" t="s">
        <v>324</v>
      </c>
      <c r="K80" s="790">
        <v>100</v>
      </c>
      <c r="L80" s="790">
        <v>205</v>
      </c>
      <c r="M80" s="790"/>
      <c r="N80" s="312">
        <f t="shared" si="6"/>
        <v>305</v>
      </c>
      <c r="O80" s="467">
        <f>VLOOKUP(D:D,'Master Table'!C:O,13,FALSE)</f>
        <v>864.63</v>
      </c>
      <c r="P80" s="657">
        <v>864.63</v>
      </c>
      <c r="Q80" s="563">
        <v>624.9</v>
      </c>
      <c r="R80" s="563">
        <v>385.62</v>
      </c>
      <c r="S80" s="663">
        <v>507.84000000000003</v>
      </c>
    </row>
    <row r="81" spans="1:19" s="541" customFormat="1" ht="30" customHeight="1" x14ac:dyDescent="0.2">
      <c r="A81" s="532" t="str">
        <f>D81&amp;" / "&amp;E81</f>
        <v>PLY035 / 633</v>
      </c>
      <c r="B81" s="582" t="s">
        <v>8356</v>
      </c>
      <c r="C81" s="583" t="s">
        <v>8354</v>
      </c>
      <c r="D81" s="557" t="s">
        <v>4475</v>
      </c>
      <c r="E81" s="473">
        <f>VLOOKUP(D:D,'Master Table'!C:D,2,FALSE)</f>
        <v>633</v>
      </c>
      <c r="F81" s="769"/>
      <c r="G81" s="769"/>
      <c r="H81" s="769"/>
      <c r="I81" s="769"/>
      <c r="J81" s="769"/>
      <c r="K81" s="790"/>
      <c r="L81" s="790"/>
      <c r="M81" s="790"/>
      <c r="N81" s="312"/>
      <c r="O81" s="467">
        <f>VLOOKUP(D:D,'Master Table'!C:O,13,FALSE)</f>
        <v>205.92</v>
      </c>
      <c r="P81" s="657">
        <v>205.92</v>
      </c>
      <c r="Q81" s="563">
        <v>242.27</v>
      </c>
      <c r="R81" s="563">
        <v>216.69</v>
      </c>
      <c r="S81" s="663">
        <v>389.12</v>
      </c>
    </row>
    <row r="82" spans="1:19" s="541" customFormat="1" ht="30" customHeight="1" x14ac:dyDescent="0.2">
      <c r="A82" s="532" t="str">
        <f t="shared" ref="A82" si="10">D82&amp;" / "&amp;E82</f>
        <v>PLY075 / 673</v>
      </c>
      <c r="B82" s="561" t="s">
        <v>8357</v>
      </c>
      <c r="C82" s="584" t="s">
        <v>8355</v>
      </c>
      <c r="D82" s="557" t="s">
        <v>4642</v>
      </c>
      <c r="E82" s="369" t="str">
        <f>VLOOKUP(D:D,'Master Table'!C:D,2,FALSE)</f>
        <v>673</v>
      </c>
      <c r="F82" s="769"/>
      <c r="G82" s="769"/>
      <c r="H82" s="769"/>
      <c r="I82" s="769"/>
      <c r="J82" s="769"/>
      <c r="K82" s="790"/>
      <c r="L82" s="790"/>
      <c r="M82" s="790"/>
      <c r="N82" s="312"/>
      <c r="O82" s="467">
        <f>VLOOKUP(D:D,'Master Table'!C:O,13,FALSE)</f>
        <v>0</v>
      </c>
      <c r="P82" s="657">
        <v>0</v>
      </c>
      <c r="Q82" s="563"/>
      <c r="R82" s="563"/>
      <c r="S82" s="663">
        <v>85</v>
      </c>
    </row>
    <row r="83" spans="1:19" ht="30" customHeight="1" x14ac:dyDescent="0.2">
      <c r="A83" s="291" t="s">
        <v>11054</v>
      </c>
      <c r="B83" s="291" t="s">
        <v>4645</v>
      </c>
      <c r="C83" s="291" t="s">
        <v>4666</v>
      </c>
      <c r="D83" s="557" t="s">
        <v>11053</v>
      </c>
      <c r="E83" s="369">
        <v>678</v>
      </c>
      <c r="F83" s="769" t="s">
        <v>11053</v>
      </c>
      <c r="G83" s="769" t="s">
        <v>4667</v>
      </c>
      <c r="H83" s="769" t="s">
        <v>4666</v>
      </c>
      <c r="I83" s="769" t="s">
        <v>4645</v>
      </c>
      <c r="J83" s="769" t="s">
        <v>324</v>
      </c>
      <c r="K83" s="790">
        <v>351.24</v>
      </c>
      <c r="L83" s="790"/>
      <c r="M83" s="790"/>
      <c r="N83" s="312">
        <f t="shared" si="6"/>
        <v>351.24</v>
      </c>
      <c r="O83" s="467"/>
      <c r="P83" s="657"/>
      <c r="Q83" s="563"/>
      <c r="R83" s="563"/>
      <c r="S83" s="663"/>
    </row>
    <row r="84" spans="1:19" ht="30" customHeight="1" x14ac:dyDescent="0.2">
      <c r="A84" s="291" t="str">
        <f t="shared" si="9"/>
        <v>PLY083 / 679</v>
      </c>
      <c r="B84" s="469" t="s">
        <v>4671</v>
      </c>
      <c r="C84" s="469" t="s">
        <v>4670</v>
      </c>
      <c r="D84" s="318" t="s">
        <v>4668</v>
      </c>
      <c r="E84" s="369" t="str">
        <f>VLOOKUP(D:D,'Master Table'!C:D,2,FALSE)</f>
        <v>679</v>
      </c>
      <c r="F84" s="769" t="s">
        <v>4668</v>
      </c>
      <c r="G84" s="769" t="s">
        <v>4669</v>
      </c>
      <c r="H84" s="769" t="s">
        <v>4670</v>
      </c>
      <c r="I84" s="769" t="s">
        <v>4671</v>
      </c>
      <c r="J84" s="769" t="s">
        <v>324</v>
      </c>
      <c r="K84" s="790">
        <v>0</v>
      </c>
      <c r="L84" s="790">
        <v>80</v>
      </c>
      <c r="M84" s="790"/>
      <c r="N84" s="312">
        <f t="shared" si="6"/>
        <v>80</v>
      </c>
      <c r="O84" s="467">
        <f>VLOOKUP(D:D,'Master Table'!C:O,13,FALSE)</f>
        <v>40</v>
      </c>
      <c r="P84" s="657">
        <v>40</v>
      </c>
      <c r="Q84" s="562">
        <v>180</v>
      </c>
      <c r="R84" s="562">
        <v>424.59</v>
      </c>
      <c r="S84" s="662">
        <v>378.83</v>
      </c>
    </row>
    <row r="85" spans="1:19" ht="30" customHeight="1" x14ac:dyDescent="0.2">
      <c r="A85" s="291" t="str">
        <f t="shared" si="9"/>
        <v>PLY084 / 680</v>
      </c>
      <c r="B85" s="881" t="s">
        <v>7799</v>
      </c>
      <c r="C85" s="468" t="s">
        <v>8429</v>
      </c>
      <c r="D85" s="318" t="s">
        <v>4672</v>
      </c>
      <c r="E85" s="369" t="str">
        <f>VLOOKUP(D:D,'Master Table'!C:D,2,FALSE)</f>
        <v>680</v>
      </c>
      <c r="F85" s="769" t="s">
        <v>4672</v>
      </c>
      <c r="G85" s="769" t="s">
        <v>4673</v>
      </c>
      <c r="H85" s="769" t="s">
        <v>11052</v>
      </c>
      <c r="I85" s="769" t="s">
        <v>4471</v>
      </c>
      <c r="J85" s="769" t="s">
        <v>351</v>
      </c>
      <c r="K85" s="790">
        <v>351.56</v>
      </c>
      <c r="L85" s="790">
        <v>90</v>
      </c>
      <c r="M85" s="790"/>
      <c r="N85" s="312">
        <f t="shared" si="6"/>
        <v>441.56</v>
      </c>
      <c r="O85" s="467">
        <f>VLOOKUP(D:D,'Master Table'!C:O,13,FALSE)</f>
        <v>503.71000000000004</v>
      </c>
      <c r="P85" s="869">
        <f>O85+O86</f>
        <v>508.71000000000004</v>
      </c>
      <c r="Q85" s="902">
        <v>572.4</v>
      </c>
      <c r="R85" s="562">
        <v>634.73</v>
      </c>
      <c r="S85" s="662">
        <v>788.75</v>
      </c>
    </row>
    <row r="86" spans="1:19" ht="30" customHeight="1" x14ac:dyDescent="0.2">
      <c r="A86" s="291" t="str">
        <f t="shared" ref="A86" si="11">D86&amp;" / "&amp;E86</f>
        <v>PLY033 / 631</v>
      </c>
      <c r="B86" s="882" t="s">
        <v>7799</v>
      </c>
      <c r="C86" s="469" t="s">
        <v>8428</v>
      </c>
      <c r="D86" s="318" t="s">
        <v>4468</v>
      </c>
      <c r="E86" s="369" t="str">
        <f>VLOOKUP(D:D,'Master Table'!C:D,2,FALSE)</f>
        <v>631</v>
      </c>
      <c r="F86" s="769"/>
      <c r="G86" s="769"/>
      <c r="H86" s="769"/>
      <c r="I86" s="769"/>
      <c r="J86" s="769"/>
      <c r="K86" s="790"/>
      <c r="L86" s="790"/>
      <c r="M86" s="790"/>
      <c r="N86" s="312"/>
      <c r="O86" s="467">
        <f>VLOOKUP(D:D,'Master Table'!C:O,13,FALSE)</f>
        <v>5</v>
      </c>
      <c r="P86" s="870"/>
      <c r="Q86" s="903"/>
      <c r="R86" s="562"/>
      <c r="S86" s="662"/>
    </row>
    <row r="87" spans="1:19" ht="30" customHeight="1" x14ac:dyDescent="0.2">
      <c r="A87" s="291" t="str">
        <f t="shared" si="9"/>
        <v>PLY085 / 681</v>
      </c>
      <c r="B87" s="193" t="s">
        <v>4484</v>
      </c>
      <c r="C87" s="193" t="s">
        <v>1349</v>
      </c>
      <c r="D87" s="318" t="s">
        <v>4675</v>
      </c>
      <c r="E87" s="369" t="str">
        <f>VLOOKUP(D:D,'Master Table'!C:D,2,FALSE)</f>
        <v>681</v>
      </c>
      <c r="F87" s="769" t="s">
        <v>4675</v>
      </c>
      <c r="G87" s="769" t="s">
        <v>4676</v>
      </c>
      <c r="H87" s="769" t="s">
        <v>94</v>
      </c>
      <c r="I87" s="769" t="s">
        <v>4484</v>
      </c>
      <c r="J87" s="769" t="s">
        <v>324</v>
      </c>
      <c r="K87" s="790">
        <v>582.87</v>
      </c>
      <c r="L87" s="790">
        <v>144</v>
      </c>
      <c r="M87" s="790"/>
      <c r="N87" s="312">
        <f t="shared" si="6"/>
        <v>726.87</v>
      </c>
      <c r="O87" s="467">
        <f>VLOOKUP(D:D,'Master Table'!C:O,13,FALSE)</f>
        <v>787.50000000000011</v>
      </c>
      <c r="P87" s="657">
        <v>787.50000000000011</v>
      </c>
      <c r="Q87" s="562">
        <v>615.41999999999996</v>
      </c>
      <c r="R87" s="562">
        <v>652.02</v>
      </c>
      <c r="S87" s="662">
        <v>626.06000000000006</v>
      </c>
    </row>
    <row r="88" spans="1:19" ht="30" customHeight="1" x14ac:dyDescent="0.2">
      <c r="A88" s="291" t="str">
        <f t="shared" si="9"/>
        <v>PLY086 / 682</v>
      </c>
      <c r="B88" s="193" t="s">
        <v>7801</v>
      </c>
      <c r="C88" s="193" t="s">
        <v>7802</v>
      </c>
      <c r="D88" s="318" t="s">
        <v>4677</v>
      </c>
      <c r="E88" s="369" t="str">
        <f>VLOOKUP(D:D,'Master Table'!C:D,2,FALSE)</f>
        <v>682</v>
      </c>
      <c r="F88" s="769" t="s">
        <v>4677</v>
      </c>
      <c r="G88" s="769" t="s">
        <v>4678</v>
      </c>
      <c r="H88" s="769" t="s">
        <v>4679</v>
      </c>
      <c r="I88" s="769" t="s">
        <v>4680</v>
      </c>
      <c r="J88" s="769" t="s">
        <v>351</v>
      </c>
      <c r="K88" s="790">
        <v>11.65</v>
      </c>
      <c r="L88" s="790"/>
      <c r="M88" s="790"/>
      <c r="N88" s="312">
        <f t="shared" si="6"/>
        <v>11.65</v>
      </c>
      <c r="O88" s="467">
        <f>VLOOKUP(D:D,'Master Table'!C:O,13,FALSE)</f>
        <v>52.470000000000006</v>
      </c>
      <c r="P88" s="657">
        <v>52.470000000000006</v>
      </c>
      <c r="Q88" s="562">
        <v>61.65</v>
      </c>
      <c r="R88" s="562">
        <v>115.08</v>
      </c>
      <c r="S88" s="662">
        <v>200.88</v>
      </c>
    </row>
    <row r="89" spans="1:19" ht="30" customHeight="1" x14ac:dyDescent="0.2">
      <c r="A89" s="291" t="str">
        <f t="shared" si="9"/>
        <v>PLY087 / 683</v>
      </c>
      <c r="B89" s="193" t="s">
        <v>4684</v>
      </c>
      <c r="C89" s="193" t="s">
        <v>7511</v>
      </c>
      <c r="D89" s="318" t="s">
        <v>4681</v>
      </c>
      <c r="E89" s="369" t="str">
        <f>VLOOKUP(D:D,'Master Table'!C:D,2,FALSE)</f>
        <v>683</v>
      </c>
      <c r="F89" s="769" t="s">
        <v>4681</v>
      </c>
      <c r="G89" s="769" t="s">
        <v>4682</v>
      </c>
      <c r="H89" s="769" t="s">
        <v>4683</v>
      </c>
      <c r="I89" s="769" t="s">
        <v>4684</v>
      </c>
      <c r="J89" s="769" t="s">
        <v>324</v>
      </c>
      <c r="K89" s="790">
        <v>1329.71</v>
      </c>
      <c r="L89" s="790">
        <v>17.5</v>
      </c>
      <c r="M89" s="790"/>
      <c r="N89" s="312">
        <f t="shared" si="6"/>
        <v>1347.21</v>
      </c>
      <c r="O89" s="467">
        <f>VLOOKUP(D:D,'Master Table'!C:O,13,FALSE)</f>
        <v>2139.23</v>
      </c>
      <c r="P89" s="657">
        <v>2139.23</v>
      </c>
      <c r="Q89" s="562">
        <v>1993.31</v>
      </c>
      <c r="R89" s="562">
        <v>1845.78</v>
      </c>
      <c r="S89" s="662">
        <v>2042.17</v>
      </c>
    </row>
    <row r="90" spans="1:19" ht="30" customHeight="1" x14ac:dyDescent="0.2">
      <c r="A90" s="291" t="str">
        <f t="shared" si="9"/>
        <v>PLY088 / 684</v>
      </c>
      <c r="B90" s="193" t="s">
        <v>4684</v>
      </c>
      <c r="C90" s="193" t="s">
        <v>4687</v>
      </c>
      <c r="D90" s="318" t="s">
        <v>4685</v>
      </c>
      <c r="E90" s="369" t="str">
        <f>VLOOKUP(D:D,'Master Table'!C:D,2,FALSE)</f>
        <v>684</v>
      </c>
      <c r="F90" s="769" t="s">
        <v>4685</v>
      </c>
      <c r="G90" s="769" t="s">
        <v>4686</v>
      </c>
      <c r="H90" s="769" t="s">
        <v>4687</v>
      </c>
      <c r="I90" s="769" t="s">
        <v>4684</v>
      </c>
      <c r="J90" s="769" t="s">
        <v>324</v>
      </c>
      <c r="K90" s="790">
        <v>0</v>
      </c>
      <c r="L90" s="790">
        <v>242</v>
      </c>
      <c r="M90" s="790">
        <v>148.88999999999999</v>
      </c>
      <c r="N90" s="312">
        <f t="shared" si="6"/>
        <v>390.89</v>
      </c>
      <c r="O90" s="467">
        <f>VLOOKUP(D:D,'Master Table'!C:O,13,FALSE)</f>
        <v>770.07</v>
      </c>
      <c r="P90" s="657">
        <v>770.07</v>
      </c>
      <c r="Q90" s="562">
        <v>985.5</v>
      </c>
      <c r="R90" s="562">
        <v>1172.19</v>
      </c>
      <c r="S90" s="662">
        <v>1297.47</v>
      </c>
    </row>
    <row r="91" spans="1:19" ht="30" customHeight="1" x14ac:dyDescent="0.2">
      <c r="A91" s="291" t="str">
        <f t="shared" si="9"/>
        <v>PLY089 / 685</v>
      </c>
      <c r="B91" s="193" t="s">
        <v>4684</v>
      </c>
      <c r="C91" s="193" t="s">
        <v>5206</v>
      </c>
      <c r="D91" s="318" t="s">
        <v>4688</v>
      </c>
      <c r="E91" s="369" t="str">
        <f>VLOOKUP(D:D,'Master Table'!C:D,2,FALSE)</f>
        <v>685</v>
      </c>
      <c r="F91" s="769" t="s">
        <v>4688</v>
      </c>
      <c r="G91" s="769" t="s">
        <v>4689</v>
      </c>
      <c r="H91" s="769" t="s">
        <v>4690</v>
      </c>
      <c r="I91" s="769" t="s">
        <v>4684</v>
      </c>
      <c r="J91" s="769" t="s">
        <v>324</v>
      </c>
      <c r="K91" s="790">
        <v>0</v>
      </c>
      <c r="L91" s="790">
        <v>80</v>
      </c>
      <c r="M91" s="790"/>
      <c r="N91" s="312">
        <f t="shared" si="6"/>
        <v>80</v>
      </c>
      <c r="O91" s="467">
        <f>VLOOKUP(D:D,'Master Table'!C:O,13,FALSE)</f>
        <v>284.03999999999996</v>
      </c>
      <c r="P91" s="657">
        <v>284.03999999999996</v>
      </c>
      <c r="Q91" s="562">
        <v>85</v>
      </c>
      <c r="R91" s="562">
        <v>487.19</v>
      </c>
      <c r="S91" s="662">
        <v>453.84000000000003</v>
      </c>
    </row>
    <row r="92" spans="1:19" ht="30" customHeight="1" x14ac:dyDescent="0.2">
      <c r="A92" s="291" t="str">
        <f t="shared" si="9"/>
        <v>PLY090 / 686</v>
      </c>
      <c r="B92" s="193" t="s">
        <v>4694</v>
      </c>
      <c r="C92" s="193" t="s">
        <v>4693</v>
      </c>
      <c r="D92" s="318" t="s">
        <v>4691</v>
      </c>
      <c r="E92" s="369" t="str">
        <f>VLOOKUP(D:D,'Master Table'!C:D,2,FALSE)</f>
        <v>686</v>
      </c>
      <c r="F92" s="769" t="s">
        <v>4691</v>
      </c>
      <c r="G92" s="769" t="s">
        <v>4692</v>
      </c>
      <c r="H92" s="769" t="s">
        <v>4693</v>
      </c>
      <c r="I92" s="769" t="s">
        <v>4694</v>
      </c>
      <c r="J92" s="769" t="s">
        <v>324</v>
      </c>
      <c r="K92" s="790">
        <v>0</v>
      </c>
      <c r="L92" s="790">
        <v>420</v>
      </c>
      <c r="M92" s="790"/>
      <c r="N92" s="312">
        <f t="shared" si="6"/>
        <v>420</v>
      </c>
      <c r="O92" s="467">
        <f>VLOOKUP(D:D,'Master Table'!C:O,13,FALSE)</f>
        <v>740.95</v>
      </c>
      <c r="P92" s="657">
        <v>740.95</v>
      </c>
      <c r="Q92" s="562">
        <v>398.43</v>
      </c>
      <c r="R92" s="562">
        <v>690.23</v>
      </c>
      <c r="S92" s="662">
        <v>702.66</v>
      </c>
    </row>
    <row r="93" spans="1:19" ht="30" customHeight="1" x14ac:dyDescent="0.2">
      <c r="A93" s="291" t="str">
        <f t="shared" si="9"/>
        <v>PLY091 / 687</v>
      </c>
      <c r="B93" s="193" t="s">
        <v>4627</v>
      </c>
      <c r="C93" s="193" t="s">
        <v>4697</v>
      </c>
      <c r="D93" s="318" t="s">
        <v>4695</v>
      </c>
      <c r="E93" s="369" t="str">
        <f>VLOOKUP(D:D,'Master Table'!C:D,2,FALSE)</f>
        <v>687</v>
      </c>
      <c r="F93" s="769" t="s">
        <v>4695</v>
      </c>
      <c r="G93" s="769" t="s">
        <v>4696</v>
      </c>
      <c r="H93" s="769" t="s">
        <v>4697</v>
      </c>
      <c r="I93" s="769" t="s">
        <v>4627</v>
      </c>
      <c r="J93" s="769" t="s">
        <v>351</v>
      </c>
      <c r="K93" s="790">
        <v>133.29</v>
      </c>
      <c r="L93" s="790">
        <v>485</v>
      </c>
      <c r="M93" s="790"/>
      <c r="N93" s="312">
        <f t="shared" si="6"/>
        <v>618.29</v>
      </c>
      <c r="O93" s="467">
        <f>VLOOKUP(D:D,'Master Table'!C:O,13,FALSE)</f>
        <v>616.94000000000005</v>
      </c>
      <c r="P93" s="657">
        <v>616.94000000000005</v>
      </c>
      <c r="Q93" s="562">
        <v>225</v>
      </c>
      <c r="R93" s="562">
        <v>185</v>
      </c>
      <c r="S93" s="662">
        <v>656</v>
      </c>
    </row>
    <row r="94" spans="1:19" ht="30" customHeight="1" x14ac:dyDescent="0.2">
      <c r="A94" s="291" t="str">
        <f t="shared" si="9"/>
        <v>PLY092 / 688</v>
      </c>
      <c r="B94" s="193" t="s">
        <v>7803</v>
      </c>
      <c r="C94" s="193" t="s">
        <v>7804</v>
      </c>
      <c r="D94" s="318" t="s">
        <v>4699</v>
      </c>
      <c r="E94" s="369" t="str">
        <f>VLOOKUP(D:D,'Master Table'!C:D,2,FALSE)</f>
        <v>688</v>
      </c>
      <c r="F94" s="769" t="s">
        <v>4699</v>
      </c>
      <c r="G94" s="769" t="s">
        <v>4700</v>
      </c>
      <c r="H94" s="769" t="s">
        <v>4701</v>
      </c>
      <c r="I94" s="769" t="s">
        <v>4547</v>
      </c>
      <c r="J94" s="769" t="s">
        <v>324</v>
      </c>
      <c r="K94" s="790">
        <v>827.95</v>
      </c>
      <c r="L94" s="790">
        <v>305</v>
      </c>
      <c r="M94" s="790"/>
      <c r="N94" s="312">
        <f t="shared" si="6"/>
        <v>1132.95</v>
      </c>
      <c r="O94" s="467">
        <f>VLOOKUP(D:D,'Master Table'!C:O,13,FALSE)</f>
        <v>1583.94</v>
      </c>
      <c r="P94" s="657">
        <v>1583.94</v>
      </c>
      <c r="Q94" s="562">
        <v>1569.26</v>
      </c>
      <c r="R94" s="562">
        <v>1417.97</v>
      </c>
      <c r="S94" s="662">
        <v>1426.57</v>
      </c>
    </row>
    <row r="95" spans="1:19" ht="30" customHeight="1" x14ac:dyDescent="0.2">
      <c r="A95" s="291" t="str">
        <f t="shared" si="9"/>
        <v>PLY093 / 689</v>
      </c>
      <c r="B95" s="193" t="s">
        <v>7805</v>
      </c>
      <c r="C95" s="193" t="s">
        <v>7660</v>
      </c>
      <c r="D95" s="318" t="s">
        <v>4702</v>
      </c>
      <c r="E95" s="369" t="str">
        <f>VLOOKUP(D:D,'Master Table'!C:D,2,FALSE)</f>
        <v>689</v>
      </c>
      <c r="F95" s="769" t="s">
        <v>4702</v>
      </c>
      <c r="G95" s="769" t="s">
        <v>4703</v>
      </c>
      <c r="H95" s="769" t="s">
        <v>4588</v>
      </c>
      <c r="I95" s="769" t="s">
        <v>4704</v>
      </c>
      <c r="J95" s="769" t="s">
        <v>324</v>
      </c>
      <c r="K95" s="790">
        <v>0</v>
      </c>
      <c r="L95" s="790">
        <v>530</v>
      </c>
      <c r="M95" s="790"/>
      <c r="N95" s="312">
        <f t="shared" si="6"/>
        <v>530</v>
      </c>
      <c r="O95" s="467">
        <f>VLOOKUP(D:D,'Master Table'!C:O,13,FALSE)</f>
        <v>958.8</v>
      </c>
      <c r="P95" s="657">
        <v>958.8</v>
      </c>
      <c r="Q95" s="562">
        <v>1176.46</v>
      </c>
      <c r="R95" s="562">
        <v>1177.19</v>
      </c>
      <c r="S95" s="662">
        <v>1229.07</v>
      </c>
    </row>
    <row r="96" spans="1:19" ht="30" customHeight="1" x14ac:dyDescent="0.2">
      <c r="A96" s="291" t="str">
        <f t="shared" si="9"/>
        <v>PLY095 / 691</v>
      </c>
      <c r="B96" s="193" t="s">
        <v>7806</v>
      </c>
      <c r="C96" s="193" t="s">
        <v>119</v>
      </c>
      <c r="D96" s="318" t="s">
        <v>4708</v>
      </c>
      <c r="E96" s="369" t="str">
        <f>VLOOKUP(D:D,'Master Table'!C:D,2,FALSE)</f>
        <v>691</v>
      </c>
      <c r="F96" s="769" t="s">
        <v>4708</v>
      </c>
      <c r="G96" s="769" t="s">
        <v>4709</v>
      </c>
      <c r="H96" s="769" t="s">
        <v>4710</v>
      </c>
      <c r="I96" s="769" t="s">
        <v>4707</v>
      </c>
      <c r="J96" s="769" t="s">
        <v>324</v>
      </c>
      <c r="K96" s="790">
        <v>1055.7</v>
      </c>
      <c r="L96" s="790">
        <v>292</v>
      </c>
      <c r="M96" s="790"/>
      <c r="N96" s="312">
        <f t="shared" si="6"/>
        <v>1347.7</v>
      </c>
      <c r="O96" s="467">
        <f>VLOOKUP(D:D,'Master Table'!C:O,13,FALSE)</f>
        <v>2694.17</v>
      </c>
      <c r="P96" s="657">
        <v>2694.17</v>
      </c>
      <c r="Q96" s="562">
        <v>2939.23</v>
      </c>
      <c r="R96" s="562">
        <v>3196.11</v>
      </c>
      <c r="S96" s="662">
        <v>3847.58</v>
      </c>
    </row>
    <row r="97" spans="1:19" ht="30" customHeight="1" x14ac:dyDescent="0.2">
      <c r="A97" s="291" t="str">
        <f t="shared" si="9"/>
        <v>PLY096 / 692</v>
      </c>
      <c r="B97" s="193" t="s">
        <v>4713</v>
      </c>
      <c r="C97" s="193" t="s">
        <v>7228</v>
      </c>
      <c r="D97" s="318" t="s">
        <v>4711</v>
      </c>
      <c r="E97" s="369" t="str">
        <f>VLOOKUP(D:D,'Master Table'!C:D,2,FALSE)</f>
        <v>692</v>
      </c>
      <c r="F97" s="769" t="s">
        <v>4711</v>
      </c>
      <c r="G97" s="769" t="s">
        <v>4712</v>
      </c>
      <c r="H97" s="769" t="s">
        <v>634</v>
      </c>
      <c r="I97" s="769" t="s">
        <v>4713</v>
      </c>
      <c r="J97" s="769" t="s">
        <v>324</v>
      </c>
      <c r="K97" s="790">
        <v>1142.45</v>
      </c>
      <c r="L97" s="790">
        <v>857</v>
      </c>
      <c r="M97" s="790"/>
      <c r="N97" s="312">
        <f t="shared" si="6"/>
        <v>1999.45</v>
      </c>
      <c r="O97" s="467">
        <f>VLOOKUP(D:D,'Master Table'!C:O,13,FALSE)</f>
        <v>2330.15</v>
      </c>
      <c r="P97" s="657">
        <v>2330.15</v>
      </c>
      <c r="Q97" s="562">
        <v>2185.92</v>
      </c>
      <c r="R97" s="562">
        <v>2518.8000000000002</v>
      </c>
      <c r="S97" s="662">
        <v>3087.01</v>
      </c>
    </row>
    <row r="98" spans="1:19" ht="30" customHeight="1" x14ac:dyDescent="0.2">
      <c r="A98" s="291" t="str">
        <f t="shared" si="9"/>
        <v>PLY097 / 693</v>
      </c>
      <c r="B98" s="193" t="s">
        <v>4716</v>
      </c>
      <c r="C98" s="193" t="s">
        <v>1349</v>
      </c>
      <c r="D98" s="318" t="s">
        <v>4714</v>
      </c>
      <c r="E98" s="369" t="str">
        <f>VLOOKUP(D:D,'Master Table'!C:D,2,FALSE)</f>
        <v>693</v>
      </c>
      <c r="F98" s="769" t="s">
        <v>4714</v>
      </c>
      <c r="G98" s="769" t="s">
        <v>4715</v>
      </c>
      <c r="H98" s="769" t="s">
        <v>94</v>
      </c>
      <c r="I98" s="769" t="s">
        <v>4716</v>
      </c>
      <c r="J98" s="769" t="s">
        <v>324</v>
      </c>
      <c r="K98" s="790">
        <v>134.86000000000001</v>
      </c>
      <c r="L98" s="790">
        <v>70</v>
      </c>
      <c r="M98" s="790">
        <v>20</v>
      </c>
      <c r="N98" s="312">
        <f t="shared" si="6"/>
        <v>224.86</v>
      </c>
      <c r="O98" s="467">
        <f>VLOOKUP(D:D,'Master Table'!C:O,13,FALSE)</f>
        <v>101.67</v>
      </c>
      <c r="P98" s="657">
        <v>101.67</v>
      </c>
      <c r="Q98" s="562">
        <v>196.01</v>
      </c>
      <c r="R98" s="562">
        <v>178.46</v>
      </c>
      <c r="S98" s="662">
        <v>211.54</v>
      </c>
    </row>
    <row r="99" spans="1:19" ht="30" customHeight="1" x14ac:dyDescent="0.2">
      <c r="A99" s="291" t="str">
        <f t="shared" si="9"/>
        <v>PLY999 / 697</v>
      </c>
      <c r="B99" s="193" t="s">
        <v>7807</v>
      </c>
      <c r="C99" s="193" t="s">
        <v>7261</v>
      </c>
      <c r="D99" s="318" t="s">
        <v>4717</v>
      </c>
      <c r="E99" s="369" t="str">
        <f>VLOOKUP(D:D,'Master Table'!C:D,2,FALSE)</f>
        <v>697</v>
      </c>
      <c r="F99" s="769" t="s">
        <v>4717</v>
      </c>
      <c r="G99" s="769" t="s">
        <v>4718</v>
      </c>
      <c r="H99" s="769" t="s">
        <v>4719</v>
      </c>
      <c r="I99" s="750"/>
      <c r="J99" s="769" t="s">
        <v>324</v>
      </c>
      <c r="K99" s="790"/>
      <c r="L99" s="790">
        <v>3041</v>
      </c>
      <c r="M99" s="790">
        <v>441.49</v>
      </c>
      <c r="N99" s="312">
        <f t="shared" si="6"/>
        <v>3482.49</v>
      </c>
      <c r="O99" s="467">
        <f>VLOOKUP(D:D,'Master Table'!C:O,13,FALSE)</f>
        <v>-111.08</v>
      </c>
      <c r="P99" s="657">
        <v>-111.08</v>
      </c>
      <c r="Q99" s="562">
        <v>354.98</v>
      </c>
      <c r="R99" s="562">
        <v>403.03</v>
      </c>
      <c r="S99" s="662">
        <v>86.4</v>
      </c>
    </row>
    <row r="100" spans="1:19" ht="30" customHeight="1" thickBot="1" x14ac:dyDescent="0.25">
      <c r="O100" s="202"/>
      <c r="P100" s="202"/>
      <c r="Q100" s="564"/>
      <c r="R100" s="202"/>
    </row>
    <row r="101" spans="1:19" s="74" customFormat="1" ht="83.25" customHeight="1" thickBot="1" x14ac:dyDescent="0.25">
      <c r="A101" s="854" t="s">
        <v>10987</v>
      </c>
      <c r="B101" s="855"/>
      <c r="C101" s="855"/>
      <c r="D101" s="855"/>
      <c r="E101" s="855"/>
      <c r="F101" s="855"/>
      <c r="G101" s="855"/>
      <c r="H101" s="855"/>
      <c r="I101" s="855"/>
      <c r="J101" s="855"/>
      <c r="K101" s="855"/>
      <c r="L101" s="855"/>
      <c r="M101" s="855"/>
      <c r="N101" s="855"/>
      <c r="O101" s="855"/>
    </row>
    <row r="102" spans="1:19" s="74" customFormat="1" ht="15" x14ac:dyDescent="0.2">
      <c r="A102" s="718"/>
      <c r="B102" s="718"/>
      <c r="C102" s="718"/>
    </row>
    <row r="103" spans="1:19" s="74" customFormat="1" x14ac:dyDescent="0.2">
      <c r="A103" s="763" t="s">
        <v>7422</v>
      </c>
      <c r="B103" s="764" t="s">
        <v>11007</v>
      </c>
      <c r="C103" s="715"/>
    </row>
    <row r="104" spans="1:19" s="74" customFormat="1" ht="60" x14ac:dyDescent="0.2">
      <c r="A104" s="763" t="s">
        <v>10990</v>
      </c>
      <c r="B104" s="764" t="s">
        <v>11008</v>
      </c>
      <c r="C104" s="715"/>
    </row>
    <row r="105" spans="1:19" s="74" customFormat="1" ht="60" x14ac:dyDescent="0.2">
      <c r="A105" s="763" t="s">
        <v>10991</v>
      </c>
      <c r="B105" s="764" t="s">
        <v>11009</v>
      </c>
      <c r="C105" s="715"/>
    </row>
    <row r="106" spans="1:19" ht="30" customHeight="1" x14ac:dyDescent="0.2">
      <c r="O106" s="202"/>
      <c r="P106" s="202"/>
      <c r="Q106" s="564"/>
      <c r="R106" s="202"/>
    </row>
    <row r="107" spans="1:19" ht="30" customHeight="1" x14ac:dyDescent="0.2">
      <c r="O107" s="202"/>
      <c r="P107" s="202"/>
      <c r="Q107" s="564"/>
      <c r="R107" s="202"/>
    </row>
    <row r="108" spans="1:19" ht="30" customHeight="1" x14ac:dyDescent="0.2">
      <c r="O108" s="202"/>
      <c r="P108" s="202"/>
      <c r="Q108" s="564"/>
      <c r="R108" s="202"/>
    </row>
    <row r="109" spans="1:19" ht="30" customHeight="1" x14ac:dyDescent="0.2">
      <c r="O109" s="202"/>
      <c r="P109" s="202"/>
      <c r="Q109" s="564"/>
      <c r="R109" s="202"/>
    </row>
    <row r="110" spans="1:19" ht="30" customHeight="1" x14ac:dyDescent="0.2">
      <c r="O110" s="202"/>
      <c r="P110" s="202"/>
      <c r="Q110" s="564"/>
      <c r="R110" s="202"/>
    </row>
  </sheetData>
  <mergeCells count="19">
    <mergeCell ref="A101:O101"/>
    <mergeCell ref="B3:B4"/>
    <mergeCell ref="B16:B17"/>
    <mergeCell ref="B28:B30"/>
    <mergeCell ref="B85:B86"/>
    <mergeCell ref="B61:B62"/>
    <mergeCell ref="B68:B69"/>
    <mergeCell ref="Q3:Q4"/>
    <mergeCell ref="P3:P4"/>
    <mergeCell ref="Q16:Q17"/>
    <mergeCell ref="P16:P17"/>
    <mergeCell ref="P28:P30"/>
    <mergeCell ref="Q28:Q30"/>
    <mergeCell ref="Q61:Q62"/>
    <mergeCell ref="P61:P62"/>
    <mergeCell ref="Q68:Q69"/>
    <mergeCell ref="P68:P69"/>
    <mergeCell ref="Q85:Q86"/>
    <mergeCell ref="P85:P86"/>
  </mergeCells>
  <conditionalFormatting sqref="E3:E16 E18:E28 E63:E68 E87:E99 E31:E61 E70:E85">
    <cfRule type="cellIs" dxfId="24" priority="11" stopIfTrue="1" operator="equal">
      <formula>0</formula>
    </cfRule>
  </conditionalFormatting>
  <conditionalFormatting sqref="E17">
    <cfRule type="cellIs" dxfId="23" priority="9" stopIfTrue="1" operator="equal">
      <formula>0</formula>
    </cfRule>
  </conditionalFormatting>
  <conditionalFormatting sqref="E29">
    <cfRule type="cellIs" dxfId="22" priority="8" stopIfTrue="1" operator="equal">
      <formula>0</formula>
    </cfRule>
  </conditionalFormatting>
  <conditionalFormatting sqref="E62">
    <cfRule type="cellIs" dxfId="21" priority="6" stopIfTrue="1" operator="equal">
      <formula>0</formula>
    </cfRule>
  </conditionalFormatting>
  <conditionalFormatting sqref="E69">
    <cfRule type="cellIs" dxfId="20" priority="5" stopIfTrue="1" operator="equal">
      <formula>0</formula>
    </cfRule>
  </conditionalFormatting>
  <conditionalFormatting sqref="E86">
    <cfRule type="cellIs" dxfId="19" priority="3" stopIfTrue="1" operator="equal">
      <formula>0</formula>
    </cfRule>
  </conditionalFormatting>
  <conditionalFormatting sqref="E30">
    <cfRule type="cellIs" dxfId="18" priority="2" stopIfTrue="1" operator="equal">
      <formula>0</formula>
    </cfRule>
  </conditionalFormatting>
  <conditionalFormatting sqref="J3:J99">
    <cfRule type="cellIs" dxfId="17" priority="1" operator="equal">
      <formula>"Yes"</formula>
    </cfRule>
  </conditionalFormatting>
  <pageMargins left="0.23622047244094491" right="0.23622047244094491" top="0.39370078740157483" bottom="0.39370078740157483" header="0.31496062992125984" footer="0.31496062992125984"/>
  <pageSetup paperSize="9" scale="67" fitToHeight="0" orientation="portrait" r:id="rId1"/>
  <headerFooter>
    <oddFooter>&amp;RPage &amp;P /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1:V154"/>
  <sheetViews>
    <sheetView zoomScaleNormal="100" workbookViewId="0">
      <pane ySplit="2" topLeftCell="A3" activePane="bottomLeft" state="frozen"/>
      <selection pane="bottomLeft" activeCell="A2" sqref="A2"/>
    </sheetView>
  </sheetViews>
  <sheetFormatPr defaultRowHeight="12.75" outlineLevelRow="1" outlineLevelCol="1" x14ac:dyDescent="0.2"/>
  <cols>
    <col min="1" max="1" width="25.28515625" customWidth="1"/>
    <col min="2" max="2" width="37.28515625" bestFit="1" customWidth="1"/>
    <col min="3" max="3" width="51" bestFit="1" customWidth="1"/>
    <col min="4" max="4" width="17.140625" style="472" hidden="1" customWidth="1" outlineLevel="1"/>
    <col min="5" max="5" width="14.28515625" style="358" hidden="1" customWidth="1" outlineLevel="1"/>
    <col min="6" max="6" width="15.85546875" style="19" hidden="1" customWidth="1" outlineLevel="1"/>
    <col min="7" max="7" width="15.85546875" style="19" hidden="1" customWidth="1" collapsed="1"/>
    <col min="8" max="8" width="15.85546875" style="486" hidden="1" customWidth="1"/>
    <col min="9" max="10" width="15.5703125" style="19" hidden="1" customWidth="1"/>
    <col min="11" max="11" width="0" hidden="1" customWidth="1"/>
    <col min="12" max="12" width="12.85546875" bestFit="1" customWidth="1"/>
    <col min="13" max="13" width="15.140625" bestFit="1" customWidth="1"/>
    <col min="14" max="14" width="20" bestFit="1" customWidth="1"/>
    <col min="15" max="15" width="12.85546875" bestFit="1" customWidth="1"/>
    <col min="16" max="16" width="12.85546875" hidden="1" customWidth="1"/>
    <col min="17" max="20" width="12.85546875" bestFit="1" customWidth="1"/>
    <col min="254" max="254" width="12.85546875" customWidth="1"/>
    <col min="255" max="255" width="37.28515625" bestFit="1" customWidth="1"/>
    <col min="256" max="256" width="51" bestFit="1" customWidth="1"/>
    <col min="257" max="258" width="0" hidden="1" customWidth="1"/>
    <col min="259" max="259" width="15.85546875" bestFit="1" customWidth="1"/>
    <col min="260" max="260" width="15.5703125" bestFit="1" customWidth="1"/>
    <col min="261" max="261" width="10.85546875" bestFit="1" customWidth="1"/>
    <col min="510" max="510" width="12.85546875" customWidth="1"/>
    <col min="511" max="511" width="37.28515625" bestFit="1" customWidth="1"/>
    <col min="512" max="512" width="51" bestFit="1" customWidth="1"/>
    <col min="513" max="514" width="0" hidden="1" customWidth="1"/>
    <col min="515" max="515" width="15.85546875" bestFit="1" customWidth="1"/>
    <col min="516" max="516" width="15.5703125" bestFit="1" customWidth="1"/>
    <col min="517" max="517" width="10.85546875" bestFit="1" customWidth="1"/>
    <col min="766" max="766" width="12.85546875" customWidth="1"/>
    <col min="767" max="767" width="37.28515625" bestFit="1" customWidth="1"/>
    <col min="768" max="768" width="51" bestFit="1" customWidth="1"/>
    <col min="769" max="770" width="0" hidden="1" customWidth="1"/>
    <col min="771" max="771" width="15.85546875" bestFit="1" customWidth="1"/>
    <col min="772" max="772" width="15.5703125" bestFit="1" customWidth="1"/>
    <col min="773" max="773" width="10.85546875" bestFit="1" customWidth="1"/>
    <col min="1022" max="1022" width="12.85546875" customWidth="1"/>
    <col min="1023" max="1023" width="37.28515625" bestFit="1" customWidth="1"/>
    <col min="1024" max="1024" width="51" bestFit="1" customWidth="1"/>
    <col min="1025" max="1026" width="0" hidden="1" customWidth="1"/>
    <col min="1027" max="1027" width="15.85546875" bestFit="1" customWidth="1"/>
    <col min="1028" max="1028" width="15.5703125" bestFit="1" customWidth="1"/>
    <col min="1029" max="1029" width="10.85546875" bestFit="1" customWidth="1"/>
    <col min="1278" max="1278" width="12.85546875" customWidth="1"/>
    <col min="1279" max="1279" width="37.28515625" bestFit="1" customWidth="1"/>
    <col min="1280" max="1280" width="51" bestFit="1" customWidth="1"/>
    <col min="1281" max="1282" width="0" hidden="1" customWidth="1"/>
    <col min="1283" max="1283" width="15.85546875" bestFit="1" customWidth="1"/>
    <col min="1284" max="1284" width="15.5703125" bestFit="1" customWidth="1"/>
    <col min="1285" max="1285" width="10.85546875" bestFit="1" customWidth="1"/>
    <col min="1534" max="1534" width="12.85546875" customWidth="1"/>
    <col min="1535" max="1535" width="37.28515625" bestFit="1" customWidth="1"/>
    <col min="1536" max="1536" width="51" bestFit="1" customWidth="1"/>
    <col min="1537" max="1538" width="0" hidden="1" customWidth="1"/>
    <col min="1539" max="1539" width="15.85546875" bestFit="1" customWidth="1"/>
    <col min="1540" max="1540" width="15.5703125" bestFit="1" customWidth="1"/>
    <col min="1541" max="1541" width="10.85546875" bestFit="1" customWidth="1"/>
    <col min="1790" max="1790" width="12.85546875" customWidth="1"/>
    <col min="1791" max="1791" width="37.28515625" bestFit="1" customWidth="1"/>
    <col min="1792" max="1792" width="51" bestFit="1" customWidth="1"/>
    <col min="1793" max="1794" width="0" hidden="1" customWidth="1"/>
    <col min="1795" max="1795" width="15.85546875" bestFit="1" customWidth="1"/>
    <col min="1796" max="1796" width="15.5703125" bestFit="1" customWidth="1"/>
    <col min="1797" max="1797" width="10.85546875" bestFit="1" customWidth="1"/>
    <col min="2046" max="2046" width="12.85546875" customWidth="1"/>
    <col min="2047" max="2047" width="37.28515625" bestFit="1" customWidth="1"/>
    <col min="2048" max="2048" width="51" bestFit="1" customWidth="1"/>
    <col min="2049" max="2050" width="0" hidden="1" customWidth="1"/>
    <col min="2051" max="2051" width="15.85546875" bestFit="1" customWidth="1"/>
    <col min="2052" max="2052" width="15.5703125" bestFit="1" customWidth="1"/>
    <col min="2053" max="2053" width="10.85546875" bestFit="1" customWidth="1"/>
    <col min="2302" max="2302" width="12.85546875" customWidth="1"/>
    <col min="2303" max="2303" width="37.28515625" bestFit="1" customWidth="1"/>
    <col min="2304" max="2304" width="51" bestFit="1" customWidth="1"/>
    <col min="2305" max="2306" width="0" hidden="1" customWidth="1"/>
    <col min="2307" max="2307" width="15.85546875" bestFit="1" customWidth="1"/>
    <col min="2308" max="2308" width="15.5703125" bestFit="1" customWidth="1"/>
    <col min="2309" max="2309" width="10.85546875" bestFit="1" customWidth="1"/>
    <col min="2558" max="2558" width="12.85546875" customWidth="1"/>
    <col min="2559" max="2559" width="37.28515625" bestFit="1" customWidth="1"/>
    <col min="2560" max="2560" width="51" bestFit="1" customWidth="1"/>
    <col min="2561" max="2562" width="0" hidden="1" customWidth="1"/>
    <col min="2563" max="2563" width="15.85546875" bestFit="1" customWidth="1"/>
    <col min="2564" max="2564" width="15.5703125" bestFit="1" customWidth="1"/>
    <col min="2565" max="2565" width="10.85546875" bestFit="1" customWidth="1"/>
    <col min="2814" max="2814" width="12.85546875" customWidth="1"/>
    <col min="2815" max="2815" width="37.28515625" bestFit="1" customWidth="1"/>
    <col min="2816" max="2816" width="51" bestFit="1" customWidth="1"/>
    <col min="2817" max="2818" width="0" hidden="1" customWidth="1"/>
    <col min="2819" max="2819" width="15.85546875" bestFit="1" customWidth="1"/>
    <col min="2820" max="2820" width="15.5703125" bestFit="1" customWidth="1"/>
    <col min="2821" max="2821" width="10.85546875" bestFit="1" customWidth="1"/>
    <col min="3070" max="3070" width="12.85546875" customWidth="1"/>
    <col min="3071" max="3071" width="37.28515625" bestFit="1" customWidth="1"/>
    <col min="3072" max="3072" width="51" bestFit="1" customWidth="1"/>
    <col min="3073" max="3074" width="0" hidden="1" customWidth="1"/>
    <col min="3075" max="3075" width="15.85546875" bestFit="1" customWidth="1"/>
    <col min="3076" max="3076" width="15.5703125" bestFit="1" customWidth="1"/>
    <col min="3077" max="3077" width="10.85546875" bestFit="1" customWidth="1"/>
    <col min="3326" max="3326" width="12.85546875" customWidth="1"/>
    <col min="3327" max="3327" width="37.28515625" bestFit="1" customWidth="1"/>
    <col min="3328" max="3328" width="51" bestFit="1" customWidth="1"/>
    <col min="3329" max="3330" width="0" hidden="1" customWidth="1"/>
    <col min="3331" max="3331" width="15.85546875" bestFit="1" customWidth="1"/>
    <col min="3332" max="3332" width="15.5703125" bestFit="1" customWidth="1"/>
    <col min="3333" max="3333" width="10.85546875" bestFit="1" customWidth="1"/>
    <col min="3582" max="3582" width="12.85546875" customWidth="1"/>
    <col min="3583" max="3583" width="37.28515625" bestFit="1" customWidth="1"/>
    <col min="3584" max="3584" width="51" bestFit="1" customWidth="1"/>
    <col min="3585" max="3586" width="0" hidden="1" customWidth="1"/>
    <col min="3587" max="3587" width="15.85546875" bestFit="1" customWidth="1"/>
    <col min="3588" max="3588" width="15.5703125" bestFit="1" customWidth="1"/>
    <col min="3589" max="3589" width="10.85546875" bestFit="1" customWidth="1"/>
    <col min="3838" max="3838" width="12.85546875" customWidth="1"/>
    <col min="3839" max="3839" width="37.28515625" bestFit="1" customWidth="1"/>
    <col min="3840" max="3840" width="51" bestFit="1" customWidth="1"/>
    <col min="3841" max="3842" width="0" hidden="1" customWidth="1"/>
    <col min="3843" max="3843" width="15.85546875" bestFit="1" customWidth="1"/>
    <col min="3844" max="3844" width="15.5703125" bestFit="1" customWidth="1"/>
    <col min="3845" max="3845" width="10.85546875" bestFit="1" customWidth="1"/>
    <col min="4094" max="4094" width="12.85546875" customWidth="1"/>
    <col min="4095" max="4095" width="37.28515625" bestFit="1" customWidth="1"/>
    <col min="4096" max="4096" width="51" bestFit="1" customWidth="1"/>
    <col min="4097" max="4098" width="0" hidden="1" customWidth="1"/>
    <col min="4099" max="4099" width="15.85546875" bestFit="1" customWidth="1"/>
    <col min="4100" max="4100" width="15.5703125" bestFit="1" customWidth="1"/>
    <col min="4101" max="4101" width="10.85546875" bestFit="1" customWidth="1"/>
    <col min="4350" max="4350" width="12.85546875" customWidth="1"/>
    <col min="4351" max="4351" width="37.28515625" bestFit="1" customWidth="1"/>
    <col min="4352" max="4352" width="51" bestFit="1" customWidth="1"/>
    <col min="4353" max="4354" width="0" hidden="1" customWidth="1"/>
    <col min="4355" max="4355" width="15.85546875" bestFit="1" customWidth="1"/>
    <col min="4356" max="4356" width="15.5703125" bestFit="1" customWidth="1"/>
    <col min="4357" max="4357" width="10.85546875" bestFit="1" customWidth="1"/>
    <col min="4606" max="4606" width="12.85546875" customWidth="1"/>
    <col min="4607" max="4607" width="37.28515625" bestFit="1" customWidth="1"/>
    <col min="4608" max="4608" width="51" bestFit="1" customWidth="1"/>
    <col min="4609" max="4610" width="0" hidden="1" customWidth="1"/>
    <col min="4611" max="4611" width="15.85546875" bestFit="1" customWidth="1"/>
    <col min="4612" max="4612" width="15.5703125" bestFit="1" customWidth="1"/>
    <col min="4613" max="4613" width="10.85546875" bestFit="1" customWidth="1"/>
    <col min="4862" max="4862" width="12.85546875" customWidth="1"/>
    <col min="4863" max="4863" width="37.28515625" bestFit="1" customWidth="1"/>
    <col min="4864" max="4864" width="51" bestFit="1" customWidth="1"/>
    <col min="4865" max="4866" width="0" hidden="1" customWidth="1"/>
    <col min="4867" max="4867" width="15.85546875" bestFit="1" customWidth="1"/>
    <col min="4868" max="4868" width="15.5703125" bestFit="1" customWidth="1"/>
    <col min="4869" max="4869" width="10.85546875" bestFit="1" customWidth="1"/>
    <col min="5118" max="5118" width="12.85546875" customWidth="1"/>
    <col min="5119" max="5119" width="37.28515625" bestFit="1" customWidth="1"/>
    <col min="5120" max="5120" width="51" bestFit="1" customWidth="1"/>
    <col min="5121" max="5122" width="0" hidden="1" customWidth="1"/>
    <col min="5123" max="5123" width="15.85546875" bestFit="1" customWidth="1"/>
    <col min="5124" max="5124" width="15.5703125" bestFit="1" customWidth="1"/>
    <col min="5125" max="5125" width="10.85546875" bestFit="1" customWidth="1"/>
    <col min="5374" max="5374" width="12.85546875" customWidth="1"/>
    <col min="5375" max="5375" width="37.28515625" bestFit="1" customWidth="1"/>
    <col min="5376" max="5376" width="51" bestFit="1" customWidth="1"/>
    <col min="5377" max="5378" width="0" hidden="1" customWidth="1"/>
    <col min="5379" max="5379" width="15.85546875" bestFit="1" customWidth="1"/>
    <col min="5380" max="5380" width="15.5703125" bestFit="1" customWidth="1"/>
    <col min="5381" max="5381" width="10.85546875" bestFit="1" customWidth="1"/>
    <col min="5630" max="5630" width="12.85546875" customWidth="1"/>
    <col min="5631" max="5631" width="37.28515625" bestFit="1" customWidth="1"/>
    <col min="5632" max="5632" width="51" bestFit="1" customWidth="1"/>
    <col min="5633" max="5634" width="0" hidden="1" customWidth="1"/>
    <col min="5635" max="5635" width="15.85546875" bestFit="1" customWidth="1"/>
    <col min="5636" max="5636" width="15.5703125" bestFit="1" customWidth="1"/>
    <col min="5637" max="5637" width="10.85546875" bestFit="1" customWidth="1"/>
    <col min="5886" max="5886" width="12.85546875" customWidth="1"/>
    <col min="5887" max="5887" width="37.28515625" bestFit="1" customWidth="1"/>
    <col min="5888" max="5888" width="51" bestFit="1" customWidth="1"/>
    <col min="5889" max="5890" width="0" hidden="1" customWidth="1"/>
    <col min="5891" max="5891" width="15.85546875" bestFit="1" customWidth="1"/>
    <col min="5892" max="5892" width="15.5703125" bestFit="1" customWidth="1"/>
    <col min="5893" max="5893" width="10.85546875" bestFit="1" customWidth="1"/>
    <col min="6142" max="6142" width="12.85546875" customWidth="1"/>
    <col min="6143" max="6143" width="37.28515625" bestFit="1" customWidth="1"/>
    <col min="6144" max="6144" width="51" bestFit="1" customWidth="1"/>
    <col min="6145" max="6146" width="0" hidden="1" customWidth="1"/>
    <col min="6147" max="6147" width="15.85546875" bestFit="1" customWidth="1"/>
    <col min="6148" max="6148" width="15.5703125" bestFit="1" customWidth="1"/>
    <col min="6149" max="6149" width="10.85546875" bestFit="1" customWidth="1"/>
    <col min="6398" max="6398" width="12.85546875" customWidth="1"/>
    <col min="6399" max="6399" width="37.28515625" bestFit="1" customWidth="1"/>
    <col min="6400" max="6400" width="51" bestFit="1" customWidth="1"/>
    <col min="6401" max="6402" width="0" hidden="1" customWidth="1"/>
    <col min="6403" max="6403" width="15.85546875" bestFit="1" customWidth="1"/>
    <col min="6404" max="6404" width="15.5703125" bestFit="1" customWidth="1"/>
    <col min="6405" max="6405" width="10.85546875" bestFit="1" customWidth="1"/>
    <col min="6654" max="6654" width="12.85546875" customWidth="1"/>
    <col min="6655" max="6655" width="37.28515625" bestFit="1" customWidth="1"/>
    <col min="6656" max="6656" width="51" bestFit="1" customWidth="1"/>
    <col min="6657" max="6658" width="0" hidden="1" customWidth="1"/>
    <col min="6659" max="6659" width="15.85546875" bestFit="1" customWidth="1"/>
    <col min="6660" max="6660" width="15.5703125" bestFit="1" customWidth="1"/>
    <col min="6661" max="6661" width="10.85546875" bestFit="1" customWidth="1"/>
    <col min="6910" max="6910" width="12.85546875" customWidth="1"/>
    <col min="6911" max="6911" width="37.28515625" bestFit="1" customWidth="1"/>
    <col min="6912" max="6912" width="51" bestFit="1" customWidth="1"/>
    <col min="6913" max="6914" width="0" hidden="1" customWidth="1"/>
    <col min="6915" max="6915" width="15.85546875" bestFit="1" customWidth="1"/>
    <col min="6916" max="6916" width="15.5703125" bestFit="1" customWidth="1"/>
    <col min="6917" max="6917" width="10.85546875" bestFit="1" customWidth="1"/>
    <col min="7166" max="7166" width="12.85546875" customWidth="1"/>
    <col min="7167" max="7167" width="37.28515625" bestFit="1" customWidth="1"/>
    <col min="7168" max="7168" width="51" bestFit="1" customWidth="1"/>
    <col min="7169" max="7170" width="0" hidden="1" customWidth="1"/>
    <col min="7171" max="7171" width="15.85546875" bestFit="1" customWidth="1"/>
    <col min="7172" max="7172" width="15.5703125" bestFit="1" customWidth="1"/>
    <col min="7173" max="7173" width="10.85546875" bestFit="1" customWidth="1"/>
    <col min="7422" max="7422" width="12.85546875" customWidth="1"/>
    <col min="7423" max="7423" width="37.28515625" bestFit="1" customWidth="1"/>
    <col min="7424" max="7424" width="51" bestFit="1" customWidth="1"/>
    <col min="7425" max="7426" width="0" hidden="1" customWidth="1"/>
    <col min="7427" max="7427" width="15.85546875" bestFit="1" customWidth="1"/>
    <col min="7428" max="7428" width="15.5703125" bestFit="1" customWidth="1"/>
    <col min="7429" max="7429" width="10.85546875" bestFit="1" customWidth="1"/>
    <col min="7678" max="7678" width="12.85546875" customWidth="1"/>
    <col min="7679" max="7679" width="37.28515625" bestFit="1" customWidth="1"/>
    <col min="7680" max="7680" width="51" bestFit="1" customWidth="1"/>
    <col min="7681" max="7682" width="0" hidden="1" customWidth="1"/>
    <col min="7683" max="7683" width="15.85546875" bestFit="1" customWidth="1"/>
    <col min="7684" max="7684" width="15.5703125" bestFit="1" customWidth="1"/>
    <col min="7685" max="7685" width="10.85546875" bestFit="1" customWidth="1"/>
    <col min="7934" max="7934" width="12.85546875" customWidth="1"/>
    <col min="7935" max="7935" width="37.28515625" bestFit="1" customWidth="1"/>
    <col min="7936" max="7936" width="51" bestFit="1" customWidth="1"/>
    <col min="7937" max="7938" width="0" hidden="1" customWidth="1"/>
    <col min="7939" max="7939" width="15.85546875" bestFit="1" customWidth="1"/>
    <col min="7940" max="7940" width="15.5703125" bestFit="1" customWidth="1"/>
    <col min="7941" max="7941" width="10.85546875" bestFit="1" customWidth="1"/>
    <col min="8190" max="8190" width="12.85546875" customWidth="1"/>
    <col min="8191" max="8191" width="37.28515625" bestFit="1" customWidth="1"/>
    <col min="8192" max="8192" width="51" bestFit="1" customWidth="1"/>
    <col min="8193" max="8194" width="0" hidden="1" customWidth="1"/>
    <col min="8195" max="8195" width="15.85546875" bestFit="1" customWidth="1"/>
    <col min="8196" max="8196" width="15.5703125" bestFit="1" customWidth="1"/>
    <col min="8197" max="8197" width="10.85546875" bestFit="1" customWidth="1"/>
    <col min="8446" max="8446" width="12.85546875" customWidth="1"/>
    <col min="8447" max="8447" width="37.28515625" bestFit="1" customWidth="1"/>
    <col min="8448" max="8448" width="51" bestFit="1" customWidth="1"/>
    <col min="8449" max="8450" width="0" hidden="1" customWidth="1"/>
    <col min="8451" max="8451" width="15.85546875" bestFit="1" customWidth="1"/>
    <col min="8452" max="8452" width="15.5703125" bestFit="1" customWidth="1"/>
    <col min="8453" max="8453" width="10.85546875" bestFit="1" customWidth="1"/>
    <col min="8702" max="8702" width="12.85546875" customWidth="1"/>
    <col min="8703" max="8703" width="37.28515625" bestFit="1" customWidth="1"/>
    <col min="8704" max="8704" width="51" bestFit="1" customWidth="1"/>
    <col min="8705" max="8706" width="0" hidden="1" customWidth="1"/>
    <col min="8707" max="8707" width="15.85546875" bestFit="1" customWidth="1"/>
    <col min="8708" max="8708" width="15.5703125" bestFit="1" customWidth="1"/>
    <col min="8709" max="8709" width="10.85546875" bestFit="1" customWidth="1"/>
    <col min="8958" max="8958" width="12.85546875" customWidth="1"/>
    <col min="8959" max="8959" width="37.28515625" bestFit="1" customWidth="1"/>
    <col min="8960" max="8960" width="51" bestFit="1" customWidth="1"/>
    <col min="8961" max="8962" width="0" hidden="1" customWidth="1"/>
    <col min="8963" max="8963" width="15.85546875" bestFit="1" customWidth="1"/>
    <col min="8964" max="8964" width="15.5703125" bestFit="1" customWidth="1"/>
    <col min="8965" max="8965" width="10.85546875" bestFit="1" customWidth="1"/>
    <col min="9214" max="9214" width="12.85546875" customWidth="1"/>
    <col min="9215" max="9215" width="37.28515625" bestFit="1" customWidth="1"/>
    <col min="9216" max="9216" width="51" bestFit="1" customWidth="1"/>
    <col min="9217" max="9218" width="0" hidden="1" customWidth="1"/>
    <col min="9219" max="9219" width="15.85546875" bestFit="1" customWidth="1"/>
    <col min="9220" max="9220" width="15.5703125" bestFit="1" customWidth="1"/>
    <col min="9221" max="9221" width="10.85546875" bestFit="1" customWidth="1"/>
    <col min="9470" max="9470" width="12.85546875" customWidth="1"/>
    <col min="9471" max="9471" width="37.28515625" bestFit="1" customWidth="1"/>
    <col min="9472" max="9472" width="51" bestFit="1" customWidth="1"/>
    <col min="9473" max="9474" width="0" hidden="1" customWidth="1"/>
    <col min="9475" max="9475" width="15.85546875" bestFit="1" customWidth="1"/>
    <col min="9476" max="9476" width="15.5703125" bestFit="1" customWidth="1"/>
    <col min="9477" max="9477" width="10.85546875" bestFit="1" customWidth="1"/>
    <col min="9726" max="9726" width="12.85546875" customWidth="1"/>
    <col min="9727" max="9727" width="37.28515625" bestFit="1" customWidth="1"/>
    <col min="9728" max="9728" width="51" bestFit="1" customWidth="1"/>
    <col min="9729" max="9730" width="0" hidden="1" customWidth="1"/>
    <col min="9731" max="9731" width="15.85546875" bestFit="1" customWidth="1"/>
    <col min="9732" max="9732" width="15.5703125" bestFit="1" customWidth="1"/>
    <col min="9733" max="9733" width="10.85546875" bestFit="1" customWidth="1"/>
    <col min="9982" max="9982" width="12.85546875" customWidth="1"/>
    <col min="9983" max="9983" width="37.28515625" bestFit="1" customWidth="1"/>
    <col min="9984" max="9984" width="51" bestFit="1" customWidth="1"/>
    <col min="9985" max="9986" width="0" hidden="1" customWidth="1"/>
    <col min="9987" max="9987" width="15.85546875" bestFit="1" customWidth="1"/>
    <col min="9988" max="9988" width="15.5703125" bestFit="1" customWidth="1"/>
    <col min="9989" max="9989" width="10.85546875" bestFit="1" customWidth="1"/>
    <col min="10238" max="10238" width="12.85546875" customWidth="1"/>
    <col min="10239" max="10239" width="37.28515625" bestFit="1" customWidth="1"/>
    <col min="10240" max="10240" width="51" bestFit="1" customWidth="1"/>
    <col min="10241" max="10242" width="0" hidden="1" customWidth="1"/>
    <col min="10243" max="10243" width="15.85546875" bestFit="1" customWidth="1"/>
    <col min="10244" max="10244" width="15.5703125" bestFit="1" customWidth="1"/>
    <col min="10245" max="10245" width="10.85546875" bestFit="1" customWidth="1"/>
    <col min="10494" max="10494" width="12.85546875" customWidth="1"/>
    <col min="10495" max="10495" width="37.28515625" bestFit="1" customWidth="1"/>
    <col min="10496" max="10496" width="51" bestFit="1" customWidth="1"/>
    <col min="10497" max="10498" width="0" hidden="1" customWidth="1"/>
    <col min="10499" max="10499" width="15.85546875" bestFit="1" customWidth="1"/>
    <col min="10500" max="10500" width="15.5703125" bestFit="1" customWidth="1"/>
    <col min="10501" max="10501" width="10.85546875" bestFit="1" customWidth="1"/>
    <col min="10750" max="10750" width="12.85546875" customWidth="1"/>
    <col min="10751" max="10751" width="37.28515625" bestFit="1" customWidth="1"/>
    <col min="10752" max="10752" width="51" bestFit="1" customWidth="1"/>
    <col min="10753" max="10754" width="0" hidden="1" customWidth="1"/>
    <col min="10755" max="10755" width="15.85546875" bestFit="1" customWidth="1"/>
    <col min="10756" max="10756" width="15.5703125" bestFit="1" customWidth="1"/>
    <col min="10757" max="10757" width="10.85546875" bestFit="1" customWidth="1"/>
    <col min="11006" max="11006" width="12.85546875" customWidth="1"/>
    <col min="11007" max="11007" width="37.28515625" bestFit="1" customWidth="1"/>
    <col min="11008" max="11008" width="51" bestFit="1" customWidth="1"/>
    <col min="11009" max="11010" width="0" hidden="1" customWidth="1"/>
    <col min="11011" max="11011" width="15.85546875" bestFit="1" customWidth="1"/>
    <col min="11012" max="11012" width="15.5703125" bestFit="1" customWidth="1"/>
    <col min="11013" max="11013" width="10.85546875" bestFit="1" customWidth="1"/>
    <col min="11262" max="11262" width="12.85546875" customWidth="1"/>
    <col min="11263" max="11263" width="37.28515625" bestFit="1" customWidth="1"/>
    <col min="11264" max="11264" width="51" bestFit="1" customWidth="1"/>
    <col min="11265" max="11266" width="0" hidden="1" customWidth="1"/>
    <col min="11267" max="11267" width="15.85546875" bestFit="1" customWidth="1"/>
    <col min="11268" max="11268" width="15.5703125" bestFit="1" customWidth="1"/>
    <col min="11269" max="11269" width="10.85546875" bestFit="1" customWidth="1"/>
    <col min="11518" max="11518" width="12.85546875" customWidth="1"/>
    <col min="11519" max="11519" width="37.28515625" bestFit="1" customWidth="1"/>
    <col min="11520" max="11520" width="51" bestFit="1" customWidth="1"/>
    <col min="11521" max="11522" width="0" hidden="1" customWidth="1"/>
    <col min="11523" max="11523" width="15.85546875" bestFit="1" customWidth="1"/>
    <col min="11524" max="11524" width="15.5703125" bestFit="1" customWidth="1"/>
    <col min="11525" max="11525" width="10.85546875" bestFit="1" customWidth="1"/>
    <col min="11774" max="11774" width="12.85546875" customWidth="1"/>
    <col min="11775" max="11775" width="37.28515625" bestFit="1" customWidth="1"/>
    <col min="11776" max="11776" width="51" bestFit="1" customWidth="1"/>
    <col min="11777" max="11778" width="0" hidden="1" customWidth="1"/>
    <col min="11779" max="11779" width="15.85546875" bestFit="1" customWidth="1"/>
    <col min="11780" max="11780" width="15.5703125" bestFit="1" customWidth="1"/>
    <col min="11781" max="11781" width="10.85546875" bestFit="1" customWidth="1"/>
    <col min="12030" max="12030" width="12.85546875" customWidth="1"/>
    <col min="12031" max="12031" width="37.28515625" bestFit="1" customWidth="1"/>
    <col min="12032" max="12032" width="51" bestFit="1" customWidth="1"/>
    <col min="12033" max="12034" width="0" hidden="1" customWidth="1"/>
    <col min="12035" max="12035" width="15.85546875" bestFit="1" customWidth="1"/>
    <col min="12036" max="12036" width="15.5703125" bestFit="1" customWidth="1"/>
    <col min="12037" max="12037" width="10.85546875" bestFit="1" customWidth="1"/>
    <col min="12286" max="12286" width="12.85546875" customWidth="1"/>
    <col min="12287" max="12287" width="37.28515625" bestFit="1" customWidth="1"/>
    <col min="12288" max="12288" width="51" bestFit="1" customWidth="1"/>
    <col min="12289" max="12290" width="0" hidden="1" customWidth="1"/>
    <col min="12291" max="12291" width="15.85546875" bestFit="1" customWidth="1"/>
    <col min="12292" max="12292" width="15.5703125" bestFit="1" customWidth="1"/>
    <col min="12293" max="12293" width="10.85546875" bestFit="1" customWidth="1"/>
    <col min="12542" max="12542" width="12.85546875" customWidth="1"/>
    <col min="12543" max="12543" width="37.28515625" bestFit="1" customWidth="1"/>
    <col min="12544" max="12544" width="51" bestFit="1" customWidth="1"/>
    <col min="12545" max="12546" width="0" hidden="1" customWidth="1"/>
    <col min="12547" max="12547" width="15.85546875" bestFit="1" customWidth="1"/>
    <col min="12548" max="12548" width="15.5703125" bestFit="1" customWidth="1"/>
    <col min="12549" max="12549" width="10.85546875" bestFit="1" customWidth="1"/>
    <col min="12798" max="12798" width="12.85546875" customWidth="1"/>
    <col min="12799" max="12799" width="37.28515625" bestFit="1" customWidth="1"/>
    <col min="12800" max="12800" width="51" bestFit="1" customWidth="1"/>
    <col min="12801" max="12802" width="0" hidden="1" customWidth="1"/>
    <col min="12803" max="12803" width="15.85546875" bestFit="1" customWidth="1"/>
    <col min="12804" max="12804" width="15.5703125" bestFit="1" customWidth="1"/>
    <col min="12805" max="12805" width="10.85546875" bestFit="1" customWidth="1"/>
    <col min="13054" max="13054" width="12.85546875" customWidth="1"/>
    <col min="13055" max="13055" width="37.28515625" bestFit="1" customWidth="1"/>
    <col min="13056" max="13056" width="51" bestFit="1" customWidth="1"/>
    <col min="13057" max="13058" width="0" hidden="1" customWidth="1"/>
    <col min="13059" max="13059" width="15.85546875" bestFit="1" customWidth="1"/>
    <col min="13060" max="13060" width="15.5703125" bestFit="1" customWidth="1"/>
    <col min="13061" max="13061" width="10.85546875" bestFit="1" customWidth="1"/>
    <col min="13310" max="13310" width="12.85546875" customWidth="1"/>
    <col min="13311" max="13311" width="37.28515625" bestFit="1" customWidth="1"/>
    <col min="13312" max="13312" width="51" bestFit="1" customWidth="1"/>
    <col min="13313" max="13314" width="0" hidden="1" customWidth="1"/>
    <col min="13315" max="13315" width="15.85546875" bestFit="1" customWidth="1"/>
    <col min="13316" max="13316" width="15.5703125" bestFit="1" customWidth="1"/>
    <col min="13317" max="13317" width="10.85546875" bestFit="1" customWidth="1"/>
    <col min="13566" max="13566" width="12.85546875" customWidth="1"/>
    <col min="13567" max="13567" width="37.28515625" bestFit="1" customWidth="1"/>
    <col min="13568" max="13568" width="51" bestFit="1" customWidth="1"/>
    <col min="13569" max="13570" width="0" hidden="1" customWidth="1"/>
    <col min="13571" max="13571" width="15.85546875" bestFit="1" customWidth="1"/>
    <col min="13572" max="13572" width="15.5703125" bestFit="1" customWidth="1"/>
    <col min="13573" max="13573" width="10.85546875" bestFit="1" customWidth="1"/>
    <col min="13822" max="13822" width="12.85546875" customWidth="1"/>
    <col min="13823" max="13823" width="37.28515625" bestFit="1" customWidth="1"/>
    <col min="13824" max="13824" width="51" bestFit="1" customWidth="1"/>
    <col min="13825" max="13826" width="0" hidden="1" customWidth="1"/>
    <col min="13827" max="13827" width="15.85546875" bestFit="1" customWidth="1"/>
    <col min="13828" max="13828" width="15.5703125" bestFit="1" customWidth="1"/>
    <col min="13829" max="13829" width="10.85546875" bestFit="1" customWidth="1"/>
    <col min="14078" max="14078" width="12.85546875" customWidth="1"/>
    <col min="14079" max="14079" width="37.28515625" bestFit="1" customWidth="1"/>
    <col min="14080" max="14080" width="51" bestFit="1" customWidth="1"/>
    <col min="14081" max="14082" width="0" hidden="1" customWidth="1"/>
    <col min="14083" max="14083" width="15.85546875" bestFit="1" customWidth="1"/>
    <col min="14084" max="14084" width="15.5703125" bestFit="1" customWidth="1"/>
    <col min="14085" max="14085" width="10.85546875" bestFit="1" customWidth="1"/>
    <col min="14334" max="14334" width="12.85546875" customWidth="1"/>
    <col min="14335" max="14335" width="37.28515625" bestFit="1" customWidth="1"/>
    <col min="14336" max="14336" width="51" bestFit="1" customWidth="1"/>
    <col min="14337" max="14338" width="0" hidden="1" customWidth="1"/>
    <col min="14339" max="14339" width="15.85546875" bestFit="1" customWidth="1"/>
    <col min="14340" max="14340" width="15.5703125" bestFit="1" customWidth="1"/>
    <col min="14341" max="14341" width="10.85546875" bestFit="1" customWidth="1"/>
    <col min="14590" max="14590" width="12.85546875" customWidth="1"/>
    <col min="14591" max="14591" width="37.28515625" bestFit="1" customWidth="1"/>
    <col min="14592" max="14592" width="51" bestFit="1" customWidth="1"/>
    <col min="14593" max="14594" width="0" hidden="1" customWidth="1"/>
    <col min="14595" max="14595" width="15.85546875" bestFit="1" customWidth="1"/>
    <col min="14596" max="14596" width="15.5703125" bestFit="1" customWidth="1"/>
    <col min="14597" max="14597" width="10.85546875" bestFit="1" customWidth="1"/>
    <col min="14846" max="14846" width="12.85546875" customWidth="1"/>
    <col min="14847" max="14847" width="37.28515625" bestFit="1" customWidth="1"/>
    <col min="14848" max="14848" width="51" bestFit="1" customWidth="1"/>
    <col min="14849" max="14850" width="0" hidden="1" customWidth="1"/>
    <col min="14851" max="14851" width="15.85546875" bestFit="1" customWidth="1"/>
    <col min="14852" max="14852" width="15.5703125" bestFit="1" customWidth="1"/>
    <col min="14853" max="14853" width="10.85546875" bestFit="1" customWidth="1"/>
    <col min="15102" max="15102" width="12.85546875" customWidth="1"/>
    <col min="15103" max="15103" width="37.28515625" bestFit="1" customWidth="1"/>
    <col min="15104" max="15104" width="51" bestFit="1" customWidth="1"/>
    <col min="15105" max="15106" width="0" hidden="1" customWidth="1"/>
    <col min="15107" max="15107" width="15.85546875" bestFit="1" customWidth="1"/>
    <col min="15108" max="15108" width="15.5703125" bestFit="1" customWidth="1"/>
    <col min="15109" max="15109" width="10.85546875" bestFit="1" customWidth="1"/>
    <col min="15358" max="15358" width="12.85546875" customWidth="1"/>
    <col min="15359" max="15359" width="37.28515625" bestFit="1" customWidth="1"/>
    <col min="15360" max="15360" width="51" bestFit="1" customWidth="1"/>
    <col min="15361" max="15362" width="0" hidden="1" customWidth="1"/>
    <col min="15363" max="15363" width="15.85546875" bestFit="1" customWidth="1"/>
    <col min="15364" max="15364" width="15.5703125" bestFit="1" customWidth="1"/>
    <col min="15365" max="15365" width="10.85546875" bestFit="1" customWidth="1"/>
    <col min="15614" max="15614" width="12.85546875" customWidth="1"/>
    <col min="15615" max="15615" width="37.28515625" bestFit="1" customWidth="1"/>
    <col min="15616" max="15616" width="51" bestFit="1" customWidth="1"/>
    <col min="15617" max="15618" width="0" hidden="1" customWidth="1"/>
    <col min="15619" max="15619" width="15.85546875" bestFit="1" customWidth="1"/>
    <col min="15620" max="15620" width="15.5703125" bestFit="1" customWidth="1"/>
    <col min="15621" max="15621" width="10.85546875" bestFit="1" customWidth="1"/>
    <col min="15870" max="15870" width="12.85546875" customWidth="1"/>
    <col min="15871" max="15871" width="37.28515625" bestFit="1" customWidth="1"/>
    <col min="15872" max="15872" width="51" bestFit="1" customWidth="1"/>
    <col min="15873" max="15874" width="0" hidden="1" customWidth="1"/>
    <col min="15875" max="15875" width="15.85546875" bestFit="1" customWidth="1"/>
    <col min="15876" max="15876" width="15.5703125" bestFit="1" customWidth="1"/>
    <col min="15877" max="15877" width="10.85546875" bestFit="1" customWidth="1"/>
    <col min="16126" max="16126" width="12.85546875" customWidth="1"/>
    <col min="16127" max="16127" width="37.28515625" bestFit="1" customWidth="1"/>
    <col min="16128" max="16128" width="51" bestFit="1" customWidth="1"/>
    <col min="16129" max="16130" width="0" hidden="1" customWidth="1"/>
    <col min="16131" max="16131" width="15.85546875" bestFit="1" customWidth="1"/>
    <col min="16132" max="16132" width="15.5703125" bestFit="1" customWidth="1"/>
    <col min="16133" max="16133" width="10.85546875" bestFit="1" customWidth="1"/>
  </cols>
  <sheetData>
    <row r="1" spans="1:20" ht="39.75" customHeight="1" x14ac:dyDescent="0.25">
      <c r="A1" s="843" t="str">
        <f>"Missio and Mill Hill Red Box Parish Results 2020 - Portsmouth Diocese"</f>
        <v>Missio and Mill Hill Red Box Parish Results 2020 - Portsmouth Diocese</v>
      </c>
      <c r="B1" s="366"/>
      <c r="C1" s="366"/>
      <c r="D1" s="470"/>
      <c r="E1" s="366"/>
      <c r="L1" s="757">
        <v>2020</v>
      </c>
      <c r="M1" s="757">
        <v>2020</v>
      </c>
      <c r="N1" s="757">
        <v>2020</v>
      </c>
      <c r="P1" s="366"/>
      <c r="Q1" s="366"/>
      <c r="R1" s="484"/>
      <c r="S1" s="366"/>
      <c r="T1" s="366"/>
    </row>
    <row r="2" spans="1:20" ht="30" customHeight="1" x14ac:dyDescent="0.3">
      <c r="A2" s="622" t="s">
        <v>1</v>
      </c>
      <c r="B2" s="622" t="s">
        <v>2</v>
      </c>
      <c r="C2" s="622" t="s">
        <v>3</v>
      </c>
      <c r="D2" s="622" t="s">
        <v>8214</v>
      </c>
      <c r="E2" s="622" t="s">
        <v>8165</v>
      </c>
      <c r="F2" s="622" t="s">
        <v>7809</v>
      </c>
      <c r="G2" s="622" t="s">
        <v>311</v>
      </c>
      <c r="H2" s="622" t="s">
        <v>312</v>
      </c>
      <c r="I2" s="622" t="s">
        <v>2</v>
      </c>
      <c r="J2" s="622" t="s">
        <v>11021</v>
      </c>
      <c r="K2" s="622" t="s">
        <v>10989</v>
      </c>
      <c r="L2" s="622" t="s">
        <v>308</v>
      </c>
      <c r="M2" s="622" t="s">
        <v>10990</v>
      </c>
      <c r="N2" s="622" t="s">
        <v>10991</v>
      </c>
      <c r="O2" s="622">
        <v>2020</v>
      </c>
      <c r="P2" s="622">
        <v>2019</v>
      </c>
      <c r="Q2" s="622">
        <v>2019</v>
      </c>
      <c r="R2" s="622">
        <v>2018</v>
      </c>
      <c r="S2" s="622">
        <v>2017</v>
      </c>
      <c r="T2" s="622">
        <v>2016</v>
      </c>
    </row>
    <row r="3" spans="1:20" ht="30" customHeight="1" x14ac:dyDescent="0.2">
      <c r="A3" s="291" t="str">
        <f t="shared" ref="A3:A69" si="0">D3&amp;" / "&amp;E3</f>
        <v>POR001 / 699</v>
      </c>
      <c r="B3" s="6" t="s">
        <v>8</v>
      </c>
      <c r="C3" s="6" t="s">
        <v>9</v>
      </c>
      <c r="D3" s="471" t="s">
        <v>7</v>
      </c>
      <c r="E3" s="369" t="str">
        <f>VLOOKUP(D:D,'Master Table'!C:D,2,FALSE)</f>
        <v>699</v>
      </c>
      <c r="F3" s="769" t="s">
        <v>7</v>
      </c>
      <c r="G3" s="769" t="s">
        <v>4721</v>
      </c>
      <c r="H3" s="769" t="s">
        <v>9</v>
      </c>
      <c r="I3" s="769" t="s">
        <v>8</v>
      </c>
      <c r="J3" s="769" t="s">
        <v>10977</v>
      </c>
      <c r="K3" s="769" t="s">
        <v>324</v>
      </c>
      <c r="L3" s="790">
        <v>607.4</v>
      </c>
      <c r="M3" s="790">
        <v>100</v>
      </c>
      <c r="N3" s="790"/>
      <c r="O3" s="312">
        <v>707.4</v>
      </c>
      <c r="P3" s="657">
        <f>VLOOKUP(D:D,'Master Table'!C:O,13,FALSE)</f>
        <v>1144</v>
      </c>
      <c r="Q3" s="657">
        <v>1144</v>
      </c>
      <c r="R3" s="485">
        <v>1391.89</v>
      </c>
      <c r="S3" s="485">
        <v>1746</v>
      </c>
      <c r="T3" s="485">
        <v>1792</v>
      </c>
    </row>
    <row r="4" spans="1:20" s="592" customFormat="1" ht="30" customHeight="1" x14ac:dyDescent="0.2">
      <c r="A4" s="291" t="str">
        <f t="shared" si="0"/>
        <v>POR002 / 701</v>
      </c>
      <c r="B4" s="590" t="s">
        <v>8</v>
      </c>
      <c r="C4" s="590" t="s">
        <v>11</v>
      </c>
      <c r="D4" s="471" t="s">
        <v>10</v>
      </c>
      <c r="E4" s="369">
        <f>VLOOKUP(D:D,'Master Table'!C:D,2,FALSE)</f>
        <v>701</v>
      </c>
      <c r="F4" s="769" t="s">
        <v>10</v>
      </c>
      <c r="G4" s="769" t="s">
        <v>11055</v>
      </c>
      <c r="H4" s="769" t="s">
        <v>11056</v>
      </c>
      <c r="I4" s="769" t="s">
        <v>8</v>
      </c>
      <c r="J4" s="769" t="s">
        <v>10977</v>
      </c>
      <c r="K4" s="769" t="s">
        <v>351</v>
      </c>
      <c r="L4" s="790">
        <v>100.05</v>
      </c>
      <c r="M4" s="790">
        <v>100</v>
      </c>
      <c r="N4" s="790"/>
      <c r="O4" s="312">
        <v>200.05</v>
      </c>
      <c r="P4" s="657">
        <f>VLOOKUP(D:D,'Master Table'!C:O,13,FALSE)</f>
        <v>219.59000000000003</v>
      </c>
      <c r="Q4" s="657">
        <v>219.59000000000003</v>
      </c>
      <c r="R4" s="591">
        <v>368.94</v>
      </c>
      <c r="S4" s="591">
        <v>348.5</v>
      </c>
      <c r="T4" s="591">
        <v>965.9</v>
      </c>
    </row>
    <row r="5" spans="1:20" ht="30" customHeight="1" x14ac:dyDescent="0.2">
      <c r="A5" s="291" t="str">
        <f t="shared" si="0"/>
        <v>POR004 / 703</v>
      </c>
      <c r="B5" s="6" t="s">
        <v>8</v>
      </c>
      <c r="C5" s="6" t="s">
        <v>13</v>
      </c>
      <c r="D5" s="471" t="s">
        <v>12</v>
      </c>
      <c r="E5" s="369" t="str">
        <f>VLOOKUP(D:D,'Master Table'!C:D,2,FALSE)</f>
        <v>703</v>
      </c>
      <c r="F5" s="769" t="s">
        <v>12</v>
      </c>
      <c r="G5" s="769" t="s">
        <v>4724</v>
      </c>
      <c r="H5" s="769" t="s">
        <v>4725</v>
      </c>
      <c r="I5" s="769" t="s">
        <v>8</v>
      </c>
      <c r="J5" s="769" t="s">
        <v>10977</v>
      </c>
      <c r="K5" s="769" t="s">
        <v>324</v>
      </c>
      <c r="L5" s="790">
        <v>0</v>
      </c>
      <c r="M5" s="790">
        <v>245</v>
      </c>
      <c r="N5" s="790">
        <v>370</v>
      </c>
      <c r="O5" s="312">
        <v>615</v>
      </c>
      <c r="P5" s="657">
        <f>VLOOKUP(D:D,'Master Table'!C:O,13,FALSE)</f>
        <v>706.98</v>
      </c>
      <c r="Q5" s="657">
        <v>706.98</v>
      </c>
      <c r="R5" s="485">
        <v>1215.77</v>
      </c>
      <c r="S5" s="485">
        <v>1377</v>
      </c>
      <c r="T5" s="485">
        <v>1477</v>
      </c>
    </row>
    <row r="6" spans="1:20" s="592" customFormat="1" ht="30" customHeight="1" x14ac:dyDescent="0.2">
      <c r="A6" s="291" t="str">
        <f t="shared" si="0"/>
        <v>POR005 / 704</v>
      </c>
      <c r="B6" s="590" t="s">
        <v>8</v>
      </c>
      <c r="C6" s="590" t="s">
        <v>15</v>
      </c>
      <c r="D6" s="471" t="s">
        <v>14</v>
      </c>
      <c r="E6" s="369">
        <f>VLOOKUP(D:D,'Master Table'!C:D,2,FALSE)</f>
        <v>704</v>
      </c>
      <c r="F6" s="769" t="s">
        <v>14</v>
      </c>
      <c r="G6" s="769" t="s">
        <v>11057</v>
      </c>
      <c r="H6" s="769" t="s">
        <v>4730</v>
      </c>
      <c r="I6" s="769" t="s">
        <v>8</v>
      </c>
      <c r="J6" s="769" t="s">
        <v>10977</v>
      </c>
      <c r="K6" s="769" t="s">
        <v>351</v>
      </c>
      <c r="L6" s="790">
        <v>192.57</v>
      </c>
      <c r="M6" s="790">
        <v>20.23</v>
      </c>
      <c r="N6" s="790"/>
      <c r="O6" s="312">
        <v>212.79999999999998</v>
      </c>
      <c r="P6" s="657">
        <f>VLOOKUP(D:D,'Master Table'!C:O,13,FALSE)</f>
        <v>656.03</v>
      </c>
      <c r="Q6" s="657">
        <v>656.03</v>
      </c>
      <c r="R6" s="591">
        <v>576.55999999999995</v>
      </c>
      <c r="S6" s="591">
        <v>835.94</v>
      </c>
      <c r="T6" s="591">
        <v>1271.3500000000001</v>
      </c>
    </row>
    <row r="7" spans="1:20" ht="30" customHeight="1" x14ac:dyDescent="0.2">
      <c r="A7" s="291" t="str">
        <f t="shared" si="0"/>
        <v>POR007 / 706</v>
      </c>
      <c r="B7" s="6" t="s">
        <v>8</v>
      </c>
      <c r="C7" s="6" t="s">
        <v>17</v>
      </c>
      <c r="D7" s="471" t="s">
        <v>16</v>
      </c>
      <c r="E7" s="369" t="str">
        <f>VLOOKUP(D:D,'Master Table'!C:D,2,FALSE)</f>
        <v>706</v>
      </c>
      <c r="F7" s="769" t="s">
        <v>16</v>
      </c>
      <c r="G7" s="769" t="s">
        <v>4731</v>
      </c>
      <c r="H7" s="769" t="s">
        <v>4732</v>
      </c>
      <c r="I7" s="769" t="s">
        <v>4733</v>
      </c>
      <c r="J7" s="769" t="s">
        <v>10977</v>
      </c>
      <c r="K7" s="769" t="s">
        <v>351</v>
      </c>
      <c r="L7" s="790">
        <v>1196.2600000000002</v>
      </c>
      <c r="M7" s="790">
        <v>205</v>
      </c>
      <c r="N7" s="790">
        <v>20</v>
      </c>
      <c r="O7" s="312">
        <v>1421.2600000000002</v>
      </c>
      <c r="P7" s="657">
        <f>VLOOKUP(D:D,'Master Table'!C:O,13,FALSE)</f>
        <v>1328.64</v>
      </c>
      <c r="Q7" s="657">
        <v>1328.64</v>
      </c>
      <c r="R7" s="485">
        <v>978.86</v>
      </c>
      <c r="S7" s="485">
        <v>1350.99</v>
      </c>
      <c r="T7" s="485">
        <v>984.21</v>
      </c>
    </row>
    <row r="8" spans="1:20" ht="30" customHeight="1" x14ac:dyDescent="0.2">
      <c r="A8" s="291" t="str">
        <f t="shared" si="0"/>
        <v>POR008 / 707</v>
      </c>
      <c r="B8" s="6" t="s">
        <v>19</v>
      </c>
      <c r="C8" s="6" t="s">
        <v>20</v>
      </c>
      <c r="D8" s="471" t="s">
        <v>18</v>
      </c>
      <c r="E8" s="369" t="str">
        <f>VLOOKUP(D:D,'Master Table'!C:D,2,FALSE)</f>
        <v>707</v>
      </c>
      <c r="F8" s="769" t="s">
        <v>18</v>
      </c>
      <c r="G8" s="769" t="s">
        <v>4737</v>
      </c>
      <c r="H8" s="769" t="s">
        <v>4738</v>
      </c>
      <c r="I8" s="769" t="s">
        <v>19</v>
      </c>
      <c r="J8" s="769" t="s">
        <v>11058</v>
      </c>
      <c r="K8" s="769" t="s">
        <v>324</v>
      </c>
      <c r="L8" s="790">
        <v>1238.03</v>
      </c>
      <c r="M8" s="790">
        <v>1635</v>
      </c>
      <c r="N8" s="790"/>
      <c r="O8" s="312">
        <v>2873.0299999999997</v>
      </c>
      <c r="P8" s="657">
        <f>VLOOKUP(D:D,'Master Table'!C:O,13,FALSE)</f>
        <v>2296.39</v>
      </c>
      <c r="Q8" s="657">
        <v>2296.39</v>
      </c>
      <c r="R8" s="485">
        <v>4267.41</v>
      </c>
      <c r="S8" s="485">
        <v>2006.28</v>
      </c>
      <c r="T8" s="485">
        <v>2120.77</v>
      </c>
    </row>
    <row r="9" spans="1:20" ht="30" customHeight="1" x14ac:dyDescent="0.2">
      <c r="A9" s="291" t="str">
        <f t="shared" si="0"/>
        <v>POR009 / 708</v>
      </c>
      <c r="B9" s="6" t="s">
        <v>22</v>
      </c>
      <c r="C9" s="6" t="s">
        <v>23</v>
      </c>
      <c r="D9" s="471" t="s">
        <v>21</v>
      </c>
      <c r="E9" s="369" t="str">
        <f>VLOOKUP(D:D,'Master Table'!C:D,2,FALSE)</f>
        <v>708</v>
      </c>
      <c r="F9" s="769" t="s">
        <v>21</v>
      </c>
      <c r="G9" s="769" t="s">
        <v>4739</v>
      </c>
      <c r="H9" s="769" t="s">
        <v>11059</v>
      </c>
      <c r="I9" s="769" t="s">
        <v>114</v>
      </c>
      <c r="J9" s="769" t="s">
        <v>11060</v>
      </c>
      <c r="K9" s="769" t="s">
        <v>351</v>
      </c>
      <c r="L9" s="790">
        <v>0</v>
      </c>
      <c r="M9" s="790">
        <v>20</v>
      </c>
      <c r="N9" s="790">
        <v>317.98</v>
      </c>
      <c r="O9" s="312">
        <v>337.98</v>
      </c>
      <c r="P9" s="657">
        <f>VLOOKUP(D:D,'Master Table'!C:O,13,FALSE)</f>
        <v>492.39</v>
      </c>
      <c r="Q9" s="657">
        <v>492.39</v>
      </c>
      <c r="R9" s="485">
        <v>341.42</v>
      </c>
      <c r="S9" s="485">
        <v>340</v>
      </c>
      <c r="T9" s="485">
        <v>192.6</v>
      </c>
    </row>
    <row r="10" spans="1:20" ht="30" customHeight="1" x14ac:dyDescent="0.2">
      <c r="A10" s="291" t="str">
        <f t="shared" si="0"/>
        <v>POR010 / 709</v>
      </c>
      <c r="B10" s="6" t="s">
        <v>25</v>
      </c>
      <c r="C10" s="6" t="s">
        <v>15</v>
      </c>
      <c r="D10" s="471" t="s">
        <v>24</v>
      </c>
      <c r="E10" s="369" t="str">
        <f>VLOOKUP(D:D,'Master Table'!C:D,2,FALSE)</f>
        <v>709</v>
      </c>
      <c r="F10" s="769" t="s">
        <v>24</v>
      </c>
      <c r="G10" s="769" t="s">
        <v>4741</v>
      </c>
      <c r="H10" s="769" t="s">
        <v>4742</v>
      </c>
      <c r="I10" s="769" t="s">
        <v>25</v>
      </c>
      <c r="J10" s="769" t="s">
        <v>11061</v>
      </c>
      <c r="K10" s="769" t="s">
        <v>324</v>
      </c>
      <c r="L10" s="790">
        <v>0</v>
      </c>
      <c r="M10" s="790">
        <v>540</v>
      </c>
      <c r="N10" s="790"/>
      <c r="O10" s="312">
        <v>540</v>
      </c>
      <c r="P10" s="657">
        <f>VLOOKUP(D:D,'Master Table'!C:O,13,FALSE)</f>
        <v>555.5</v>
      </c>
      <c r="Q10" s="657">
        <v>555.5</v>
      </c>
      <c r="R10" s="485">
        <v>1080</v>
      </c>
      <c r="S10" s="485">
        <v>970</v>
      </c>
      <c r="T10" s="485">
        <v>2180</v>
      </c>
    </row>
    <row r="11" spans="1:20" ht="30" customHeight="1" x14ac:dyDescent="0.2">
      <c r="A11" s="291" t="str">
        <f t="shared" si="0"/>
        <v>POR013 / 710</v>
      </c>
      <c r="B11" s="6" t="s">
        <v>27</v>
      </c>
      <c r="C11" s="6" t="s">
        <v>28</v>
      </c>
      <c r="D11" s="471" t="s">
        <v>26</v>
      </c>
      <c r="E11" s="369" t="str">
        <f>VLOOKUP(D:D,'Master Table'!C:D,2,FALSE)</f>
        <v>710</v>
      </c>
      <c r="F11" s="769" t="s">
        <v>26</v>
      </c>
      <c r="G11" s="769" t="s">
        <v>4746</v>
      </c>
      <c r="H11" s="769" t="s">
        <v>4747</v>
      </c>
      <c r="I11" s="769" t="s">
        <v>4748</v>
      </c>
      <c r="J11" s="769" t="s">
        <v>11062</v>
      </c>
      <c r="K11" s="769" t="s">
        <v>351</v>
      </c>
      <c r="L11" s="790">
        <v>0</v>
      </c>
      <c r="M11" s="790">
        <v>888.47</v>
      </c>
      <c r="N11" s="790">
        <v>306</v>
      </c>
      <c r="O11" s="312">
        <v>1194.47</v>
      </c>
      <c r="P11" s="657">
        <f>VLOOKUP(D:D,'Master Table'!C:O,13,FALSE)</f>
        <v>1417.96</v>
      </c>
      <c r="Q11" s="657">
        <v>1417.96</v>
      </c>
      <c r="R11" s="485">
        <v>1232.06</v>
      </c>
      <c r="S11" s="485">
        <v>1323</v>
      </c>
      <c r="T11" s="485">
        <v>1269.7</v>
      </c>
    </row>
    <row r="12" spans="1:20" ht="30" customHeight="1" x14ac:dyDescent="0.2">
      <c r="A12" s="291" t="str">
        <f t="shared" si="0"/>
        <v>POR014 / 711</v>
      </c>
      <c r="B12" s="6" t="s">
        <v>30</v>
      </c>
      <c r="C12" s="6" t="s">
        <v>31</v>
      </c>
      <c r="D12" s="471" t="s">
        <v>29</v>
      </c>
      <c r="E12" s="369" t="str">
        <f>VLOOKUP(D:D,'Master Table'!C:D,2,FALSE)</f>
        <v>711</v>
      </c>
      <c r="F12" s="769" t="s">
        <v>29</v>
      </c>
      <c r="G12" s="769" t="s">
        <v>4749</v>
      </c>
      <c r="H12" s="769" t="s">
        <v>31</v>
      </c>
      <c r="I12" s="769" t="s">
        <v>30</v>
      </c>
      <c r="J12" s="769" t="s">
        <v>11062</v>
      </c>
      <c r="K12" s="769" t="s">
        <v>351</v>
      </c>
      <c r="L12" s="790">
        <v>1859.0500000000002</v>
      </c>
      <c r="M12" s="790">
        <v>1024.19</v>
      </c>
      <c r="N12" s="790"/>
      <c r="O12" s="312">
        <v>2883.2400000000002</v>
      </c>
      <c r="P12" s="657">
        <f>VLOOKUP(D:D,'Master Table'!C:O,13,FALSE)</f>
        <v>4000.64</v>
      </c>
      <c r="Q12" s="657">
        <v>4000.64</v>
      </c>
      <c r="R12" s="485">
        <v>2781.64</v>
      </c>
      <c r="S12" s="485">
        <v>2822.19</v>
      </c>
      <c r="T12" s="485">
        <v>2789.03</v>
      </c>
    </row>
    <row r="13" spans="1:20" ht="30" customHeight="1" x14ac:dyDescent="0.2">
      <c r="A13" s="291" t="str">
        <f t="shared" si="0"/>
        <v>POR016 / 712</v>
      </c>
      <c r="B13" s="6" t="s">
        <v>33</v>
      </c>
      <c r="C13" s="6" t="s">
        <v>34</v>
      </c>
      <c r="D13" s="471" t="s">
        <v>32</v>
      </c>
      <c r="E13" s="369" t="str">
        <f>VLOOKUP(D:D,'Master Table'!C:D,2,FALSE)</f>
        <v>712</v>
      </c>
      <c r="F13" s="769" t="s">
        <v>32</v>
      </c>
      <c r="G13" s="769" t="s">
        <v>4754</v>
      </c>
      <c r="H13" s="769" t="s">
        <v>4755</v>
      </c>
      <c r="I13" s="769" t="s">
        <v>33</v>
      </c>
      <c r="J13" s="769" t="s">
        <v>11063</v>
      </c>
      <c r="K13" s="769" t="s">
        <v>351</v>
      </c>
      <c r="L13" s="790">
        <v>317.17</v>
      </c>
      <c r="M13" s="790">
        <v>2516.88</v>
      </c>
      <c r="N13" s="790">
        <v>586.75</v>
      </c>
      <c r="O13" s="312">
        <v>3420.8</v>
      </c>
      <c r="P13" s="657">
        <f>VLOOKUP(D:D,'Master Table'!C:O,13,FALSE)</f>
        <v>6270.87</v>
      </c>
      <c r="Q13" s="657">
        <v>6270.87</v>
      </c>
      <c r="R13" s="485">
        <v>6264.88</v>
      </c>
      <c r="S13" s="485">
        <v>6503.32</v>
      </c>
      <c r="T13" s="485">
        <v>6155.58</v>
      </c>
    </row>
    <row r="14" spans="1:20" ht="30" customHeight="1" x14ac:dyDescent="0.2">
      <c r="A14" s="291" t="str">
        <f t="shared" si="0"/>
        <v>POR017 / 713</v>
      </c>
      <c r="B14" s="6" t="s">
        <v>36</v>
      </c>
      <c r="C14" s="6" t="s">
        <v>37</v>
      </c>
      <c r="D14" s="471" t="s">
        <v>35</v>
      </c>
      <c r="E14" s="369" t="str">
        <f>VLOOKUP(D:D,'Master Table'!C:D,2,FALSE)</f>
        <v>713</v>
      </c>
      <c r="F14" s="769" t="s">
        <v>35</v>
      </c>
      <c r="G14" s="769" t="s">
        <v>4759</v>
      </c>
      <c r="H14" s="769" t="s">
        <v>37</v>
      </c>
      <c r="I14" s="769" t="s">
        <v>36</v>
      </c>
      <c r="J14" s="769" t="s">
        <v>11064</v>
      </c>
      <c r="K14" s="769" t="s">
        <v>324</v>
      </c>
      <c r="L14" s="790">
        <v>758.58</v>
      </c>
      <c r="M14" s="790">
        <v>300</v>
      </c>
      <c r="N14" s="790">
        <v>45.17</v>
      </c>
      <c r="O14" s="312">
        <v>1103.75</v>
      </c>
      <c r="P14" s="657">
        <f>VLOOKUP(D:D,'Master Table'!C:O,13,FALSE)</f>
        <v>1203.33</v>
      </c>
      <c r="Q14" s="657">
        <v>1203.33</v>
      </c>
      <c r="R14" s="485">
        <v>722</v>
      </c>
      <c r="S14" s="485">
        <v>193</v>
      </c>
      <c r="T14" s="485">
        <v>1168</v>
      </c>
    </row>
    <row r="15" spans="1:20" ht="30" customHeight="1" x14ac:dyDescent="0.2">
      <c r="A15" s="291" t="str">
        <f t="shared" si="0"/>
        <v>POR018 / 714</v>
      </c>
      <c r="B15" s="6" t="s">
        <v>39</v>
      </c>
      <c r="C15" s="6" t="s">
        <v>40</v>
      </c>
      <c r="D15" s="471" t="s">
        <v>38</v>
      </c>
      <c r="E15" s="369" t="str">
        <f>VLOOKUP(D:D,'Master Table'!C:D,2,FALSE)</f>
        <v>714</v>
      </c>
      <c r="F15" s="769" t="s">
        <v>38</v>
      </c>
      <c r="G15" s="769" t="s">
        <v>4760</v>
      </c>
      <c r="H15" s="769" t="s">
        <v>4761</v>
      </c>
      <c r="I15" s="769" t="s">
        <v>39</v>
      </c>
      <c r="J15" s="769" t="s">
        <v>11063</v>
      </c>
      <c r="K15" s="769" t="s">
        <v>324</v>
      </c>
      <c r="L15" s="790">
        <v>0</v>
      </c>
      <c r="M15" s="790">
        <v>1469</v>
      </c>
      <c r="N15" s="790"/>
      <c r="O15" s="312">
        <v>1469</v>
      </c>
      <c r="P15" s="657">
        <f>VLOOKUP(D:D,'Master Table'!C:O,13,FALSE)</f>
        <v>2830.6400000000003</v>
      </c>
      <c r="Q15" s="657">
        <v>2830.6400000000003</v>
      </c>
      <c r="R15" s="485">
        <v>3225.71</v>
      </c>
      <c r="S15" s="485">
        <v>2972</v>
      </c>
      <c r="T15" s="485">
        <v>1681.5</v>
      </c>
    </row>
    <row r="16" spans="1:20" ht="30" customHeight="1" x14ac:dyDescent="0.2">
      <c r="A16" s="291" t="str">
        <f t="shared" si="0"/>
        <v>POR019 / 715</v>
      </c>
      <c r="B16" s="6" t="s">
        <v>39</v>
      </c>
      <c r="C16" s="6" t="s">
        <v>15</v>
      </c>
      <c r="D16" s="471" t="s">
        <v>41</v>
      </c>
      <c r="E16" s="369" t="str">
        <f>VLOOKUP(D:D,'Master Table'!C:D,2,FALSE)</f>
        <v>715</v>
      </c>
      <c r="F16" s="769" t="s">
        <v>41</v>
      </c>
      <c r="G16" s="769" t="s">
        <v>4765</v>
      </c>
      <c r="H16" s="769" t="s">
        <v>61</v>
      </c>
      <c r="I16" s="769" t="s">
        <v>39</v>
      </c>
      <c r="J16" s="769" t="s">
        <v>11063</v>
      </c>
      <c r="K16" s="769" t="s">
        <v>324</v>
      </c>
      <c r="L16" s="790">
        <v>1012.17</v>
      </c>
      <c r="M16" s="790">
        <v>570</v>
      </c>
      <c r="N16" s="790">
        <v>0</v>
      </c>
      <c r="O16" s="312">
        <v>1582.17</v>
      </c>
      <c r="P16" s="657">
        <f>VLOOKUP(D:D,'Master Table'!C:O,13,FALSE)</f>
        <v>2352.2799999999997</v>
      </c>
      <c r="Q16" s="657">
        <v>2352.2799999999997</v>
      </c>
      <c r="R16" s="485">
        <v>3257.13</v>
      </c>
      <c r="S16" s="485">
        <v>2580.4300000000003</v>
      </c>
      <c r="T16" s="485">
        <v>2739.08</v>
      </c>
    </row>
    <row r="17" spans="1:21" ht="30" customHeight="1" x14ac:dyDescent="0.2">
      <c r="A17" s="291" t="str">
        <f t="shared" si="0"/>
        <v>POR020 / 716</v>
      </c>
      <c r="B17" s="6" t="s">
        <v>43</v>
      </c>
      <c r="C17" s="6" t="s">
        <v>44</v>
      </c>
      <c r="D17" s="471" t="s">
        <v>42</v>
      </c>
      <c r="E17" s="369" t="str">
        <f>VLOOKUP(D:D,'Master Table'!C:D,2,FALSE)</f>
        <v>716</v>
      </c>
      <c r="F17" s="769" t="s">
        <v>42</v>
      </c>
      <c r="G17" s="769" t="s">
        <v>4766</v>
      </c>
      <c r="H17" s="769" t="s">
        <v>4767</v>
      </c>
      <c r="I17" s="769" t="s">
        <v>93</v>
      </c>
      <c r="J17" s="769" t="s">
        <v>11065</v>
      </c>
      <c r="K17" s="769" t="s">
        <v>351</v>
      </c>
      <c r="L17" s="790">
        <v>313.95999999999998</v>
      </c>
      <c r="M17" s="790">
        <v>225</v>
      </c>
      <c r="N17" s="790"/>
      <c r="O17" s="312">
        <v>538.96</v>
      </c>
      <c r="P17" s="657">
        <f>VLOOKUP(D:D,'Master Table'!C:O,13,FALSE)</f>
        <v>1041.06</v>
      </c>
      <c r="Q17" s="657">
        <v>1041.06</v>
      </c>
      <c r="R17" s="485">
        <v>1054.4099999999999</v>
      </c>
      <c r="S17" s="485">
        <v>1152.97</v>
      </c>
      <c r="T17" s="485">
        <v>1116.4099999999999</v>
      </c>
    </row>
    <row r="18" spans="1:21" ht="30" customHeight="1" x14ac:dyDescent="0.2">
      <c r="A18" s="291" t="str">
        <f t="shared" si="0"/>
        <v>POR021 / 717</v>
      </c>
      <c r="B18" s="6" t="s">
        <v>46</v>
      </c>
      <c r="C18" s="6" t="s">
        <v>47</v>
      </c>
      <c r="D18" s="471" t="s">
        <v>45</v>
      </c>
      <c r="E18" s="369" t="str">
        <f>VLOOKUP(D:D,'Master Table'!C:D,2,FALSE)</f>
        <v>717</v>
      </c>
      <c r="F18" s="769" t="s">
        <v>45</v>
      </c>
      <c r="G18" s="769" t="s">
        <v>4768</v>
      </c>
      <c r="H18" s="769" t="s">
        <v>4769</v>
      </c>
      <c r="I18" s="769" t="s">
        <v>46</v>
      </c>
      <c r="J18" s="769" t="s">
        <v>11066</v>
      </c>
      <c r="K18" s="769" t="s">
        <v>351</v>
      </c>
      <c r="L18" s="790">
        <v>0</v>
      </c>
      <c r="M18" s="790">
        <v>80</v>
      </c>
      <c r="N18" s="790"/>
      <c r="O18" s="312">
        <v>80</v>
      </c>
      <c r="P18" s="657">
        <f>VLOOKUP(D:D,'Master Table'!C:O,13,FALSE)</f>
        <v>601.82999999999993</v>
      </c>
      <c r="Q18" s="657">
        <v>601.82999999999993</v>
      </c>
      <c r="R18" s="485">
        <v>540.55999999999995</v>
      </c>
      <c r="S18" s="485">
        <v>613.61</v>
      </c>
      <c r="T18" s="485">
        <v>465.59000000000003</v>
      </c>
    </row>
    <row r="19" spans="1:21" ht="30" customHeight="1" x14ac:dyDescent="0.2">
      <c r="A19" s="291" t="str">
        <f t="shared" si="0"/>
        <v>POR022 / 718</v>
      </c>
      <c r="B19" s="6" t="s">
        <v>49</v>
      </c>
      <c r="C19" s="6" t="s">
        <v>47</v>
      </c>
      <c r="D19" s="471" t="s">
        <v>48</v>
      </c>
      <c r="E19" s="369" t="str">
        <f>VLOOKUP(D:D,'Master Table'!C:D,2,FALSE)</f>
        <v>718</v>
      </c>
      <c r="F19" s="769" t="s">
        <v>48</v>
      </c>
      <c r="G19" s="769" t="s">
        <v>4770</v>
      </c>
      <c r="H19" s="769" t="s">
        <v>4771</v>
      </c>
      <c r="I19" s="769" t="s">
        <v>49</v>
      </c>
      <c r="J19" s="769" t="s">
        <v>11067</v>
      </c>
      <c r="K19" s="769" t="s">
        <v>324</v>
      </c>
      <c r="L19" s="790">
        <v>0</v>
      </c>
      <c r="M19" s="790">
        <v>322</v>
      </c>
      <c r="N19" s="790"/>
      <c r="O19" s="312">
        <v>322</v>
      </c>
      <c r="P19" s="657">
        <f>VLOOKUP(D:D,'Master Table'!C:O,13,FALSE)</f>
        <v>355</v>
      </c>
      <c r="Q19" s="657">
        <v>355</v>
      </c>
      <c r="R19" s="485">
        <v>413</v>
      </c>
      <c r="S19" s="485">
        <v>752</v>
      </c>
      <c r="T19" s="485">
        <v>633.98</v>
      </c>
    </row>
    <row r="20" spans="1:21" ht="30" customHeight="1" x14ac:dyDescent="0.2">
      <c r="A20" s="291" t="str">
        <f t="shared" si="0"/>
        <v>POR023 / 719</v>
      </c>
      <c r="B20" s="6" t="s">
        <v>49</v>
      </c>
      <c r="C20" s="6" t="s">
        <v>11</v>
      </c>
      <c r="D20" s="471" t="s">
        <v>50</v>
      </c>
      <c r="E20" s="369" t="str">
        <f>VLOOKUP(D:D,'Master Table'!C:D,2,FALSE)</f>
        <v>719</v>
      </c>
      <c r="F20" s="769" t="s">
        <v>50</v>
      </c>
      <c r="G20" s="769" t="s">
        <v>4772</v>
      </c>
      <c r="H20" s="769" t="s">
        <v>11</v>
      </c>
      <c r="I20" s="769" t="s">
        <v>49</v>
      </c>
      <c r="J20" s="769" t="s">
        <v>11067</v>
      </c>
      <c r="K20" s="769" t="s">
        <v>324</v>
      </c>
      <c r="L20" s="790">
        <v>0</v>
      </c>
      <c r="M20" s="790">
        <v>870</v>
      </c>
      <c r="N20" s="790"/>
      <c r="O20" s="312">
        <v>870</v>
      </c>
      <c r="P20" s="657">
        <f>VLOOKUP(D:D,'Master Table'!C:O,13,FALSE)</f>
        <v>1397.9</v>
      </c>
      <c r="Q20" s="657">
        <v>1397.9</v>
      </c>
      <c r="R20" s="485">
        <v>1363</v>
      </c>
      <c r="S20" s="485">
        <v>1400.5</v>
      </c>
      <c r="T20" s="485">
        <v>1869</v>
      </c>
    </row>
    <row r="21" spans="1:21" ht="30" customHeight="1" x14ac:dyDescent="0.2">
      <c r="A21" s="291" t="str">
        <f t="shared" si="0"/>
        <v>POR025 / 721</v>
      </c>
      <c r="B21" s="6" t="s">
        <v>49</v>
      </c>
      <c r="C21" s="6" t="s">
        <v>52</v>
      </c>
      <c r="D21" s="471" t="s">
        <v>51</v>
      </c>
      <c r="E21" s="369" t="str">
        <f>VLOOKUP(D:D,'Master Table'!C:D,2,FALSE)</f>
        <v>721</v>
      </c>
      <c r="F21" s="769" t="s">
        <v>51</v>
      </c>
      <c r="G21" s="769" t="s">
        <v>4773</v>
      </c>
      <c r="H21" s="769" t="s">
        <v>4774</v>
      </c>
      <c r="I21" s="769" t="s">
        <v>49</v>
      </c>
      <c r="J21" s="769" t="s">
        <v>11067</v>
      </c>
      <c r="K21" s="769" t="s">
        <v>324</v>
      </c>
      <c r="L21" s="790">
        <v>0</v>
      </c>
      <c r="M21" s="790">
        <v>290</v>
      </c>
      <c r="N21" s="790"/>
      <c r="O21" s="312">
        <v>290</v>
      </c>
      <c r="P21" s="657">
        <f>VLOOKUP(D:D,'Master Table'!C:O,13,FALSE)</f>
        <v>812.97</v>
      </c>
      <c r="Q21" s="657">
        <v>812.97</v>
      </c>
      <c r="R21" s="485">
        <v>1005.5</v>
      </c>
      <c r="S21" s="485">
        <v>535.96</v>
      </c>
      <c r="T21" s="485">
        <v>758.79</v>
      </c>
    </row>
    <row r="22" spans="1:21" ht="30" customHeight="1" x14ac:dyDescent="0.2">
      <c r="A22" s="291" t="str">
        <f t="shared" si="0"/>
        <v>POR026 / 722</v>
      </c>
      <c r="B22" s="6" t="s">
        <v>49</v>
      </c>
      <c r="C22" s="6" t="s">
        <v>54</v>
      </c>
      <c r="D22" s="471" t="s">
        <v>53</v>
      </c>
      <c r="E22" s="369" t="str">
        <f>VLOOKUP(D:D,'Master Table'!C:D,2,FALSE)</f>
        <v>722</v>
      </c>
      <c r="F22" s="769" t="s">
        <v>53</v>
      </c>
      <c r="G22" s="769" t="s">
        <v>4775</v>
      </c>
      <c r="H22" s="769" t="s">
        <v>4776</v>
      </c>
      <c r="I22" s="769" t="s">
        <v>49</v>
      </c>
      <c r="J22" s="769" t="s">
        <v>11068</v>
      </c>
      <c r="K22" s="769" t="s">
        <v>324</v>
      </c>
      <c r="L22" s="790">
        <v>0</v>
      </c>
      <c r="M22" s="790">
        <v>210</v>
      </c>
      <c r="N22" s="790"/>
      <c r="O22" s="312">
        <v>210</v>
      </c>
      <c r="P22" s="657">
        <f>VLOOKUP(D:D,'Master Table'!C:O,13,FALSE)</f>
        <v>1305.6100000000001</v>
      </c>
      <c r="Q22" s="657">
        <v>1305.6100000000001</v>
      </c>
      <c r="R22" s="485">
        <v>1180.49</v>
      </c>
      <c r="S22" s="485">
        <v>1285.73</v>
      </c>
      <c r="T22" s="485">
        <v>898.12</v>
      </c>
    </row>
    <row r="23" spans="1:21" ht="30" customHeight="1" x14ac:dyDescent="0.2">
      <c r="A23" s="291" t="str">
        <f t="shared" si="0"/>
        <v>POR027 / 723</v>
      </c>
      <c r="B23" s="6" t="s">
        <v>49</v>
      </c>
      <c r="C23" s="6" t="s">
        <v>56</v>
      </c>
      <c r="D23" s="471" t="s">
        <v>55</v>
      </c>
      <c r="E23" s="369" t="str">
        <f>VLOOKUP(D:D,'Master Table'!C:D,2,FALSE)</f>
        <v>723</v>
      </c>
      <c r="F23" s="769" t="s">
        <v>55</v>
      </c>
      <c r="G23" s="769" t="s">
        <v>4777</v>
      </c>
      <c r="H23" s="769" t="s">
        <v>56</v>
      </c>
      <c r="I23" s="769" t="s">
        <v>49</v>
      </c>
      <c r="J23" s="769" t="s">
        <v>11068</v>
      </c>
      <c r="K23" s="769" t="s">
        <v>324</v>
      </c>
      <c r="L23" s="790">
        <v>0</v>
      </c>
      <c r="M23" s="790">
        <v>115</v>
      </c>
      <c r="N23" s="790">
        <v>241.76</v>
      </c>
      <c r="O23" s="312">
        <v>356.76</v>
      </c>
      <c r="P23" s="657">
        <f>VLOOKUP(D:D,'Master Table'!C:O,13,FALSE)</f>
        <v>817.75</v>
      </c>
      <c r="Q23" s="657">
        <v>817.75</v>
      </c>
      <c r="R23" s="485">
        <v>553.37</v>
      </c>
      <c r="S23" s="485">
        <v>664</v>
      </c>
      <c r="T23" s="485">
        <v>783.52</v>
      </c>
    </row>
    <row r="24" spans="1:21" ht="30" customHeight="1" x14ac:dyDescent="0.2">
      <c r="A24" s="291" t="str">
        <f t="shared" si="0"/>
        <v>POR028S / 724</v>
      </c>
      <c r="B24" s="590" t="s">
        <v>49</v>
      </c>
      <c r="C24" s="590" t="s">
        <v>58</v>
      </c>
      <c r="D24" s="471" t="s">
        <v>4778</v>
      </c>
      <c r="E24" s="369" t="str">
        <f>VLOOKUP(D:D,'Master Table'!C:D,2,FALSE)</f>
        <v>724</v>
      </c>
      <c r="F24" s="769" t="s">
        <v>4778</v>
      </c>
      <c r="G24" s="769" t="s">
        <v>4779</v>
      </c>
      <c r="H24" s="769" t="s">
        <v>4780</v>
      </c>
      <c r="I24" s="769" t="s">
        <v>49</v>
      </c>
      <c r="J24" s="769" t="s">
        <v>11067</v>
      </c>
      <c r="K24" s="769" t="s">
        <v>351</v>
      </c>
      <c r="L24" s="790">
        <v>701.6</v>
      </c>
      <c r="M24" s="790">
        <v>85</v>
      </c>
      <c r="N24" s="790"/>
      <c r="O24" s="312">
        <v>786.6</v>
      </c>
      <c r="P24" s="657">
        <f>VLOOKUP(D:D,'Master Table'!C:O,13,FALSE)</f>
        <v>1505.68</v>
      </c>
      <c r="Q24" s="657">
        <v>1505.68</v>
      </c>
      <c r="R24" s="485">
        <v>828.27</v>
      </c>
      <c r="S24" s="485">
        <v>757.46</v>
      </c>
      <c r="T24" s="485">
        <v>1168.08</v>
      </c>
      <c r="U24" s="18"/>
    </row>
    <row r="25" spans="1:21" ht="30" customHeight="1" x14ac:dyDescent="0.2">
      <c r="A25" s="291" t="str">
        <f t="shared" si="0"/>
        <v>POR029 / 725</v>
      </c>
      <c r="B25" s="6" t="s">
        <v>60</v>
      </c>
      <c r="C25" s="6" t="s">
        <v>61</v>
      </c>
      <c r="D25" s="471" t="s">
        <v>59</v>
      </c>
      <c r="E25" s="369" t="str">
        <f>VLOOKUP(D:D,'Master Table'!C:D,2,FALSE)</f>
        <v>725</v>
      </c>
      <c r="F25" s="769" t="s">
        <v>59</v>
      </c>
      <c r="G25" s="769" t="s">
        <v>4781</v>
      </c>
      <c r="H25" s="769" t="s">
        <v>4782</v>
      </c>
      <c r="I25" s="769" t="s">
        <v>60</v>
      </c>
      <c r="J25" s="769" t="s">
        <v>11064</v>
      </c>
      <c r="K25" s="769" t="s">
        <v>324</v>
      </c>
      <c r="L25" s="790">
        <v>0</v>
      </c>
      <c r="M25" s="790">
        <v>255</v>
      </c>
      <c r="N25" s="790">
        <v>213.2</v>
      </c>
      <c r="O25" s="312">
        <v>468.2</v>
      </c>
      <c r="P25" s="657">
        <f>VLOOKUP(D:D,'Master Table'!C:O,13,FALSE)</f>
        <v>215.27</v>
      </c>
      <c r="Q25" s="657">
        <v>215.27</v>
      </c>
      <c r="R25" s="485">
        <v>324.04000000000002</v>
      </c>
      <c r="S25" s="485">
        <v>619.04999999999995</v>
      </c>
      <c r="T25" s="485">
        <v>598.62</v>
      </c>
    </row>
    <row r="26" spans="1:21" ht="30" customHeight="1" x14ac:dyDescent="0.2">
      <c r="A26" s="291" t="str">
        <f t="shared" si="0"/>
        <v>POR030 / 726</v>
      </c>
      <c r="B26" s="6" t="s">
        <v>60</v>
      </c>
      <c r="C26" s="6" t="s">
        <v>63</v>
      </c>
      <c r="D26" s="471" t="s">
        <v>62</v>
      </c>
      <c r="E26" s="369" t="str">
        <f>VLOOKUP(D:D,'Master Table'!C:D,2,FALSE)</f>
        <v>726</v>
      </c>
      <c r="F26" s="769" t="s">
        <v>62</v>
      </c>
      <c r="G26" s="769" t="s">
        <v>4783</v>
      </c>
      <c r="H26" s="769" t="s">
        <v>63</v>
      </c>
      <c r="I26" s="769" t="s">
        <v>60</v>
      </c>
      <c r="J26" s="750"/>
      <c r="K26" s="769" t="s">
        <v>324</v>
      </c>
      <c r="L26" s="790">
        <v>0</v>
      </c>
      <c r="M26" s="790">
        <v>50</v>
      </c>
      <c r="N26" s="790"/>
      <c r="O26" s="312">
        <v>50</v>
      </c>
      <c r="P26" s="657">
        <f>VLOOKUP(D:D,'Master Table'!C:O,13,FALSE)</f>
        <v>50</v>
      </c>
      <c r="Q26" s="657">
        <v>50</v>
      </c>
      <c r="R26" s="485">
        <v>50</v>
      </c>
      <c r="S26" s="485">
        <v>65</v>
      </c>
      <c r="T26" s="485">
        <v>75</v>
      </c>
    </row>
    <row r="27" spans="1:21" ht="30" customHeight="1" x14ac:dyDescent="0.2">
      <c r="A27" s="291" t="str">
        <f t="shared" si="0"/>
        <v>POR032 / 728</v>
      </c>
      <c r="B27" s="6" t="s">
        <v>65</v>
      </c>
      <c r="C27" s="6" t="s">
        <v>66</v>
      </c>
      <c r="D27" s="471" t="s">
        <v>64</v>
      </c>
      <c r="E27" s="369" t="str">
        <f>VLOOKUP(D:D,'Master Table'!C:D,2,FALSE)</f>
        <v>728</v>
      </c>
      <c r="F27" s="769" t="s">
        <v>64</v>
      </c>
      <c r="G27" s="769" t="s">
        <v>4784</v>
      </c>
      <c r="H27" s="769" t="s">
        <v>66</v>
      </c>
      <c r="I27" s="769" t="s">
        <v>172</v>
      </c>
      <c r="J27" s="769" t="s">
        <v>11069</v>
      </c>
      <c r="K27" s="769" t="s">
        <v>324</v>
      </c>
      <c r="L27" s="790">
        <v>0</v>
      </c>
      <c r="M27" s="790">
        <v>125</v>
      </c>
      <c r="N27" s="790"/>
      <c r="O27" s="312">
        <v>125</v>
      </c>
      <c r="P27" s="657">
        <f>VLOOKUP(D:D,'Master Table'!C:O,13,FALSE)</f>
        <v>487</v>
      </c>
      <c r="Q27" s="657">
        <v>487</v>
      </c>
      <c r="R27" s="485">
        <v>431</v>
      </c>
      <c r="S27" s="485">
        <v>604.97</v>
      </c>
      <c r="T27" s="485">
        <v>651.75</v>
      </c>
    </row>
    <row r="28" spans="1:21" ht="30" customHeight="1" x14ac:dyDescent="0.2">
      <c r="A28" s="291" t="str">
        <f t="shared" si="0"/>
        <v>POR033 / 729</v>
      </c>
      <c r="B28" s="6" t="s">
        <v>68</v>
      </c>
      <c r="C28" s="6" t="s">
        <v>69</v>
      </c>
      <c r="D28" s="471" t="s">
        <v>67</v>
      </c>
      <c r="E28" s="369" t="str">
        <f>VLOOKUP(D:D,'Master Table'!C:D,2,FALSE)</f>
        <v>729</v>
      </c>
      <c r="F28" s="769" t="s">
        <v>67</v>
      </c>
      <c r="G28" s="769" t="s">
        <v>4785</v>
      </c>
      <c r="H28" s="769" t="s">
        <v>4786</v>
      </c>
      <c r="I28" s="769" t="s">
        <v>4787</v>
      </c>
      <c r="J28" s="769" t="s">
        <v>11070</v>
      </c>
      <c r="K28" s="769" t="s">
        <v>324</v>
      </c>
      <c r="L28" s="790">
        <v>0</v>
      </c>
      <c r="M28" s="790">
        <v>135</v>
      </c>
      <c r="N28" s="790">
        <v>47.37</v>
      </c>
      <c r="O28" s="312">
        <v>182.37</v>
      </c>
      <c r="P28" s="657">
        <f>VLOOKUP(D:D,'Master Table'!C:O,13,FALSE)</f>
        <v>270.82000000000005</v>
      </c>
      <c r="Q28" s="657">
        <v>270.82000000000005</v>
      </c>
      <c r="R28" s="485">
        <v>225.64</v>
      </c>
      <c r="S28" s="485">
        <v>268.51</v>
      </c>
      <c r="T28" s="485">
        <v>413.84000000000003</v>
      </c>
    </row>
    <row r="29" spans="1:21" ht="30" customHeight="1" x14ac:dyDescent="0.2">
      <c r="A29" s="291" t="str">
        <f t="shared" si="0"/>
        <v>POR034 / 730</v>
      </c>
      <c r="B29" s="6" t="s">
        <v>71</v>
      </c>
      <c r="C29" s="6" t="s">
        <v>72</v>
      </c>
      <c r="D29" s="471" t="s">
        <v>70</v>
      </c>
      <c r="E29" s="369" t="str">
        <f>VLOOKUP(D:D,'Master Table'!C:D,2,FALSE)</f>
        <v>730</v>
      </c>
      <c r="F29" s="769" t="s">
        <v>70</v>
      </c>
      <c r="G29" s="769" t="s">
        <v>4789</v>
      </c>
      <c r="H29" s="769" t="s">
        <v>4790</v>
      </c>
      <c r="I29" s="769" t="s">
        <v>93</v>
      </c>
      <c r="J29" s="769" t="s">
        <v>11065</v>
      </c>
      <c r="K29" s="769" t="s">
        <v>351</v>
      </c>
      <c r="L29" s="790">
        <v>1087.3</v>
      </c>
      <c r="M29" s="790">
        <v>455</v>
      </c>
      <c r="N29" s="790"/>
      <c r="O29" s="312">
        <v>1542.3</v>
      </c>
      <c r="P29" s="657">
        <f>VLOOKUP(D:D,'Master Table'!C:O,13,FALSE)</f>
        <v>1524.92</v>
      </c>
      <c r="Q29" s="657">
        <v>1524.92</v>
      </c>
      <c r="R29" s="485">
        <v>2167.73</v>
      </c>
      <c r="S29" s="485">
        <v>2057.66</v>
      </c>
      <c r="T29" s="485">
        <v>2393.84</v>
      </c>
    </row>
    <row r="30" spans="1:21" ht="30" customHeight="1" x14ac:dyDescent="0.2">
      <c r="A30" s="291" t="str">
        <f t="shared" si="0"/>
        <v>POR035 / 731</v>
      </c>
      <c r="B30" s="6" t="s">
        <v>74</v>
      </c>
      <c r="C30" s="6" t="s">
        <v>75</v>
      </c>
      <c r="D30" s="471" t="s">
        <v>73</v>
      </c>
      <c r="E30" s="369" t="str">
        <f>VLOOKUP(D:D,'Master Table'!C:D,2,FALSE)</f>
        <v>731</v>
      </c>
      <c r="F30" s="769" t="s">
        <v>73</v>
      </c>
      <c r="G30" s="769" t="s">
        <v>4791</v>
      </c>
      <c r="H30" s="769" t="s">
        <v>75</v>
      </c>
      <c r="I30" s="769" t="s">
        <v>74</v>
      </c>
      <c r="J30" s="769" t="s">
        <v>11068</v>
      </c>
      <c r="K30" s="769" t="s">
        <v>324</v>
      </c>
      <c r="L30" s="790">
        <v>0</v>
      </c>
      <c r="M30" s="790">
        <v>211.63</v>
      </c>
      <c r="N30" s="790"/>
      <c r="O30" s="312">
        <v>211.63</v>
      </c>
      <c r="P30" s="657">
        <f>VLOOKUP(D:D,'Master Table'!C:O,13,FALSE)</f>
        <v>340</v>
      </c>
      <c r="Q30" s="657">
        <v>340</v>
      </c>
      <c r="R30" s="485">
        <v>719</v>
      </c>
      <c r="S30" s="485">
        <v>604</v>
      </c>
      <c r="T30" s="485">
        <v>540</v>
      </c>
    </row>
    <row r="31" spans="1:21" ht="30" customHeight="1" x14ac:dyDescent="0.2">
      <c r="A31" s="291" t="str">
        <f t="shared" si="0"/>
        <v>POR036 / 732</v>
      </c>
      <c r="B31" s="6" t="s">
        <v>77</v>
      </c>
      <c r="C31" s="6" t="s">
        <v>78</v>
      </c>
      <c r="D31" s="471" t="s">
        <v>76</v>
      </c>
      <c r="E31" s="369" t="str">
        <f>VLOOKUP(D:D,'Master Table'!C:D,2,FALSE)</f>
        <v>732</v>
      </c>
      <c r="F31" s="769" t="s">
        <v>76</v>
      </c>
      <c r="G31" s="769" t="s">
        <v>4792</v>
      </c>
      <c r="H31" s="769" t="s">
        <v>78</v>
      </c>
      <c r="I31" s="769" t="s">
        <v>77</v>
      </c>
      <c r="J31" s="769" t="s">
        <v>11071</v>
      </c>
      <c r="K31" s="769" t="s">
        <v>324</v>
      </c>
      <c r="L31" s="790">
        <v>51.51</v>
      </c>
      <c r="M31" s="790">
        <v>70</v>
      </c>
      <c r="N31" s="790"/>
      <c r="O31" s="312">
        <v>121.50999999999999</v>
      </c>
      <c r="P31" s="657">
        <f>VLOOKUP(D:D,'Master Table'!C:O,13,FALSE)</f>
        <v>261.37</v>
      </c>
      <c r="Q31" s="657">
        <v>261.37</v>
      </c>
      <c r="R31" s="485">
        <v>821.27</v>
      </c>
      <c r="S31" s="485">
        <v>546.9</v>
      </c>
      <c r="T31" s="485">
        <v>748.43000000000006</v>
      </c>
    </row>
    <row r="32" spans="1:21" ht="30" customHeight="1" x14ac:dyDescent="0.2">
      <c r="A32" s="291" t="str">
        <f t="shared" si="0"/>
        <v>POR038 / 734</v>
      </c>
      <c r="B32" s="6" t="s">
        <v>80</v>
      </c>
      <c r="C32" s="6" t="s">
        <v>40</v>
      </c>
      <c r="D32" s="471" t="s">
        <v>79</v>
      </c>
      <c r="E32" s="369" t="str">
        <f>VLOOKUP(D:D,'Master Table'!C:D,2,FALSE)</f>
        <v>734</v>
      </c>
      <c r="F32" s="769" t="s">
        <v>79</v>
      </c>
      <c r="G32" s="769" t="s">
        <v>4798</v>
      </c>
      <c r="H32" s="769" t="s">
        <v>4799</v>
      </c>
      <c r="I32" s="769" t="s">
        <v>296</v>
      </c>
      <c r="J32" s="769" t="s">
        <v>11064</v>
      </c>
      <c r="K32" s="769" t="s">
        <v>351</v>
      </c>
      <c r="L32" s="790">
        <v>340.15</v>
      </c>
      <c r="M32" s="790">
        <v>437</v>
      </c>
      <c r="N32" s="790"/>
      <c r="O32" s="312">
        <v>777.15</v>
      </c>
      <c r="P32" s="657">
        <f>VLOOKUP(D:D,'Master Table'!C:O,13,FALSE)</f>
        <v>731.58999999999992</v>
      </c>
      <c r="Q32" s="657">
        <v>731.58999999999992</v>
      </c>
      <c r="R32" s="485">
        <v>867.03</v>
      </c>
      <c r="S32" s="485">
        <v>768.14</v>
      </c>
      <c r="T32" s="485">
        <v>739.7</v>
      </c>
    </row>
    <row r="33" spans="1:21" ht="30" customHeight="1" x14ac:dyDescent="0.2">
      <c r="A33" s="291" t="str">
        <f t="shared" si="0"/>
        <v>POR039 / 735</v>
      </c>
      <c r="B33" s="6" t="s">
        <v>82</v>
      </c>
      <c r="C33" s="6" t="s">
        <v>83</v>
      </c>
      <c r="D33" s="471" t="s">
        <v>81</v>
      </c>
      <c r="E33" s="369" t="str">
        <f>VLOOKUP(D:D,'Master Table'!C:D,2,FALSE)</f>
        <v>735</v>
      </c>
      <c r="F33" s="769" t="s">
        <v>81</v>
      </c>
      <c r="G33" s="769" t="s">
        <v>4800</v>
      </c>
      <c r="H33" s="769" t="s">
        <v>83</v>
      </c>
      <c r="I33" s="769" t="s">
        <v>82</v>
      </c>
      <c r="J33" s="769" t="s">
        <v>11058</v>
      </c>
      <c r="K33" s="769" t="s">
        <v>324</v>
      </c>
      <c r="L33" s="790">
        <v>653</v>
      </c>
      <c r="M33" s="790">
        <v>410</v>
      </c>
      <c r="N33" s="790"/>
      <c r="O33" s="312">
        <v>1063</v>
      </c>
      <c r="P33" s="657">
        <f>VLOOKUP(D:D,'Master Table'!C:O,13,FALSE)</f>
        <v>2053.5</v>
      </c>
      <c r="Q33" s="657">
        <v>2053.5</v>
      </c>
      <c r="R33" s="485">
        <v>2033.45</v>
      </c>
      <c r="S33" s="485">
        <v>1529.5</v>
      </c>
      <c r="T33" s="485">
        <v>1598</v>
      </c>
    </row>
    <row r="34" spans="1:21" ht="30" customHeight="1" x14ac:dyDescent="0.2">
      <c r="A34" s="291" t="str">
        <f t="shared" si="0"/>
        <v>POR040 / 736</v>
      </c>
      <c r="B34" s="6" t="s">
        <v>85</v>
      </c>
      <c r="C34" s="6" t="s">
        <v>86</v>
      </c>
      <c r="D34" s="471" t="s">
        <v>84</v>
      </c>
      <c r="E34" s="369" t="str">
        <f>VLOOKUP(D:D,'Master Table'!C:D,2,FALSE)</f>
        <v>736</v>
      </c>
      <c r="F34" s="769" t="s">
        <v>84</v>
      </c>
      <c r="G34" s="769" t="s">
        <v>4801</v>
      </c>
      <c r="H34" s="769" t="s">
        <v>86</v>
      </c>
      <c r="I34" s="769" t="s">
        <v>85</v>
      </c>
      <c r="J34" s="769" t="s">
        <v>11072</v>
      </c>
      <c r="K34" s="769" t="s">
        <v>324</v>
      </c>
      <c r="L34" s="790">
        <v>149.61000000000001</v>
      </c>
      <c r="M34" s="790">
        <v>2829.7999999999997</v>
      </c>
      <c r="N34" s="790"/>
      <c r="O34" s="312">
        <v>2979.41</v>
      </c>
      <c r="P34" s="657">
        <f>VLOOKUP(D:D,'Master Table'!C:O,13,FALSE)</f>
        <v>4303.22</v>
      </c>
      <c r="Q34" s="657">
        <v>4303.22</v>
      </c>
      <c r="R34" s="485">
        <v>4636.82</v>
      </c>
      <c r="S34" s="485">
        <v>5724.83</v>
      </c>
      <c r="T34" s="485">
        <v>5441.8600000000006</v>
      </c>
    </row>
    <row r="35" spans="1:21" ht="30" customHeight="1" x14ac:dyDescent="0.2">
      <c r="A35" s="291" t="str">
        <f t="shared" si="0"/>
        <v>POR041 / 737</v>
      </c>
      <c r="B35" s="6" t="s">
        <v>88</v>
      </c>
      <c r="C35" s="6" t="s">
        <v>89</v>
      </c>
      <c r="D35" s="471" t="s">
        <v>87</v>
      </c>
      <c r="E35" s="369" t="str">
        <f>VLOOKUP(D:D,'Master Table'!C:D,2,FALSE)</f>
        <v>737</v>
      </c>
      <c r="F35" s="769" t="s">
        <v>87</v>
      </c>
      <c r="G35" s="769" t="s">
        <v>4803</v>
      </c>
      <c r="H35" s="769" t="s">
        <v>3420</v>
      </c>
      <c r="I35" s="769" t="s">
        <v>88</v>
      </c>
      <c r="J35" s="769" t="s">
        <v>11071</v>
      </c>
      <c r="K35" s="769" t="s">
        <v>324</v>
      </c>
      <c r="L35" s="790">
        <v>102.33</v>
      </c>
      <c r="M35" s="790">
        <v>200</v>
      </c>
      <c r="N35" s="790">
        <v>42</v>
      </c>
      <c r="O35" s="312">
        <v>344.33</v>
      </c>
      <c r="P35" s="657">
        <f>VLOOKUP(D:D,'Master Table'!C:O,13,FALSE)</f>
        <v>120</v>
      </c>
      <c r="Q35" s="657">
        <v>120</v>
      </c>
      <c r="R35" s="485">
        <v>253</v>
      </c>
      <c r="S35" s="485">
        <v>120</v>
      </c>
      <c r="T35" s="485">
        <v>120</v>
      </c>
    </row>
    <row r="36" spans="1:21" ht="30" customHeight="1" x14ac:dyDescent="0.2">
      <c r="A36" s="291" t="str">
        <f t="shared" si="0"/>
        <v>POR042 / 738</v>
      </c>
      <c r="B36" s="6" t="s">
        <v>91</v>
      </c>
      <c r="C36" s="6" t="s">
        <v>31</v>
      </c>
      <c r="D36" s="471" t="s">
        <v>90</v>
      </c>
      <c r="E36" s="369" t="str">
        <f>VLOOKUP(D:D,'Master Table'!C:D,2,FALSE)</f>
        <v>738</v>
      </c>
      <c r="F36" s="769" t="s">
        <v>90</v>
      </c>
      <c r="G36" s="769" t="s">
        <v>4808</v>
      </c>
      <c r="H36" s="769" t="s">
        <v>4809</v>
      </c>
      <c r="I36" s="769" t="s">
        <v>269</v>
      </c>
      <c r="J36" s="769" t="s">
        <v>11058</v>
      </c>
      <c r="K36" s="769" t="s">
        <v>351</v>
      </c>
      <c r="L36" s="790">
        <v>701.83</v>
      </c>
      <c r="M36" s="790">
        <v>769</v>
      </c>
      <c r="N36" s="790"/>
      <c r="O36" s="312">
        <v>1470.83</v>
      </c>
      <c r="P36" s="657">
        <f>VLOOKUP(D:D,'Master Table'!C:O,13,FALSE)</f>
        <v>2440.19</v>
      </c>
      <c r="Q36" s="657">
        <v>2440.19</v>
      </c>
      <c r="R36" s="485">
        <v>1206.44</v>
      </c>
      <c r="S36" s="485">
        <v>877.81</v>
      </c>
      <c r="T36" s="485">
        <v>893.11</v>
      </c>
    </row>
    <row r="37" spans="1:21" ht="30" customHeight="1" x14ac:dyDescent="0.2">
      <c r="A37" s="291" t="str">
        <f t="shared" si="0"/>
        <v>POR043 / 739</v>
      </c>
      <c r="B37" s="6" t="s">
        <v>93</v>
      </c>
      <c r="C37" s="6" t="s">
        <v>94</v>
      </c>
      <c r="D37" s="471" t="s">
        <v>92</v>
      </c>
      <c r="E37" s="369" t="str">
        <f>VLOOKUP(D:D,'Master Table'!C:D,2,FALSE)</f>
        <v>739</v>
      </c>
      <c r="F37" s="769" t="s">
        <v>92</v>
      </c>
      <c r="G37" s="769" t="s">
        <v>4813</v>
      </c>
      <c r="H37" s="769" t="s">
        <v>4814</v>
      </c>
      <c r="I37" s="769" t="s">
        <v>93</v>
      </c>
      <c r="J37" s="769" t="s">
        <v>11065</v>
      </c>
      <c r="K37" s="769" t="s">
        <v>351</v>
      </c>
      <c r="L37" s="790">
        <v>0</v>
      </c>
      <c r="M37" s="790">
        <v>25</v>
      </c>
      <c r="N37" s="790"/>
      <c r="O37" s="312">
        <v>25</v>
      </c>
      <c r="P37" s="657">
        <f>VLOOKUP(D:D,'Master Table'!C:O,13,FALSE)</f>
        <v>362.29999999999995</v>
      </c>
      <c r="Q37" s="657">
        <v>362.29999999999995</v>
      </c>
      <c r="R37" s="485">
        <v>804.72</v>
      </c>
      <c r="S37" s="485">
        <v>1079.1300000000001</v>
      </c>
      <c r="T37" s="485">
        <v>1496.55</v>
      </c>
    </row>
    <row r="38" spans="1:21" ht="30" customHeight="1" x14ac:dyDescent="0.2">
      <c r="A38" s="291" t="str">
        <f t="shared" si="0"/>
        <v>POR044 / 740</v>
      </c>
      <c r="B38" s="6" t="s">
        <v>96</v>
      </c>
      <c r="C38" s="6" t="s">
        <v>97</v>
      </c>
      <c r="D38" s="471" t="s">
        <v>95</v>
      </c>
      <c r="E38" s="369" t="str">
        <f>VLOOKUP(D:D,'Master Table'!C:D,2,FALSE)</f>
        <v>740</v>
      </c>
      <c r="F38" s="769" t="s">
        <v>95</v>
      </c>
      <c r="G38" s="769" t="s">
        <v>4819</v>
      </c>
      <c r="H38" s="769" t="s">
        <v>4820</v>
      </c>
      <c r="I38" s="769" t="s">
        <v>96</v>
      </c>
      <c r="J38" s="769" t="s">
        <v>11073</v>
      </c>
      <c r="K38" s="769" t="s">
        <v>324</v>
      </c>
      <c r="L38" s="790">
        <v>209.76</v>
      </c>
      <c r="M38" s="790">
        <v>2026</v>
      </c>
      <c r="N38" s="790">
        <v>1203</v>
      </c>
      <c r="O38" s="312">
        <v>3438.76</v>
      </c>
      <c r="P38" s="657">
        <f>VLOOKUP(D:D,'Master Table'!C:O,13,FALSE)</f>
        <v>3452.3399999999997</v>
      </c>
      <c r="Q38" s="657">
        <v>3452.3399999999997</v>
      </c>
      <c r="R38" s="485">
        <v>3489.95</v>
      </c>
      <c r="S38" s="485">
        <v>3517.53</v>
      </c>
      <c r="T38" s="485">
        <v>3232.34</v>
      </c>
    </row>
    <row r="39" spans="1:21" ht="30" customHeight="1" x14ac:dyDescent="0.2">
      <c r="A39" s="291"/>
      <c r="B39" s="6"/>
      <c r="C39" s="6"/>
      <c r="D39" s="471"/>
      <c r="E39" s="369"/>
      <c r="F39" s="769" t="s">
        <v>4822</v>
      </c>
      <c r="G39" s="769" t="s">
        <v>4823</v>
      </c>
      <c r="H39" s="769" t="s">
        <v>4824</v>
      </c>
      <c r="I39" s="769" t="s">
        <v>96</v>
      </c>
      <c r="J39" s="750"/>
      <c r="K39" s="769" t="s">
        <v>351</v>
      </c>
      <c r="L39" s="790"/>
      <c r="M39" s="790">
        <v>130</v>
      </c>
      <c r="N39" s="790"/>
      <c r="O39" s="312">
        <v>130</v>
      </c>
      <c r="P39" s="657"/>
      <c r="Q39" s="657"/>
      <c r="R39" s="485"/>
      <c r="S39" s="485"/>
      <c r="T39" s="485"/>
    </row>
    <row r="40" spans="1:21" ht="30" customHeight="1" x14ac:dyDescent="0.2">
      <c r="A40" s="291" t="str">
        <f t="shared" si="0"/>
        <v>POR045 / 742</v>
      </c>
      <c r="B40" s="6" t="s">
        <v>99</v>
      </c>
      <c r="C40" s="6" t="s">
        <v>100</v>
      </c>
      <c r="D40" s="471" t="s">
        <v>98</v>
      </c>
      <c r="E40" s="369" t="str">
        <f>VLOOKUP(D:D,'Master Table'!C:D,2,FALSE)</f>
        <v>742</v>
      </c>
      <c r="F40" s="769" t="s">
        <v>98</v>
      </c>
      <c r="G40" s="769" t="s">
        <v>4829</v>
      </c>
      <c r="H40" s="769" t="s">
        <v>977</v>
      </c>
      <c r="I40" s="769" t="s">
        <v>99</v>
      </c>
      <c r="J40" s="769" t="s">
        <v>11061</v>
      </c>
      <c r="K40" s="769" t="s">
        <v>324</v>
      </c>
      <c r="L40" s="790">
        <v>687.2</v>
      </c>
      <c r="M40" s="790">
        <v>200</v>
      </c>
      <c r="N40" s="790"/>
      <c r="O40" s="312">
        <v>887.2</v>
      </c>
      <c r="P40" s="657">
        <f>VLOOKUP(D:D,'Master Table'!C:O,13,FALSE)</f>
        <v>1032.3000000000002</v>
      </c>
      <c r="Q40" s="657">
        <v>1032.3000000000002</v>
      </c>
      <c r="R40" s="485">
        <v>1608.02</v>
      </c>
      <c r="S40" s="485">
        <v>1477.15</v>
      </c>
      <c r="T40" s="485">
        <v>1259.6300000000001</v>
      </c>
    </row>
    <row r="41" spans="1:21" ht="30" customHeight="1" x14ac:dyDescent="0.2">
      <c r="A41" s="291" t="str">
        <f t="shared" si="0"/>
        <v>POR046 / 743</v>
      </c>
      <c r="B41" s="6" t="s">
        <v>99</v>
      </c>
      <c r="C41" s="6" t="s">
        <v>102</v>
      </c>
      <c r="D41" s="471" t="s">
        <v>101</v>
      </c>
      <c r="E41" s="369" t="str">
        <f>VLOOKUP(D:D,'Master Table'!C:D,2,FALSE)</f>
        <v>743</v>
      </c>
      <c r="F41" s="769" t="s">
        <v>101</v>
      </c>
      <c r="G41" s="769" t="s">
        <v>4830</v>
      </c>
      <c r="H41" s="769" t="s">
        <v>102</v>
      </c>
      <c r="I41" s="769" t="s">
        <v>99</v>
      </c>
      <c r="J41" s="769" t="s">
        <v>11061</v>
      </c>
      <c r="K41" s="769" t="s">
        <v>324</v>
      </c>
      <c r="L41" s="790">
        <v>97.92</v>
      </c>
      <c r="M41" s="790">
        <v>395</v>
      </c>
      <c r="N41" s="790"/>
      <c r="O41" s="312">
        <v>492.92</v>
      </c>
      <c r="P41" s="657">
        <f>VLOOKUP(D:D,'Master Table'!C:O,13,FALSE)</f>
        <v>1562.94</v>
      </c>
      <c r="Q41" s="657">
        <v>1562.94</v>
      </c>
      <c r="R41" s="485">
        <v>1863.63</v>
      </c>
      <c r="S41" s="485">
        <v>1600.25</v>
      </c>
      <c r="T41" s="485">
        <v>1942.91</v>
      </c>
    </row>
    <row r="42" spans="1:21" ht="30" customHeight="1" x14ac:dyDescent="0.2">
      <c r="A42" s="291" t="str">
        <f t="shared" si="0"/>
        <v>POR049 / 746</v>
      </c>
      <c r="B42" s="915" t="s">
        <v>104</v>
      </c>
      <c r="C42" s="917" t="s">
        <v>8259</v>
      </c>
      <c r="D42" s="471" t="s">
        <v>4834</v>
      </c>
      <c r="E42" s="369" t="str">
        <f>VLOOKUP(D:D,'Master Table'!C:D,2,FALSE)</f>
        <v>746</v>
      </c>
      <c r="F42" s="769" t="s">
        <v>4834</v>
      </c>
      <c r="G42" s="769" t="s">
        <v>4835</v>
      </c>
      <c r="H42" s="769" t="s">
        <v>4836</v>
      </c>
      <c r="I42" s="769" t="s">
        <v>4797</v>
      </c>
      <c r="J42" s="769" t="s">
        <v>11061</v>
      </c>
      <c r="K42" s="769" t="s">
        <v>351</v>
      </c>
      <c r="L42" s="790">
        <v>1475.31</v>
      </c>
      <c r="M42" s="790">
        <v>345</v>
      </c>
      <c r="N42" s="790"/>
      <c r="O42" s="312">
        <v>1820.31</v>
      </c>
      <c r="P42" s="657">
        <f>VLOOKUP(D:D,'Master Table'!C:O,13,FALSE)</f>
        <v>2704.3100000000004</v>
      </c>
      <c r="Q42" s="869">
        <f>P42+P43</f>
        <v>4792.5300000000007</v>
      </c>
      <c r="R42" s="913">
        <v>4870.41</v>
      </c>
      <c r="S42" s="485">
        <v>4632.0300000000007</v>
      </c>
      <c r="T42" s="485">
        <v>4843.8099999999995</v>
      </c>
    </row>
    <row r="43" spans="1:21" ht="30" customHeight="1" x14ac:dyDescent="0.2">
      <c r="A43" s="291" t="str">
        <f t="shared" ref="A43" si="1">D43&amp;" / "&amp;E43</f>
        <v>POR037 / 733</v>
      </c>
      <c r="B43" s="916"/>
      <c r="C43" s="916"/>
      <c r="D43" s="471" t="s">
        <v>4794</v>
      </c>
      <c r="E43" s="369" t="str">
        <f>VLOOKUP(D:D,'Master Table'!C:D,2,FALSE)</f>
        <v>733</v>
      </c>
      <c r="F43" s="769" t="s">
        <v>4794</v>
      </c>
      <c r="G43" s="769" t="s">
        <v>4795</v>
      </c>
      <c r="H43" s="769" t="s">
        <v>4796</v>
      </c>
      <c r="I43" s="769" t="s">
        <v>4797</v>
      </c>
      <c r="J43" s="769" t="s">
        <v>11061</v>
      </c>
      <c r="K43" s="769" t="s">
        <v>351</v>
      </c>
      <c r="L43" s="790">
        <v>913.7</v>
      </c>
      <c r="M43" s="790">
        <v>230</v>
      </c>
      <c r="N43" s="790">
        <v>438.62</v>
      </c>
      <c r="O43" s="312">
        <v>1582.3200000000002</v>
      </c>
      <c r="P43" s="657">
        <f>VLOOKUP(D:D,'Master Table'!C:O,13,FALSE)</f>
        <v>2088.2200000000003</v>
      </c>
      <c r="Q43" s="870"/>
      <c r="R43" s="914"/>
      <c r="S43" s="485"/>
      <c r="T43" s="485"/>
    </row>
    <row r="44" spans="1:21" ht="30" customHeight="1" x14ac:dyDescent="0.2">
      <c r="A44" s="291" t="str">
        <f t="shared" si="0"/>
        <v>POR050 / 747</v>
      </c>
      <c r="B44" s="6" t="s">
        <v>107</v>
      </c>
      <c r="C44" s="6" t="s">
        <v>108</v>
      </c>
      <c r="D44" s="471" t="s">
        <v>106</v>
      </c>
      <c r="E44" s="369" t="str">
        <f>VLOOKUP(D:D,'Master Table'!C:D,2,FALSE)</f>
        <v>747</v>
      </c>
      <c r="F44" s="769" t="s">
        <v>106</v>
      </c>
      <c r="G44" s="769" t="s">
        <v>4837</v>
      </c>
      <c r="H44" s="769" t="s">
        <v>108</v>
      </c>
      <c r="I44" s="769" t="s">
        <v>107</v>
      </c>
      <c r="J44" s="769" t="s">
        <v>11068</v>
      </c>
      <c r="K44" s="769" t="s">
        <v>324</v>
      </c>
      <c r="L44" s="790">
        <v>0</v>
      </c>
      <c r="M44" s="790">
        <v>694</v>
      </c>
      <c r="N44" s="790">
        <v>40</v>
      </c>
      <c r="O44" s="312">
        <v>734</v>
      </c>
      <c r="P44" s="657">
        <f>VLOOKUP(D:D,'Master Table'!C:O,13,FALSE)</f>
        <v>1196.68</v>
      </c>
      <c r="Q44" s="657">
        <v>1196.68</v>
      </c>
      <c r="R44" s="485">
        <v>1343.43</v>
      </c>
      <c r="S44" s="485">
        <v>699.08999999999992</v>
      </c>
      <c r="T44" s="485">
        <v>1093.53</v>
      </c>
    </row>
    <row r="45" spans="1:21" ht="30" customHeight="1" x14ac:dyDescent="0.2">
      <c r="A45" s="291" t="str">
        <f t="shared" si="0"/>
        <v>POR051 / 748</v>
      </c>
      <c r="B45" s="6" t="s">
        <v>110</v>
      </c>
      <c r="C45" s="6" t="s">
        <v>31</v>
      </c>
      <c r="D45" s="471" t="s">
        <v>109</v>
      </c>
      <c r="E45" s="369" t="str">
        <f>VLOOKUP(D:D,'Master Table'!C:D,2,FALSE)</f>
        <v>748</v>
      </c>
      <c r="F45" s="769" t="s">
        <v>109</v>
      </c>
      <c r="G45" s="769" t="s">
        <v>4838</v>
      </c>
      <c r="H45" s="769" t="s">
        <v>4839</v>
      </c>
      <c r="I45" s="769" t="s">
        <v>110</v>
      </c>
      <c r="J45" s="769" t="s">
        <v>11073</v>
      </c>
      <c r="K45" s="769" t="s">
        <v>324</v>
      </c>
      <c r="L45" s="790">
        <v>1253.8499999999999</v>
      </c>
      <c r="M45" s="790">
        <v>430</v>
      </c>
      <c r="N45" s="790">
        <v>218</v>
      </c>
      <c r="O45" s="312">
        <v>1901.85</v>
      </c>
      <c r="P45" s="657">
        <f>VLOOKUP(D:D,'Master Table'!C:O,13,FALSE)</f>
        <v>175</v>
      </c>
      <c r="Q45" s="657">
        <v>175</v>
      </c>
      <c r="R45" s="485">
        <v>675.65</v>
      </c>
      <c r="S45" s="485">
        <v>2640.7599999999998</v>
      </c>
      <c r="T45" s="485">
        <v>3088.14</v>
      </c>
      <c r="U45" s="395"/>
    </row>
    <row r="46" spans="1:21" ht="30" customHeight="1" x14ac:dyDescent="0.2">
      <c r="A46" s="291" t="str">
        <f t="shared" si="0"/>
        <v>POR052 / 749</v>
      </c>
      <c r="B46" s="6" t="s">
        <v>112</v>
      </c>
      <c r="C46" s="548" t="s">
        <v>61</v>
      </c>
      <c r="D46" s="471" t="s">
        <v>111</v>
      </c>
      <c r="E46" s="369" t="str">
        <f>VLOOKUP(D:D,'Master Table'!C:D,2,FALSE)</f>
        <v>749</v>
      </c>
      <c r="F46" s="769" t="s">
        <v>111</v>
      </c>
      <c r="G46" s="769" t="s">
        <v>4840</v>
      </c>
      <c r="H46" s="769" t="s">
        <v>4841</v>
      </c>
      <c r="I46" s="769" t="s">
        <v>46</v>
      </c>
      <c r="J46" s="769" t="s">
        <v>11066</v>
      </c>
      <c r="K46" s="769" t="s">
        <v>351</v>
      </c>
      <c r="L46" s="790">
        <v>256.89999999999998</v>
      </c>
      <c r="M46" s="790">
        <v>15</v>
      </c>
      <c r="N46" s="790"/>
      <c r="O46" s="312">
        <v>271.89999999999998</v>
      </c>
      <c r="P46" s="657">
        <f>VLOOKUP(D:D,'Master Table'!C:O,13,FALSE)</f>
        <v>233.57999999999998</v>
      </c>
      <c r="Q46" s="657">
        <v>233.57999999999998</v>
      </c>
      <c r="R46" s="485">
        <v>472.8</v>
      </c>
      <c r="S46" s="485">
        <v>517.15</v>
      </c>
      <c r="T46" s="485">
        <v>363.45</v>
      </c>
    </row>
    <row r="47" spans="1:21" ht="30" customHeight="1" x14ac:dyDescent="0.2">
      <c r="A47" s="292" t="str">
        <f t="shared" si="0"/>
        <v>POR053 / 750</v>
      </c>
      <c r="B47" s="918" t="s">
        <v>114</v>
      </c>
      <c r="C47" s="551" t="s">
        <v>8377</v>
      </c>
      <c r="D47" s="547" t="s">
        <v>113</v>
      </c>
      <c r="E47" s="369" t="str">
        <f>VLOOKUP(D:D,'Master Table'!C:D,2,FALSE)</f>
        <v>750</v>
      </c>
      <c r="F47" s="769" t="s">
        <v>113</v>
      </c>
      <c r="G47" s="769" t="s">
        <v>4844</v>
      </c>
      <c r="H47" s="769" t="s">
        <v>11074</v>
      </c>
      <c r="I47" s="769" t="s">
        <v>114</v>
      </c>
      <c r="J47" s="769" t="s">
        <v>11060</v>
      </c>
      <c r="K47" s="769" t="s">
        <v>351</v>
      </c>
      <c r="L47" s="790">
        <v>4362.2800000000007</v>
      </c>
      <c r="M47" s="790">
        <v>770</v>
      </c>
      <c r="N47" s="790"/>
      <c r="O47" s="312">
        <v>5132.2800000000007</v>
      </c>
      <c r="P47" s="657">
        <f>VLOOKUP(D:D,'Master Table'!C:O,13,FALSE)</f>
        <v>4458.28</v>
      </c>
      <c r="Q47" s="657">
        <v>4458.28</v>
      </c>
      <c r="R47" s="485">
        <v>4756.3999999999996</v>
      </c>
      <c r="S47" s="485">
        <v>4607.93</v>
      </c>
      <c r="T47" s="485">
        <v>3687.39</v>
      </c>
    </row>
    <row r="48" spans="1:21" ht="30" customHeight="1" x14ac:dyDescent="0.2">
      <c r="A48" s="292" t="str">
        <f t="shared" si="0"/>
        <v>POR054 / 751</v>
      </c>
      <c r="B48" s="919"/>
      <c r="C48" s="550" t="s">
        <v>8376</v>
      </c>
      <c r="D48" s="547" t="s">
        <v>116</v>
      </c>
      <c r="E48" s="369" t="str">
        <f>VLOOKUP(D:D,'Master Table'!C:D,2,FALSE)</f>
        <v>751</v>
      </c>
      <c r="F48" s="769" t="s">
        <v>116</v>
      </c>
      <c r="G48" s="769" t="s">
        <v>4842</v>
      </c>
      <c r="H48" s="769" t="s">
        <v>11075</v>
      </c>
      <c r="I48" s="769" t="s">
        <v>114</v>
      </c>
      <c r="J48" s="769" t="s">
        <v>11076</v>
      </c>
      <c r="K48" s="769" t="s">
        <v>351</v>
      </c>
      <c r="L48" s="790"/>
      <c r="M48" s="790">
        <v>60</v>
      </c>
      <c r="N48" s="790"/>
      <c r="O48" s="312">
        <v>60</v>
      </c>
      <c r="P48" s="657">
        <f>VLOOKUP(D:D,'Master Table'!C:O,13,FALSE)</f>
        <v>100</v>
      </c>
      <c r="Q48" s="657">
        <v>100</v>
      </c>
      <c r="R48" s="485">
        <v>136</v>
      </c>
      <c r="S48" s="485">
        <v>0</v>
      </c>
      <c r="T48" s="485">
        <v>80</v>
      </c>
    </row>
    <row r="49" spans="1:20" ht="30" customHeight="1" x14ac:dyDescent="0.2">
      <c r="A49" s="292" t="str">
        <f t="shared" si="0"/>
        <v>POR055 / 752</v>
      </c>
      <c r="B49" s="920"/>
      <c r="C49" s="552" t="s">
        <v>8378</v>
      </c>
      <c r="D49" s="547" t="s">
        <v>118</v>
      </c>
      <c r="E49" s="369" t="str">
        <f>VLOOKUP(D:D,'Master Table'!C:D,2,FALSE)</f>
        <v>752</v>
      </c>
      <c r="F49" s="769" t="s">
        <v>118</v>
      </c>
      <c r="G49" s="769" t="s">
        <v>4847</v>
      </c>
      <c r="H49" s="769" t="s">
        <v>11077</v>
      </c>
      <c r="I49" s="769" t="s">
        <v>114</v>
      </c>
      <c r="J49" s="769" t="s">
        <v>11060</v>
      </c>
      <c r="K49" s="769" t="s">
        <v>351</v>
      </c>
      <c r="L49" s="790"/>
      <c r="M49" s="790">
        <v>150</v>
      </c>
      <c r="N49" s="790"/>
      <c r="O49" s="312">
        <v>150</v>
      </c>
      <c r="P49" s="657">
        <f>VLOOKUP(D:D,'Master Table'!C:O,13,FALSE)</f>
        <v>750</v>
      </c>
      <c r="Q49" s="657">
        <v>750</v>
      </c>
      <c r="R49" s="485">
        <v>150</v>
      </c>
      <c r="S49" s="485">
        <v>100</v>
      </c>
      <c r="T49" s="485">
        <v>100</v>
      </c>
    </row>
    <row r="50" spans="1:20" ht="30" customHeight="1" x14ac:dyDescent="0.2">
      <c r="A50" s="291" t="str">
        <f t="shared" si="0"/>
        <v>POR056 / 753</v>
      </c>
      <c r="B50" s="6" t="s">
        <v>121</v>
      </c>
      <c r="C50" s="549" t="s">
        <v>61</v>
      </c>
      <c r="D50" s="471" t="s">
        <v>120</v>
      </c>
      <c r="E50" s="369" t="str">
        <f>VLOOKUP(D:D,'Master Table'!C:D,2,FALSE)</f>
        <v>753</v>
      </c>
      <c r="F50" s="769" t="s">
        <v>120</v>
      </c>
      <c r="G50" s="769" t="s">
        <v>4848</v>
      </c>
      <c r="H50" s="769" t="s">
        <v>4849</v>
      </c>
      <c r="I50" s="769" t="s">
        <v>4850</v>
      </c>
      <c r="J50" s="769" t="s">
        <v>11078</v>
      </c>
      <c r="K50" s="769" t="s">
        <v>351</v>
      </c>
      <c r="L50" s="790">
        <v>1716.83</v>
      </c>
      <c r="M50" s="790">
        <v>875</v>
      </c>
      <c r="N50" s="790"/>
      <c r="O50" s="312">
        <v>2591.83</v>
      </c>
      <c r="P50" s="657">
        <f>VLOOKUP(D:D,'Master Table'!C:O,13,FALSE)</f>
        <v>2344.19</v>
      </c>
      <c r="Q50" s="657">
        <v>2344.19</v>
      </c>
      <c r="R50" s="485">
        <v>2455.9</v>
      </c>
      <c r="S50" s="485">
        <v>2993.33</v>
      </c>
      <c r="T50" s="485">
        <v>2244.65</v>
      </c>
    </row>
    <row r="51" spans="1:20" ht="30" customHeight="1" x14ac:dyDescent="0.2">
      <c r="A51" s="291" t="str">
        <f t="shared" si="0"/>
        <v>POR058 / 754</v>
      </c>
      <c r="B51" s="6" t="s">
        <v>123</v>
      </c>
      <c r="C51" s="6" t="s">
        <v>124</v>
      </c>
      <c r="D51" s="471" t="s">
        <v>122</v>
      </c>
      <c r="E51" s="369" t="str">
        <f>VLOOKUP(D:D,'Master Table'!C:D,2,FALSE)</f>
        <v>754</v>
      </c>
      <c r="F51" s="769" t="s">
        <v>122</v>
      </c>
      <c r="G51" s="769" t="s">
        <v>4854</v>
      </c>
      <c r="H51" s="769" t="s">
        <v>124</v>
      </c>
      <c r="I51" s="769" t="s">
        <v>123</v>
      </c>
      <c r="J51" s="769" t="s">
        <v>11078</v>
      </c>
      <c r="K51" s="769" t="s">
        <v>324</v>
      </c>
      <c r="L51" s="790">
        <v>0</v>
      </c>
      <c r="M51" s="790">
        <v>300</v>
      </c>
      <c r="N51" s="790"/>
      <c r="O51" s="312">
        <v>300</v>
      </c>
      <c r="P51" s="657">
        <f>VLOOKUP(D:D,'Master Table'!C:O,13,FALSE)</f>
        <v>647.19000000000005</v>
      </c>
      <c r="Q51" s="657">
        <v>647.19000000000005</v>
      </c>
      <c r="R51" s="485">
        <v>873.45</v>
      </c>
      <c r="S51" s="485">
        <v>654</v>
      </c>
      <c r="T51" s="485">
        <v>633</v>
      </c>
    </row>
    <row r="52" spans="1:20" ht="30" customHeight="1" x14ac:dyDescent="0.2">
      <c r="A52" s="291" t="str">
        <f t="shared" si="0"/>
        <v>POR059 / 755</v>
      </c>
      <c r="B52" s="6" t="s">
        <v>126</v>
      </c>
      <c r="C52" s="6" t="s">
        <v>127</v>
      </c>
      <c r="D52" s="471" t="s">
        <v>125</v>
      </c>
      <c r="E52" s="473" t="str">
        <f>VLOOKUP(D:D,'Master Table'!C:D,2,FALSE)</f>
        <v>755</v>
      </c>
      <c r="F52" s="769" t="s">
        <v>125</v>
      </c>
      <c r="G52" s="769" t="s">
        <v>4855</v>
      </c>
      <c r="H52" s="769" t="s">
        <v>4856</v>
      </c>
      <c r="I52" s="769" t="s">
        <v>233</v>
      </c>
      <c r="J52" s="769" t="s">
        <v>11079</v>
      </c>
      <c r="K52" s="769" t="s">
        <v>351</v>
      </c>
      <c r="L52" s="790">
        <v>0</v>
      </c>
      <c r="M52" s="790">
        <v>120</v>
      </c>
      <c r="N52" s="790"/>
      <c r="O52" s="312">
        <v>120</v>
      </c>
      <c r="P52" s="657">
        <f>VLOOKUP(D:D,'Master Table'!C:O,13,FALSE)</f>
        <v>226.5</v>
      </c>
      <c r="Q52" s="657">
        <v>226.5</v>
      </c>
      <c r="R52" s="485">
        <v>323.35000000000002</v>
      </c>
      <c r="S52" s="485">
        <v>193.11</v>
      </c>
      <c r="T52" s="485">
        <v>217.26</v>
      </c>
    </row>
    <row r="53" spans="1:20" ht="30" customHeight="1" x14ac:dyDescent="0.2">
      <c r="A53" s="291" t="str">
        <f t="shared" si="0"/>
        <v>POR060 / 756</v>
      </c>
      <c r="B53" s="6" t="s">
        <v>129</v>
      </c>
      <c r="C53" s="6" t="s">
        <v>130</v>
      </c>
      <c r="D53" s="471" t="s">
        <v>128</v>
      </c>
      <c r="E53" s="369" t="str">
        <f>VLOOKUP(D:D,'Master Table'!C:D,2,FALSE)</f>
        <v>756</v>
      </c>
      <c r="F53" s="769" t="s">
        <v>128</v>
      </c>
      <c r="G53" s="769" t="s">
        <v>4860</v>
      </c>
      <c r="H53" s="769" t="s">
        <v>130</v>
      </c>
      <c r="I53" s="769" t="s">
        <v>74</v>
      </c>
      <c r="J53" s="769" t="s">
        <v>11068</v>
      </c>
      <c r="K53" s="769" t="s">
        <v>324</v>
      </c>
      <c r="L53" s="790">
        <v>1406.63</v>
      </c>
      <c r="M53" s="790"/>
      <c r="N53" s="790"/>
      <c r="O53" s="312">
        <v>1406.63</v>
      </c>
      <c r="P53" s="657">
        <f>VLOOKUP(D:D,'Master Table'!C:O,13,FALSE)</f>
        <v>1691.22</v>
      </c>
      <c r="Q53" s="657">
        <v>1691.22</v>
      </c>
      <c r="R53" s="485">
        <v>1515.5</v>
      </c>
      <c r="S53" s="485">
        <v>2207.02</v>
      </c>
      <c r="T53" s="485">
        <v>1801.3400000000001</v>
      </c>
    </row>
    <row r="54" spans="1:20" ht="30" customHeight="1" x14ac:dyDescent="0.2">
      <c r="A54" s="291" t="str">
        <f t="shared" si="0"/>
        <v>POR061 / 757</v>
      </c>
      <c r="B54" s="6" t="s">
        <v>132</v>
      </c>
      <c r="C54" s="6" t="s">
        <v>133</v>
      </c>
      <c r="D54" s="471" t="s">
        <v>131</v>
      </c>
      <c r="E54" s="369" t="str">
        <f>VLOOKUP(D:D,'Master Table'!C:D,2,FALSE)</f>
        <v>757</v>
      </c>
      <c r="F54" s="769" t="s">
        <v>131</v>
      </c>
      <c r="G54" s="769" t="s">
        <v>4861</v>
      </c>
      <c r="H54" s="769" t="s">
        <v>4862</v>
      </c>
      <c r="I54" s="769" t="s">
        <v>4863</v>
      </c>
      <c r="J54" s="769" t="s">
        <v>11069</v>
      </c>
      <c r="K54" s="769" t="s">
        <v>351</v>
      </c>
      <c r="L54" s="790">
        <v>0</v>
      </c>
      <c r="M54" s="790">
        <v>287</v>
      </c>
      <c r="N54" s="790"/>
      <c r="O54" s="312">
        <v>287</v>
      </c>
      <c r="P54" s="657">
        <f>VLOOKUP(D:D,'Master Table'!C:O,13,FALSE)</f>
        <v>1052.1100000000001</v>
      </c>
      <c r="Q54" s="657">
        <v>1052.1100000000001</v>
      </c>
      <c r="R54" s="485">
        <v>1052.1199999999999</v>
      </c>
      <c r="S54" s="485">
        <v>1142.69</v>
      </c>
      <c r="T54" s="485">
        <v>1422.98</v>
      </c>
    </row>
    <row r="55" spans="1:20" ht="30" customHeight="1" x14ac:dyDescent="0.2">
      <c r="A55" s="291" t="str">
        <f t="shared" si="0"/>
        <v>POR062 / 758</v>
      </c>
      <c r="B55" s="6" t="s">
        <v>135</v>
      </c>
      <c r="C55" s="6" t="s">
        <v>136</v>
      </c>
      <c r="D55" s="471" t="s">
        <v>134</v>
      </c>
      <c r="E55" s="369" t="str">
        <f>VLOOKUP(D:D,'Master Table'!C:D,2,FALSE)</f>
        <v>758</v>
      </c>
      <c r="F55" s="769" t="s">
        <v>134</v>
      </c>
      <c r="G55" s="769" t="s">
        <v>4867</v>
      </c>
      <c r="H55" s="769" t="s">
        <v>428</v>
      </c>
      <c r="I55" s="769" t="s">
        <v>135</v>
      </c>
      <c r="J55" s="769" t="s">
        <v>11063</v>
      </c>
      <c r="K55" s="769" t="s">
        <v>324</v>
      </c>
      <c r="L55" s="790">
        <v>0</v>
      </c>
      <c r="M55" s="790">
        <v>240</v>
      </c>
      <c r="N55" s="790"/>
      <c r="O55" s="312">
        <v>240</v>
      </c>
      <c r="P55" s="657">
        <f>VLOOKUP(D:D,'Master Table'!C:O,13,FALSE)</f>
        <v>395</v>
      </c>
      <c r="Q55" s="657">
        <v>395</v>
      </c>
      <c r="R55" s="485">
        <v>400</v>
      </c>
      <c r="S55" s="485">
        <v>932</v>
      </c>
      <c r="T55" s="485">
        <v>1043.1399999999999</v>
      </c>
    </row>
    <row r="56" spans="1:20" ht="30" customHeight="1" x14ac:dyDescent="0.2">
      <c r="A56" s="291" t="str">
        <f t="shared" si="0"/>
        <v>POR062A / 147985</v>
      </c>
      <c r="B56" s="6" t="s">
        <v>138</v>
      </c>
      <c r="C56" s="6" t="s">
        <v>56</v>
      </c>
      <c r="D56" s="471" t="s">
        <v>137</v>
      </c>
      <c r="E56" s="369" t="str">
        <f>VLOOKUP(D:D,'Master Table'!C:D,2,FALSE)</f>
        <v>147985</v>
      </c>
      <c r="F56" s="769" t="s">
        <v>137</v>
      </c>
      <c r="G56" s="769" t="s">
        <v>4868</v>
      </c>
      <c r="H56" s="769" t="s">
        <v>11080</v>
      </c>
      <c r="I56" s="769" t="s">
        <v>138</v>
      </c>
      <c r="J56" s="769" t="s">
        <v>11061</v>
      </c>
      <c r="K56" s="769" t="s">
        <v>351</v>
      </c>
      <c r="L56" s="790">
        <v>0</v>
      </c>
      <c r="M56" s="790">
        <v>110</v>
      </c>
      <c r="N56" s="790"/>
      <c r="O56" s="312">
        <v>110</v>
      </c>
      <c r="P56" s="657">
        <f>VLOOKUP(D:D,'Master Table'!C:O,13,FALSE)</f>
        <v>273.14999999999998</v>
      </c>
      <c r="Q56" s="657">
        <v>273.14999999999998</v>
      </c>
      <c r="R56" s="485">
        <v>234.99</v>
      </c>
      <c r="S56" s="485">
        <v>247.34</v>
      </c>
      <c r="T56" s="485">
        <v>352.49</v>
      </c>
    </row>
    <row r="57" spans="1:20" ht="30" customHeight="1" x14ac:dyDescent="0.2">
      <c r="A57" s="291" t="str">
        <f t="shared" si="0"/>
        <v>POR063 / 759</v>
      </c>
      <c r="B57" s="6" t="s">
        <v>140</v>
      </c>
      <c r="C57" s="6" t="s">
        <v>141</v>
      </c>
      <c r="D57" s="471" t="s">
        <v>139</v>
      </c>
      <c r="E57" s="369" t="str">
        <f>VLOOKUP(D:D,'Master Table'!C:D,2,FALSE)</f>
        <v>759</v>
      </c>
      <c r="F57" s="769" t="s">
        <v>139</v>
      </c>
      <c r="G57" s="769" t="s">
        <v>4870</v>
      </c>
      <c r="H57" s="769" t="s">
        <v>141</v>
      </c>
      <c r="I57" s="769" t="s">
        <v>140</v>
      </c>
      <c r="J57" s="769" t="s">
        <v>11078</v>
      </c>
      <c r="K57" s="769" t="s">
        <v>324</v>
      </c>
      <c r="L57" s="790">
        <v>628.55999999999995</v>
      </c>
      <c r="M57" s="790">
        <v>140</v>
      </c>
      <c r="N57" s="790"/>
      <c r="O57" s="312">
        <v>768.56</v>
      </c>
      <c r="P57" s="657">
        <f>VLOOKUP(D:D,'Master Table'!C:O,13,FALSE)</f>
        <v>983.62</v>
      </c>
      <c r="Q57" s="657">
        <v>983.62</v>
      </c>
      <c r="R57" s="485">
        <v>1066.48</v>
      </c>
      <c r="S57" s="485">
        <v>1281.3399999999999</v>
      </c>
      <c r="T57" s="485">
        <v>1190.3800000000001</v>
      </c>
    </row>
    <row r="58" spans="1:20" ht="30" customHeight="1" x14ac:dyDescent="0.2">
      <c r="A58" s="291" t="str">
        <f t="shared" si="0"/>
        <v>POR065 / 761</v>
      </c>
      <c r="B58" s="6" t="s">
        <v>143</v>
      </c>
      <c r="C58" s="6" t="s">
        <v>144</v>
      </c>
      <c r="D58" s="471" t="s">
        <v>142</v>
      </c>
      <c r="E58" s="369" t="str">
        <f>VLOOKUP(D:D,'Master Table'!C:D,2,FALSE)</f>
        <v>761</v>
      </c>
      <c r="F58" s="769" t="s">
        <v>142</v>
      </c>
      <c r="G58" s="769" t="s">
        <v>4871</v>
      </c>
      <c r="H58" s="769" t="s">
        <v>4872</v>
      </c>
      <c r="I58" s="769" t="s">
        <v>143</v>
      </c>
      <c r="J58" s="769" t="s">
        <v>11081</v>
      </c>
      <c r="K58" s="769" t="s">
        <v>351</v>
      </c>
      <c r="L58" s="790">
        <v>0</v>
      </c>
      <c r="M58" s="790">
        <v>590</v>
      </c>
      <c r="N58" s="790"/>
      <c r="O58" s="312">
        <v>590</v>
      </c>
      <c r="P58" s="657">
        <f>VLOOKUP(D:D,'Master Table'!C:O,13,FALSE)</f>
        <v>2038.24</v>
      </c>
      <c r="Q58" s="657">
        <v>2038.24</v>
      </c>
      <c r="R58" s="485">
        <v>373</v>
      </c>
      <c r="S58" s="485">
        <v>1845.47</v>
      </c>
      <c r="T58" s="485">
        <v>1878.57</v>
      </c>
    </row>
    <row r="59" spans="1:20" ht="30" customHeight="1" x14ac:dyDescent="0.2">
      <c r="A59" s="291" t="str">
        <f t="shared" si="0"/>
        <v>POR066 / 762</v>
      </c>
      <c r="B59" s="6" t="s">
        <v>143</v>
      </c>
      <c r="C59" s="6" t="s">
        <v>146</v>
      </c>
      <c r="D59" s="471" t="s">
        <v>145</v>
      </c>
      <c r="E59" s="369" t="str">
        <f>VLOOKUP(D:D,'Master Table'!C:D,2,FALSE)</f>
        <v>762</v>
      </c>
      <c r="F59" s="769" t="s">
        <v>145</v>
      </c>
      <c r="G59" s="769" t="s">
        <v>4874</v>
      </c>
      <c r="H59" s="769" t="s">
        <v>4875</v>
      </c>
      <c r="I59" s="769" t="s">
        <v>143</v>
      </c>
      <c r="J59" s="769" t="s">
        <v>11081</v>
      </c>
      <c r="K59" s="769" t="s">
        <v>351</v>
      </c>
      <c r="L59" s="790">
        <v>936.35</v>
      </c>
      <c r="M59" s="790">
        <v>185</v>
      </c>
      <c r="N59" s="790"/>
      <c r="O59" s="312">
        <v>1121.3499999999999</v>
      </c>
      <c r="P59" s="657">
        <f>VLOOKUP(D:D,'Master Table'!C:O,13,FALSE)</f>
        <v>285</v>
      </c>
      <c r="Q59" s="657">
        <v>285</v>
      </c>
      <c r="R59" s="485">
        <v>1509.36</v>
      </c>
      <c r="S59" s="485">
        <v>168</v>
      </c>
      <c r="T59" s="485" t="s">
        <v>147</v>
      </c>
    </row>
    <row r="60" spans="1:20" ht="30" customHeight="1" x14ac:dyDescent="0.2">
      <c r="A60" s="291" t="str">
        <f t="shared" si="0"/>
        <v>POR067 / 764</v>
      </c>
      <c r="B60" s="6" t="s">
        <v>149</v>
      </c>
      <c r="C60" s="6" t="s">
        <v>150</v>
      </c>
      <c r="D60" s="471" t="s">
        <v>148</v>
      </c>
      <c r="E60" s="369" t="str">
        <f>VLOOKUP(D:D,'Master Table'!C:D,2,FALSE)</f>
        <v>764</v>
      </c>
      <c r="F60" s="769" t="s">
        <v>148</v>
      </c>
      <c r="G60" s="769" t="s">
        <v>4880</v>
      </c>
      <c r="H60" s="769" t="s">
        <v>4881</v>
      </c>
      <c r="I60" s="769" t="s">
        <v>143</v>
      </c>
      <c r="J60" s="769" t="s">
        <v>11081</v>
      </c>
      <c r="K60" s="769" t="s">
        <v>351</v>
      </c>
      <c r="L60" s="790"/>
      <c r="M60" s="790">
        <v>115</v>
      </c>
      <c r="N60" s="790"/>
      <c r="O60" s="312">
        <v>115</v>
      </c>
      <c r="P60" s="657">
        <f>VLOOKUP(D:D,'Master Table'!C:O,13,FALSE)</f>
        <v>275</v>
      </c>
      <c r="Q60" s="657">
        <v>275</v>
      </c>
      <c r="R60" s="485">
        <v>205</v>
      </c>
      <c r="S60" s="485">
        <v>640</v>
      </c>
      <c r="T60" s="485">
        <v>240</v>
      </c>
    </row>
    <row r="61" spans="1:20" ht="30" customHeight="1" x14ac:dyDescent="0.2">
      <c r="A61" s="291" t="str">
        <f t="shared" si="0"/>
        <v>POR068 / 765</v>
      </c>
      <c r="B61" s="6" t="s">
        <v>143</v>
      </c>
      <c r="C61" s="6" t="s">
        <v>152</v>
      </c>
      <c r="D61" s="471" t="s">
        <v>151</v>
      </c>
      <c r="E61" s="369" t="str">
        <f>VLOOKUP(D:D,'Master Table'!C:D,2,FALSE)</f>
        <v>765</v>
      </c>
      <c r="F61" s="769" t="s">
        <v>151</v>
      </c>
      <c r="G61" s="769" t="s">
        <v>4885</v>
      </c>
      <c r="H61" s="769" t="s">
        <v>4886</v>
      </c>
      <c r="I61" s="769" t="s">
        <v>143</v>
      </c>
      <c r="J61" s="769" t="s">
        <v>11081</v>
      </c>
      <c r="K61" s="769" t="s">
        <v>351</v>
      </c>
      <c r="L61" s="790">
        <v>680</v>
      </c>
      <c r="M61" s="790">
        <v>75</v>
      </c>
      <c r="N61" s="790"/>
      <c r="O61" s="312">
        <v>755</v>
      </c>
      <c r="P61" s="657">
        <f>VLOOKUP(D:D,'Master Table'!C:O,13,FALSE)</f>
        <v>702</v>
      </c>
      <c r="Q61" s="657">
        <v>702</v>
      </c>
      <c r="R61" s="485">
        <v>635</v>
      </c>
      <c r="S61" s="485">
        <v>686</v>
      </c>
      <c r="T61" s="485">
        <v>753.4</v>
      </c>
    </row>
    <row r="62" spans="1:20" ht="30" customHeight="1" x14ac:dyDescent="0.2">
      <c r="A62" s="291" t="str">
        <f t="shared" si="0"/>
        <v>POR069 / 766</v>
      </c>
      <c r="B62" s="6" t="s">
        <v>154</v>
      </c>
      <c r="C62" s="6" t="s">
        <v>155</v>
      </c>
      <c r="D62" s="471" t="s">
        <v>153</v>
      </c>
      <c r="E62" s="369" t="str">
        <f>VLOOKUP(D:D,'Master Table'!C:D,2,FALSE)</f>
        <v>766</v>
      </c>
      <c r="F62" s="769" t="s">
        <v>153</v>
      </c>
      <c r="G62" s="769" t="s">
        <v>4887</v>
      </c>
      <c r="H62" s="769" t="s">
        <v>4888</v>
      </c>
      <c r="I62" s="769" t="s">
        <v>143</v>
      </c>
      <c r="J62" s="769" t="s">
        <v>11081</v>
      </c>
      <c r="K62" s="769" t="s">
        <v>351</v>
      </c>
      <c r="L62" s="790">
        <v>380.5</v>
      </c>
      <c r="M62" s="790">
        <v>266</v>
      </c>
      <c r="N62" s="790"/>
      <c r="O62" s="312">
        <v>646.5</v>
      </c>
      <c r="P62" s="657">
        <f>VLOOKUP(D:D,'Master Table'!C:O,13,FALSE)</f>
        <v>737.5</v>
      </c>
      <c r="Q62" s="657">
        <v>737.5</v>
      </c>
      <c r="R62" s="485">
        <v>812</v>
      </c>
      <c r="S62" s="485">
        <v>1328</v>
      </c>
      <c r="T62" s="485">
        <v>1313</v>
      </c>
    </row>
    <row r="63" spans="1:20" ht="30" customHeight="1" x14ac:dyDescent="0.2">
      <c r="A63" s="291" t="str">
        <f t="shared" si="0"/>
        <v>POR070 / 767</v>
      </c>
      <c r="B63" s="6" t="s">
        <v>157</v>
      </c>
      <c r="C63" s="548" t="s">
        <v>158</v>
      </c>
      <c r="D63" s="471" t="s">
        <v>156</v>
      </c>
      <c r="E63" s="369" t="str">
        <f>VLOOKUP(D:D,'Master Table'!C:D,2,FALSE)</f>
        <v>767</v>
      </c>
      <c r="F63" s="769" t="s">
        <v>156</v>
      </c>
      <c r="G63" s="769" t="s">
        <v>4890</v>
      </c>
      <c r="H63" s="769" t="s">
        <v>4891</v>
      </c>
      <c r="I63" s="769" t="s">
        <v>143</v>
      </c>
      <c r="J63" s="769" t="s">
        <v>11081</v>
      </c>
      <c r="K63" s="769" t="s">
        <v>351</v>
      </c>
      <c r="L63" s="790">
        <v>1548.81</v>
      </c>
      <c r="M63" s="790">
        <v>1250</v>
      </c>
      <c r="N63" s="790"/>
      <c r="O63" s="312">
        <v>2798.81</v>
      </c>
      <c r="P63" s="657">
        <f>VLOOKUP(D:D,'Master Table'!C:O,13,FALSE)</f>
        <v>1575.49</v>
      </c>
      <c r="Q63" s="657">
        <v>1575.49</v>
      </c>
      <c r="R63" s="485">
        <v>2347.44</v>
      </c>
      <c r="S63" s="485">
        <v>2862.69</v>
      </c>
      <c r="T63" s="485">
        <v>2816.38</v>
      </c>
    </row>
    <row r="64" spans="1:20" ht="30" customHeight="1" x14ac:dyDescent="0.2">
      <c r="A64" s="291" t="str">
        <f t="shared" si="0"/>
        <v>POR072 / 768</v>
      </c>
      <c r="B64" s="921" t="s">
        <v>160</v>
      </c>
      <c r="C64" s="594" t="s">
        <v>8438</v>
      </c>
      <c r="D64" s="593" t="s">
        <v>159</v>
      </c>
      <c r="E64" s="369" t="str">
        <f>VLOOKUP(D:D,'Master Table'!C:D,2,FALSE)</f>
        <v>768</v>
      </c>
      <c r="F64" s="769" t="s">
        <v>159</v>
      </c>
      <c r="G64" s="769" t="s">
        <v>4892</v>
      </c>
      <c r="H64" s="769" t="s">
        <v>4893</v>
      </c>
      <c r="I64" s="769" t="s">
        <v>269</v>
      </c>
      <c r="J64" s="769" t="s">
        <v>11070</v>
      </c>
      <c r="K64" s="769" t="s">
        <v>351</v>
      </c>
      <c r="L64" s="790">
        <v>227.75</v>
      </c>
      <c r="M64" s="790">
        <v>200</v>
      </c>
      <c r="N64" s="790"/>
      <c r="O64" s="312">
        <v>427.75</v>
      </c>
      <c r="P64" s="657">
        <f>VLOOKUP(D:D,'Master Table'!C:O,13,FALSE)</f>
        <v>503.75</v>
      </c>
      <c r="Q64" s="869">
        <f>P64+P65</f>
        <v>523.75</v>
      </c>
      <c r="R64" s="913">
        <v>399.2</v>
      </c>
      <c r="S64" s="485">
        <v>674.45</v>
      </c>
      <c r="T64" s="485">
        <v>347.38</v>
      </c>
    </row>
    <row r="65" spans="1:20" ht="30" customHeight="1" x14ac:dyDescent="0.2">
      <c r="A65" s="291" t="str">
        <f t="shared" ref="A65" si="2">D65&amp;" / "&amp;E65</f>
        <v>POR072S / 0479501</v>
      </c>
      <c r="B65" s="922"/>
      <c r="C65" s="549" t="s">
        <v>8439</v>
      </c>
      <c r="D65" s="593" t="s">
        <v>4894</v>
      </c>
      <c r="E65" s="369" t="str">
        <f>VLOOKUP(D:D,'Master Table'!C:D,2,FALSE)</f>
        <v>0479501</v>
      </c>
      <c r="F65" s="769" t="s">
        <v>4894</v>
      </c>
      <c r="G65" s="769" t="s">
        <v>4895</v>
      </c>
      <c r="H65" s="769" t="s">
        <v>4896</v>
      </c>
      <c r="I65" s="769" t="s">
        <v>4897</v>
      </c>
      <c r="J65" s="769" t="s">
        <v>11070</v>
      </c>
      <c r="K65" s="769" t="s">
        <v>351</v>
      </c>
      <c r="L65" s="790"/>
      <c r="M65" s="790"/>
      <c r="N65" s="790"/>
      <c r="O65" s="312">
        <v>0</v>
      </c>
      <c r="P65" s="657">
        <f>VLOOKUP(D:D,'Master Table'!C:O,13,FALSE)</f>
        <v>20</v>
      </c>
      <c r="Q65" s="870"/>
      <c r="R65" s="914"/>
      <c r="S65" s="485"/>
      <c r="T65" s="485"/>
    </row>
    <row r="66" spans="1:20" ht="30" customHeight="1" x14ac:dyDescent="0.2">
      <c r="A66" s="291" t="str">
        <f t="shared" si="0"/>
        <v>POR075 / 770</v>
      </c>
      <c r="B66" s="6" t="s">
        <v>163</v>
      </c>
      <c r="C66" s="549" t="s">
        <v>164</v>
      </c>
      <c r="D66" s="471" t="s">
        <v>162</v>
      </c>
      <c r="E66" s="369" t="str">
        <f>VLOOKUP(D:D,'Master Table'!C:D,2,FALSE)</f>
        <v>770</v>
      </c>
      <c r="F66" s="769" t="s">
        <v>162</v>
      </c>
      <c r="G66" s="769" t="s">
        <v>4898</v>
      </c>
      <c r="H66" s="769" t="s">
        <v>4899</v>
      </c>
      <c r="I66" s="769" t="s">
        <v>4900</v>
      </c>
      <c r="J66" s="769" t="s">
        <v>11073</v>
      </c>
      <c r="K66" s="769" t="s">
        <v>351</v>
      </c>
      <c r="L66" s="790">
        <v>0</v>
      </c>
      <c r="M66" s="790">
        <v>95</v>
      </c>
      <c r="N66" s="790"/>
      <c r="O66" s="312">
        <v>95</v>
      </c>
      <c r="P66" s="657">
        <f>VLOOKUP(D:D,'Master Table'!C:O,13,FALSE)</f>
        <v>1434.6</v>
      </c>
      <c r="Q66" s="657">
        <v>1434.6</v>
      </c>
      <c r="R66" s="485">
        <v>0</v>
      </c>
      <c r="S66" s="485">
        <v>702.42</v>
      </c>
      <c r="T66" s="485">
        <v>1096.5</v>
      </c>
    </row>
    <row r="67" spans="1:20" ht="30" customHeight="1" x14ac:dyDescent="0.2">
      <c r="A67" s="291" t="str">
        <f t="shared" si="0"/>
        <v>POR076 / 771</v>
      </c>
      <c r="B67" s="6" t="s">
        <v>166</v>
      </c>
      <c r="C67" s="6" t="s">
        <v>167</v>
      </c>
      <c r="D67" s="471" t="s">
        <v>165</v>
      </c>
      <c r="E67" s="369" t="str">
        <f>VLOOKUP(D:D,'Master Table'!C:D,2,FALSE)</f>
        <v>771</v>
      </c>
      <c r="F67" s="769" t="s">
        <v>165</v>
      </c>
      <c r="G67" s="769" t="s">
        <v>4901</v>
      </c>
      <c r="H67" s="769" t="s">
        <v>167</v>
      </c>
      <c r="I67" s="769" t="s">
        <v>4850</v>
      </c>
      <c r="J67" s="769" t="s">
        <v>11078</v>
      </c>
      <c r="K67" s="769" t="s">
        <v>324</v>
      </c>
      <c r="L67" s="790">
        <v>17</v>
      </c>
      <c r="M67" s="790">
        <v>130</v>
      </c>
      <c r="N67" s="790">
        <v>331.22</v>
      </c>
      <c r="O67" s="312">
        <v>478.22</v>
      </c>
      <c r="P67" s="657">
        <f>VLOOKUP(D:D,'Master Table'!C:O,13,FALSE)</f>
        <v>953.51</v>
      </c>
      <c r="Q67" s="657">
        <v>953.51</v>
      </c>
      <c r="R67" s="485">
        <v>718.59999999999991</v>
      </c>
      <c r="S67" s="485">
        <v>437.3</v>
      </c>
      <c r="T67" s="485">
        <v>698.65000000000009</v>
      </c>
    </row>
    <row r="68" spans="1:20" ht="30" customHeight="1" x14ac:dyDescent="0.2">
      <c r="A68" s="291" t="str">
        <f t="shared" si="0"/>
        <v>POR077 / 772</v>
      </c>
      <c r="B68" s="6" t="s">
        <v>169</v>
      </c>
      <c r="C68" s="6" t="s">
        <v>170</v>
      </c>
      <c r="D68" s="471" t="s">
        <v>168</v>
      </c>
      <c r="E68" s="369" t="str">
        <f>VLOOKUP(D:D,'Master Table'!C:D,2,FALSE)</f>
        <v>772</v>
      </c>
      <c r="F68" s="769" t="s">
        <v>168</v>
      </c>
      <c r="G68" s="769" t="s">
        <v>4903</v>
      </c>
      <c r="H68" s="769" t="s">
        <v>4904</v>
      </c>
      <c r="I68" s="769" t="s">
        <v>46</v>
      </c>
      <c r="J68" s="769" t="s">
        <v>11066</v>
      </c>
      <c r="K68" s="769" t="s">
        <v>351</v>
      </c>
      <c r="L68" s="790">
        <v>0</v>
      </c>
      <c r="M68" s="790">
        <v>70</v>
      </c>
      <c r="N68" s="790"/>
      <c r="O68" s="312">
        <v>70</v>
      </c>
      <c r="P68" s="657">
        <f>VLOOKUP(D:D,'Master Table'!C:O,13,FALSE)</f>
        <v>83.64</v>
      </c>
      <c r="Q68" s="657">
        <v>83.64</v>
      </c>
      <c r="R68" s="485">
        <v>174.96</v>
      </c>
      <c r="S68" s="485">
        <v>100</v>
      </c>
      <c r="T68" s="485">
        <v>154.97</v>
      </c>
    </row>
    <row r="69" spans="1:20" ht="30" customHeight="1" x14ac:dyDescent="0.2">
      <c r="A69" s="291" t="str">
        <f t="shared" si="0"/>
        <v>POR078 / 773</v>
      </c>
      <c r="B69" s="6" t="s">
        <v>172</v>
      </c>
      <c r="C69" s="6" t="s">
        <v>173</v>
      </c>
      <c r="D69" s="471" t="s">
        <v>171</v>
      </c>
      <c r="E69" s="369" t="str">
        <f>VLOOKUP(D:D,'Master Table'!C:D,2,FALSE)</f>
        <v>773</v>
      </c>
      <c r="F69" s="769" t="s">
        <v>171</v>
      </c>
      <c r="G69" s="769" t="s">
        <v>4905</v>
      </c>
      <c r="H69" s="769" t="s">
        <v>4906</v>
      </c>
      <c r="I69" s="769" t="s">
        <v>172</v>
      </c>
      <c r="J69" s="769" t="s">
        <v>11069</v>
      </c>
      <c r="K69" s="769" t="s">
        <v>324</v>
      </c>
      <c r="L69" s="790">
        <v>104.78</v>
      </c>
      <c r="M69" s="790">
        <v>1050</v>
      </c>
      <c r="N69" s="790"/>
      <c r="O69" s="312">
        <v>1154.78</v>
      </c>
      <c r="P69" s="657">
        <f>VLOOKUP(D:D,'Master Table'!C:O,13,FALSE)</f>
        <v>6974.74</v>
      </c>
      <c r="Q69" s="657">
        <v>6974.74</v>
      </c>
      <c r="R69" s="485">
        <v>6268.43</v>
      </c>
      <c r="S69" s="485">
        <v>1402.72</v>
      </c>
      <c r="T69" s="485">
        <v>1217.42</v>
      </c>
    </row>
    <row r="70" spans="1:20" ht="30" customHeight="1" x14ac:dyDescent="0.2">
      <c r="A70" s="291" t="str">
        <f t="shared" ref="A70:A124" si="3">D70&amp;" / "&amp;E70</f>
        <v>POR079 / 774</v>
      </c>
      <c r="B70" s="6" t="s">
        <v>175</v>
      </c>
      <c r="C70" s="6" t="s">
        <v>176</v>
      </c>
      <c r="D70" s="471" t="s">
        <v>174</v>
      </c>
      <c r="E70" s="369" t="str">
        <f>VLOOKUP(D:D,'Master Table'!C:D,2,FALSE)</f>
        <v>774</v>
      </c>
      <c r="F70" s="769" t="s">
        <v>174</v>
      </c>
      <c r="G70" s="769" t="s">
        <v>4907</v>
      </c>
      <c r="H70" s="769" t="s">
        <v>4908</v>
      </c>
      <c r="I70" s="769" t="s">
        <v>175</v>
      </c>
      <c r="J70" s="769" t="s">
        <v>11069</v>
      </c>
      <c r="K70" s="769" t="s">
        <v>351</v>
      </c>
      <c r="L70" s="790">
        <v>0</v>
      </c>
      <c r="M70" s="790">
        <v>70</v>
      </c>
      <c r="N70" s="790"/>
      <c r="O70" s="312">
        <v>70</v>
      </c>
      <c r="P70" s="657">
        <f>VLOOKUP(D:D,'Master Table'!C:O,13,FALSE)</f>
        <v>641.82999999999993</v>
      </c>
      <c r="Q70" s="657">
        <v>641.82999999999993</v>
      </c>
      <c r="R70" s="485">
        <v>419.6</v>
      </c>
      <c r="S70" s="485">
        <v>274.49</v>
      </c>
      <c r="T70" s="485">
        <v>314.75</v>
      </c>
    </row>
    <row r="71" spans="1:20" ht="30" customHeight="1" x14ac:dyDescent="0.2">
      <c r="A71" s="291" t="str">
        <f t="shared" si="3"/>
        <v>POR080 / 775</v>
      </c>
      <c r="B71" s="6" t="s">
        <v>178</v>
      </c>
      <c r="C71" s="6" t="s">
        <v>15</v>
      </c>
      <c r="D71" s="471" t="s">
        <v>177</v>
      </c>
      <c r="E71" s="369" t="str">
        <f>VLOOKUP(D:D,'Master Table'!C:D,2,FALSE)</f>
        <v>775</v>
      </c>
      <c r="F71" s="769" t="s">
        <v>177</v>
      </c>
      <c r="G71" s="769" t="s">
        <v>4910</v>
      </c>
      <c r="H71" s="769" t="s">
        <v>4911</v>
      </c>
      <c r="I71" s="769" t="s">
        <v>178</v>
      </c>
      <c r="J71" s="769" t="s">
        <v>11082</v>
      </c>
      <c r="K71" s="769" t="s">
        <v>324</v>
      </c>
      <c r="L71" s="790">
        <v>1642.8999999999999</v>
      </c>
      <c r="M71" s="790">
        <v>1936</v>
      </c>
      <c r="N71" s="790"/>
      <c r="O71" s="312">
        <v>3578.8999999999996</v>
      </c>
      <c r="P71" s="657">
        <f>VLOOKUP(D:D,'Master Table'!C:O,13,FALSE)</f>
        <v>3589.33</v>
      </c>
      <c r="Q71" s="657">
        <v>3589.33</v>
      </c>
      <c r="R71" s="485">
        <v>3565.69</v>
      </c>
      <c r="S71" s="485">
        <v>3753.76</v>
      </c>
      <c r="T71" s="485">
        <v>4181.8500000000004</v>
      </c>
    </row>
    <row r="72" spans="1:20" ht="30" customHeight="1" x14ac:dyDescent="0.2">
      <c r="A72" s="291" t="str">
        <f t="shared" si="3"/>
        <v>POR081 / 776</v>
      </c>
      <c r="B72" s="6" t="s">
        <v>178</v>
      </c>
      <c r="C72" s="6" t="s">
        <v>180</v>
      </c>
      <c r="D72" s="471" t="s">
        <v>179</v>
      </c>
      <c r="E72" s="369" t="str">
        <f>VLOOKUP(D:D,'Master Table'!C:D,2,FALSE)</f>
        <v>776</v>
      </c>
      <c r="F72" s="769" t="s">
        <v>179</v>
      </c>
      <c r="G72" s="769" t="s">
        <v>4912</v>
      </c>
      <c r="H72" s="769" t="s">
        <v>180</v>
      </c>
      <c r="I72" s="769" t="s">
        <v>178</v>
      </c>
      <c r="J72" s="769" t="s">
        <v>11082</v>
      </c>
      <c r="K72" s="769" t="s">
        <v>324</v>
      </c>
      <c r="L72" s="790">
        <v>12.26</v>
      </c>
      <c r="M72" s="790">
        <v>115</v>
      </c>
      <c r="N72" s="790">
        <v>20</v>
      </c>
      <c r="O72" s="312">
        <v>147.26</v>
      </c>
      <c r="P72" s="657">
        <f>VLOOKUP(D:D,'Master Table'!C:O,13,FALSE)</f>
        <v>1384.5300000000002</v>
      </c>
      <c r="Q72" s="657">
        <v>1384.5300000000002</v>
      </c>
      <c r="R72" s="485">
        <v>1163.1099999999999</v>
      </c>
      <c r="S72" s="485">
        <v>1472.28</v>
      </c>
      <c r="T72" s="485">
        <v>756.28</v>
      </c>
    </row>
    <row r="73" spans="1:20" ht="30" customHeight="1" x14ac:dyDescent="0.2">
      <c r="A73" s="291" t="str">
        <f t="shared" si="3"/>
        <v>POR082 / 777</v>
      </c>
      <c r="B73" s="6" t="s">
        <v>182</v>
      </c>
      <c r="C73" s="6" t="s">
        <v>183</v>
      </c>
      <c r="D73" s="471" t="s">
        <v>181</v>
      </c>
      <c r="E73" s="369" t="str">
        <f>VLOOKUP(D:D,'Master Table'!C:D,2,FALSE)</f>
        <v>777</v>
      </c>
      <c r="F73" s="769" t="s">
        <v>181</v>
      </c>
      <c r="G73" s="769" t="s">
        <v>4914</v>
      </c>
      <c r="H73" s="769" t="s">
        <v>183</v>
      </c>
      <c r="I73" s="769" t="s">
        <v>172</v>
      </c>
      <c r="J73" s="769" t="s">
        <v>11069</v>
      </c>
      <c r="K73" s="769" t="s">
        <v>324</v>
      </c>
      <c r="L73" s="790">
        <v>0</v>
      </c>
      <c r="M73" s="790">
        <v>20</v>
      </c>
      <c r="N73" s="790">
        <v>322</v>
      </c>
      <c r="O73" s="312">
        <v>342</v>
      </c>
      <c r="P73" s="657">
        <f>VLOOKUP(D:D,'Master Table'!C:O,13,FALSE)</f>
        <v>580</v>
      </c>
      <c r="Q73" s="657">
        <v>580</v>
      </c>
      <c r="R73" s="485">
        <v>636</v>
      </c>
      <c r="S73" s="485">
        <v>537</v>
      </c>
      <c r="T73" s="485">
        <v>701</v>
      </c>
    </row>
    <row r="74" spans="1:20" ht="30" customHeight="1" x14ac:dyDescent="0.2">
      <c r="A74" s="291" t="str">
        <f t="shared" si="3"/>
        <v>POR083 / 778</v>
      </c>
      <c r="B74" s="6" t="s">
        <v>185</v>
      </c>
      <c r="C74" s="6" t="s">
        <v>186</v>
      </c>
      <c r="D74" s="471" t="s">
        <v>184</v>
      </c>
      <c r="E74" s="369" t="str">
        <f>VLOOKUP(D:D,'Master Table'!C:D,2,FALSE)</f>
        <v>778</v>
      </c>
      <c r="F74" s="769" t="s">
        <v>184</v>
      </c>
      <c r="G74" s="769" t="s">
        <v>4916</v>
      </c>
      <c r="H74" s="769" t="s">
        <v>4917</v>
      </c>
      <c r="I74" s="769" t="s">
        <v>233</v>
      </c>
      <c r="J74" s="769" t="s">
        <v>11079</v>
      </c>
      <c r="K74" s="769" t="s">
        <v>324</v>
      </c>
      <c r="L74" s="790">
        <v>0</v>
      </c>
      <c r="M74" s="790">
        <v>215</v>
      </c>
      <c r="N74" s="790"/>
      <c r="O74" s="312">
        <v>215</v>
      </c>
      <c r="P74" s="657">
        <f>VLOOKUP(D:D,'Master Table'!C:O,13,FALSE)</f>
        <v>364.47</v>
      </c>
      <c r="Q74" s="657">
        <v>364.47</v>
      </c>
      <c r="R74" s="485">
        <v>440.95</v>
      </c>
      <c r="S74" s="485">
        <v>180</v>
      </c>
      <c r="T74" s="485">
        <v>290</v>
      </c>
    </row>
    <row r="75" spans="1:20" ht="30" customHeight="1" x14ac:dyDescent="0.2">
      <c r="A75" s="291" t="str">
        <f t="shared" si="3"/>
        <v>POR084 / 779</v>
      </c>
      <c r="B75" s="6" t="s">
        <v>188</v>
      </c>
      <c r="C75" s="6" t="s">
        <v>15</v>
      </c>
      <c r="D75" s="471" t="s">
        <v>187</v>
      </c>
      <c r="E75" s="369" t="str">
        <f>VLOOKUP(D:D,'Master Table'!C:D,2,FALSE)</f>
        <v>779</v>
      </c>
      <c r="F75" s="769" t="s">
        <v>187</v>
      </c>
      <c r="G75" s="769" t="s">
        <v>4918</v>
      </c>
      <c r="H75" s="769" t="s">
        <v>61</v>
      </c>
      <c r="I75" s="769" t="s">
        <v>188</v>
      </c>
      <c r="J75" s="769" t="s">
        <v>11083</v>
      </c>
      <c r="K75" s="769" t="s">
        <v>324</v>
      </c>
      <c r="L75" s="790">
        <v>72.34</v>
      </c>
      <c r="M75" s="790">
        <v>118</v>
      </c>
      <c r="N75" s="790"/>
      <c r="O75" s="312">
        <v>190.34</v>
      </c>
      <c r="P75" s="657">
        <f>VLOOKUP(D:D,'Master Table'!C:O,13,FALSE)</f>
        <v>2226.79</v>
      </c>
      <c r="Q75" s="657">
        <v>2226.79</v>
      </c>
      <c r="R75" s="485">
        <v>1670.32</v>
      </c>
      <c r="S75" s="485">
        <v>1468.54</v>
      </c>
      <c r="T75" s="485">
        <v>1819.07</v>
      </c>
    </row>
    <row r="76" spans="1:20" ht="30" customHeight="1" x14ac:dyDescent="0.2">
      <c r="A76" s="291" t="str">
        <f t="shared" si="3"/>
        <v>POR085 / 780</v>
      </c>
      <c r="B76" s="6" t="s">
        <v>188</v>
      </c>
      <c r="C76" s="6" t="s">
        <v>190</v>
      </c>
      <c r="D76" s="471" t="s">
        <v>189</v>
      </c>
      <c r="E76" s="369" t="str">
        <f>VLOOKUP(D:D,'Master Table'!C:D,2,FALSE)</f>
        <v>780</v>
      </c>
      <c r="F76" s="769" t="s">
        <v>189</v>
      </c>
      <c r="G76" s="769" t="s">
        <v>4920</v>
      </c>
      <c r="H76" s="769" t="s">
        <v>190</v>
      </c>
      <c r="I76" s="769" t="s">
        <v>4921</v>
      </c>
      <c r="J76" s="769" t="s">
        <v>11083</v>
      </c>
      <c r="K76" s="769" t="s">
        <v>324</v>
      </c>
      <c r="L76" s="790">
        <v>0</v>
      </c>
      <c r="M76" s="790">
        <v>705</v>
      </c>
      <c r="N76" s="790"/>
      <c r="O76" s="312">
        <v>705</v>
      </c>
      <c r="P76" s="657">
        <f>VLOOKUP(D:D,'Master Table'!C:O,13,FALSE)</f>
        <v>516.9</v>
      </c>
      <c r="Q76" s="657">
        <v>516.9</v>
      </c>
      <c r="R76" s="485">
        <v>1187.94</v>
      </c>
      <c r="S76" s="485">
        <v>977</v>
      </c>
      <c r="T76" s="485">
        <v>1383.19</v>
      </c>
    </row>
    <row r="77" spans="1:20" ht="30" customHeight="1" x14ac:dyDescent="0.2">
      <c r="A77" s="291" t="str">
        <f t="shared" si="3"/>
        <v>POR086 / 781</v>
      </c>
      <c r="B77" s="6" t="s">
        <v>192</v>
      </c>
      <c r="C77" s="6" t="s">
        <v>193</v>
      </c>
      <c r="D77" s="471" t="s">
        <v>191</v>
      </c>
      <c r="E77" s="369" t="str">
        <f>VLOOKUP(D:D,'Master Table'!C:D,2,FALSE)</f>
        <v>781</v>
      </c>
      <c r="F77" s="769" t="s">
        <v>191</v>
      </c>
      <c r="G77" s="769" t="s">
        <v>4922</v>
      </c>
      <c r="H77" s="769" t="s">
        <v>193</v>
      </c>
      <c r="I77" s="769" t="s">
        <v>192</v>
      </c>
      <c r="J77" s="769" t="s">
        <v>11069</v>
      </c>
      <c r="K77" s="769" t="s">
        <v>324</v>
      </c>
      <c r="L77" s="790">
        <v>0</v>
      </c>
      <c r="M77" s="790">
        <v>460</v>
      </c>
      <c r="N77" s="790"/>
      <c r="O77" s="312">
        <v>460</v>
      </c>
      <c r="P77" s="657">
        <f>VLOOKUP(D:D,'Master Table'!C:O,13,FALSE)</f>
        <v>775.2</v>
      </c>
      <c r="Q77" s="657">
        <v>775.2</v>
      </c>
      <c r="R77" s="485">
        <v>317.66999999999996</v>
      </c>
      <c r="S77" s="485">
        <v>445.03</v>
      </c>
      <c r="T77" s="485">
        <v>583.77</v>
      </c>
    </row>
    <row r="78" spans="1:20" ht="30" customHeight="1" x14ac:dyDescent="0.2">
      <c r="A78" s="291" t="str">
        <f t="shared" si="3"/>
        <v>POR087 / 782</v>
      </c>
      <c r="B78" s="6" t="s">
        <v>195</v>
      </c>
      <c r="C78" s="6" t="s">
        <v>78</v>
      </c>
      <c r="D78" s="471" t="s">
        <v>194</v>
      </c>
      <c r="E78" s="369" t="str">
        <f>VLOOKUP(D:D,'Master Table'!C:D,2,FALSE)</f>
        <v>782</v>
      </c>
      <c r="F78" s="769" t="s">
        <v>194</v>
      </c>
      <c r="G78" s="769" t="s">
        <v>4923</v>
      </c>
      <c r="H78" s="769" t="s">
        <v>78</v>
      </c>
      <c r="I78" s="769" t="s">
        <v>195</v>
      </c>
      <c r="J78" s="769" t="s">
        <v>11071</v>
      </c>
      <c r="K78" s="769" t="s">
        <v>351</v>
      </c>
      <c r="L78" s="790">
        <v>177</v>
      </c>
      <c r="M78" s="790">
        <v>675</v>
      </c>
      <c r="N78" s="790"/>
      <c r="O78" s="312">
        <v>852</v>
      </c>
      <c r="P78" s="657">
        <f>VLOOKUP(D:D,'Master Table'!C:O,13,FALSE)</f>
        <v>962.73</v>
      </c>
      <c r="Q78" s="657">
        <v>962.73</v>
      </c>
      <c r="R78" s="485">
        <v>1202.55</v>
      </c>
      <c r="S78" s="485">
        <v>1049.9000000000001</v>
      </c>
      <c r="T78" s="485">
        <v>1230.74</v>
      </c>
    </row>
    <row r="79" spans="1:20" ht="30" customHeight="1" x14ac:dyDescent="0.2">
      <c r="A79" s="291" t="str">
        <f t="shared" si="3"/>
        <v>POR089 / 784</v>
      </c>
      <c r="B79" s="6" t="s">
        <v>197</v>
      </c>
      <c r="C79" s="6" t="s">
        <v>198</v>
      </c>
      <c r="D79" s="471" t="s">
        <v>196</v>
      </c>
      <c r="E79" s="369" t="str">
        <f>VLOOKUP(D:D,'Master Table'!C:D,2,FALSE)</f>
        <v>784</v>
      </c>
      <c r="F79" s="769" t="s">
        <v>196</v>
      </c>
      <c r="G79" s="769" t="s">
        <v>4925</v>
      </c>
      <c r="H79" s="769" t="s">
        <v>4926</v>
      </c>
      <c r="I79" s="769" t="s">
        <v>1394</v>
      </c>
      <c r="J79" s="769" t="s">
        <v>11084</v>
      </c>
      <c r="K79" s="769" t="s">
        <v>351</v>
      </c>
      <c r="L79" s="790">
        <v>86.71</v>
      </c>
      <c r="M79" s="790">
        <v>409</v>
      </c>
      <c r="N79" s="790">
        <v>110</v>
      </c>
      <c r="O79" s="312">
        <v>605.71</v>
      </c>
      <c r="P79" s="657">
        <f>VLOOKUP(D:D,'Master Table'!C:O,13,FALSE)</f>
        <v>1020.15</v>
      </c>
      <c r="Q79" s="657">
        <v>1020.15</v>
      </c>
      <c r="R79" s="485">
        <v>1051.8699999999999</v>
      </c>
      <c r="S79" s="485">
        <v>1298.46</v>
      </c>
      <c r="T79" s="485">
        <v>1551.44</v>
      </c>
    </row>
    <row r="80" spans="1:20" ht="30" customHeight="1" x14ac:dyDescent="0.2">
      <c r="A80" s="291" t="str">
        <f t="shared" si="3"/>
        <v>POR092 / 786</v>
      </c>
      <c r="B80" s="6" t="s">
        <v>200</v>
      </c>
      <c r="C80" s="6" t="s">
        <v>201</v>
      </c>
      <c r="D80" s="471" t="s">
        <v>199</v>
      </c>
      <c r="E80" s="369" t="str">
        <f>VLOOKUP(D:D,'Master Table'!C:D,2,FALSE)</f>
        <v>786</v>
      </c>
      <c r="F80" s="769" t="s">
        <v>199</v>
      </c>
      <c r="G80" s="769" t="s">
        <v>4930</v>
      </c>
      <c r="H80" s="769" t="s">
        <v>4379</v>
      </c>
      <c r="I80" s="769" t="s">
        <v>96</v>
      </c>
      <c r="J80" s="769" t="s">
        <v>11073</v>
      </c>
      <c r="K80" s="769" t="s">
        <v>324</v>
      </c>
      <c r="L80" s="790">
        <v>0</v>
      </c>
      <c r="M80" s="790">
        <v>954.1</v>
      </c>
      <c r="N80" s="790">
        <v>296.27</v>
      </c>
      <c r="O80" s="312">
        <v>1250.3699999999999</v>
      </c>
      <c r="P80" s="657">
        <f>VLOOKUP(D:D,'Master Table'!C:O,13,FALSE)</f>
        <v>1900.26</v>
      </c>
      <c r="Q80" s="657">
        <v>1900.26</v>
      </c>
      <c r="R80" s="485">
        <v>2133.1</v>
      </c>
      <c r="S80" s="485">
        <v>2095.75</v>
      </c>
      <c r="T80" s="485">
        <v>2655</v>
      </c>
    </row>
    <row r="81" spans="1:20" ht="30" customHeight="1" x14ac:dyDescent="0.2">
      <c r="A81" s="291" t="str">
        <f t="shared" si="3"/>
        <v>POR093 / 787</v>
      </c>
      <c r="B81" s="6" t="s">
        <v>203</v>
      </c>
      <c r="C81" s="6" t="s">
        <v>204</v>
      </c>
      <c r="D81" s="471" t="s">
        <v>202</v>
      </c>
      <c r="E81" s="369" t="str">
        <f>VLOOKUP(D:D,'Master Table'!C:D,2,FALSE)</f>
        <v>787</v>
      </c>
      <c r="F81" s="769" t="s">
        <v>202</v>
      </c>
      <c r="G81" s="769" t="s">
        <v>4933</v>
      </c>
      <c r="H81" s="769" t="s">
        <v>4934</v>
      </c>
      <c r="I81" s="769" t="s">
        <v>4935</v>
      </c>
      <c r="J81" s="769" t="s">
        <v>11066</v>
      </c>
      <c r="K81" s="769" t="s">
        <v>324</v>
      </c>
      <c r="L81" s="790">
        <v>928.17</v>
      </c>
      <c r="M81" s="790">
        <v>400</v>
      </c>
      <c r="N81" s="790"/>
      <c r="O81" s="312">
        <v>1328.17</v>
      </c>
      <c r="P81" s="657">
        <f>VLOOKUP(D:D,'Master Table'!C:O,13,FALSE)</f>
        <v>1522.71</v>
      </c>
      <c r="Q81" s="657">
        <v>1522.71</v>
      </c>
      <c r="R81" s="485">
        <v>1412.88</v>
      </c>
      <c r="S81" s="485">
        <v>1460.3</v>
      </c>
      <c r="T81" s="485">
        <v>1691.97</v>
      </c>
    </row>
    <row r="82" spans="1:20" ht="30" customHeight="1" x14ac:dyDescent="0.2">
      <c r="A82" s="291" t="str">
        <f t="shared" si="3"/>
        <v>POR094 / 788</v>
      </c>
      <c r="B82" s="6" t="s">
        <v>206</v>
      </c>
      <c r="C82" s="6" t="s">
        <v>207</v>
      </c>
      <c r="D82" s="471" t="s">
        <v>205</v>
      </c>
      <c r="E82" s="369" t="str">
        <f>VLOOKUP(D:D,'Master Table'!C:D,2,FALSE)</f>
        <v>788</v>
      </c>
      <c r="F82" s="769" t="s">
        <v>205</v>
      </c>
      <c r="G82" s="769" t="s">
        <v>4940</v>
      </c>
      <c r="H82" s="769" t="s">
        <v>4941</v>
      </c>
      <c r="I82" s="769" t="s">
        <v>96</v>
      </c>
      <c r="J82" s="750"/>
      <c r="K82" s="769" t="s">
        <v>324</v>
      </c>
      <c r="L82" s="790">
        <v>0</v>
      </c>
      <c r="M82" s="790">
        <v>65</v>
      </c>
      <c r="N82" s="790"/>
      <c r="O82" s="312">
        <v>65</v>
      </c>
      <c r="P82" s="657">
        <f>VLOOKUP(D:D,'Master Table'!C:O,13,FALSE)</f>
        <v>45</v>
      </c>
      <c r="Q82" s="657">
        <v>45</v>
      </c>
      <c r="R82" s="485">
        <v>45</v>
      </c>
      <c r="S82" s="485">
        <v>30</v>
      </c>
      <c r="T82" s="485">
        <v>30</v>
      </c>
    </row>
    <row r="83" spans="1:20" ht="30" customHeight="1" x14ac:dyDescent="0.2">
      <c r="A83" s="291" t="str">
        <f t="shared" si="3"/>
        <v>POR095 / 789</v>
      </c>
      <c r="B83" s="6" t="s">
        <v>209</v>
      </c>
      <c r="C83" s="6" t="s">
        <v>210</v>
      </c>
      <c r="D83" s="471" t="s">
        <v>208</v>
      </c>
      <c r="E83" s="369" t="str">
        <f>VLOOKUP(D:D,'Master Table'!C:D,2,FALSE)</f>
        <v>789</v>
      </c>
      <c r="F83" s="769" t="s">
        <v>208</v>
      </c>
      <c r="G83" s="769" t="s">
        <v>4942</v>
      </c>
      <c r="H83" s="769" t="s">
        <v>4943</v>
      </c>
      <c r="I83" s="769" t="s">
        <v>225</v>
      </c>
      <c r="J83" s="750"/>
      <c r="K83" s="769" t="s">
        <v>324</v>
      </c>
      <c r="L83" s="790"/>
      <c r="M83" s="790">
        <v>60</v>
      </c>
      <c r="N83" s="790"/>
      <c r="O83" s="312">
        <v>60</v>
      </c>
      <c r="P83" s="657">
        <f>VLOOKUP(D:D,'Master Table'!C:O,13,FALSE)</f>
        <v>65</v>
      </c>
      <c r="Q83" s="657">
        <v>65</v>
      </c>
      <c r="R83" s="485">
        <v>60</v>
      </c>
      <c r="S83" s="485">
        <v>60</v>
      </c>
      <c r="T83" s="485">
        <v>60</v>
      </c>
    </row>
    <row r="84" spans="1:20" ht="30" customHeight="1" x14ac:dyDescent="0.2">
      <c r="A84" s="291" t="str">
        <f t="shared" si="3"/>
        <v>POR096 / 790</v>
      </c>
      <c r="B84" s="6" t="s">
        <v>85</v>
      </c>
      <c r="C84" s="6" t="s">
        <v>212</v>
      </c>
      <c r="D84" s="471" t="s">
        <v>211</v>
      </c>
      <c r="E84" s="369" t="str">
        <f>VLOOKUP(D:D,'Master Table'!C:D,2,FALSE)</f>
        <v>790</v>
      </c>
      <c r="F84" s="769" t="s">
        <v>211</v>
      </c>
      <c r="G84" s="769" t="s">
        <v>4944</v>
      </c>
      <c r="H84" s="769" t="s">
        <v>4945</v>
      </c>
      <c r="I84" s="769" t="s">
        <v>85</v>
      </c>
      <c r="J84" s="769" t="s">
        <v>11072</v>
      </c>
      <c r="K84" s="769" t="s">
        <v>351</v>
      </c>
      <c r="L84" s="790">
        <v>432.99</v>
      </c>
      <c r="M84" s="790">
        <v>840</v>
      </c>
      <c r="N84" s="790"/>
      <c r="O84" s="312">
        <v>1272.99</v>
      </c>
      <c r="P84" s="657">
        <f>VLOOKUP(D:D,'Master Table'!C:O,13,FALSE)</f>
        <v>1897.21</v>
      </c>
      <c r="Q84" s="657">
        <v>1897.21</v>
      </c>
      <c r="R84" s="485">
        <v>1920.3</v>
      </c>
      <c r="S84" s="485">
        <v>1657.88</v>
      </c>
      <c r="T84" s="485">
        <v>1754.04</v>
      </c>
    </row>
    <row r="85" spans="1:20" ht="30" customHeight="1" x14ac:dyDescent="0.2">
      <c r="A85" s="291" t="str">
        <f t="shared" si="3"/>
        <v>POR097 / 791</v>
      </c>
      <c r="B85" s="6" t="s">
        <v>85</v>
      </c>
      <c r="C85" s="6" t="s">
        <v>214</v>
      </c>
      <c r="D85" s="471" t="s">
        <v>213</v>
      </c>
      <c r="E85" s="369" t="str">
        <f>VLOOKUP(D:D,'Master Table'!C:D,2,FALSE)</f>
        <v>791</v>
      </c>
      <c r="F85" s="769" t="s">
        <v>213</v>
      </c>
      <c r="G85" s="769" t="s">
        <v>4946</v>
      </c>
      <c r="H85" s="769" t="s">
        <v>214</v>
      </c>
      <c r="I85" s="769" t="s">
        <v>85</v>
      </c>
      <c r="J85" s="769" t="s">
        <v>11072</v>
      </c>
      <c r="K85" s="769" t="s">
        <v>324</v>
      </c>
      <c r="L85" s="790">
        <v>0</v>
      </c>
      <c r="M85" s="790">
        <v>131</v>
      </c>
      <c r="N85" s="790"/>
      <c r="O85" s="312">
        <v>131</v>
      </c>
      <c r="P85" s="657">
        <f>VLOOKUP(D:D,'Master Table'!C:O,13,FALSE)</f>
        <v>1190.56</v>
      </c>
      <c r="Q85" s="657">
        <v>1190.56</v>
      </c>
      <c r="R85" s="485">
        <v>998.5</v>
      </c>
      <c r="S85" s="485">
        <v>1298.99</v>
      </c>
      <c r="T85" s="485">
        <v>1309.48</v>
      </c>
    </row>
    <row r="86" spans="1:20" ht="30" customHeight="1" x14ac:dyDescent="0.2">
      <c r="A86" s="291" t="str">
        <f t="shared" si="3"/>
        <v>POR098 / 792</v>
      </c>
      <c r="B86" s="6" t="s">
        <v>85</v>
      </c>
      <c r="C86" s="6" t="s">
        <v>216</v>
      </c>
      <c r="D86" s="471" t="s">
        <v>215</v>
      </c>
      <c r="E86" s="369" t="str">
        <f>VLOOKUP(D:D,'Master Table'!C:D,2,FALSE)</f>
        <v>792</v>
      </c>
      <c r="F86" s="769" t="s">
        <v>215</v>
      </c>
      <c r="G86" s="769" t="s">
        <v>4947</v>
      </c>
      <c r="H86" s="769" t="s">
        <v>216</v>
      </c>
      <c r="I86" s="769" t="s">
        <v>85</v>
      </c>
      <c r="J86" s="769" t="s">
        <v>11072</v>
      </c>
      <c r="K86" s="769" t="s">
        <v>324</v>
      </c>
      <c r="L86" s="790">
        <v>863</v>
      </c>
      <c r="M86" s="790">
        <v>1240</v>
      </c>
      <c r="N86" s="790">
        <v>25</v>
      </c>
      <c r="O86" s="312">
        <v>2128</v>
      </c>
      <c r="P86" s="657">
        <f>VLOOKUP(D:D,'Master Table'!C:O,13,FALSE)</f>
        <v>4555.3</v>
      </c>
      <c r="Q86" s="657">
        <v>4555.3</v>
      </c>
      <c r="R86" s="485">
        <v>5259.5</v>
      </c>
      <c r="S86" s="485">
        <v>4905.45</v>
      </c>
      <c r="T86" s="485">
        <v>4721.5</v>
      </c>
    </row>
    <row r="87" spans="1:20" ht="30" customHeight="1" x14ac:dyDescent="0.2">
      <c r="A87" s="291" t="str">
        <f t="shared" si="3"/>
        <v>POR099 / 793</v>
      </c>
      <c r="B87" s="6" t="s">
        <v>85</v>
      </c>
      <c r="C87" s="6" t="s">
        <v>15</v>
      </c>
      <c r="D87" s="471" t="s">
        <v>217</v>
      </c>
      <c r="E87" s="369" t="str">
        <f>VLOOKUP(D:D,'Master Table'!C:D,2,FALSE)</f>
        <v>793</v>
      </c>
      <c r="F87" s="769" t="s">
        <v>217</v>
      </c>
      <c r="G87" s="769" t="s">
        <v>4948</v>
      </c>
      <c r="H87" s="769" t="s">
        <v>61</v>
      </c>
      <c r="I87" s="769" t="s">
        <v>85</v>
      </c>
      <c r="J87" s="769" t="s">
        <v>11072</v>
      </c>
      <c r="K87" s="769" t="s">
        <v>324</v>
      </c>
      <c r="L87" s="790">
        <v>494.96999999999997</v>
      </c>
      <c r="M87" s="790">
        <v>215</v>
      </c>
      <c r="N87" s="790"/>
      <c r="O87" s="312">
        <v>709.97</v>
      </c>
      <c r="P87" s="657">
        <f>VLOOKUP(D:D,'Master Table'!C:O,13,FALSE)</f>
        <v>263.87</v>
      </c>
      <c r="Q87" s="657">
        <v>263.87</v>
      </c>
      <c r="R87" s="485">
        <v>420.85</v>
      </c>
      <c r="S87" s="485">
        <v>1859.68</v>
      </c>
      <c r="T87" s="485">
        <v>1789.3400000000001</v>
      </c>
    </row>
    <row r="88" spans="1:20" ht="30" customHeight="1" x14ac:dyDescent="0.2">
      <c r="A88" s="291" t="str">
        <f t="shared" si="3"/>
        <v>POR102 / 797</v>
      </c>
      <c r="B88" s="6" t="s">
        <v>219</v>
      </c>
      <c r="C88" s="6" t="s">
        <v>220</v>
      </c>
      <c r="D88" s="471" t="s">
        <v>218</v>
      </c>
      <c r="E88" s="369" t="str">
        <f>VLOOKUP(D:D,'Master Table'!C:D,2,FALSE)</f>
        <v>797</v>
      </c>
      <c r="F88" s="769" t="s">
        <v>218</v>
      </c>
      <c r="G88" s="769" t="s">
        <v>4949</v>
      </c>
      <c r="H88" s="769" t="s">
        <v>220</v>
      </c>
      <c r="I88" s="769" t="s">
        <v>219</v>
      </c>
      <c r="J88" s="769" t="s">
        <v>11068</v>
      </c>
      <c r="K88" s="769" t="s">
        <v>324</v>
      </c>
      <c r="L88" s="790">
        <v>445.21</v>
      </c>
      <c r="M88" s="790">
        <v>150</v>
      </c>
      <c r="N88" s="790"/>
      <c r="O88" s="312">
        <v>595.21</v>
      </c>
      <c r="P88" s="657">
        <f>VLOOKUP(D:D,'Master Table'!C:O,13,FALSE)</f>
        <v>1112.19</v>
      </c>
      <c r="Q88" s="657">
        <v>1112.19</v>
      </c>
      <c r="R88" s="485">
        <v>1263.6199999999999</v>
      </c>
      <c r="S88" s="485">
        <v>945.04</v>
      </c>
      <c r="T88" s="485">
        <v>1125.3</v>
      </c>
    </row>
    <row r="89" spans="1:20" ht="30" customHeight="1" x14ac:dyDescent="0.2">
      <c r="A89" s="291" t="str">
        <f t="shared" si="3"/>
        <v>POR103 / 798</v>
      </c>
      <c r="B89" s="6" t="s">
        <v>222</v>
      </c>
      <c r="C89" s="6" t="s">
        <v>223</v>
      </c>
      <c r="D89" s="471" t="s">
        <v>221</v>
      </c>
      <c r="E89" s="369" t="str">
        <f>VLOOKUP(D:D,'Master Table'!C:D,2,FALSE)</f>
        <v>798</v>
      </c>
      <c r="F89" s="769" t="s">
        <v>221</v>
      </c>
      <c r="G89" s="769" t="s">
        <v>4951</v>
      </c>
      <c r="H89" s="769" t="s">
        <v>4952</v>
      </c>
      <c r="I89" s="769" t="s">
        <v>93</v>
      </c>
      <c r="J89" s="769" t="s">
        <v>11065</v>
      </c>
      <c r="K89" s="769" t="s">
        <v>351</v>
      </c>
      <c r="L89" s="790">
        <v>0</v>
      </c>
      <c r="M89" s="790">
        <v>380</v>
      </c>
      <c r="N89" s="790"/>
      <c r="O89" s="312">
        <v>380</v>
      </c>
      <c r="P89" s="657">
        <f>VLOOKUP(D:D,'Master Table'!C:O,13,FALSE)</f>
        <v>743.2</v>
      </c>
      <c r="Q89" s="657">
        <v>743.2</v>
      </c>
      <c r="R89" s="485">
        <v>415</v>
      </c>
      <c r="S89" s="485">
        <v>1287.95</v>
      </c>
      <c r="T89" s="485">
        <v>450</v>
      </c>
    </row>
    <row r="90" spans="1:20" ht="30" customHeight="1" x14ac:dyDescent="0.2">
      <c r="A90" s="291" t="str">
        <f t="shared" si="3"/>
        <v>POR105 / 800</v>
      </c>
      <c r="B90" s="6" t="s">
        <v>225</v>
      </c>
      <c r="C90" s="6" t="s">
        <v>226</v>
      </c>
      <c r="D90" s="471" t="s">
        <v>224</v>
      </c>
      <c r="E90" s="369" t="str">
        <f>VLOOKUP(D:D,'Master Table'!C:D,2,FALSE)</f>
        <v>800</v>
      </c>
      <c r="F90" s="769" t="s">
        <v>224</v>
      </c>
      <c r="G90" s="769" t="s">
        <v>4956</v>
      </c>
      <c r="H90" s="769" t="s">
        <v>4957</v>
      </c>
      <c r="I90" s="769" t="s">
        <v>225</v>
      </c>
      <c r="J90" s="769" t="s">
        <v>11071</v>
      </c>
      <c r="K90" s="769" t="s">
        <v>351</v>
      </c>
      <c r="L90" s="790">
        <v>0</v>
      </c>
      <c r="M90" s="790">
        <v>121</v>
      </c>
      <c r="N90" s="790"/>
      <c r="O90" s="312">
        <v>121</v>
      </c>
      <c r="P90" s="657">
        <f>VLOOKUP(D:D,'Master Table'!C:O,13,FALSE)</f>
        <v>375</v>
      </c>
      <c r="Q90" s="657">
        <v>375</v>
      </c>
      <c r="R90" s="485">
        <v>506</v>
      </c>
      <c r="S90" s="485">
        <v>520</v>
      </c>
      <c r="T90" s="485">
        <v>520</v>
      </c>
    </row>
    <row r="91" spans="1:20" ht="30" customHeight="1" x14ac:dyDescent="0.2">
      <c r="A91" s="291" t="str">
        <f t="shared" si="3"/>
        <v>POR106 / 801</v>
      </c>
      <c r="B91" s="6" t="s">
        <v>228</v>
      </c>
      <c r="C91" s="6" t="s">
        <v>124</v>
      </c>
      <c r="D91" s="471" t="s">
        <v>227</v>
      </c>
      <c r="E91" s="369" t="str">
        <f>VLOOKUP(D:D,'Master Table'!C:D,2,FALSE)</f>
        <v>801</v>
      </c>
      <c r="F91" s="769" t="s">
        <v>227</v>
      </c>
      <c r="G91" s="769" t="s">
        <v>4961</v>
      </c>
      <c r="H91" s="769" t="s">
        <v>4962</v>
      </c>
      <c r="I91" s="769" t="s">
        <v>230</v>
      </c>
      <c r="J91" s="769" t="s">
        <v>11071</v>
      </c>
      <c r="K91" s="769" t="s">
        <v>351</v>
      </c>
      <c r="L91" s="790">
        <v>24.01</v>
      </c>
      <c r="M91" s="790">
        <v>55</v>
      </c>
      <c r="N91" s="790"/>
      <c r="O91" s="312">
        <v>79.010000000000005</v>
      </c>
      <c r="P91" s="657">
        <f>VLOOKUP(D:D,'Master Table'!C:O,13,FALSE)</f>
        <v>329.27</v>
      </c>
      <c r="Q91" s="657">
        <v>329.27</v>
      </c>
      <c r="R91" s="485">
        <v>337.07</v>
      </c>
      <c r="S91" s="485">
        <v>568.96</v>
      </c>
      <c r="T91" s="485">
        <v>605.5</v>
      </c>
    </row>
    <row r="92" spans="1:20" ht="30" customHeight="1" x14ac:dyDescent="0.2">
      <c r="A92" s="291" t="str">
        <f t="shared" si="3"/>
        <v>POR107 / 802</v>
      </c>
      <c r="B92" s="6" t="s">
        <v>230</v>
      </c>
      <c r="C92" s="6" t="s">
        <v>231</v>
      </c>
      <c r="D92" s="471" t="s">
        <v>229</v>
      </c>
      <c r="E92" s="369" t="str">
        <f>VLOOKUP(D:D,'Master Table'!C:D,2,FALSE)</f>
        <v>802</v>
      </c>
      <c r="F92" s="769" t="s">
        <v>229</v>
      </c>
      <c r="G92" s="769" t="s">
        <v>4964</v>
      </c>
      <c r="H92" s="769" t="s">
        <v>4965</v>
      </c>
      <c r="I92" s="769" t="s">
        <v>230</v>
      </c>
      <c r="J92" s="769" t="s">
        <v>11071</v>
      </c>
      <c r="K92" s="769" t="s">
        <v>351</v>
      </c>
      <c r="L92" s="790">
        <v>0</v>
      </c>
      <c r="M92" s="790">
        <v>25</v>
      </c>
      <c r="N92" s="790"/>
      <c r="O92" s="312">
        <v>25</v>
      </c>
      <c r="P92" s="657">
        <f>VLOOKUP(D:D,'Master Table'!C:O,13,FALSE)</f>
        <v>8686.91</v>
      </c>
      <c r="Q92" s="657">
        <v>8686.91</v>
      </c>
      <c r="R92" s="485">
        <v>2240.77</v>
      </c>
      <c r="S92" s="485">
        <v>35</v>
      </c>
      <c r="T92" s="485">
        <v>45</v>
      </c>
    </row>
    <row r="93" spans="1:20" ht="30" customHeight="1" x14ac:dyDescent="0.2">
      <c r="A93" s="471" t="s">
        <v>11087</v>
      </c>
      <c r="B93" s="797" t="s">
        <v>4968</v>
      </c>
      <c r="C93" s="797" t="s">
        <v>158</v>
      </c>
      <c r="D93" s="471" t="s">
        <v>4966</v>
      </c>
      <c r="E93" s="471" t="s">
        <v>4967</v>
      </c>
      <c r="F93" s="769" t="s">
        <v>4966</v>
      </c>
      <c r="G93" s="769" t="s">
        <v>4967</v>
      </c>
      <c r="H93" s="769" t="s">
        <v>158</v>
      </c>
      <c r="I93" s="769" t="s">
        <v>4968</v>
      </c>
      <c r="J93" s="750"/>
      <c r="K93" s="769" t="s">
        <v>324</v>
      </c>
      <c r="L93" s="790">
        <v>0</v>
      </c>
      <c r="M93" s="790">
        <v>659</v>
      </c>
      <c r="N93" s="790"/>
      <c r="O93" s="312">
        <v>659</v>
      </c>
      <c r="P93" s="657"/>
      <c r="Q93" s="657"/>
      <c r="R93" s="485"/>
      <c r="S93" s="485"/>
      <c r="T93" s="485"/>
    </row>
    <row r="94" spans="1:20" ht="30" customHeight="1" x14ac:dyDescent="0.2">
      <c r="A94" s="291" t="str">
        <f t="shared" si="3"/>
        <v>POR109 / 805</v>
      </c>
      <c r="B94" s="6" t="s">
        <v>233</v>
      </c>
      <c r="C94" s="6" t="s">
        <v>234</v>
      </c>
      <c r="D94" s="471" t="s">
        <v>232</v>
      </c>
      <c r="E94" s="369" t="str">
        <f>VLOOKUP(D:D,'Master Table'!C:D,2,FALSE)</f>
        <v>805</v>
      </c>
      <c r="F94" s="769" t="s">
        <v>232</v>
      </c>
      <c r="G94" s="769" t="s">
        <v>4969</v>
      </c>
      <c r="H94" s="769" t="s">
        <v>4970</v>
      </c>
      <c r="I94" s="769" t="s">
        <v>233</v>
      </c>
      <c r="J94" s="769" t="s">
        <v>11085</v>
      </c>
      <c r="K94" s="769" t="s">
        <v>351</v>
      </c>
      <c r="L94" s="790">
        <v>608.62</v>
      </c>
      <c r="M94" s="790"/>
      <c r="N94" s="790"/>
      <c r="O94" s="312">
        <v>608.62</v>
      </c>
      <c r="P94" s="657">
        <f>VLOOKUP(D:D,'Master Table'!C:O,13,FALSE)</f>
        <v>1326.4</v>
      </c>
      <c r="Q94" s="657">
        <v>1326.4</v>
      </c>
      <c r="R94" s="485">
        <v>880.81</v>
      </c>
      <c r="S94" s="485">
        <v>1013.37</v>
      </c>
      <c r="T94" s="485">
        <v>1131.98</v>
      </c>
    </row>
    <row r="95" spans="1:20" ht="30" customHeight="1" x14ac:dyDescent="0.2">
      <c r="A95" s="291" t="str">
        <f t="shared" si="3"/>
        <v>POR111 / 807</v>
      </c>
      <c r="B95" s="6" t="s">
        <v>233</v>
      </c>
      <c r="C95" s="6" t="s">
        <v>236</v>
      </c>
      <c r="D95" s="471" t="s">
        <v>235</v>
      </c>
      <c r="E95" s="369" t="str">
        <f>VLOOKUP(D:D,'Master Table'!C:D,2,FALSE)</f>
        <v>807</v>
      </c>
      <c r="F95" s="769" t="s">
        <v>235</v>
      </c>
      <c r="G95" s="769" t="s">
        <v>4974</v>
      </c>
      <c r="H95" s="769" t="s">
        <v>236</v>
      </c>
      <c r="I95" s="769" t="s">
        <v>233</v>
      </c>
      <c r="J95" s="769" t="s">
        <v>11079</v>
      </c>
      <c r="K95" s="769" t="s">
        <v>324</v>
      </c>
      <c r="L95" s="790">
        <v>219.87</v>
      </c>
      <c r="M95" s="790">
        <v>375.11</v>
      </c>
      <c r="N95" s="790"/>
      <c r="O95" s="312">
        <v>594.98</v>
      </c>
      <c r="P95" s="657">
        <f>VLOOKUP(D:D,'Master Table'!C:O,13,FALSE)</f>
        <v>1501.62</v>
      </c>
      <c r="Q95" s="657">
        <v>1501.62</v>
      </c>
      <c r="R95" s="485">
        <v>1507.6</v>
      </c>
      <c r="S95" s="485">
        <v>1225.3900000000001</v>
      </c>
      <c r="T95" s="485">
        <v>1266.8900000000001</v>
      </c>
    </row>
    <row r="96" spans="1:20" ht="30" customHeight="1" x14ac:dyDescent="0.2">
      <c r="A96" s="291" t="str">
        <f t="shared" si="3"/>
        <v>POR112 / 808</v>
      </c>
      <c r="B96" s="6" t="s">
        <v>233</v>
      </c>
      <c r="C96" s="6" t="s">
        <v>238</v>
      </c>
      <c r="D96" s="471" t="s">
        <v>237</v>
      </c>
      <c r="E96" s="369" t="str">
        <f>VLOOKUP(D:D,'Master Table'!C:D,2,FALSE)</f>
        <v>808</v>
      </c>
      <c r="F96" s="769" t="s">
        <v>237</v>
      </c>
      <c r="G96" s="769" t="s">
        <v>4975</v>
      </c>
      <c r="H96" s="769" t="s">
        <v>238</v>
      </c>
      <c r="I96" s="769" t="s">
        <v>233</v>
      </c>
      <c r="J96" s="769" t="s">
        <v>11085</v>
      </c>
      <c r="K96" s="769" t="s">
        <v>324</v>
      </c>
      <c r="L96" s="790">
        <v>0</v>
      </c>
      <c r="M96" s="790">
        <v>90</v>
      </c>
      <c r="N96" s="790"/>
      <c r="O96" s="312">
        <v>90</v>
      </c>
      <c r="P96" s="657">
        <f>VLOOKUP(D:D,'Master Table'!C:O,13,FALSE)</f>
        <v>70</v>
      </c>
      <c r="Q96" s="657">
        <v>70</v>
      </c>
      <c r="R96" s="485">
        <v>130</v>
      </c>
      <c r="S96" s="485">
        <v>130</v>
      </c>
      <c r="T96" s="485">
        <v>130</v>
      </c>
    </row>
    <row r="97" spans="1:20" ht="30" customHeight="1" x14ac:dyDescent="0.2">
      <c r="A97" s="291" t="str">
        <f t="shared" si="3"/>
        <v>POR113 / 809</v>
      </c>
      <c r="B97" s="6" t="s">
        <v>233</v>
      </c>
      <c r="C97" s="6" t="s">
        <v>240</v>
      </c>
      <c r="D97" s="471" t="s">
        <v>239</v>
      </c>
      <c r="E97" s="369" t="str">
        <f>VLOOKUP(D:D,'Master Table'!C:D,2,FALSE)</f>
        <v>809</v>
      </c>
      <c r="F97" s="769" t="s">
        <v>239</v>
      </c>
      <c r="G97" s="769" t="s">
        <v>4976</v>
      </c>
      <c r="H97" s="769" t="s">
        <v>249</v>
      </c>
      <c r="I97" s="769" t="s">
        <v>233</v>
      </c>
      <c r="J97" s="769" t="s">
        <v>11079</v>
      </c>
      <c r="K97" s="769" t="s">
        <v>324</v>
      </c>
      <c r="L97" s="790">
        <v>0</v>
      </c>
      <c r="M97" s="790">
        <v>25</v>
      </c>
      <c r="N97" s="790"/>
      <c r="O97" s="312">
        <v>25</v>
      </c>
      <c r="P97" s="657">
        <f>VLOOKUP(D:D,'Master Table'!C:O,13,FALSE)</f>
        <v>806.1</v>
      </c>
      <c r="Q97" s="657">
        <v>806.1</v>
      </c>
      <c r="R97" s="485">
        <v>744.17</v>
      </c>
      <c r="S97" s="485">
        <v>30</v>
      </c>
      <c r="T97" s="485">
        <v>70</v>
      </c>
    </row>
    <row r="98" spans="1:20" ht="30" customHeight="1" x14ac:dyDescent="0.2">
      <c r="A98" s="291" t="str">
        <f t="shared" si="3"/>
        <v>POR114 / 810</v>
      </c>
      <c r="B98" s="6" t="s">
        <v>233</v>
      </c>
      <c r="C98" s="6" t="s">
        <v>242</v>
      </c>
      <c r="D98" s="471" t="s">
        <v>241</v>
      </c>
      <c r="E98" s="369" t="str">
        <f>VLOOKUP(D:D,'Master Table'!C:D,2,FALSE)</f>
        <v>810</v>
      </c>
      <c r="F98" s="769" t="s">
        <v>241</v>
      </c>
      <c r="G98" s="769" t="s">
        <v>4977</v>
      </c>
      <c r="H98" s="769" t="s">
        <v>242</v>
      </c>
      <c r="I98" s="769" t="s">
        <v>233</v>
      </c>
      <c r="J98" s="769" t="s">
        <v>11085</v>
      </c>
      <c r="K98" s="769" t="s">
        <v>324</v>
      </c>
      <c r="L98" s="790">
        <v>0</v>
      </c>
      <c r="M98" s="790">
        <v>100</v>
      </c>
      <c r="N98" s="790"/>
      <c r="O98" s="312">
        <v>100</v>
      </c>
      <c r="P98" s="657">
        <f>VLOOKUP(D:D,'Master Table'!C:O,13,FALSE)</f>
        <v>618.23</v>
      </c>
      <c r="Q98" s="657">
        <v>618.23</v>
      </c>
      <c r="R98" s="485">
        <v>1230.19</v>
      </c>
      <c r="S98" s="485">
        <v>180</v>
      </c>
      <c r="T98" s="485">
        <v>1403.27</v>
      </c>
    </row>
    <row r="99" spans="1:20" ht="30" customHeight="1" x14ac:dyDescent="0.2">
      <c r="A99" s="291" t="str">
        <f t="shared" si="3"/>
        <v>POR116 / 812</v>
      </c>
      <c r="B99" s="6" t="s">
        <v>233</v>
      </c>
      <c r="C99" s="6" t="s">
        <v>244</v>
      </c>
      <c r="D99" s="471" t="s">
        <v>243</v>
      </c>
      <c r="E99" s="369" t="str">
        <f>VLOOKUP(D:D,'Master Table'!C:D,2,FALSE)</f>
        <v>812</v>
      </c>
      <c r="F99" s="769" t="s">
        <v>243</v>
      </c>
      <c r="G99" s="769" t="s">
        <v>4978</v>
      </c>
      <c r="H99" s="769" t="s">
        <v>124</v>
      </c>
      <c r="I99" s="769" t="s">
        <v>233</v>
      </c>
      <c r="J99" s="769" t="s">
        <v>11079</v>
      </c>
      <c r="K99" s="769" t="s">
        <v>324</v>
      </c>
      <c r="L99" s="790">
        <v>548.95000000000005</v>
      </c>
      <c r="M99" s="790"/>
      <c r="N99" s="790"/>
      <c r="O99" s="312">
        <v>548.95000000000005</v>
      </c>
      <c r="P99" s="657">
        <f>VLOOKUP(D:D,'Master Table'!C:O,13,FALSE)</f>
        <v>1343.1100000000001</v>
      </c>
      <c r="Q99" s="657">
        <v>1343.1100000000001</v>
      </c>
      <c r="R99" s="485">
        <v>1285.76</v>
      </c>
      <c r="S99" s="485">
        <v>1297.6300000000001</v>
      </c>
      <c r="T99" s="485">
        <v>1450.95</v>
      </c>
    </row>
    <row r="100" spans="1:20" ht="30" customHeight="1" x14ac:dyDescent="0.2">
      <c r="A100" s="291" t="str">
        <f t="shared" si="3"/>
        <v>POR117 / 813</v>
      </c>
      <c r="B100" s="6" t="s">
        <v>233</v>
      </c>
      <c r="C100" s="6" t="s">
        <v>246</v>
      </c>
      <c r="D100" s="471" t="s">
        <v>245</v>
      </c>
      <c r="E100" s="369" t="str">
        <f>VLOOKUP(D:D,'Master Table'!C:D,2,FALSE)</f>
        <v>813</v>
      </c>
      <c r="F100" s="769" t="s">
        <v>245</v>
      </c>
      <c r="G100" s="769" t="s">
        <v>4979</v>
      </c>
      <c r="H100" s="769" t="s">
        <v>246</v>
      </c>
      <c r="I100" s="769" t="s">
        <v>233</v>
      </c>
      <c r="J100" s="769" t="s">
        <v>11085</v>
      </c>
      <c r="K100" s="769" t="s">
        <v>324</v>
      </c>
      <c r="L100" s="790">
        <v>342.88</v>
      </c>
      <c r="M100" s="790">
        <v>280</v>
      </c>
      <c r="N100" s="790"/>
      <c r="O100" s="312">
        <v>622.88</v>
      </c>
      <c r="P100" s="657">
        <f>VLOOKUP(D:D,'Master Table'!C:O,13,FALSE)</f>
        <v>852.91000000000008</v>
      </c>
      <c r="Q100" s="657">
        <v>852.91000000000008</v>
      </c>
      <c r="R100" s="485">
        <v>1131.4299999999998</v>
      </c>
      <c r="S100" s="485">
        <v>1003.93</v>
      </c>
      <c r="T100" s="485">
        <v>790.39</v>
      </c>
    </row>
    <row r="101" spans="1:20" ht="30" customHeight="1" x14ac:dyDescent="0.2">
      <c r="A101" s="291" t="str">
        <f t="shared" si="3"/>
        <v>POR119 / 816</v>
      </c>
      <c r="B101" s="6" t="s">
        <v>248</v>
      </c>
      <c r="C101" s="548" t="s">
        <v>249</v>
      </c>
      <c r="D101" s="471" t="s">
        <v>247</v>
      </c>
      <c r="E101" s="369" t="str">
        <f>VLOOKUP(D:D,'Master Table'!C:D,2,FALSE)</f>
        <v>816</v>
      </c>
      <c r="F101" s="769" t="s">
        <v>247</v>
      </c>
      <c r="G101" s="769" t="s">
        <v>4981</v>
      </c>
      <c r="H101" s="769" t="s">
        <v>4982</v>
      </c>
      <c r="I101" s="769" t="s">
        <v>96</v>
      </c>
      <c r="J101" s="769" t="s">
        <v>11073</v>
      </c>
      <c r="K101" s="769" t="s">
        <v>351</v>
      </c>
      <c r="L101" s="790">
        <v>0</v>
      </c>
      <c r="M101" s="790">
        <v>553.5</v>
      </c>
      <c r="N101" s="790"/>
      <c r="O101" s="312">
        <v>553.5</v>
      </c>
      <c r="P101" s="657">
        <f>VLOOKUP(D:D,'Master Table'!C:O,13,FALSE)</f>
        <v>421</v>
      </c>
      <c r="Q101" s="657">
        <v>421</v>
      </c>
      <c r="R101" s="485">
        <v>529.91999999999996</v>
      </c>
      <c r="S101" s="485">
        <v>1899.41</v>
      </c>
      <c r="T101" s="485">
        <v>1567.88</v>
      </c>
    </row>
    <row r="102" spans="1:20" ht="30" customHeight="1" x14ac:dyDescent="0.2">
      <c r="A102" s="291" t="str">
        <f t="shared" si="3"/>
        <v>POR120 / 817</v>
      </c>
      <c r="B102" s="921" t="s">
        <v>251</v>
      </c>
      <c r="C102" s="594" t="s">
        <v>8436</v>
      </c>
      <c r="D102" s="593" t="s">
        <v>250</v>
      </c>
      <c r="E102" s="369" t="str">
        <f>VLOOKUP(D:D,'Master Table'!C:D,2,FALSE)</f>
        <v>817</v>
      </c>
      <c r="F102" s="769" t="s">
        <v>250</v>
      </c>
      <c r="G102" s="769" t="s">
        <v>4983</v>
      </c>
      <c r="H102" s="769" t="s">
        <v>4984</v>
      </c>
      <c r="I102" s="769" t="s">
        <v>4985</v>
      </c>
      <c r="J102" s="769" t="s">
        <v>11063</v>
      </c>
      <c r="K102" s="769" t="s">
        <v>351</v>
      </c>
      <c r="L102" s="790">
        <v>330.51</v>
      </c>
      <c r="M102" s="790">
        <v>420</v>
      </c>
      <c r="N102" s="790"/>
      <c r="O102" s="312">
        <v>750.51</v>
      </c>
      <c r="P102" s="657">
        <f>VLOOKUP(D:D,'Master Table'!C:O,13,FALSE)</f>
        <v>756.52</v>
      </c>
      <c r="Q102" s="869">
        <f>P102+P103</f>
        <v>816.52</v>
      </c>
      <c r="R102" s="913">
        <v>1220.5700000000002</v>
      </c>
      <c r="S102" s="485">
        <v>1175.8200000000002</v>
      </c>
      <c r="T102" s="485">
        <v>780.28</v>
      </c>
    </row>
    <row r="103" spans="1:20" ht="30" customHeight="1" x14ac:dyDescent="0.2">
      <c r="A103" s="291" t="str">
        <f t="shared" si="3"/>
        <v>POR120S2 / 0479511</v>
      </c>
      <c r="B103" s="922"/>
      <c r="C103" s="549" t="s">
        <v>8437</v>
      </c>
      <c r="D103" s="593" t="s">
        <v>4991</v>
      </c>
      <c r="E103" s="369" t="str">
        <f>VLOOKUP(D:D,'Master Table'!C:D,2,FALSE)</f>
        <v>0479511</v>
      </c>
      <c r="F103" s="769" t="s">
        <v>4987</v>
      </c>
      <c r="G103" s="769" t="s">
        <v>4988</v>
      </c>
      <c r="H103" s="769" t="s">
        <v>4989</v>
      </c>
      <c r="I103" s="769" t="s">
        <v>4990</v>
      </c>
      <c r="J103" s="750"/>
      <c r="K103" s="769" t="s">
        <v>324</v>
      </c>
      <c r="L103" s="790"/>
      <c r="M103" s="790"/>
      <c r="N103" s="790"/>
      <c r="O103" s="312">
        <v>0</v>
      </c>
      <c r="P103" s="657">
        <f>VLOOKUP(D:D,'Master Table'!C:O,13,FALSE)</f>
        <v>60</v>
      </c>
      <c r="Q103" s="870"/>
      <c r="R103" s="914"/>
      <c r="S103" s="485"/>
      <c r="T103" s="485"/>
    </row>
    <row r="104" spans="1:20" ht="30" customHeight="1" x14ac:dyDescent="0.2">
      <c r="A104" s="291" t="str">
        <f t="shared" si="3"/>
        <v>POR121 / 818</v>
      </c>
      <c r="B104" s="6" t="s">
        <v>254</v>
      </c>
      <c r="C104" s="549" t="s">
        <v>127</v>
      </c>
      <c r="D104" s="471" t="s">
        <v>253</v>
      </c>
      <c r="E104" s="369" t="str">
        <f>VLOOKUP(D:D,'Master Table'!C:D,2,FALSE)</f>
        <v>818</v>
      </c>
      <c r="F104" s="769" t="s">
        <v>253</v>
      </c>
      <c r="G104" s="769" t="s">
        <v>4994</v>
      </c>
      <c r="H104" s="769" t="s">
        <v>127</v>
      </c>
      <c r="I104" s="769" t="s">
        <v>4995</v>
      </c>
      <c r="J104" s="769" t="s">
        <v>11083</v>
      </c>
      <c r="K104" s="769" t="s">
        <v>324</v>
      </c>
      <c r="L104" s="790">
        <v>0</v>
      </c>
      <c r="M104" s="790">
        <v>524</v>
      </c>
      <c r="N104" s="790">
        <v>36</v>
      </c>
      <c r="O104" s="312">
        <v>560</v>
      </c>
      <c r="P104" s="657">
        <f>VLOOKUP(D:D,'Master Table'!C:O,13,FALSE)</f>
        <v>1057</v>
      </c>
      <c r="Q104" s="657">
        <v>1057</v>
      </c>
      <c r="R104" s="485">
        <v>670</v>
      </c>
      <c r="S104" s="485">
        <v>369</v>
      </c>
      <c r="T104" s="485">
        <v>224</v>
      </c>
    </row>
    <row r="105" spans="1:20" ht="30" customHeight="1" x14ac:dyDescent="0.2">
      <c r="A105" s="291" t="str">
        <f t="shared" si="3"/>
        <v>POR122 / 819</v>
      </c>
      <c r="B105" s="6" t="s">
        <v>256</v>
      </c>
      <c r="C105" s="6" t="s">
        <v>257</v>
      </c>
      <c r="D105" s="471" t="s">
        <v>255</v>
      </c>
      <c r="E105" s="369" t="str">
        <f>VLOOKUP(D:D,'Master Table'!C:D,2,FALSE)</f>
        <v>819</v>
      </c>
      <c r="F105" s="769" t="s">
        <v>255</v>
      </c>
      <c r="G105" s="769" t="s">
        <v>4996</v>
      </c>
      <c r="H105" s="769" t="s">
        <v>257</v>
      </c>
      <c r="I105" s="769" t="s">
        <v>195</v>
      </c>
      <c r="J105" s="769" t="s">
        <v>11071</v>
      </c>
      <c r="K105" s="769" t="s">
        <v>351</v>
      </c>
      <c r="L105" s="790">
        <v>0</v>
      </c>
      <c r="M105" s="790">
        <v>420</v>
      </c>
      <c r="N105" s="790"/>
      <c r="O105" s="312">
        <v>420</v>
      </c>
      <c r="P105" s="657">
        <f>VLOOKUP(D:D,'Master Table'!C:O,13,FALSE)</f>
        <v>470</v>
      </c>
      <c r="Q105" s="657">
        <v>470</v>
      </c>
      <c r="R105" s="485">
        <v>750</v>
      </c>
      <c r="S105" s="485">
        <v>780</v>
      </c>
      <c r="T105" s="485">
        <v>679</v>
      </c>
    </row>
    <row r="106" spans="1:20" ht="30" customHeight="1" x14ac:dyDescent="0.2">
      <c r="A106" s="291" t="str">
        <f t="shared" si="3"/>
        <v>POR123 / 820</v>
      </c>
      <c r="B106" s="6" t="s">
        <v>259</v>
      </c>
      <c r="C106" s="6" t="s">
        <v>260</v>
      </c>
      <c r="D106" s="471" t="s">
        <v>258</v>
      </c>
      <c r="E106" s="369" t="str">
        <f>VLOOKUP(D:D,'Master Table'!C:D,2,FALSE)</f>
        <v>820</v>
      </c>
      <c r="F106" s="769" t="s">
        <v>258</v>
      </c>
      <c r="G106" s="769" t="s">
        <v>4997</v>
      </c>
      <c r="H106" s="769" t="s">
        <v>4998</v>
      </c>
      <c r="I106" s="769" t="s">
        <v>233</v>
      </c>
      <c r="J106" s="769" t="s">
        <v>11069</v>
      </c>
      <c r="K106" s="769" t="s">
        <v>351</v>
      </c>
      <c r="L106" s="790">
        <v>442.07</v>
      </c>
      <c r="M106" s="790">
        <v>185</v>
      </c>
      <c r="N106" s="790"/>
      <c r="O106" s="312">
        <v>627.06999999999994</v>
      </c>
      <c r="P106" s="657">
        <f>VLOOKUP(D:D,'Master Table'!C:O,13,FALSE)</f>
        <v>842.47</v>
      </c>
      <c r="Q106" s="657">
        <v>842.47</v>
      </c>
      <c r="R106" s="485">
        <v>1398.4099999999999</v>
      </c>
      <c r="S106" s="485">
        <v>854.15</v>
      </c>
      <c r="T106" s="485">
        <v>799.75</v>
      </c>
    </row>
    <row r="107" spans="1:20" ht="30" customHeight="1" x14ac:dyDescent="0.2">
      <c r="A107" s="291" t="str">
        <f t="shared" si="3"/>
        <v>POR124 / 821</v>
      </c>
      <c r="B107" s="6" t="s">
        <v>262</v>
      </c>
      <c r="C107" s="6" t="s">
        <v>56</v>
      </c>
      <c r="D107" s="471" t="s">
        <v>261</v>
      </c>
      <c r="E107" s="369" t="str">
        <f>VLOOKUP(D:D,'Master Table'!C:D,2,FALSE)</f>
        <v>821</v>
      </c>
      <c r="F107" s="769" t="s">
        <v>261</v>
      </c>
      <c r="G107" s="769" t="s">
        <v>4999</v>
      </c>
      <c r="H107" s="769" t="s">
        <v>5000</v>
      </c>
      <c r="I107" s="769" t="s">
        <v>85</v>
      </c>
      <c r="J107" s="769" t="s">
        <v>11082</v>
      </c>
      <c r="K107" s="769" t="s">
        <v>324</v>
      </c>
      <c r="L107" s="790">
        <v>758.22</v>
      </c>
      <c r="M107" s="790">
        <v>165</v>
      </c>
      <c r="N107" s="790"/>
      <c r="O107" s="312">
        <v>923.22</v>
      </c>
      <c r="P107" s="657">
        <f>VLOOKUP(D:D,'Master Table'!C:O,13,FALSE)</f>
        <v>1491.92</v>
      </c>
      <c r="Q107" s="657">
        <v>1491.92</v>
      </c>
      <c r="R107" s="485">
        <v>1871.12</v>
      </c>
      <c r="S107" s="485">
        <v>1710.12</v>
      </c>
      <c r="T107" s="485">
        <v>1703.05</v>
      </c>
    </row>
    <row r="108" spans="1:20" ht="30" customHeight="1" x14ac:dyDescent="0.2">
      <c r="A108" s="291" t="str">
        <f t="shared" si="3"/>
        <v>POR126 / 822</v>
      </c>
      <c r="B108" s="6" t="s">
        <v>264</v>
      </c>
      <c r="C108" s="6" t="s">
        <v>265</v>
      </c>
      <c r="D108" s="471" t="s">
        <v>263</v>
      </c>
      <c r="E108" s="369" t="str">
        <f>VLOOKUP(D:D,'Master Table'!C:D,2,FALSE)</f>
        <v>822</v>
      </c>
      <c r="F108" s="769" t="s">
        <v>263</v>
      </c>
      <c r="G108" s="769" t="s">
        <v>5005</v>
      </c>
      <c r="H108" s="769" t="s">
        <v>5006</v>
      </c>
      <c r="I108" s="769" t="s">
        <v>230</v>
      </c>
      <c r="J108" s="769" t="s">
        <v>11071</v>
      </c>
      <c r="K108" s="769" t="s">
        <v>351</v>
      </c>
      <c r="L108" s="790">
        <v>0</v>
      </c>
      <c r="M108" s="790">
        <v>181</v>
      </c>
      <c r="N108" s="790"/>
      <c r="O108" s="312">
        <v>181</v>
      </c>
      <c r="P108" s="657">
        <f>VLOOKUP(D:D,'Master Table'!C:O,13,FALSE)</f>
        <v>239</v>
      </c>
      <c r="Q108" s="657">
        <v>239</v>
      </c>
      <c r="R108" s="485">
        <v>276</v>
      </c>
      <c r="S108" s="485">
        <v>326</v>
      </c>
      <c r="T108" s="485">
        <v>306</v>
      </c>
    </row>
    <row r="109" spans="1:20" ht="30" customHeight="1" x14ac:dyDescent="0.2">
      <c r="A109" s="291" t="str">
        <f t="shared" si="3"/>
        <v>POR127 / 823</v>
      </c>
      <c r="B109" s="6" t="s">
        <v>267</v>
      </c>
      <c r="C109" s="6" t="s">
        <v>164</v>
      </c>
      <c r="D109" s="471" t="s">
        <v>266</v>
      </c>
      <c r="E109" s="369" t="str">
        <f>VLOOKUP(D:D,'Master Table'!C:D,2,FALSE)</f>
        <v>823</v>
      </c>
      <c r="F109" s="769" t="s">
        <v>266</v>
      </c>
      <c r="G109" s="769" t="s">
        <v>5007</v>
      </c>
      <c r="H109" s="769" t="s">
        <v>164</v>
      </c>
      <c r="I109" s="769" t="s">
        <v>82</v>
      </c>
      <c r="J109" s="769" t="s">
        <v>11058</v>
      </c>
      <c r="K109" s="769" t="s">
        <v>324</v>
      </c>
      <c r="L109" s="790">
        <v>0</v>
      </c>
      <c r="M109" s="790">
        <v>372.5</v>
      </c>
      <c r="N109" s="790">
        <v>206</v>
      </c>
      <c r="O109" s="312">
        <v>578.5</v>
      </c>
      <c r="P109" s="657">
        <f>VLOOKUP(D:D,'Master Table'!C:O,13,FALSE)</f>
        <v>1014.4</v>
      </c>
      <c r="Q109" s="657">
        <v>1014.4</v>
      </c>
      <c r="R109" s="485">
        <v>1041.1500000000001</v>
      </c>
      <c r="S109" s="485">
        <v>1083</v>
      </c>
      <c r="T109" s="485">
        <v>1133</v>
      </c>
    </row>
    <row r="110" spans="1:20" ht="30" customHeight="1" x14ac:dyDescent="0.2">
      <c r="A110" s="291" t="str">
        <f t="shared" si="3"/>
        <v>POR128 / 824</v>
      </c>
      <c r="B110" s="6" t="s">
        <v>269</v>
      </c>
      <c r="C110" s="6" t="s">
        <v>270</v>
      </c>
      <c r="D110" s="471" t="s">
        <v>268</v>
      </c>
      <c r="E110" s="369" t="str">
        <f>VLOOKUP(D:D,'Master Table'!C:D,2,FALSE)</f>
        <v>824</v>
      </c>
      <c r="F110" s="769" t="s">
        <v>268</v>
      </c>
      <c r="G110" s="769" t="s">
        <v>5008</v>
      </c>
      <c r="H110" s="769" t="s">
        <v>270</v>
      </c>
      <c r="I110" s="769" t="s">
        <v>269</v>
      </c>
      <c r="J110" s="769" t="s">
        <v>11070</v>
      </c>
      <c r="K110" s="769" t="s">
        <v>324</v>
      </c>
      <c r="L110" s="790">
        <v>363</v>
      </c>
      <c r="M110" s="790">
        <v>90</v>
      </c>
      <c r="N110" s="790"/>
      <c r="O110" s="312">
        <v>453</v>
      </c>
      <c r="P110" s="657">
        <f>VLOOKUP(D:D,'Master Table'!C:O,13,FALSE)</f>
        <v>1225.2</v>
      </c>
      <c r="Q110" s="657">
        <v>1225.2</v>
      </c>
      <c r="R110" s="485">
        <v>1209.5999999999999</v>
      </c>
      <c r="S110" s="485">
        <v>1625.62</v>
      </c>
      <c r="T110" s="485">
        <v>1324.43</v>
      </c>
    </row>
    <row r="111" spans="1:20" ht="30" customHeight="1" x14ac:dyDescent="0.2">
      <c r="A111" s="291" t="str">
        <f t="shared" si="3"/>
        <v>POR129 / 825</v>
      </c>
      <c r="B111" s="6" t="s">
        <v>272</v>
      </c>
      <c r="C111" s="6" t="s">
        <v>273</v>
      </c>
      <c r="D111" s="471" t="s">
        <v>271</v>
      </c>
      <c r="E111" s="369" t="str">
        <f>VLOOKUP(D:D,'Master Table'!C:D,2,FALSE)</f>
        <v>825</v>
      </c>
      <c r="F111" s="769" t="s">
        <v>271</v>
      </c>
      <c r="G111" s="769" t="s">
        <v>5009</v>
      </c>
      <c r="H111" s="769" t="s">
        <v>273</v>
      </c>
      <c r="I111" s="769" t="s">
        <v>272</v>
      </c>
      <c r="J111" s="769" t="s">
        <v>11078</v>
      </c>
      <c r="K111" s="769" t="s">
        <v>324</v>
      </c>
      <c r="L111" s="790">
        <v>0</v>
      </c>
      <c r="M111" s="790">
        <v>457.15</v>
      </c>
      <c r="N111" s="790">
        <v>352.56</v>
      </c>
      <c r="O111" s="312">
        <v>809.71</v>
      </c>
      <c r="P111" s="657">
        <f>VLOOKUP(D:D,'Master Table'!C:O,13,FALSE)</f>
        <v>719.27</v>
      </c>
      <c r="Q111" s="657">
        <v>719.27</v>
      </c>
      <c r="R111" s="485">
        <v>531</v>
      </c>
      <c r="S111" s="485">
        <v>717</v>
      </c>
      <c r="T111" s="485">
        <v>690.34</v>
      </c>
    </row>
    <row r="112" spans="1:20" ht="30" customHeight="1" x14ac:dyDescent="0.2">
      <c r="A112" s="291" t="str">
        <f t="shared" si="3"/>
        <v>POR131 / 826</v>
      </c>
      <c r="B112" s="6" t="s">
        <v>275</v>
      </c>
      <c r="C112" s="6" t="s">
        <v>276</v>
      </c>
      <c r="D112" s="471" t="s">
        <v>274</v>
      </c>
      <c r="E112" s="369" t="str">
        <f>VLOOKUP(D:D,'Master Table'!C:D,2,FALSE)</f>
        <v>826</v>
      </c>
      <c r="F112" s="769" t="s">
        <v>274</v>
      </c>
      <c r="G112" s="769" t="s">
        <v>5010</v>
      </c>
      <c r="H112" s="769" t="s">
        <v>5011</v>
      </c>
      <c r="I112" s="769" t="s">
        <v>4748</v>
      </c>
      <c r="J112" s="769" t="s">
        <v>11062</v>
      </c>
      <c r="K112" s="769" t="s">
        <v>324</v>
      </c>
      <c r="L112" s="790">
        <v>0</v>
      </c>
      <c r="M112" s="790">
        <v>868</v>
      </c>
      <c r="N112" s="790">
        <v>73.13</v>
      </c>
      <c r="O112" s="312">
        <v>941.13</v>
      </c>
      <c r="P112" s="657">
        <f>VLOOKUP(D:D,'Master Table'!C:O,13,FALSE)</f>
        <v>2023.1000000000001</v>
      </c>
      <c r="Q112" s="657">
        <v>2023.1000000000001</v>
      </c>
      <c r="R112" s="485">
        <v>5151.58</v>
      </c>
      <c r="S112" s="485">
        <v>7024.6399999999994</v>
      </c>
      <c r="T112" s="485">
        <v>4079.92</v>
      </c>
    </row>
    <row r="113" spans="1:22" ht="30" customHeight="1" x14ac:dyDescent="0.2">
      <c r="A113" s="291" t="str">
        <f t="shared" si="3"/>
        <v>POR134 / 829</v>
      </c>
      <c r="B113" s="6" t="s">
        <v>278</v>
      </c>
      <c r="C113" s="6" t="s">
        <v>279</v>
      </c>
      <c r="D113" s="471" t="s">
        <v>277</v>
      </c>
      <c r="E113" s="369" t="str">
        <f>VLOOKUP(D:D,'Master Table'!C:D,2,FALSE)</f>
        <v>829</v>
      </c>
      <c r="F113" s="769" t="s">
        <v>277</v>
      </c>
      <c r="G113" s="769" t="s">
        <v>5018</v>
      </c>
      <c r="H113" s="769" t="s">
        <v>5019</v>
      </c>
      <c r="I113" s="769" t="s">
        <v>278</v>
      </c>
      <c r="J113" s="769" t="s">
        <v>11082</v>
      </c>
      <c r="K113" s="769" t="s">
        <v>351</v>
      </c>
      <c r="L113" s="790">
        <v>0</v>
      </c>
      <c r="M113" s="790">
        <v>454</v>
      </c>
      <c r="N113" s="790">
        <v>13.5</v>
      </c>
      <c r="O113" s="312">
        <v>467.5</v>
      </c>
      <c r="P113" s="657">
        <f>VLOOKUP(D:D,'Master Table'!C:O,13,FALSE)</f>
        <v>1367.55</v>
      </c>
      <c r="Q113" s="657">
        <v>1367.55</v>
      </c>
      <c r="R113" s="485">
        <v>2070.1</v>
      </c>
      <c r="S113" s="485">
        <v>2389.21</v>
      </c>
      <c r="T113" s="485">
        <v>3017.79</v>
      </c>
    </row>
    <row r="114" spans="1:22" ht="30" customHeight="1" x14ac:dyDescent="0.2">
      <c r="A114" s="291" t="str">
        <f t="shared" si="3"/>
        <v>POR135 / 830</v>
      </c>
      <c r="B114" s="6" t="s">
        <v>281</v>
      </c>
      <c r="C114" s="6" t="s">
        <v>11</v>
      </c>
      <c r="D114" s="471" t="s">
        <v>280</v>
      </c>
      <c r="E114" s="369" t="str">
        <f>VLOOKUP(D:D,'Master Table'!C:D,2,FALSE)</f>
        <v>830</v>
      </c>
      <c r="F114" s="769" t="s">
        <v>280</v>
      </c>
      <c r="G114" s="769" t="s">
        <v>5023</v>
      </c>
      <c r="H114" s="769" t="s">
        <v>11</v>
      </c>
      <c r="I114" s="769" t="s">
        <v>5024</v>
      </c>
      <c r="J114" s="769" t="s">
        <v>11064</v>
      </c>
      <c r="K114" s="769" t="s">
        <v>324</v>
      </c>
      <c r="L114" s="790">
        <v>37.159999999999997</v>
      </c>
      <c r="M114" s="790">
        <v>1460</v>
      </c>
      <c r="N114" s="790"/>
      <c r="O114" s="312">
        <v>1497.16</v>
      </c>
      <c r="P114" s="657">
        <f>VLOOKUP(D:D,'Master Table'!C:O,13,FALSE)</f>
        <v>2290.8599999999997</v>
      </c>
      <c r="Q114" s="657">
        <v>2290.8599999999997</v>
      </c>
      <c r="R114" s="485">
        <v>2071</v>
      </c>
      <c r="S114" s="485">
        <v>3179.0299999999997</v>
      </c>
      <c r="T114" s="485">
        <v>1402.8400000000001</v>
      </c>
    </row>
    <row r="115" spans="1:22" ht="30" customHeight="1" x14ac:dyDescent="0.2">
      <c r="A115" s="291" t="str">
        <f t="shared" si="3"/>
        <v>POR136 / 831</v>
      </c>
      <c r="B115" s="6" t="s">
        <v>283</v>
      </c>
      <c r="C115" s="6" t="s">
        <v>284</v>
      </c>
      <c r="D115" s="471" t="s">
        <v>282</v>
      </c>
      <c r="E115" s="369" t="str">
        <f>VLOOKUP(D:D,'Master Table'!C:D,2,FALSE)</f>
        <v>831</v>
      </c>
      <c r="F115" s="769" t="s">
        <v>282</v>
      </c>
      <c r="G115" s="769" t="s">
        <v>5025</v>
      </c>
      <c r="H115" s="769" t="s">
        <v>5026</v>
      </c>
      <c r="I115" s="769" t="s">
        <v>85</v>
      </c>
      <c r="J115" s="769" t="s">
        <v>11072</v>
      </c>
      <c r="K115" s="769" t="s">
        <v>324</v>
      </c>
      <c r="L115" s="790">
        <v>0</v>
      </c>
      <c r="M115" s="790">
        <v>762.76</v>
      </c>
      <c r="N115" s="790">
        <v>40</v>
      </c>
      <c r="O115" s="312">
        <v>802.76</v>
      </c>
      <c r="P115" s="657">
        <f>VLOOKUP(D:D,'Master Table'!C:O,13,FALSE)</f>
        <v>3001.7</v>
      </c>
      <c r="Q115" s="657">
        <v>3001.7</v>
      </c>
      <c r="R115" s="485">
        <v>2861.22</v>
      </c>
      <c r="S115" s="485">
        <v>2368.4</v>
      </c>
      <c r="T115" s="485">
        <v>2121.54</v>
      </c>
    </row>
    <row r="116" spans="1:22" ht="30" customHeight="1" x14ac:dyDescent="0.2">
      <c r="A116" s="291" t="str">
        <f t="shared" si="3"/>
        <v>POR137 / 832</v>
      </c>
      <c r="B116" s="6" t="s">
        <v>286</v>
      </c>
      <c r="C116" s="6" t="s">
        <v>31</v>
      </c>
      <c r="D116" s="471" t="s">
        <v>285</v>
      </c>
      <c r="E116" s="369" t="str">
        <f>VLOOKUP(D:D,'Master Table'!C:D,2,FALSE)</f>
        <v>832</v>
      </c>
      <c r="F116" s="769" t="s">
        <v>285</v>
      </c>
      <c r="G116" s="769" t="s">
        <v>5028</v>
      </c>
      <c r="H116" s="769" t="s">
        <v>5029</v>
      </c>
      <c r="I116" s="769" t="s">
        <v>85</v>
      </c>
      <c r="J116" s="769" t="s">
        <v>11083</v>
      </c>
      <c r="K116" s="769" t="s">
        <v>351</v>
      </c>
      <c r="L116" s="790">
        <v>0</v>
      </c>
      <c r="M116" s="790">
        <v>795</v>
      </c>
      <c r="N116" s="790"/>
      <c r="O116" s="312">
        <v>795</v>
      </c>
      <c r="P116" s="657">
        <f>VLOOKUP(D:D,'Master Table'!C:O,13,FALSE)</f>
        <v>1084.4000000000001</v>
      </c>
      <c r="Q116" s="657">
        <v>1084.4000000000001</v>
      </c>
      <c r="R116" s="485">
        <v>1086.9100000000001</v>
      </c>
      <c r="S116" s="485">
        <v>1026.3800000000001</v>
      </c>
      <c r="T116" s="485">
        <v>839.02</v>
      </c>
    </row>
    <row r="117" spans="1:22" ht="30" customHeight="1" x14ac:dyDescent="0.2">
      <c r="A117" s="291" t="str">
        <f t="shared" si="3"/>
        <v>POR138 / 833</v>
      </c>
      <c r="B117" s="6" t="s">
        <v>288</v>
      </c>
      <c r="C117" s="6" t="s">
        <v>289</v>
      </c>
      <c r="D117" s="471" t="s">
        <v>287</v>
      </c>
      <c r="E117" s="369" t="str">
        <f>VLOOKUP(D:D,'Master Table'!C:D,2,FALSE)</f>
        <v>833</v>
      </c>
      <c r="F117" s="769" t="s">
        <v>287</v>
      </c>
      <c r="G117" s="769" t="s">
        <v>5030</v>
      </c>
      <c r="H117" s="769" t="s">
        <v>5031</v>
      </c>
      <c r="I117" s="769" t="s">
        <v>85</v>
      </c>
      <c r="J117" s="750"/>
      <c r="K117" s="769" t="s">
        <v>351</v>
      </c>
      <c r="L117" s="790">
        <v>145.56</v>
      </c>
      <c r="M117" s="790">
        <v>36</v>
      </c>
      <c r="N117" s="790"/>
      <c r="O117" s="312">
        <v>181.56</v>
      </c>
      <c r="P117" s="657">
        <f>VLOOKUP(D:D,'Master Table'!C:O,13,FALSE)</f>
        <v>215.54</v>
      </c>
      <c r="Q117" s="657">
        <v>215.54</v>
      </c>
      <c r="R117" s="485">
        <v>1878.84</v>
      </c>
      <c r="S117" s="485">
        <v>0</v>
      </c>
      <c r="T117" s="485">
        <v>549.96</v>
      </c>
    </row>
    <row r="118" spans="1:22" ht="30" customHeight="1" x14ac:dyDescent="0.2">
      <c r="A118" s="291" t="str">
        <f t="shared" si="3"/>
        <v>POR139 / 834</v>
      </c>
      <c r="B118" s="6" t="s">
        <v>286</v>
      </c>
      <c r="C118" s="6" t="s">
        <v>291</v>
      </c>
      <c r="D118" s="471" t="s">
        <v>290</v>
      </c>
      <c r="E118" s="369" t="str">
        <f>VLOOKUP(D:D,'Master Table'!C:D,2,FALSE)</f>
        <v>834</v>
      </c>
      <c r="F118" s="769" t="s">
        <v>290</v>
      </c>
      <c r="G118" s="769" t="s">
        <v>5032</v>
      </c>
      <c r="H118" s="769" t="s">
        <v>5033</v>
      </c>
      <c r="I118" s="769" t="s">
        <v>5034</v>
      </c>
      <c r="J118" s="769" t="s">
        <v>11083</v>
      </c>
      <c r="K118" s="769" t="s">
        <v>351</v>
      </c>
      <c r="L118" s="790">
        <v>0</v>
      </c>
      <c r="M118" s="790"/>
      <c r="N118" s="790"/>
      <c r="O118" s="312">
        <v>0</v>
      </c>
      <c r="P118" s="657">
        <f>VLOOKUP(D:D,'Master Table'!C:O,13,FALSE)</f>
        <v>169</v>
      </c>
      <c r="Q118" s="657">
        <v>169</v>
      </c>
      <c r="R118" s="485">
        <v>240</v>
      </c>
      <c r="S118" s="485">
        <v>230</v>
      </c>
      <c r="T118" s="485">
        <v>151</v>
      </c>
    </row>
    <row r="119" spans="1:22" ht="30" customHeight="1" x14ac:dyDescent="0.2">
      <c r="A119" s="291" t="str">
        <f t="shared" si="3"/>
        <v>POR140 / 835</v>
      </c>
      <c r="B119" s="6" t="s">
        <v>293</v>
      </c>
      <c r="C119" s="6" t="s">
        <v>294</v>
      </c>
      <c r="D119" s="471" t="s">
        <v>292</v>
      </c>
      <c r="E119" s="369" t="str">
        <f>VLOOKUP(D:D,'Master Table'!C:D,2,FALSE)</f>
        <v>835</v>
      </c>
      <c r="F119" s="769" t="s">
        <v>292</v>
      </c>
      <c r="G119" s="769" t="s">
        <v>5035</v>
      </c>
      <c r="H119" s="769" t="s">
        <v>11086</v>
      </c>
      <c r="I119" s="769" t="s">
        <v>293</v>
      </c>
      <c r="J119" s="769" t="s">
        <v>11061</v>
      </c>
      <c r="K119" s="769" t="s">
        <v>351</v>
      </c>
      <c r="L119" s="790">
        <v>208.72</v>
      </c>
      <c r="M119" s="790">
        <v>220</v>
      </c>
      <c r="N119" s="790"/>
      <c r="O119" s="312">
        <v>428.72</v>
      </c>
      <c r="P119" s="657">
        <f>VLOOKUP(D:D,'Master Table'!C:O,13,FALSE)</f>
        <v>519.01</v>
      </c>
      <c r="Q119" s="657">
        <v>519.01</v>
      </c>
      <c r="R119" s="485">
        <v>524.55999999999995</v>
      </c>
      <c r="S119" s="485">
        <v>329.39</v>
      </c>
      <c r="T119" s="485">
        <v>261.3</v>
      </c>
    </row>
    <row r="120" spans="1:22" ht="30" customHeight="1" x14ac:dyDescent="0.2">
      <c r="A120" s="291" t="str">
        <f t="shared" si="3"/>
        <v>POR141 / 836</v>
      </c>
      <c r="B120" s="6" t="s">
        <v>296</v>
      </c>
      <c r="C120" s="6" t="s">
        <v>297</v>
      </c>
      <c r="D120" s="471" t="s">
        <v>295</v>
      </c>
      <c r="E120" s="369" t="str">
        <f>VLOOKUP(D:D,'Master Table'!C:D,2,FALSE)</f>
        <v>836</v>
      </c>
      <c r="F120" s="769" t="s">
        <v>295</v>
      </c>
      <c r="G120" s="769" t="s">
        <v>5037</v>
      </c>
      <c r="H120" s="769" t="s">
        <v>5038</v>
      </c>
      <c r="I120" s="769" t="s">
        <v>296</v>
      </c>
      <c r="J120" s="769" t="s">
        <v>11064</v>
      </c>
      <c r="K120" s="769" t="s">
        <v>351</v>
      </c>
      <c r="L120" s="790">
        <v>1407.77</v>
      </c>
      <c r="M120" s="790">
        <v>60</v>
      </c>
      <c r="N120" s="790"/>
      <c r="O120" s="312">
        <v>1467.77</v>
      </c>
      <c r="P120" s="657">
        <f>VLOOKUP(D:D,'Master Table'!C:O,13,FALSE)</f>
        <v>1872.04</v>
      </c>
      <c r="Q120" s="657">
        <v>1872.04</v>
      </c>
      <c r="R120" s="485">
        <v>2553.75</v>
      </c>
      <c r="S120" s="485">
        <v>1501.5</v>
      </c>
      <c r="T120" s="485">
        <v>1687.93</v>
      </c>
    </row>
    <row r="121" spans="1:22" ht="30" customHeight="1" x14ac:dyDescent="0.2">
      <c r="A121" s="291" t="str">
        <f t="shared" si="3"/>
        <v>POR142 / 837</v>
      </c>
      <c r="B121" s="6" t="s">
        <v>286</v>
      </c>
      <c r="C121" s="6" t="s">
        <v>299</v>
      </c>
      <c r="D121" s="471" t="s">
        <v>298</v>
      </c>
      <c r="E121" s="369" t="str">
        <f>VLOOKUP(D:D,'Master Table'!C:D,2,FALSE)</f>
        <v>837</v>
      </c>
      <c r="F121" s="769" t="s">
        <v>298</v>
      </c>
      <c r="G121" s="769" t="s">
        <v>5039</v>
      </c>
      <c r="H121" s="769" t="s">
        <v>5040</v>
      </c>
      <c r="I121" s="769" t="s">
        <v>85</v>
      </c>
      <c r="J121" s="769" t="s">
        <v>11083</v>
      </c>
      <c r="K121" s="769" t="s">
        <v>351</v>
      </c>
      <c r="L121" s="790">
        <v>0</v>
      </c>
      <c r="M121" s="790">
        <v>130</v>
      </c>
      <c r="N121" s="790"/>
      <c r="O121" s="312">
        <v>130</v>
      </c>
      <c r="P121" s="657">
        <f>VLOOKUP(D:D,'Master Table'!C:O,13,FALSE)</f>
        <v>159.43</v>
      </c>
      <c r="Q121" s="657">
        <v>159.43</v>
      </c>
      <c r="R121" s="485">
        <v>0</v>
      </c>
      <c r="S121" s="485">
        <v>270.82</v>
      </c>
      <c r="T121" s="485">
        <v>235.75</v>
      </c>
    </row>
    <row r="122" spans="1:22" ht="30" hidden="1" customHeight="1" outlineLevel="1" x14ac:dyDescent="0.2">
      <c r="A122" s="291" t="str">
        <f t="shared" si="3"/>
        <v>POR143 / 227372</v>
      </c>
      <c r="B122" s="6" t="s">
        <v>110</v>
      </c>
      <c r="C122" s="6" t="s">
        <v>301</v>
      </c>
      <c r="D122" s="471" t="s">
        <v>300</v>
      </c>
      <c r="E122" s="369" t="str">
        <f>VLOOKUP(D:D,'Master Table'!C:D,2,FALSE)</f>
        <v>227372</v>
      </c>
      <c r="F122" s="769" t="s">
        <v>300</v>
      </c>
      <c r="G122" s="769" t="s">
        <v>5042</v>
      </c>
      <c r="H122" s="769" t="s">
        <v>5043</v>
      </c>
      <c r="I122" s="769" t="s">
        <v>110</v>
      </c>
      <c r="J122" s="769" t="s">
        <v>11073</v>
      </c>
      <c r="K122" s="769" t="s">
        <v>324</v>
      </c>
      <c r="L122" s="790">
        <v>0</v>
      </c>
      <c r="M122" s="790">
        <v>20</v>
      </c>
      <c r="N122" s="790"/>
      <c r="O122" s="312">
        <v>20</v>
      </c>
      <c r="P122" s="657">
        <f>VLOOKUP(D:D,'Master Table'!C:O,13,FALSE)</f>
        <v>1685.9</v>
      </c>
      <c r="Q122" s="657">
        <v>1685.9</v>
      </c>
      <c r="R122" s="485">
        <v>1076.1099999999999</v>
      </c>
      <c r="S122" s="485">
        <v>1136.6400000000001</v>
      </c>
      <c r="T122" s="485">
        <v>1210.3600000000001</v>
      </c>
      <c r="U122" t="s">
        <v>306</v>
      </c>
      <c r="V122" s="395" t="s">
        <v>8260</v>
      </c>
    </row>
    <row r="123" spans="1:22" ht="15" collapsed="1" x14ac:dyDescent="0.2">
      <c r="A123" s="291" t="str">
        <f t="shared" si="3"/>
        <v>POR144 / 227468</v>
      </c>
      <c r="B123" s="6" t="s">
        <v>286</v>
      </c>
      <c r="C123" s="6" t="s">
        <v>303</v>
      </c>
      <c r="D123" s="471" t="s">
        <v>302</v>
      </c>
      <c r="E123" s="369" t="str">
        <f>VLOOKUP(D:D,'Master Table'!C:D,2,FALSE)</f>
        <v>227468</v>
      </c>
      <c r="F123" s="769" t="s">
        <v>302</v>
      </c>
      <c r="G123" s="769" t="s">
        <v>5044</v>
      </c>
      <c r="H123" s="769" t="s">
        <v>303</v>
      </c>
      <c r="I123" s="769" t="s">
        <v>5034</v>
      </c>
      <c r="J123" s="769" t="s">
        <v>11083</v>
      </c>
      <c r="K123" s="769" t="s">
        <v>324</v>
      </c>
      <c r="L123" s="790">
        <v>0</v>
      </c>
      <c r="M123" s="790"/>
      <c r="N123" s="790">
        <v>35.450000000000003</v>
      </c>
      <c r="O123" s="312">
        <v>35.450000000000003</v>
      </c>
      <c r="P123" s="657">
        <f>VLOOKUP(D:D,'Master Table'!C:O,13,FALSE)</f>
        <v>0</v>
      </c>
      <c r="Q123" s="657">
        <v>0</v>
      </c>
      <c r="R123" s="485">
        <v>115.07</v>
      </c>
      <c r="S123" s="485">
        <v>0</v>
      </c>
      <c r="T123" s="485">
        <v>79.100000000000009</v>
      </c>
    </row>
    <row r="124" spans="1:22" ht="57" x14ac:dyDescent="0.2">
      <c r="A124" s="291" t="str">
        <f t="shared" si="3"/>
        <v>POR999 / 840</v>
      </c>
      <c r="B124" s="6" t="s">
        <v>8449</v>
      </c>
      <c r="C124" s="6" t="s">
        <v>305</v>
      </c>
      <c r="D124" s="471" t="s">
        <v>5052</v>
      </c>
      <c r="E124" s="369" t="str">
        <f>VLOOKUP(D:D,'Master Table'!C:D,2,FALSE)</f>
        <v>840</v>
      </c>
      <c r="F124" s="769" t="s">
        <v>5045</v>
      </c>
      <c r="G124" s="769" t="s">
        <v>5046</v>
      </c>
      <c r="H124" s="769" t="s">
        <v>5047</v>
      </c>
      <c r="I124" s="769" t="s">
        <v>5048</v>
      </c>
      <c r="J124" s="769" t="s">
        <v>11082</v>
      </c>
      <c r="K124" s="769" t="s">
        <v>324</v>
      </c>
      <c r="L124" s="790"/>
      <c r="M124" s="790"/>
      <c r="N124" s="790"/>
      <c r="O124" s="312">
        <v>0</v>
      </c>
      <c r="P124" s="657">
        <f>VLOOKUP(D:D,'Master Table'!C:O,13,FALSE)</f>
        <v>240.73000000000002</v>
      </c>
      <c r="Q124" s="657">
        <v>240.73000000000002</v>
      </c>
      <c r="R124" s="485">
        <v>903.58</v>
      </c>
      <c r="S124" s="485">
        <v>1259.51</v>
      </c>
      <c r="T124" s="485">
        <v>1744.04</v>
      </c>
    </row>
    <row r="125" spans="1:22" ht="71.25" hidden="1" x14ac:dyDescent="0.2">
      <c r="A125" s="291"/>
      <c r="B125" s="6"/>
      <c r="C125" s="6"/>
      <c r="D125" s="471"/>
      <c r="E125" s="369"/>
      <c r="F125" s="769" t="s">
        <v>5049</v>
      </c>
      <c r="G125" s="769" t="s">
        <v>5050</v>
      </c>
      <c r="H125" s="769" t="s">
        <v>5051</v>
      </c>
      <c r="I125" s="769" t="s">
        <v>85</v>
      </c>
      <c r="J125" s="769" t="s">
        <v>11072</v>
      </c>
      <c r="K125" s="769" t="s">
        <v>351</v>
      </c>
      <c r="L125" s="795"/>
      <c r="M125" s="795"/>
      <c r="N125" s="795"/>
      <c r="O125" s="796">
        <v>0</v>
      </c>
      <c r="P125" s="467"/>
      <c r="Q125" s="467"/>
      <c r="R125" s="485"/>
      <c r="S125" s="9">
        <v>77.5</v>
      </c>
      <c r="T125" s="9"/>
    </row>
    <row r="126" spans="1:22" ht="42.75" hidden="1" x14ac:dyDescent="0.2">
      <c r="F126" s="769" t="s">
        <v>5052</v>
      </c>
      <c r="G126" s="769" t="s">
        <v>5053</v>
      </c>
      <c r="H126" s="769" t="s">
        <v>5054</v>
      </c>
      <c r="I126" s="750"/>
      <c r="J126" s="750"/>
      <c r="K126" s="769" t="s">
        <v>324</v>
      </c>
      <c r="L126" s="794">
        <v>10.01</v>
      </c>
      <c r="M126" s="794">
        <v>8729.82</v>
      </c>
      <c r="N126" s="794">
        <v>522.03</v>
      </c>
      <c r="O126" s="796">
        <v>9261.86</v>
      </c>
      <c r="P126" s="19"/>
      <c r="Q126" s="19"/>
      <c r="R126" s="486"/>
      <c r="S126" s="19"/>
      <c r="T126" s="19"/>
    </row>
    <row r="127" spans="1:22" x14ac:dyDescent="0.2">
      <c r="D127"/>
      <c r="E127"/>
      <c r="F127"/>
      <c r="G127"/>
      <c r="H127"/>
      <c r="I127"/>
      <c r="J127"/>
    </row>
    <row r="128" spans="1:22" ht="13.5" thickBot="1" x14ac:dyDescent="0.25">
      <c r="D128"/>
      <c r="E128"/>
      <c r="F128"/>
      <c r="G128"/>
      <c r="H128"/>
      <c r="I128"/>
      <c r="J128"/>
    </row>
    <row r="129" spans="1:20" s="74" customFormat="1" ht="83.25" customHeight="1" thickBot="1" x14ac:dyDescent="0.25">
      <c r="A129" s="854" t="s">
        <v>10987</v>
      </c>
      <c r="B129" s="855"/>
      <c r="C129" s="855"/>
      <c r="D129" s="855"/>
      <c r="E129" s="855"/>
      <c r="F129" s="855"/>
      <c r="G129" s="855"/>
      <c r="H129" s="855"/>
      <c r="I129" s="855"/>
      <c r="J129" s="855"/>
      <c r="K129" s="855"/>
      <c r="L129" s="855"/>
      <c r="M129" s="855"/>
      <c r="N129" s="855"/>
      <c r="O129" s="855"/>
    </row>
    <row r="130" spans="1:20" s="74" customFormat="1" ht="15" x14ac:dyDescent="0.2">
      <c r="A130" s="718"/>
      <c r="B130" s="718"/>
      <c r="C130" s="718"/>
    </row>
    <row r="131" spans="1:20" s="74" customFormat="1" ht="30" x14ac:dyDescent="0.2">
      <c r="A131" s="763" t="s">
        <v>7422</v>
      </c>
      <c r="B131" s="764" t="s">
        <v>11007</v>
      </c>
      <c r="C131" s="715"/>
    </row>
    <row r="132" spans="1:20" s="74" customFormat="1" ht="60" x14ac:dyDescent="0.2">
      <c r="A132" s="763" t="s">
        <v>10990</v>
      </c>
      <c r="B132" s="764" t="s">
        <v>11008</v>
      </c>
      <c r="C132" s="715"/>
    </row>
    <row r="133" spans="1:20" s="74" customFormat="1" ht="60" x14ac:dyDescent="0.2">
      <c r="A133" s="763" t="s">
        <v>10991</v>
      </c>
      <c r="B133" s="764" t="s">
        <v>11009</v>
      </c>
      <c r="C133" s="715"/>
    </row>
    <row r="134" spans="1:20" x14ac:dyDescent="0.2">
      <c r="P134" s="19"/>
      <c r="Q134" s="19"/>
      <c r="R134" s="486"/>
      <c r="S134" s="19"/>
      <c r="T134" s="19"/>
    </row>
    <row r="135" spans="1:20" x14ac:dyDescent="0.2">
      <c r="P135" s="19"/>
      <c r="Q135" s="19"/>
      <c r="R135" s="486"/>
      <c r="S135" s="19"/>
      <c r="T135" s="19"/>
    </row>
    <row r="136" spans="1:20" x14ac:dyDescent="0.2">
      <c r="P136" s="19"/>
      <c r="Q136" s="19"/>
      <c r="R136" s="486"/>
      <c r="S136" s="19"/>
      <c r="T136" s="19"/>
    </row>
    <row r="137" spans="1:20" x14ac:dyDescent="0.2">
      <c r="P137" s="19"/>
      <c r="Q137" s="19"/>
      <c r="R137" s="486"/>
      <c r="S137" s="19"/>
      <c r="T137" s="19"/>
    </row>
    <row r="138" spans="1:20" x14ac:dyDescent="0.2">
      <c r="P138" s="19"/>
      <c r="Q138" s="19"/>
      <c r="R138" s="486"/>
      <c r="S138" s="19"/>
      <c r="T138" s="19"/>
    </row>
    <row r="139" spans="1:20" x14ac:dyDescent="0.2">
      <c r="P139" s="19"/>
      <c r="Q139" s="19"/>
      <c r="R139" s="486"/>
      <c r="S139" s="19"/>
      <c r="T139" s="19"/>
    </row>
    <row r="140" spans="1:20" x14ac:dyDescent="0.2">
      <c r="P140" s="19"/>
      <c r="Q140" s="19"/>
      <c r="R140" s="486"/>
      <c r="S140" s="19"/>
      <c r="T140" s="19"/>
    </row>
    <row r="141" spans="1:20" x14ac:dyDescent="0.2">
      <c r="P141" s="19"/>
      <c r="Q141" s="19"/>
      <c r="R141" s="486"/>
      <c r="S141" s="19"/>
      <c r="T141" s="19"/>
    </row>
    <row r="142" spans="1:20" x14ac:dyDescent="0.2">
      <c r="P142" s="19"/>
      <c r="Q142" s="19"/>
      <c r="R142" s="486"/>
      <c r="S142" s="19"/>
      <c r="T142" s="19"/>
    </row>
    <row r="143" spans="1:20" x14ac:dyDescent="0.2">
      <c r="P143" s="19"/>
      <c r="Q143" s="19"/>
      <c r="R143" s="486"/>
      <c r="S143" s="19"/>
      <c r="T143" s="19"/>
    </row>
    <row r="144" spans="1:20" x14ac:dyDescent="0.2">
      <c r="P144" s="19"/>
      <c r="Q144" s="19"/>
      <c r="R144" s="486"/>
      <c r="S144" s="19"/>
      <c r="T144" s="19"/>
    </row>
    <row r="145" spans="16:20" x14ac:dyDescent="0.2">
      <c r="P145" s="19"/>
      <c r="Q145" s="19"/>
      <c r="R145" s="486"/>
      <c r="S145" s="19"/>
      <c r="T145" s="19"/>
    </row>
    <row r="146" spans="16:20" x14ac:dyDescent="0.2">
      <c r="P146" s="19"/>
      <c r="Q146" s="19"/>
      <c r="R146" s="486"/>
      <c r="S146" s="19"/>
      <c r="T146" s="19"/>
    </row>
    <row r="147" spans="16:20" x14ac:dyDescent="0.2">
      <c r="P147" s="19"/>
      <c r="Q147" s="19"/>
      <c r="R147" s="486"/>
      <c r="S147" s="19"/>
      <c r="T147" s="19"/>
    </row>
    <row r="148" spans="16:20" x14ac:dyDescent="0.2">
      <c r="P148" s="19"/>
      <c r="Q148" s="19"/>
      <c r="R148" s="486"/>
      <c r="S148" s="19"/>
      <c r="T148" s="19"/>
    </row>
    <row r="149" spans="16:20" x14ac:dyDescent="0.2">
      <c r="P149" s="19"/>
      <c r="Q149" s="19"/>
      <c r="R149" s="486"/>
      <c r="S149" s="19"/>
      <c r="T149" s="19"/>
    </row>
    <row r="150" spans="16:20" x14ac:dyDescent="0.2">
      <c r="P150" s="19"/>
      <c r="Q150" s="19"/>
      <c r="R150" s="486"/>
      <c r="S150" s="19"/>
      <c r="T150" s="19"/>
    </row>
    <row r="151" spans="16:20" x14ac:dyDescent="0.2">
      <c r="P151" s="19"/>
      <c r="Q151" s="19"/>
      <c r="R151" s="486"/>
      <c r="S151" s="19"/>
      <c r="T151" s="19"/>
    </row>
    <row r="152" spans="16:20" x14ac:dyDescent="0.2">
      <c r="P152" s="19"/>
      <c r="Q152" s="19"/>
      <c r="R152" s="486"/>
      <c r="S152" s="19"/>
      <c r="T152" s="19"/>
    </row>
    <row r="153" spans="16:20" x14ac:dyDescent="0.2">
      <c r="P153" s="19"/>
      <c r="Q153" s="19"/>
      <c r="R153" s="486"/>
      <c r="S153" s="19"/>
      <c r="T153" s="19"/>
    </row>
    <row r="154" spans="16:20" x14ac:dyDescent="0.2">
      <c r="P154" s="19"/>
      <c r="Q154" s="19"/>
      <c r="R154" s="486"/>
      <c r="S154" s="19"/>
      <c r="T154" s="19"/>
    </row>
  </sheetData>
  <mergeCells count="12">
    <mergeCell ref="A129:O129"/>
    <mergeCell ref="R42:R43"/>
    <mergeCell ref="Q42:Q43"/>
    <mergeCell ref="R64:R65"/>
    <mergeCell ref="Q64:Q65"/>
    <mergeCell ref="R102:R103"/>
    <mergeCell ref="Q102:Q103"/>
    <mergeCell ref="B42:B43"/>
    <mergeCell ref="C42:C43"/>
    <mergeCell ref="B47:B49"/>
    <mergeCell ref="B102:B103"/>
    <mergeCell ref="B64:B65"/>
  </mergeCells>
  <conditionalFormatting sqref="E44:E64 E3:E42 F4:K103 E66:E92 E94:E125">
    <cfRule type="cellIs" dxfId="16" priority="6" stopIfTrue="1" operator="equal">
      <formula>0</formula>
    </cfRule>
  </conditionalFormatting>
  <conditionalFormatting sqref="E43">
    <cfRule type="cellIs" dxfId="15" priority="5" stopIfTrue="1" operator="equal">
      <formula>0</formula>
    </cfRule>
  </conditionalFormatting>
  <conditionalFormatting sqref="E65">
    <cfRule type="cellIs" dxfId="14" priority="4" stopIfTrue="1" operator="equal">
      <formula>0</formula>
    </cfRule>
  </conditionalFormatting>
  <pageMargins left="0.23622047244094491" right="0.23622047244094491" top="0.39370078740157483" bottom="0.39370078740157483" header="0.31496062992125984" footer="0.31496062992125984"/>
  <pageSetup paperSize="9" scale="69" fitToHeight="0" orientation="portrait" r:id="rId1"/>
  <headerFooter>
    <oddFooter>&amp;RPage &amp;P / &amp;N</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00000"/>
  </sheetPr>
  <dimension ref="A1:O185"/>
  <sheetViews>
    <sheetView workbookViewId="0">
      <pane xSplit="2" ySplit="3" topLeftCell="C172" activePane="bottomRight" state="frozen"/>
      <selection pane="topRight" activeCell="C1" sqref="C1"/>
      <selection pane="bottomLeft" activeCell="A4" sqref="A4"/>
      <selection pane="bottomRight" activeCell="A180" sqref="A180:XFD181"/>
    </sheetView>
  </sheetViews>
  <sheetFormatPr defaultColWidth="9.140625" defaultRowHeight="15" x14ac:dyDescent="0.25"/>
  <cols>
    <col min="1" max="1" width="9.140625" style="608"/>
    <col min="2" max="2" width="10.28515625" style="608" bestFit="1" customWidth="1"/>
    <col min="3" max="3" width="50.42578125" style="608" bestFit="1" customWidth="1"/>
    <col min="4" max="4" width="26.28515625" style="608" bestFit="1" customWidth="1"/>
    <col min="5" max="5" width="11" style="608" hidden="1" customWidth="1"/>
    <col min="6" max="7" width="14.28515625" style="608" bestFit="1" customWidth="1"/>
    <col min="8" max="8" width="15.5703125" style="613" bestFit="1" customWidth="1"/>
    <col min="9" max="9" width="15.5703125" style="613" hidden="1" customWidth="1"/>
    <col min="10" max="10" width="0" style="613" hidden="1" customWidth="1"/>
    <col min="11" max="11" width="14.28515625" style="608" bestFit="1" customWidth="1"/>
    <col min="12" max="13" width="12.85546875" style="608" bestFit="1" customWidth="1"/>
    <col min="14" max="16384" width="9.140625" style="608"/>
  </cols>
  <sheetData>
    <row r="1" spans="1:14" ht="26.25" x14ac:dyDescent="0.4">
      <c r="A1" s="609" t="s">
        <v>11364</v>
      </c>
      <c r="I1" s="608"/>
      <c r="J1" s="608"/>
      <c r="L1" s="613"/>
      <c r="M1" s="613"/>
      <c r="N1" s="613"/>
    </row>
    <row r="2" spans="1:14" ht="26.25" x14ac:dyDescent="0.4">
      <c r="A2" s="609"/>
      <c r="I2" s="608"/>
      <c r="J2" s="608"/>
      <c r="L2" s="613"/>
      <c r="M2" s="613"/>
      <c r="N2" s="613"/>
    </row>
    <row r="3" spans="1:14" ht="30" customHeight="1" x14ac:dyDescent="0.25">
      <c r="A3" s="629" t="s">
        <v>1</v>
      </c>
      <c r="B3" s="631" t="s">
        <v>8627</v>
      </c>
      <c r="C3" s="629" t="s">
        <v>7809</v>
      </c>
      <c r="D3" s="629" t="s">
        <v>2</v>
      </c>
      <c r="E3" s="629"/>
      <c r="F3" s="629" t="s">
        <v>11319</v>
      </c>
      <c r="G3" s="629" t="s">
        <v>7809</v>
      </c>
      <c r="H3" s="629">
        <v>2020</v>
      </c>
      <c r="I3" s="629" t="s">
        <v>8626</v>
      </c>
      <c r="J3" s="629" t="s">
        <v>8625</v>
      </c>
      <c r="K3" s="629">
        <v>2019</v>
      </c>
      <c r="L3" s="629">
        <v>2018</v>
      </c>
      <c r="M3" s="629">
        <v>2017</v>
      </c>
      <c r="N3" s="613"/>
    </row>
    <row r="4" spans="1:14" ht="30" customHeight="1" x14ac:dyDescent="0.25">
      <c r="A4" s="627" t="s">
        <v>10894</v>
      </c>
      <c r="B4" s="627" t="s">
        <v>10893</v>
      </c>
      <c r="C4" s="627" t="s">
        <v>10892</v>
      </c>
      <c r="D4" s="627" t="s">
        <v>10727</v>
      </c>
      <c r="E4" s="767" t="s">
        <v>10894</v>
      </c>
      <c r="F4" s="758">
        <v>193</v>
      </c>
      <c r="G4" s="758"/>
      <c r="H4" s="758">
        <v>193</v>
      </c>
      <c r="I4" s="628">
        <v>109</v>
      </c>
      <c r="J4" s="628">
        <v>162.82</v>
      </c>
      <c r="K4" s="636">
        <f>SUM(I4:J4)</f>
        <v>271.82</v>
      </c>
      <c r="L4" s="636">
        <v>278.10000000000002</v>
      </c>
      <c r="M4" s="636">
        <v>497.22</v>
      </c>
      <c r="N4" s="613"/>
    </row>
    <row r="5" spans="1:14" ht="30" customHeight="1" x14ac:dyDescent="0.25">
      <c r="A5" s="627" t="s">
        <v>10891</v>
      </c>
      <c r="B5" s="627" t="s">
        <v>10890</v>
      </c>
      <c r="C5" s="627" t="s">
        <v>10889</v>
      </c>
      <c r="D5" s="627" t="s">
        <v>10727</v>
      </c>
      <c r="E5" s="767" t="s">
        <v>10891</v>
      </c>
      <c r="F5" s="758">
        <v>110</v>
      </c>
      <c r="G5" s="758">
        <v>287.99</v>
      </c>
      <c r="H5" s="758">
        <v>397.99</v>
      </c>
      <c r="I5" s="628">
        <v>0</v>
      </c>
      <c r="J5" s="628">
        <v>549.54</v>
      </c>
      <c r="K5" s="636">
        <f>SUM(I5:J5)</f>
        <v>549.54</v>
      </c>
      <c r="L5" s="636">
        <v>563.54999999999995</v>
      </c>
      <c r="M5" s="636">
        <v>993.81</v>
      </c>
      <c r="N5" s="613"/>
    </row>
    <row r="6" spans="1:14" ht="30" customHeight="1" x14ac:dyDescent="0.25">
      <c r="A6" s="627" t="s">
        <v>10946</v>
      </c>
      <c r="B6" s="627"/>
      <c r="C6" s="627" t="s">
        <v>10947</v>
      </c>
      <c r="D6" s="627" t="s">
        <v>10727</v>
      </c>
      <c r="E6" s="767"/>
      <c r="F6" s="758"/>
      <c r="G6" s="758"/>
      <c r="H6" s="758"/>
      <c r="I6" s="628"/>
      <c r="J6" s="628"/>
      <c r="K6" s="636"/>
      <c r="L6" s="636">
        <v>90.85</v>
      </c>
      <c r="M6" s="636">
        <v>591.62</v>
      </c>
      <c r="N6" s="613"/>
    </row>
    <row r="7" spans="1:14" ht="30" customHeight="1" x14ac:dyDescent="0.25">
      <c r="A7" s="627" t="s">
        <v>10888</v>
      </c>
      <c r="B7" s="627" t="s">
        <v>10887</v>
      </c>
      <c r="C7" s="627" t="s">
        <v>10886</v>
      </c>
      <c r="D7" s="627" t="s">
        <v>10727</v>
      </c>
      <c r="E7" s="767" t="s">
        <v>10888</v>
      </c>
      <c r="F7" s="758">
        <v>560</v>
      </c>
      <c r="G7" s="758">
        <v>868</v>
      </c>
      <c r="H7" s="758">
        <v>1428</v>
      </c>
      <c r="I7" s="628">
        <v>198</v>
      </c>
      <c r="J7" s="628">
        <v>2455.83</v>
      </c>
      <c r="K7" s="636">
        <f t="shared" ref="K7:K17" si="0">SUM(I7:J7)</f>
        <v>2653.83</v>
      </c>
      <c r="L7" s="636">
        <v>3231.47</v>
      </c>
      <c r="M7" s="636">
        <v>3751.61</v>
      </c>
      <c r="N7" s="613"/>
    </row>
    <row r="8" spans="1:14" ht="30" customHeight="1" x14ac:dyDescent="0.25">
      <c r="A8" s="627" t="s">
        <v>10885</v>
      </c>
      <c r="B8" s="627" t="s">
        <v>10884</v>
      </c>
      <c r="C8" s="627" t="s">
        <v>10883</v>
      </c>
      <c r="D8" s="627" t="s">
        <v>10727</v>
      </c>
      <c r="E8" s="767" t="s">
        <v>10885</v>
      </c>
      <c r="F8" s="758">
        <v>290</v>
      </c>
      <c r="G8" s="758"/>
      <c r="H8" s="758">
        <v>290</v>
      </c>
      <c r="I8" s="628">
        <v>145</v>
      </c>
      <c r="J8" s="628">
        <v>275.91000000000003</v>
      </c>
      <c r="K8" s="636">
        <f t="shared" si="0"/>
        <v>420.91</v>
      </c>
      <c r="L8" s="636">
        <v>581.1</v>
      </c>
      <c r="M8" s="636">
        <v>720.11</v>
      </c>
      <c r="N8" s="613"/>
    </row>
    <row r="9" spans="1:14" ht="30" customHeight="1" x14ac:dyDescent="0.25">
      <c r="A9" s="627" t="s">
        <v>10882</v>
      </c>
      <c r="B9" s="627" t="s">
        <v>10881</v>
      </c>
      <c r="C9" s="627" t="s">
        <v>10880</v>
      </c>
      <c r="D9" s="627" t="s">
        <v>10727</v>
      </c>
      <c r="E9" s="767" t="s">
        <v>10882</v>
      </c>
      <c r="F9" s="758">
        <v>20</v>
      </c>
      <c r="G9" s="758">
        <v>212</v>
      </c>
      <c r="H9" s="758">
        <v>232</v>
      </c>
      <c r="I9" s="628">
        <v>40</v>
      </c>
      <c r="J9" s="628">
        <v>371</v>
      </c>
      <c r="K9" s="636">
        <f t="shared" si="0"/>
        <v>411</v>
      </c>
      <c r="L9" s="636">
        <v>329</v>
      </c>
      <c r="M9" s="636">
        <v>685</v>
      </c>
      <c r="N9" s="613"/>
    </row>
    <row r="10" spans="1:14" ht="30" customHeight="1" x14ac:dyDescent="0.25">
      <c r="A10" s="627" t="s">
        <v>10879</v>
      </c>
      <c r="B10" s="627" t="s">
        <v>10878</v>
      </c>
      <c r="C10" s="627" t="s">
        <v>10877</v>
      </c>
      <c r="D10" s="627" t="s">
        <v>10727</v>
      </c>
      <c r="E10" s="767" t="s">
        <v>10879</v>
      </c>
      <c r="F10" s="758">
        <v>100</v>
      </c>
      <c r="G10" s="758">
        <v>1047.18</v>
      </c>
      <c r="H10" s="758">
        <v>1147.18</v>
      </c>
      <c r="I10" s="628">
        <v>50</v>
      </c>
      <c r="J10" s="628">
        <v>1327.03</v>
      </c>
      <c r="K10" s="636">
        <f t="shared" si="0"/>
        <v>1377.03</v>
      </c>
      <c r="L10" s="636">
        <v>1210.4100000000001</v>
      </c>
      <c r="M10" s="636">
        <v>1473</v>
      </c>
      <c r="N10" s="613"/>
    </row>
    <row r="11" spans="1:14" ht="30" customHeight="1" x14ac:dyDescent="0.25">
      <c r="A11" s="627" t="s">
        <v>10876</v>
      </c>
      <c r="B11" s="627" t="s">
        <v>10875</v>
      </c>
      <c r="C11" s="627" t="s">
        <v>10874</v>
      </c>
      <c r="D11" s="627" t="s">
        <v>10727</v>
      </c>
      <c r="E11" s="767" t="s">
        <v>10876</v>
      </c>
      <c r="F11" s="758">
        <v>20</v>
      </c>
      <c r="G11" s="758">
        <v>1071</v>
      </c>
      <c r="H11" s="758">
        <v>1091</v>
      </c>
      <c r="I11" s="628">
        <v>30</v>
      </c>
      <c r="J11" s="628">
        <v>1279.81</v>
      </c>
      <c r="K11" s="636">
        <f t="shared" si="0"/>
        <v>1309.81</v>
      </c>
      <c r="L11" s="636">
        <v>1295.69</v>
      </c>
      <c r="M11" s="636">
        <v>1571.7</v>
      </c>
      <c r="N11" s="613"/>
    </row>
    <row r="12" spans="1:14" ht="30" customHeight="1" x14ac:dyDescent="0.25">
      <c r="A12" s="627" t="s">
        <v>10873</v>
      </c>
      <c r="B12" s="627" t="s">
        <v>10872</v>
      </c>
      <c r="C12" s="627" t="s">
        <v>10871</v>
      </c>
      <c r="D12" s="627" t="s">
        <v>10867</v>
      </c>
      <c r="E12" s="767" t="s">
        <v>10873</v>
      </c>
      <c r="F12" s="758">
        <v>407</v>
      </c>
      <c r="G12" s="758">
        <v>226.11</v>
      </c>
      <c r="H12" s="758">
        <v>633.11</v>
      </c>
      <c r="I12" s="628">
        <v>42</v>
      </c>
      <c r="J12" s="628">
        <v>1723.6699999999998</v>
      </c>
      <c r="K12" s="636">
        <f t="shared" si="0"/>
        <v>1765.6699999999998</v>
      </c>
      <c r="L12" s="636">
        <v>2398.7800000000002</v>
      </c>
      <c r="M12" s="636">
        <v>2373.3000000000002</v>
      </c>
      <c r="N12" s="613"/>
    </row>
    <row r="13" spans="1:14" ht="30" customHeight="1" x14ac:dyDescent="0.25">
      <c r="A13" s="627" t="s">
        <v>10870</v>
      </c>
      <c r="B13" s="627" t="s">
        <v>10869</v>
      </c>
      <c r="C13" s="627" t="s">
        <v>10868</v>
      </c>
      <c r="D13" s="627" t="s">
        <v>10867</v>
      </c>
      <c r="E13" s="767" t="s">
        <v>10870</v>
      </c>
      <c r="F13" s="758">
        <v>103</v>
      </c>
      <c r="G13" s="758">
        <v>570.5</v>
      </c>
      <c r="H13" s="758">
        <v>673.5</v>
      </c>
      <c r="I13" s="628">
        <v>24</v>
      </c>
      <c r="J13" s="628">
        <v>906.56000000000017</v>
      </c>
      <c r="K13" s="636">
        <f t="shared" si="0"/>
        <v>930.56000000000017</v>
      </c>
      <c r="L13" s="636">
        <v>950.8</v>
      </c>
      <c r="M13" s="636">
        <v>693</v>
      </c>
      <c r="N13" s="613"/>
    </row>
    <row r="14" spans="1:14" ht="30" customHeight="1" x14ac:dyDescent="0.25">
      <c r="A14" s="627" t="s">
        <v>10866</v>
      </c>
      <c r="B14" s="627" t="s">
        <v>10865</v>
      </c>
      <c r="C14" s="627" t="s">
        <v>10864</v>
      </c>
      <c r="D14" s="627" t="s">
        <v>10396</v>
      </c>
      <c r="E14" s="767" t="s">
        <v>10866</v>
      </c>
      <c r="F14" s="758">
        <v>180</v>
      </c>
      <c r="G14" s="758">
        <v>283</v>
      </c>
      <c r="H14" s="758">
        <v>463</v>
      </c>
      <c r="I14" s="628">
        <v>140</v>
      </c>
      <c r="J14" s="628">
        <v>1740.9</v>
      </c>
      <c r="K14" s="636">
        <f t="shared" si="0"/>
        <v>1880.9</v>
      </c>
      <c r="L14" s="636">
        <v>3313.31</v>
      </c>
      <c r="M14" s="636">
        <v>3309.82</v>
      </c>
      <c r="N14" s="613"/>
    </row>
    <row r="15" spans="1:14" ht="30" customHeight="1" x14ac:dyDescent="0.25">
      <c r="A15" s="627" t="s">
        <v>10863</v>
      </c>
      <c r="B15" s="627" t="s">
        <v>10862</v>
      </c>
      <c r="C15" s="627" t="s">
        <v>10861</v>
      </c>
      <c r="D15" s="627" t="s">
        <v>10860</v>
      </c>
      <c r="E15" s="767" t="s">
        <v>10863</v>
      </c>
      <c r="F15" s="758">
        <v>125</v>
      </c>
      <c r="G15" s="758">
        <v>121.48</v>
      </c>
      <c r="H15" s="758">
        <v>246.48000000000002</v>
      </c>
      <c r="I15" s="628">
        <v>70</v>
      </c>
      <c r="J15" s="628">
        <v>1675.24</v>
      </c>
      <c r="K15" s="636">
        <f t="shared" si="0"/>
        <v>1745.24</v>
      </c>
      <c r="L15" s="636">
        <v>2220.04</v>
      </c>
      <c r="M15" s="636">
        <v>2053.73</v>
      </c>
      <c r="N15" s="613"/>
    </row>
    <row r="16" spans="1:14" ht="30" customHeight="1" x14ac:dyDescent="0.25">
      <c r="A16" s="627" t="s">
        <v>10859</v>
      </c>
      <c r="B16" s="627" t="s">
        <v>10858</v>
      </c>
      <c r="C16" s="627" t="s">
        <v>10857</v>
      </c>
      <c r="D16" s="627" t="s">
        <v>10856</v>
      </c>
      <c r="E16" s="767" t="s">
        <v>10859</v>
      </c>
      <c r="F16" s="758">
        <v>100</v>
      </c>
      <c r="G16" s="758">
        <v>147.6</v>
      </c>
      <c r="H16" s="758">
        <v>247.6</v>
      </c>
      <c r="I16" s="628">
        <v>10</v>
      </c>
      <c r="J16" s="628">
        <v>709.9</v>
      </c>
      <c r="K16" s="636">
        <f t="shared" si="0"/>
        <v>719.9</v>
      </c>
      <c r="L16" s="636">
        <v>750.2</v>
      </c>
      <c r="M16" s="636">
        <v>1107.5</v>
      </c>
      <c r="N16" s="613"/>
    </row>
    <row r="17" spans="1:14" ht="30" customHeight="1" x14ac:dyDescent="0.25">
      <c r="A17" s="627" t="s">
        <v>10855</v>
      </c>
      <c r="B17" s="627" t="s">
        <v>10854</v>
      </c>
      <c r="C17" s="627" t="s">
        <v>2703</v>
      </c>
      <c r="D17" s="627" t="s">
        <v>10400</v>
      </c>
      <c r="E17" s="767" t="s">
        <v>10855</v>
      </c>
      <c r="F17" s="758">
        <v>50</v>
      </c>
      <c r="G17" s="758">
        <v>1236.8</v>
      </c>
      <c r="H17" s="758">
        <v>1286.8</v>
      </c>
      <c r="I17" s="628">
        <v>0</v>
      </c>
      <c r="J17" s="628">
        <v>1070.4000000000001</v>
      </c>
      <c r="K17" s="636">
        <f t="shared" si="0"/>
        <v>1070.4000000000001</v>
      </c>
      <c r="L17" s="636">
        <v>1815.06</v>
      </c>
      <c r="M17" s="636">
        <v>1251.03</v>
      </c>
      <c r="N17" s="613"/>
    </row>
    <row r="18" spans="1:14" ht="30" customHeight="1" x14ac:dyDescent="0.25">
      <c r="A18" s="627" t="s">
        <v>10948</v>
      </c>
      <c r="B18" s="627"/>
      <c r="C18" s="627" t="s">
        <v>226</v>
      </c>
      <c r="D18" s="627" t="s">
        <v>10949</v>
      </c>
      <c r="E18" s="767" t="s">
        <v>10948</v>
      </c>
      <c r="F18" s="758"/>
      <c r="G18" s="758">
        <v>100</v>
      </c>
      <c r="H18" s="758">
        <v>100</v>
      </c>
      <c r="I18" s="628"/>
      <c r="J18" s="628"/>
      <c r="K18" s="636"/>
      <c r="L18" s="636">
        <v>279.87</v>
      </c>
      <c r="M18" s="636"/>
      <c r="N18" s="613"/>
    </row>
    <row r="19" spans="1:14" ht="30" customHeight="1" x14ac:dyDescent="0.25">
      <c r="A19" s="627" t="s">
        <v>10853</v>
      </c>
      <c r="B19" s="627" t="s">
        <v>10852</v>
      </c>
      <c r="C19" s="627" t="s">
        <v>226</v>
      </c>
      <c r="D19" s="627" t="s">
        <v>10851</v>
      </c>
      <c r="E19" s="767" t="s">
        <v>10853</v>
      </c>
      <c r="F19" s="758">
        <v>265</v>
      </c>
      <c r="G19" s="758">
        <v>2952.29</v>
      </c>
      <c r="H19" s="758">
        <v>3217.29</v>
      </c>
      <c r="I19" s="628">
        <v>130</v>
      </c>
      <c r="J19" s="628">
        <v>3719.76</v>
      </c>
      <c r="K19" s="636">
        <f t="shared" ref="K19:K50" si="1">SUM(I19:J19)</f>
        <v>3849.76</v>
      </c>
      <c r="L19" s="636">
        <v>3793.46</v>
      </c>
      <c r="M19" s="636">
        <v>3822</v>
      </c>
      <c r="N19" s="613"/>
    </row>
    <row r="20" spans="1:14" ht="30" customHeight="1" x14ac:dyDescent="0.25">
      <c r="A20" s="627" t="s">
        <v>10850</v>
      </c>
      <c r="B20" s="627" t="s">
        <v>10849</v>
      </c>
      <c r="C20" s="627" t="s">
        <v>10848</v>
      </c>
      <c r="D20" s="627" t="s">
        <v>10847</v>
      </c>
      <c r="E20" s="767" t="s">
        <v>10850</v>
      </c>
      <c r="F20" s="758">
        <v>64</v>
      </c>
      <c r="G20" s="758">
        <v>766</v>
      </c>
      <c r="H20" s="758">
        <v>830</v>
      </c>
      <c r="I20" s="628">
        <v>0</v>
      </c>
      <c r="J20" s="628">
        <v>1224</v>
      </c>
      <c r="K20" s="636">
        <f t="shared" si="1"/>
        <v>1224</v>
      </c>
      <c r="L20" s="636">
        <v>1461</v>
      </c>
      <c r="M20" s="636">
        <v>2274</v>
      </c>
      <c r="N20" s="613"/>
    </row>
    <row r="21" spans="1:14" ht="30" customHeight="1" x14ac:dyDescent="0.25">
      <c r="A21" s="627" t="s">
        <v>10846</v>
      </c>
      <c r="B21" s="627" t="s">
        <v>10845</v>
      </c>
      <c r="C21" s="627" t="s">
        <v>10844</v>
      </c>
      <c r="D21" s="627" t="s">
        <v>10528</v>
      </c>
      <c r="E21" s="767" t="s">
        <v>10846</v>
      </c>
      <c r="F21" s="758">
        <v>50</v>
      </c>
      <c r="G21" s="758">
        <v>134.5</v>
      </c>
      <c r="H21" s="758">
        <v>184.5</v>
      </c>
      <c r="I21" s="628">
        <v>50</v>
      </c>
      <c r="J21" s="628">
        <v>560.5</v>
      </c>
      <c r="K21" s="636">
        <f t="shared" si="1"/>
        <v>610.5</v>
      </c>
      <c r="L21" s="636">
        <v>276.83000000000004</v>
      </c>
      <c r="M21" s="636">
        <v>1169.2</v>
      </c>
      <c r="N21" s="613"/>
    </row>
    <row r="22" spans="1:14" ht="30" customHeight="1" x14ac:dyDescent="0.25">
      <c r="A22" s="627" t="s">
        <v>10843</v>
      </c>
      <c r="B22" s="627" t="s">
        <v>10842</v>
      </c>
      <c r="C22" s="627" t="s">
        <v>839</v>
      </c>
      <c r="D22" s="627" t="s">
        <v>10528</v>
      </c>
      <c r="E22" s="767"/>
      <c r="F22" s="758"/>
      <c r="G22" s="758"/>
      <c r="H22" s="758"/>
      <c r="I22" s="628">
        <v>0</v>
      </c>
      <c r="J22" s="628">
        <v>185</v>
      </c>
      <c r="K22" s="636">
        <f t="shared" si="1"/>
        <v>185</v>
      </c>
      <c r="L22" s="636">
        <v>210</v>
      </c>
      <c r="M22" s="636">
        <v>294.86</v>
      </c>
      <c r="N22" s="613"/>
    </row>
    <row r="23" spans="1:14" ht="30" customHeight="1" x14ac:dyDescent="0.25">
      <c r="A23" s="627" t="s">
        <v>10841</v>
      </c>
      <c r="B23" s="627" t="s">
        <v>10840</v>
      </c>
      <c r="C23" s="627" t="s">
        <v>10839</v>
      </c>
      <c r="D23" s="627" t="s">
        <v>10528</v>
      </c>
      <c r="E23" s="767" t="s">
        <v>10841</v>
      </c>
      <c r="F23" s="758">
        <v>636.72</v>
      </c>
      <c r="G23" s="758">
        <v>416.36</v>
      </c>
      <c r="H23" s="758">
        <v>1053.08</v>
      </c>
      <c r="I23" s="628">
        <v>25</v>
      </c>
      <c r="J23" s="628">
        <v>893.78</v>
      </c>
      <c r="K23" s="636">
        <f t="shared" si="1"/>
        <v>918.78</v>
      </c>
      <c r="L23" s="636">
        <v>974.92</v>
      </c>
      <c r="M23" s="636">
        <v>1856.24</v>
      </c>
      <c r="N23" s="613"/>
    </row>
    <row r="24" spans="1:14" ht="30" customHeight="1" x14ac:dyDescent="0.25">
      <c r="A24" s="627" t="s">
        <v>10838</v>
      </c>
      <c r="B24" s="627" t="s">
        <v>10837</v>
      </c>
      <c r="C24" s="627" t="s">
        <v>10836</v>
      </c>
      <c r="D24" s="627" t="s">
        <v>10528</v>
      </c>
      <c r="E24" s="767" t="s">
        <v>10838</v>
      </c>
      <c r="F24" s="758">
        <v>180</v>
      </c>
      <c r="G24" s="758">
        <v>2432.73</v>
      </c>
      <c r="H24" s="758">
        <v>2612.73</v>
      </c>
      <c r="I24" s="628">
        <v>50</v>
      </c>
      <c r="J24" s="628">
        <v>2260.4299999999998</v>
      </c>
      <c r="K24" s="636">
        <f t="shared" si="1"/>
        <v>2310.4299999999998</v>
      </c>
      <c r="L24" s="636">
        <v>2825.49</v>
      </c>
      <c r="M24" s="636">
        <v>1849.68</v>
      </c>
      <c r="N24" s="613"/>
    </row>
    <row r="25" spans="1:14" ht="30" customHeight="1" x14ac:dyDescent="0.25">
      <c r="A25" s="627" t="s">
        <v>10835</v>
      </c>
      <c r="B25" s="627" t="s">
        <v>10834</v>
      </c>
      <c r="C25" s="627" t="s">
        <v>1032</v>
      </c>
      <c r="D25" s="627" t="s">
        <v>10528</v>
      </c>
      <c r="E25" s="767" t="s">
        <v>10835</v>
      </c>
      <c r="F25" s="758"/>
      <c r="G25" s="758">
        <v>591</v>
      </c>
      <c r="H25" s="758">
        <v>591</v>
      </c>
      <c r="I25" s="628">
        <v>0</v>
      </c>
      <c r="J25" s="628">
        <v>1332.74</v>
      </c>
      <c r="K25" s="636">
        <f t="shared" si="1"/>
        <v>1332.74</v>
      </c>
      <c r="L25" s="636">
        <v>1010.67</v>
      </c>
      <c r="M25" s="636">
        <v>1444.17</v>
      </c>
      <c r="N25" s="613"/>
    </row>
    <row r="26" spans="1:14" ht="30" customHeight="1" x14ac:dyDescent="0.25">
      <c r="A26" s="627" t="s">
        <v>10833</v>
      </c>
      <c r="B26" s="627" t="s">
        <v>10832</v>
      </c>
      <c r="C26" s="627" t="s">
        <v>10831</v>
      </c>
      <c r="D26" s="627" t="s">
        <v>10528</v>
      </c>
      <c r="E26" s="767" t="s">
        <v>10833</v>
      </c>
      <c r="F26" s="758">
        <v>55</v>
      </c>
      <c r="G26" s="758">
        <v>48.89</v>
      </c>
      <c r="H26" s="758">
        <v>103.89</v>
      </c>
      <c r="I26" s="628">
        <v>20</v>
      </c>
      <c r="J26" s="628">
        <v>793.27000000000021</v>
      </c>
      <c r="K26" s="636">
        <f t="shared" si="1"/>
        <v>813.27000000000021</v>
      </c>
      <c r="L26" s="636">
        <v>638.9</v>
      </c>
      <c r="M26" s="636">
        <v>981.11</v>
      </c>
      <c r="N26" s="613"/>
    </row>
    <row r="27" spans="1:14" ht="30" customHeight="1" x14ac:dyDescent="0.25">
      <c r="A27" s="627" t="s">
        <v>10830</v>
      </c>
      <c r="B27" s="627" t="s">
        <v>10829</v>
      </c>
      <c r="C27" s="627" t="s">
        <v>10828</v>
      </c>
      <c r="D27" s="627" t="s">
        <v>10528</v>
      </c>
      <c r="E27" s="767" t="s">
        <v>10830</v>
      </c>
      <c r="F27" s="758">
        <v>85</v>
      </c>
      <c r="G27" s="758">
        <v>341</v>
      </c>
      <c r="H27" s="758">
        <v>426</v>
      </c>
      <c r="I27" s="628">
        <v>55</v>
      </c>
      <c r="J27" s="628">
        <v>260</v>
      </c>
      <c r="K27" s="636">
        <f t="shared" si="1"/>
        <v>315</v>
      </c>
      <c r="L27" s="636">
        <v>676</v>
      </c>
      <c r="M27" s="636">
        <v>640</v>
      </c>
      <c r="N27" s="613"/>
    </row>
    <row r="28" spans="1:14" ht="30" customHeight="1" x14ac:dyDescent="0.25">
      <c r="A28" s="627" t="s">
        <v>10827</v>
      </c>
      <c r="B28" s="627" t="s">
        <v>10826</v>
      </c>
      <c r="C28" s="627" t="s">
        <v>10825</v>
      </c>
      <c r="D28" s="627" t="s">
        <v>10528</v>
      </c>
      <c r="E28" s="767" t="s">
        <v>10827</v>
      </c>
      <c r="F28" s="758">
        <v>25</v>
      </c>
      <c r="G28" s="758"/>
      <c r="H28" s="758">
        <v>25</v>
      </c>
      <c r="I28" s="628">
        <v>0</v>
      </c>
      <c r="J28" s="628">
        <v>25</v>
      </c>
      <c r="K28" s="636">
        <f t="shared" si="1"/>
        <v>25</v>
      </c>
      <c r="L28" s="636">
        <v>25</v>
      </c>
      <c r="M28" s="636">
        <v>25</v>
      </c>
      <c r="N28" s="613"/>
    </row>
    <row r="29" spans="1:14" ht="30" customHeight="1" x14ac:dyDescent="0.25">
      <c r="A29" s="627" t="s">
        <v>10824</v>
      </c>
      <c r="B29" s="627" t="s">
        <v>10823</v>
      </c>
      <c r="C29" s="627" t="s">
        <v>10822</v>
      </c>
      <c r="D29" s="627" t="s">
        <v>10528</v>
      </c>
      <c r="E29" s="767" t="s">
        <v>10824</v>
      </c>
      <c r="F29" s="758">
        <v>108</v>
      </c>
      <c r="G29" s="758">
        <v>79</v>
      </c>
      <c r="H29" s="758">
        <v>187</v>
      </c>
      <c r="I29" s="628">
        <v>30</v>
      </c>
      <c r="J29" s="628">
        <v>649.82999999999993</v>
      </c>
      <c r="K29" s="636">
        <f t="shared" si="1"/>
        <v>679.82999999999993</v>
      </c>
      <c r="L29" s="636">
        <v>706</v>
      </c>
      <c r="M29" s="636">
        <v>965</v>
      </c>
      <c r="N29" s="613"/>
    </row>
    <row r="30" spans="1:14" ht="30" customHeight="1" x14ac:dyDescent="0.25">
      <c r="A30" s="627" t="s">
        <v>10821</v>
      </c>
      <c r="B30" s="627" t="s">
        <v>10820</v>
      </c>
      <c r="C30" s="627" t="s">
        <v>10819</v>
      </c>
      <c r="D30" s="627" t="s">
        <v>10415</v>
      </c>
      <c r="E30" s="767" t="s">
        <v>10821</v>
      </c>
      <c r="F30" s="758">
        <v>190</v>
      </c>
      <c r="G30" s="758">
        <v>273</v>
      </c>
      <c r="H30" s="758">
        <v>463</v>
      </c>
      <c r="I30" s="628">
        <v>95</v>
      </c>
      <c r="J30" s="628">
        <v>955.96</v>
      </c>
      <c r="K30" s="636">
        <f t="shared" si="1"/>
        <v>1050.96</v>
      </c>
      <c r="L30" s="636">
        <v>989.61</v>
      </c>
      <c r="M30" s="636">
        <v>1250.3800000000001</v>
      </c>
      <c r="N30" s="613"/>
    </row>
    <row r="31" spans="1:14" ht="30" customHeight="1" x14ac:dyDescent="0.25">
      <c r="A31" s="627" t="s">
        <v>10818</v>
      </c>
      <c r="B31" s="627" t="s">
        <v>10817</v>
      </c>
      <c r="C31" s="627" t="s">
        <v>10816</v>
      </c>
      <c r="D31" s="627" t="s">
        <v>10415</v>
      </c>
      <c r="E31" s="767" t="s">
        <v>10818</v>
      </c>
      <c r="F31" s="758">
        <v>72</v>
      </c>
      <c r="G31" s="758"/>
      <c r="H31" s="758">
        <v>72</v>
      </c>
      <c r="I31" s="628">
        <v>46</v>
      </c>
      <c r="J31" s="628">
        <v>36</v>
      </c>
      <c r="K31" s="636">
        <f t="shared" si="1"/>
        <v>82</v>
      </c>
      <c r="L31" s="636">
        <v>473.57</v>
      </c>
      <c r="M31" s="636">
        <v>1467.37</v>
      </c>
      <c r="N31" s="613"/>
    </row>
    <row r="32" spans="1:14" ht="30" customHeight="1" x14ac:dyDescent="0.25">
      <c r="A32" s="627" t="s">
        <v>10815</v>
      </c>
      <c r="B32" s="627" t="s">
        <v>10814</v>
      </c>
      <c r="C32" s="627" t="s">
        <v>10813</v>
      </c>
      <c r="D32" s="627" t="s">
        <v>10415</v>
      </c>
      <c r="E32" s="767" t="s">
        <v>10815</v>
      </c>
      <c r="F32" s="758">
        <v>135</v>
      </c>
      <c r="G32" s="758">
        <v>372.49</v>
      </c>
      <c r="H32" s="758">
        <v>507.49</v>
      </c>
      <c r="I32" s="628">
        <v>135</v>
      </c>
      <c r="J32" s="628">
        <v>1247.3600000000001</v>
      </c>
      <c r="K32" s="636">
        <f t="shared" si="1"/>
        <v>1382.3600000000001</v>
      </c>
      <c r="L32" s="636">
        <v>991.4</v>
      </c>
      <c r="M32" s="636">
        <v>1423.68</v>
      </c>
      <c r="N32" s="613"/>
    </row>
    <row r="33" spans="1:14" ht="30" customHeight="1" x14ac:dyDescent="0.25">
      <c r="A33" s="627" t="s">
        <v>10812</v>
      </c>
      <c r="B33" s="627" t="s">
        <v>10811</v>
      </c>
      <c r="C33" s="627" t="s">
        <v>10810</v>
      </c>
      <c r="D33" s="627" t="s">
        <v>10415</v>
      </c>
      <c r="E33" s="767" t="s">
        <v>10812</v>
      </c>
      <c r="F33" s="758">
        <v>40</v>
      </c>
      <c r="G33" s="758"/>
      <c r="H33" s="758">
        <v>40</v>
      </c>
      <c r="I33" s="628">
        <v>20</v>
      </c>
      <c r="J33" s="628">
        <v>20</v>
      </c>
      <c r="K33" s="636">
        <f t="shared" si="1"/>
        <v>40</v>
      </c>
      <c r="L33" s="636">
        <v>40</v>
      </c>
      <c r="M33" s="636">
        <v>167.5</v>
      </c>
      <c r="N33" s="613"/>
    </row>
    <row r="34" spans="1:14" ht="30" customHeight="1" x14ac:dyDescent="0.25">
      <c r="A34" s="627" t="s">
        <v>10809</v>
      </c>
      <c r="B34" s="627" t="s">
        <v>10808</v>
      </c>
      <c r="C34" s="627" t="s">
        <v>10807</v>
      </c>
      <c r="D34" s="627" t="s">
        <v>10415</v>
      </c>
      <c r="E34" s="767" t="s">
        <v>10809</v>
      </c>
      <c r="F34" s="758">
        <v>50</v>
      </c>
      <c r="G34" s="758">
        <v>609.23</v>
      </c>
      <c r="H34" s="758">
        <v>659.23</v>
      </c>
      <c r="I34" s="628">
        <v>20</v>
      </c>
      <c r="J34" s="628">
        <v>2075.1799999999998</v>
      </c>
      <c r="K34" s="636">
        <f t="shared" si="1"/>
        <v>2095.1799999999998</v>
      </c>
      <c r="L34" s="636">
        <v>1341.77</v>
      </c>
      <c r="M34" s="636">
        <v>1923.27</v>
      </c>
      <c r="N34" s="613"/>
    </row>
    <row r="35" spans="1:14" ht="30" customHeight="1" x14ac:dyDescent="0.25">
      <c r="A35" s="627" t="s">
        <v>10806</v>
      </c>
      <c r="B35" s="627" t="s">
        <v>10805</v>
      </c>
      <c r="C35" s="627" t="s">
        <v>10804</v>
      </c>
      <c r="D35" s="627" t="s">
        <v>10415</v>
      </c>
      <c r="E35" s="767" t="s">
        <v>10806</v>
      </c>
      <c r="F35" s="758">
        <v>1851.3300000000004</v>
      </c>
      <c r="G35" s="758">
        <v>1046.8399999999999</v>
      </c>
      <c r="H35" s="758">
        <v>2898.17</v>
      </c>
      <c r="I35" s="628">
        <v>655</v>
      </c>
      <c r="J35" s="628">
        <v>3671.87</v>
      </c>
      <c r="K35" s="636">
        <f t="shared" si="1"/>
        <v>4326.87</v>
      </c>
      <c r="L35" s="636">
        <v>3967.67</v>
      </c>
      <c r="M35" s="636">
        <v>3616.71</v>
      </c>
      <c r="N35" s="613"/>
    </row>
    <row r="36" spans="1:14" ht="30" customHeight="1" x14ac:dyDescent="0.25">
      <c r="A36" s="627" t="s">
        <v>10803</v>
      </c>
      <c r="B36" s="627" t="s">
        <v>10802</v>
      </c>
      <c r="C36" s="627" t="s">
        <v>10801</v>
      </c>
      <c r="D36" s="627" t="s">
        <v>10415</v>
      </c>
      <c r="E36" s="767" t="s">
        <v>10803</v>
      </c>
      <c r="F36" s="758">
        <v>967.13999999999987</v>
      </c>
      <c r="G36" s="758">
        <v>910.33000000000015</v>
      </c>
      <c r="H36" s="758">
        <v>1877.47</v>
      </c>
      <c r="I36" s="628">
        <v>185</v>
      </c>
      <c r="J36" s="628">
        <v>2200.71</v>
      </c>
      <c r="K36" s="636">
        <f t="shared" si="1"/>
        <v>2385.71</v>
      </c>
      <c r="L36" s="636">
        <v>2397.19</v>
      </c>
      <c r="M36" s="636">
        <v>2325.02</v>
      </c>
      <c r="N36" s="613"/>
    </row>
    <row r="37" spans="1:14" ht="30" customHeight="1" x14ac:dyDescent="0.25">
      <c r="A37" s="627" t="s">
        <v>10800</v>
      </c>
      <c r="B37" s="627" t="s">
        <v>10799</v>
      </c>
      <c r="C37" s="627" t="s">
        <v>10798</v>
      </c>
      <c r="D37" s="627" t="s">
        <v>10415</v>
      </c>
      <c r="E37" s="767" t="s">
        <v>10800</v>
      </c>
      <c r="F37" s="758">
        <v>90</v>
      </c>
      <c r="G37" s="758">
        <v>285</v>
      </c>
      <c r="H37" s="758">
        <v>375</v>
      </c>
      <c r="I37" s="628">
        <v>25</v>
      </c>
      <c r="J37" s="628">
        <v>384</v>
      </c>
      <c r="K37" s="636">
        <f t="shared" si="1"/>
        <v>409</v>
      </c>
      <c r="L37" s="636">
        <v>1016</v>
      </c>
      <c r="M37" s="636">
        <v>695.7</v>
      </c>
      <c r="N37" s="613"/>
    </row>
    <row r="38" spans="1:14" ht="30" customHeight="1" x14ac:dyDescent="0.25">
      <c r="A38" s="627" t="s">
        <v>10797</v>
      </c>
      <c r="B38" s="627" t="s">
        <v>10796</v>
      </c>
      <c r="C38" s="627" t="s">
        <v>10795</v>
      </c>
      <c r="D38" s="627" t="s">
        <v>10415</v>
      </c>
      <c r="E38" s="767" t="s">
        <v>10797</v>
      </c>
      <c r="F38" s="758">
        <v>110</v>
      </c>
      <c r="G38" s="758">
        <v>850</v>
      </c>
      <c r="H38" s="758">
        <v>960</v>
      </c>
      <c r="I38" s="628">
        <v>85</v>
      </c>
      <c r="J38" s="628">
        <v>25</v>
      </c>
      <c r="K38" s="636">
        <f t="shared" si="1"/>
        <v>110</v>
      </c>
      <c r="L38" s="636">
        <v>120</v>
      </c>
      <c r="M38" s="636">
        <v>150</v>
      </c>
      <c r="N38" s="613"/>
    </row>
    <row r="39" spans="1:14" ht="30" customHeight="1" x14ac:dyDescent="0.25">
      <c r="A39" s="627" t="s">
        <v>10794</v>
      </c>
      <c r="B39" s="627" t="s">
        <v>10793</v>
      </c>
      <c r="C39" s="627" t="s">
        <v>10792</v>
      </c>
      <c r="D39" s="627" t="s">
        <v>10539</v>
      </c>
      <c r="E39" s="767"/>
      <c r="F39" s="758"/>
      <c r="G39" s="758"/>
      <c r="H39" s="758"/>
      <c r="I39" s="628">
        <v>0</v>
      </c>
      <c r="J39" s="628">
        <v>189.98</v>
      </c>
      <c r="K39" s="636">
        <f t="shared" si="1"/>
        <v>189.98</v>
      </c>
      <c r="L39" s="636">
        <v>123.33</v>
      </c>
      <c r="M39" s="636">
        <v>273.5</v>
      </c>
      <c r="N39" s="613"/>
    </row>
    <row r="40" spans="1:14" ht="30" customHeight="1" x14ac:dyDescent="0.25">
      <c r="A40" s="627" t="s">
        <v>10791</v>
      </c>
      <c r="B40" s="627" t="s">
        <v>10790</v>
      </c>
      <c r="C40" s="627" t="s">
        <v>1008</v>
      </c>
      <c r="D40" s="627" t="s">
        <v>10539</v>
      </c>
      <c r="E40" s="767" t="s">
        <v>10791</v>
      </c>
      <c r="F40" s="758">
        <v>139</v>
      </c>
      <c r="G40" s="758">
        <v>1937.04</v>
      </c>
      <c r="H40" s="758">
        <v>2076.04</v>
      </c>
      <c r="I40" s="628">
        <v>20</v>
      </c>
      <c r="J40" s="628">
        <v>2966.8499999999995</v>
      </c>
      <c r="K40" s="636">
        <f t="shared" si="1"/>
        <v>2986.8499999999995</v>
      </c>
      <c r="L40" s="636">
        <v>2385.48</v>
      </c>
      <c r="M40" s="636">
        <v>2628.2</v>
      </c>
      <c r="N40" s="613"/>
    </row>
    <row r="41" spans="1:14" ht="30" customHeight="1" x14ac:dyDescent="0.25">
      <c r="A41" s="627" t="s">
        <v>10789</v>
      </c>
      <c r="B41" s="627" t="s">
        <v>10788</v>
      </c>
      <c r="C41" s="627" t="s">
        <v>10787</v>
      </c>
      <c r="D41" s="627" t="s">
        <v>10539</v>
      </c>
      <c r="E41" s="767" t="s">
        <v>10789</v>
      </c>
      <c r="F41" s="758">
        <v>110</v>
      </c>
      <c r="G41" s="758">
        <v>723</v>
      </c>
      <c r="H41" s="758">
        <v>833</v>
      </c>
      <c r="I41" s="628">
        <v>105</v>
      </c>
      <c r="J41" s="628">
        <v>872</v>
      </c>
      <c r="K41" s="636">
        <f t="shared" si="1"/>
        <v>977</v>
      </c>
      <c r="L41" s="636">
        <v>1670</v>
      </c>
      <c r="M41" s="636">
        <v>2240</v>
      </c>
      <c r="N41" s="613"/>
    </row>
    <row r="42" spans="1:14" ht="30" customHeight="1" x14ac:dyDescent="0.25">
      <c r="A42" s="627" t="s">
        <v>10786</v>
      </c>
      <c r="B42" s="627" t="s">
        <v>10785</v>
      </c>
      <c r="C42" s="627" t="s">
        <v>10784</v>
      </c>
      <c r="D42" s="627" t="s">
        <v>10539</v>
      </c>
      <c r="E42" s="767" t="s">
        <v>10786</v>
      </c>
      <c r="F42" s="758">
        <v>160</v>
      </c>
      <c r="G42" s="758">
        <v>412.82</v>
      </c>
      <c r="H42" s="758">
        <v>572.81999999999994</v>
      </c>
      <c r="I42" s="628">
        <v>75</v>
      </c>
      <c r="J42" s="628">
        <v>1031.3000000000002</v>
      </c>
      <c r="K42" s="636">
        <f t="shared" si="1"/>
        <v>1106.3000000000002</v>
      </c>
      <c r="L42" s="636">
        <v>1019.24</v>
      </c>
      <c r="M42" s="636">
        <v>1179.0999999999999</v>
      </c>
      <c r="N42" s="613"/>
    </row>
    <row r="43" spans="1:14" ht="30" customHeight="1" x14ac:dyDescent="0.25">
      <c r="A43" s="627" t="s">
        <v>10783</v>
      </c>
      <c r="B43" s="627" t="s">
        <v>10782</v>
      </c>
      <c r="C43" s="627" t="s">
        <v>10781</v>
      </c>
      <c r="D43" s="627" t="s">
        <v>10539</v>
      </c>
      <c r="E43" s="767" t="s">
        <v>10783</v>
      </c>
      <c r="F43" s="758">
        <v>154</v>
      </c>
      <c r="G43" s="758">
        <v>394</v>
      </c>
      <c r="H43" s="758">
        <v>548</v>
      </c>
      <c r="I43" s="628">
        <v>112</v>
      </c>
      <c r="J43" s="628">
        <v>1678.55</v>
      </c>
      <c r="K43" s="636">
        <f t="shared" si="1"/>
        <v>1790.55</v>
      </c>
      <c r="L43" s="636">
        <v>2024.88</v>
      </c>
      <c r="M43" s="636">
        <v>1869.31</v>
      </c>
      <c r="N43" s="613"/>
    </row>
    <row r="44" spans="1:14" ht="30" customHeight="1" x14ac:dyDescent="0.25">
      <c r="A44" s="627" t="s">
        <v>10780</v>
      </c>
      <c r="B44" s="627" t="s">
        <v>10779</v>
      </c>
      <c r="C44" s="627" t="s">
        <v>10778</v>
      </c>
      <c r="D44" s="627" t="s">
        <v>10518</v>
      </c>
      <c r="E44" s="767" t="s">
        <v>10780</v>
      </c>
      <c r="F44" s="758">
        <v>75</v>
      </c>
      <c r="G44" s="758">
        <v>1059.21</v>
      </c>
      <c r="H44" s="758">
        <v>1134.21</v>
      </c>
      <c r="I44" s="628">
        <v>20</v>
      </c>
      <c r="J44" s="628">
        <v>2249.7600000000002</v>
      </c>
      <c r="K44" s="636">
        <f t="shared" si="1"/>
        <v>2269.7600000000002</v>
      </c>
      <c r="L44" s="636">
        <v>1978.31</v>
      </c>
      <c r="M44" s="636">
        <v>2300.7199999999998</v>
      </c>
      <c r="N44" s="613"/>
    </row>
    <row r="45" spans="1:14" ht="30" customHeight="1" x14ac:dyDescent="0.25">
      <c r="A45" s="627" t="s">
        <v>10777</v>
      </c>
      <c r="B45" s="627" t="s">
        <v>10776</v>
      </c>
      <c r="C45" s="627" t="s">
        <v>10775</v>
      </c>
      <c r="D45" s="627" t="s">
        <v>10518</v>
      </c>
      <c r="E45" s="767" t="s">
        <v>10777</v>
      </c>
      <c r="F45" s="758">
        <v>304</v>
      </c>
      <c r="G45" s="758">
        <v>65.25</v>
      </c>
      <c r="H45" s="758">
        <v>369.25</v>
      </c>
      <c r="I45" s="628">
        <v>152</v>
      </c>
      <c r="J45" s="628">
        <v>1238.76</v>
      </c>
      <c r="K45" s="636">
        <f t="shared" si="1"/>
        <v>1390.76</v>
      </c>
      <c r="L45" s="636">
        <v>1561.44</v>
      </c>
      <c r="M45" s="636">
        <v>1570.73</v>
      </c>
      <c r="N45" s="613"/>
    </row>
    <row r="46" spans="1:14" ht="30" customHeight="1" x14ac:dyDescent="0.25">
      <c r="A46" s="627" t="s">
        <v>10774</v>
      </c>
      <c r="B46" s="627" t="s">
        <v>10773</v>
      </c>
      <c r="C46" s="627" t="s">
        <v>10772</v>
      </c>
      <c r="D46" s="627" t="s">
        <v>10518</v>
      </c>
      <c r="E46" s="767" t="s">
        <v>10774</v>
      </c>
      <c r="F46" s="758">
        <v>883.11000000000013</v>
      </c>
      <c r="G46" s="758">
        <v>889.68</v>
      </c>
      <c r="H46" s="758">
        <v>1772.79</v>
      </c>
      <c r="I46" s="628">
        <v>95</v>
      </c>
      <c r="J46" s="628">
        <v>2905.56</v>
      </c>
      <c r="K46" s="636">
        <f t="shared" si="1"/>
        <v>3000.56</v>
      </c>
      <c r="L46" s="636">
        <v>3141.63</v>
      </c>
      <c r="M46" s="636">
        <v>3021.86</v>
      </c>
      <c r="N46" s="613"/>
    </row>
    <row r="47" spans="1:14" ht="30" customHeight="1" x14ac:dyDescent="0.25">
      <c r="A47" s="627" t="s">
        <v>10771</v>
      </c>
      <c r="B47" s="627" t="s">
        <v>10770</v>
      </c>
      <c r="C47" s="627" t="s">
        <v>10769</v>
      </c>
      <c r="D47" s="627" t="s">
        <v>10768</v>
      </c>
      <c r="E47" s="767" t="s">
        <v>10771</v>
      </c>
      <c r="F47" s="758">
        <v>40</v>
      </c>
      <c r="G47" s="758">
        <v>292.75</v>
      </c>
      <c r="H47" s="758">
        <v>332.75</v>
      </c>
      <c r="I47" s="628">
        <v>15</v>
      </c>
      <c r="J47" s="628">
        <v>834.02</v>
      </c>
      <c r="K47" s="636">
        <f t="shared" si="1"/>
        <v>849.02</v>
      </c>
      <c r="L47" s="636">
        <v>954.81</v>
      </c>
      <c r="M47" s="636">
        <v>995.18</v>
      </c>
      <c r="N47" s="613"/>
    </row>
    <row r="48" spans="1:14" ht="30" customHeight="1" x14ac:dyDescent="0.25">
      <c r="A48" s="627" t="s">
        <v>10767</v>
      </c>
      <c r="B48" s="627" t="s">
        <v>10766</v>
      </c>
      <c r="C48" s="627" t="s">
        <v>10765</v>
      </c>
      <c r="D48" s="627" t="s">
        <v>10764</v>
      </c>
      <c r="E48" s="767" t="s">
        <v>10767</v>
      </c>
      <c r="F48" s="758">
        <v>75</v>
      </c>
      <c r="G48" s="758">
        <v>60</v>
      </c>
      <c r="H48" s="758">
        <v>135</v>
      </c>
      <c r="I48" s="628">
        <v>0</v>
      </c>
      <c r="J48" s="628">
        <v>2313.44</v>
      </c>
      <c r="K48" s="636">
        <f t="shared" si="1"/>
        <v>2313.44</v>
      </c>
      <c r="L48" s="636">
        <v>2834.48</v>
      </c>
      <c r="M48" s="636">
        <v>2753.35</v>
      </c>
      <c r="N48" s="613"/>
    </row>
    <row r="49" spans="1:14" ht="30" customHeight="1" x14ac:dyDescent="0.25">
      <c r="A49" s="627" t="s">
        <v>10763</v>
      </c>
      <c r="B49" s="627" t="s">
        <v>10762</v>
      </c>
      <c r="C49" s="627" t="s">
        <v>226</v>
      </c>
      <c r="D49" s="627" t="s">
        <v>10761</v>
      </c>
      <c r="E49" s="767" t="s">
        <v>10763</v>
      </c>
      <c r="F49" s="758">
        <v>715.11999999999989</v>
      </c>
      <c r="G49" s="758">
        <v>522.88000000000011</v>
      </c>
      <c r="H49" s="758">
        <v>1238</v>
      </c>
      <c r="I49" s="628">
        <v>120</v>
      </c>
      <c r="J49" s="628">
        <v>1275.06</v>
      </c>
      <c r="K49" s="636">
        <f t="shared" si="1"/>
        <v>1395.06</v>
      </c>
      <c r="L49" s="636">
        <v>1269</v>
      </c>
      <c r="M49" s="636">
        <v>1095</v>
      </c>
      <c r="N49" s="613"/>
    </row>
    <row r="50" spans="1:14" ht="30" customHeight="1" x14ac:dyDescent="0.25">
      <c r="A50" s="627" t="s">
        <v>10760</v>
      </c>
      <c r="B50" s="627" t="s">
        <v>10759</v>
      </c>
      <c r="C50" s="627" t="s">
        <v>226</v>
      </c>
      <c r="D50" s="627" t="s">
        <v>10758</v>
      </c>
      <c r="E50" s="767" t="s">
        <v>10760</v>
      </c>
      <c r="F50" s="758">
        <v>47</v>
      </c>
      <c r="G50" s="758"/>
      <c r="H50" s="758">
        <v>47</v>
      </c>
      <c r="I50" s="628">
        <v>25</v>
      </c>
      <c r="J50" s="628">
        <v>315.98</v>
      </c>
      <c r="K50" s="636">
        <f t="shared" si="1"/>
        <v>340.98</v>
      </c>
      <c r="L50" s="636">
        <v>578.18000000000006</v>
      </c>
      <c r="M50" s="636">
        <v>456.89</v>
      </c>
      <c r="N50" s="613"/>
    </row>
    <row r="51" spans="1:14" ht="30" customHeight="1" x14ac:dyDescent="0.25">
      <c r="A51" s="627" t="s">
        <v>10757</v>
      </c>
      <c r="B51" s="627" t="s">
        <v>10756</v>
      </c>
      <c r="C51" s="627" t="s">
        <v>10755</v>
      </c>
      <c r="D51" s="627" t="s">
        <v>10754</v>
      </c>
      <c r="E51" s="767" t="s">
        <v>10757</v>
      </c>
      <c r="F51" s="758">
        <v>518</v>
      </c>
      <c r="G51" s="758">
        <v>343.07</v>
      </c>
      <c r="H51" s="758">
        <v>861.06999999999994</v>
      </c>
      <c r="I51" s="628">
        <v>217</v>
      </c>
      <c r="J51" s="628">
        <v>1967.5699999999997</v>
      </c>
      <c r="K51" s="636">
        <f t="shared" ref="K51:K84" si="2">SUM(I51:J51)</f>
        <v>2184.5699999999997</v>
      </c>
      <c r="L51" s="636">
        <v>2109.8900000000003</v>
      </c>
      <c r="M51" s="636">
        <v>1903.12</v>
      </c>
      <c r="N51" s="613"/>
    </row>
    <row r="52" spans="1:14" ht="30" customHeight="1" x14ac:dyDescent="0.25">
      <c r="A52" s="627" t="s">
        <v>10753</v>
      </c>
      <c r="B52" s="627" t="s">
        <v>10752</v>
      </c>
      <c r="C52" s="627" t="s">
        <v>10751</v>
      </c>
      <c r="D52" s="627" t="s">
        <v>10750</v>
      </c>
      <c r="E52" s="767" t="s">
        <v>10753</v>
      </c>
      <c r="F52" s="758">
        <v>282</v>
      </c>
      <c r="G52" s="758"/>
      <c r="H52" s="758">
        <v>282</v>
      </c>
      <c r="I52" s="628">
        <v>281</v>
      </c>
      <c r="J52" s="628">
        <v>2423.71</v>
      </c>
      <c r="K52" s="636">
        <f t="shared" si="2"/>
        <v>2704.71</v>
      </c>
      <c r="L52" s="636">
        <v>2880.77</v>
      </c>
      <c r="M52" s="636">
        <v>2472.9</v>
      </c>
      <c r="N52" s="613"/>
    </row>
    <row r="53" spans="1:14" ht="30" customHeight="1" x14ac:dyDescent="0.25">
      <c r="A53" s="627" t="s">
        <v>10749</v>
      </c>
      <c r="B53" s="627" t="s">
        <v>10748</v>
      </c>
      <c r="C53" s="627" t="s">
        <v>10747</v>
      </c>
      <c r="D53" s="627" t="s">
        <v>10746</v>
      </c>
      <c r="E53" s="767" t="s">
        <v>10749</v>
      </c>
      <c r="F53" s="758">
        <v>48</v>
      </c>
      <c r="G53" s="758"/>
      <c r="H53" s="758">
        <v>48</v>
      </c>
      <c r="I53" s="628">
        <v>84</v>
      </c>
      <c r="J53" s="628">
        <v>141.15</v>
      </c>
      <c r="K53" s="636">
        <f t="shared" si="2"/>
        <v>225.15</v>
      </c>
      <c r="L53" s="636">
        <v>476.63</v>
      </c>
      <c r="M53" s="636">
        <v>647.49</v>
      </c>
      <c r="N53" s="613"/>
    </row>
    <row r="54" spans="1:14" ht="30" customHeight="1" x14ac:dyDescent="0.25">
      <c r="A54" s="627" t="s">
        <v>10745</v>
      </c>
      <c r="B54" s="627" t="s">
        <v>10744</v>
      </c>
      <c r="C54" s="627" t="s">
        <v>532</v>
      </c>
      <c r="D54" s="627" t="s">
        <v>10740</v>
      </c>
      <c r="E54" s="767" t="s">
        <v>10745</v>
      </c>
      <c r="F54" s="758">
        <v>475</v>
      </c>
      <c r="G54" s="758">
        <v>897.19</v>
      </c>
      <c r="H54" s="758">
        <v>1372.19</v>
      </c>
      <c r="I54" s="628">
        <v>150</v>
      </c>
      <c r="J54" s="628">
        <v>1291.8399999999999</v>
      </c>
      <c r="K54" s="636">
        <f t="shared" si="2"/>
        <v>1441.84</v>
      </c>
      <c r="L54" s="636">
        <v>1658.42</v>
      </c>
      <c r="M54" s="636">
        <v>1498.9</v>
      </c>
      <c r="N54" s="613"/>
    </row>
    <row r="55" spans="1:14" ht="30" customHeight="1" x14ac:dyDescent="0.25">
      <c r="A55" s="627" t="s">
        <v>10743</v>
      </c>
      <c r="B55" s="627" t="s">
        <v>10742</v>
      </c>
      <c r="C55" s="627" t="s">
        <v>10741</v>
      </c>
      <c r="D55" s="627" t="s">
        <v>10740</v>
      </c>
      <c r="E55" s="767" t="s">
        <v>10743</v>
      </c>
      <c r="F55" s="758">
        <v>100</v>
      </c>
      <c r="G55" s="758">
        <v>293.17</v>
      </c>
      <c r="H55" s="758">
        <v>393.17</v>
      </c>
      <c r="I55" s="628">
        <v>0</v>
      </c>
      <c r="J55" s="628">
        <v>77.81</v>
      </c>
      <c r="K55" s="636">
        <f t="shared" si="2"/>
        <v>77.81</v>
      </c>
      <c r="L55" s="636">
        <v>547.53</v>
      </c>
      <c r="M55" s="636">
        <v>390</v>
      </c>
      <c r="N55" s="613"/>
    </row>
    <row r="56" spans="1:14" ht="30" customHeight="1" x14ac:dyDescent="0.25">
      <c r="A56" s="627" t="s">
        <v>10739</v>
      </c>
      <c r="B56" s="627" t="s">
        <v>10738</v>
      </c>
      <c r="C56" s="627" t="s">
        <v>1165</v>
      </c>
      <c r="D56" s="627" t="s">
        <v>5816</v>
      </c>
      <c r="E56" s="767" t="s">
        <v>10739</v>
      </c>
      <c r="F56" s="758">
        <v>180</v>
      </c>
      <c r="G56" s="758">
        <v>1584.96</v>
      </c>
      <c r="H56" s="758">
        <v>1764.96</v>
      </c>
      <c r="I56" s="628">
        <v>100</v>
      </c>
      <c r="J56" s="628">
        <v>2486.7399999999998</v>
      </c>
      <c r="K56" s="636">
        <f t="shared" si="2"/>
        <v>2586.7399999999998</v>
      </c>
      <c r="L56" s="636">
        <v>3002.39</v>
      </c>
      <c r="M56" s="636">
        <v>2430.6</v>
      </c>
      <c r="N56" s="613"/>
    </row>
    <row r="57" spans="1:14" ht="30" customHeight="1" x14ac:dyDescent="0.25">
      <c r="A57" s="627" t="s">
        <v>10737</v>
      </c>
      <c r="B57" s="627" t="s">
        <v>10736</v>
      </c>
      <c r="C57" s="627" t="s">
        <v>10735</v>
      </c>
      <c r="D57" s="627" t="s">
        <v>5816</v>
      </c>
      <c r="E57" s="767" t="s">
        <v>10737</v>
      </c>
      <c r="F57" s="758">
        <v>236</v>
      </c>
      <c r="G57" s="758">
        <v>1612.35</v>
      </c>
      <c r="H57" s="758">
        <v>1848.35</v>
      </c>
      <c r="I57" s="628">
        <v>130</v>
      </c>
      <c r="J57" s="628">
        <v>2468.380000000001</v>
      </c>
      <c r="K57" s="636">
        <f t="shared" si="2"/>
        <v>2598.380000000001</v>
      </c>
      <c r="L57" s="636">
        <v>2255.46</v>
      </c>
      <c r="M57" s="636">
        <v>2566.62</v>
      </c>
      <c r="N57" s="613"/>
    </row>
    <row r="58" spans="1:14" ht="30" customHeight="1" x14ac:dyDescent="0.25">
      <c r="A58" s="627" t="s">
        <v>10734</v>
      </c>
      <c r="B58" s="627" t="s">
        <v>10733</v>
      </c>
      <c r="C58" s="627" t="s">
        <v>7535</v>
      </c>
      <c r="D58" s="627" t="s">
        <v>10732</v>
      </c>
      <c r="E58" s="767" t="s">
        <v>10734</v>
      </c>
      <c r="F58" s="758">
        <v>75</v>
      </c>
      <c r="G58" s="758">
        <v>717.13</v>
      </c>
      <c r="H58" s="758">
        <v>792.13</v>
      </c>
      <c r="I58" s="628">
        <v>50</v>
      </c>
      <c r="J58" s="628">
        <v>1527.52</v>
      </c>
      <c r="K58" s="636">
        <f t="shared" si="2"/>
        <v>1577.52</v>
      </c>
      <c r="L58" s="636">
        <v>691.32</v>
      </c>
      <c r="M58" s="636">
        <v>620.04999999999995</v>
      </c>
      <c r="N58" s="613"/>
    </row>
    <row r="59" spans="1:14" ht="30" customHeight="1" x14ac:dyDescent="0.25">
      <c r="A59" s="627" t="s">
        <v>11360</v>
      </c>
      <c r="B59" s="627">
        <v>916</v>
      </c>
      <c r="C59" s="627" t="s">
        <v>11363</v>
      </c>
      <c r="D59" s="627" t="s">
        <v>10754</v>
      </c>
      <c r="E59" s="767" t="s">
        <v>11360</v>
      </c>
      <c r="F59" s="758">
        <v>135</v>
      </c>
      <c r="G59" s="758"/>
      <c r="H59" s="758">
        <v>135</v>
      </c>
      <c r="I59" s="628"/>
      <c r="J59" s="628"/>
      <c r="K59" s="636"/>
      <c r="L59" s="636"/>
      <c r="M59" s="636"/>
      <c r="N59" s="613"/>
    </row>
    <row r="60" spans="1:14" ht="30" customHeight="1" x14ac:dyDescent="0.25">
      <c r="A60" s="627" t="s">
        <v>10731</v>
      </c>
      <c r="B60" s="627" t="s">
        <v>10730</v>
      </c>
      <c r="C60" s="627" t="s">
        <v>226</v>
      </c>
      <c r="D60" s="627" t="s">
        <v>10535</v>
      </c>
      <c r="E60" s="767" t="s">
        <v>10731</v>
      </c>
      <c r="F60" s="758">
        <v>160</v>
      </c>
      <c r="G60" s="758">
        <v>484.08</v>
      </c>
      <c r="H60" s="758">
        <v>644.07999999999993</v>
      </c>
      <c r="I60" s="628">
        <v>80</v>
      </c>
      <c r="J60" s="628">
        <v>449</v>
      </c>
      <c r="K60" s="636">
        <f t="shared" si="2"/>
        <v>529</v>
      </c>
      <c r="L60" s="636">
        <v>1859.62</v>
      </c>
      <c r="M60" s="636">
        <v>1153.58</v>
      </c>
      <c r="N60" s="613"/>
    </row>
    <row r="61" spans="1:14" ht="30" customHeight="1" x14ac:dyDescent="0.25">
      <c r="A61" s="627" t="s">
        <v>10729</v>
      </c>
      <c r="B61" s="627" t="s">
        <v>10728</v>
      </c>
      <c r="C61" s="627" t="s">
        <v>8759</v>
      </c>
      <c r="D61" s="627" t="s">
        <v>10727</v>
      </c>
      <c r="E61" s="767" t="s">
        <v>10729</v>
      </c>
      <c r="F61" s="758">
        <v>599</v>
      </c>
      <c r="G61" s="758">
        <v>100</v>
      </c>
      <c r="H61" s="758">
        <v>699</v>
      </c>
      <c r="I61" s="628">
        <v>146</v>
      </c>
      <c r="J61" s="628">
        <v>2089.6999999999998</v>
      </c>
      <c r="K61" s="636">
        <f t="shared" si="2"/>
        <v>2235.6999999999998</v>
      </c>
      <c r="L61" s="636">
        <v>2406.1</v>
      </c>
      <c r="M61" s="636">
        <v>1730.14</v>
      </c>
      <c r="N61" s="613"/>
    </row>
    <row r="62" spans="1:14" ht="30" customHeight="1" x14ac:dyDescent="0.25">
      <c r="A62" s="627" t="s">
        <v>10726</v>
      </c>
      <c r="B62" s="627" t="s">
        <v>10725</v>
      </c>
      <c r="C62" s="627" t="s">
        <v>10724</v>
      </c>
      <c r="D62" s="627" t="s">
        <v>10723</v>
      </c>
      <c r="E62" s="767" t="s">
        <v>10726</v>
      </c>
      <c r="F62" s="758">
        <v>175</v>
      </c>
      <c r="G62" s="758">
        <v>2037.6100000000001</v>
      </c>
      <c r="H62" s="758">
        <v>2212.61</v>
      </c>
      <c r="I62" s="628">
        <v>15</v>
      </c>
      <c r="J62" s="628">
        <v>2662.38</v>
      </c>
      <c r="K62" s="636">
        <f t="shared" si="2"/>
        <v>2677.38</v>
      </c>
      <c r="L62" s="636">
        <v>3864.37</v>
      </c>
      <c r="M62" s="636">
        <v>3230</v>
      </c>
      <c r="N62" s="613"/>
    </row>
    <row r="63" spans="1:14" ht="30" customHeight="1" x14ac:dyDescent="0.25">
      <c r="A63" s="627" t="s">
        <v>11361</v>
      </c>
      <c r="B63" s="627">
        <v>920</v>
      </c>
      <c r="C63" s="627" t="s">
        <v>1588</v>
      </c>
      <c r="D63" s="627" t="s">
        <v>10716</v>
      </c>
      <c r="E63" s="767" t="s">
        <v>11361</v>
      </c>
      <c r="F63" s="758">
        <v>100</v>
      </c>
      <c r="G63" s="758"/>
      <c r="H63" s="758">
        <v>100</v>
      </c>
      <c r="I63" s="628"/>
      <c r="J63" s="628"/>
      <c r="K63" s="636"/>
      <c r="L63" s="636"/>
      <c r="M63" s="636"/>
      <c r="N63" s="613"/>
    </row>
    <row r="64" spans="1:14" ht="30" customHeight="1" x14ac:dyDescent="0.25">
      <c r="A64" s="627" t="s">
        <v>10722</v>
      </c>
      <c r="B64" s="627" t="s">
        <v>10721</v>
      </c>
      <c r="C64" s="627" t="s">
        <v>2578</v>
      </c>
      <c r="D64" s="627" t="s">
        <v>10720</v>
      </c>
      <c r="E64" s="767" t="s">
        <v>10722</v>
      </c>
      <c r="F64" s="758">
        <v>30</v>
      </c>
      <c r="G64" s="758"/>
      <c r="H64" s="758">
        <v>30</v>
      </c>
      <c r="I64" s="628">
        <v>50</v>
      </c>
      <c r="J64" s="628">
        <v>0</v>
      </c>
      <c r="K64" s="636">
        <f t="shared" si="2"/>
        <v>50</v>
      </c>
      <c r="L64" s="636">
        <v>50</v>
      </c>
      <c r="M64" s="636">
        <v>70</v>
      </c>
      <c r="N64" s="613"/>
    </row>
    <row r="65" spans="1:14" ht="30" customHeight="1" x14ac:dyDescent="0.25">
      <c r="A65" s="627" t="s">
        <v>10719</v>
      </c>
      <c r="B65" s="627" t="s">
        <v>10718</v>
      </c>
      <c r="C65" s="627" t="s">
        <v>10717</v>
      </c>
      <c r="D65" s="627" t="s">
        <v>10716</v>
      </c>
      <c r="E65" s="767" t="s">
        <v>10719</v>
      </c>
      <c r="F65" s="758">
        <v>420</v>
      </c>
      <c r="G65" s="758">
        <v>655.03</v>
      </c>
      <c r="H65" s="758">
        <v>1075.03</v>
      </c>
      <c r="I65" s="628">
        <v>260</v>
      </c>
      <c r="J65" s="628">
        <v>1633.75</v>
      </c>
      <c r="K65" s="636">
        <f t="shared" si="2"/>
        <v>1893.75</v>
      </c>
      <c r="L65" s="636">
        <v>1493.42</v>
      </c>
      <c r="M65" s="636">
        <v>596.70000000000005</v>
      </c>
      <c r="N65" s="613"/>
    </row>
    <row r="66" spans="1:14" ht="30" customHeight="1" x14ac:dyDescent="0.25">
      <c r="A66" s="627" t="s">
        <v>10715</v>
      </c>
      <c r="B66" s="627" t="s">
        <v>10714</v>
      </c>
      <c r="C66" s="627" t="s">
        <v>5382</v>
      </c>
      <c r="D66" s="627" t="s">
        <v>10713</v>
      </c>
      <c r="E66" s="767" t="s">
        <v>10715</v>
      </c>
      <c r="F66" s="758">
        <v>1002.24</v>
      </c>
      <c r="G66" s="758">
        <v>935.15000000000009</v>
      </c>
      <c r="H66" s="758">
        <v>1937.39</v>
      </c>
      <c r="I66" s="628">
        <v>10</v>
      </c>
      <c r="J66" s="628">
        <v>1221.9100000000001</v>
      </c>
      <c r="K66" s="636">
        <f t="shared" si="2"/>
        <v>1231.9100000000001</v>
      </c>
      <c r="L66" s="636">
        <v>1495.54</v>
      </c>
      <c r="M66" s="636">
        <v>1309.24</v>
      </c>
      <c r="N66" s="613"/>
    </row>
    <row r="67" spans="1:14" ht="30" customHeight="1" x14ac:dyDescent="0.25">
      <c r="A67" s="627" t="s">
        <v>10712</v>
      </c>
      <c r="B67" s="627" t="s">
        <v>10711</v>
      </c>
      <c r="C67" s="627" t="s">
        <v>7349</v>
      </c>
      <c r="D67" s="627" t="s">
        <v>10708</v>
      </c>
      <c r="E67" s="767" t="s">
        <v>10712</v>
      </c>
      <c r="F67" s="758">
        <v>195.18</v>
      </c>
      <c r="G67" s="758">
        <v>193.28</v>
      </c>
      <c r="H67" s="758">
        <v>388.46000000000004</v>
      </c>
      <c r="I67" s="628">
        <v>0</v>
      </c>
      <c r="J67" s="628">
        <v>746.06000000000006</v>
      </c>
      <c r="K67" s="636">
        <f t="shared" si="2"/>
        <v>746.06000000000006</v>
      </c>
      <c r="L67" s="636">
        <v>995.52</v>
      </c>
      <c r="M67" s="636">
        <v>1162</v>
      </c>
      <c r="N67" s="613"/>
    </row>
    <row r="68" spans="1:14" ht="30" customHeight="1" x14ac:dyDescent="0.25">
      <c r="A68" s="627" t="s">
        <v>10710</v>
      </c>
      <c r="B68" s="627" t="s">
        <v>10709</v>
      </c>
      <c r="C68" s="627" t="s">
        <v>7321</v>
      </c>
      <c r="D68" s="627" t="s">
        <v>10708</v>
      </c>
      <c r="E68" s="767" t="s">
        <v>10710</v>
      </c>
      <c r="F68" s="758">
        <v>391.54999999999995</v>
      </c>
      <c r="G68" s="758">
        <v>405.84999999999997</v>
      </c>
      <c r="H68" s="758">
        <v>797.39999999999986</v>
      </c>
      <c r="I68" s="628">
        <v>0</v>
      </c>
      <c r="J68" s="628">
        <v>1315.3800000000003</v>
      </c>
      <c r="K68" s="636">
        <f t="shared" si="2"/>
        <v>1315.3800000000003</v>
      </c>
      <c r="L68" s="636">
        <v>1586.9</v>
      </c>
      <c r="M68" s="636">
        <v>1913.02</v>
      </c>
      <c r="N68" s="613"/>
    </row>
    <row r="69" spans="1:14" ht="30" customHeight="1" x14ac:dyDescent="0.25">
      <c r="A69" s="627" t="s">
        <v>10707</v>
      </c>
      <c r="B69" s="627" t="s">
        <v>10706</v>
      </c>
      <c r="C69" s="627" t="s">
        <v>10705</v>
      </c>
      <c r="D69" s="627" t="s">
        <v>10704</v>
      </c>
      <c r="E69" s="767" t="s">
        <v>10707</v>
      </c>
      <c r="F69" s="758">
        <v>269</v>
      </c>
      <c r="G69" s="758">
        <v>310</v>
      </c>
      <c r="H69" s="758">
        <v>579</v>
      </c>
      <c r="I69" s="628">
        <v>57</v>
      </c>
      <c r="J69" s="628">
        <v>3093.57</v>
      </c>
      <c r="K69" s="636">
        <f t="shared" si="2"/>
        <v>3150.57</v>
      </c>
      <c r="L69" s="636">
        <v>3190.48</v>
      </c>
      <c r="M69" s="636">
        <v>3001.47</v>
      </c>
      <c r="N69" s="613"/>
    </row>
    <row r="70" spans="1:14" ht="30" customHeight="1" x14ac:dyDescent="0.25">
      <c r="A70" s="627" t="s">
        <v>10703</v>
      </c>
      <c r="B70" s="627" t="s">
        <v>10702</v>
      </c>
      <c r="C70" s="627" t="s">
        <v>10701</v>
      </c>
      <c r="D70" s="627" t="s">
        <v>5368</v>
      </c>
      <c r="E70" s="767" t="s">
        <v>10703</v>
      </c>
      <c r="F70" s="758">
        <v>1096</v>
      </c>
      <c r="G70" s="758">
        <v>829.34</v>
      </c>
      <c r="H70" s="758">
        <v>1925.3400000000001</v>
      </c>
      <c r="I70" s="628">
        <v>524</v>
      </c>
      <c r="J70" s="628">
        <v>2315.13</v>
      </c>
      <c r="K70" s="636">
        <f t="shared" si="2"/>
        <v>2839.13</v>
      </c>
      <c r="L70" s="636">
        <v>3173.85</v>
      </c>
      <c r="M70" s="636">
        <v>2826.35</v>
      </c>
      <c r="N70" s="613"/>
    </row>
    <row r="71" spans="1:14" ht="30" customHeight="1" x14ac:dyDescent="0.25">
      <c r="A71" s="627" t="s">
        <v>10700</v>
      </c>
      <c r="B71" s="627" t="s">
        <v>10699</v>
      </c>
      <c r="C71" s="627" t="s">
        <v>403</v>
      </c>
      <c r="D71" s="627" t="s">
        <v>5368</v>
      </c>
      <c r="E71" s="767" t="s">
        <v>10700</v>
      </c>
      <c r="F71" s="758">
        <v>30</v>
      </c>
      <c r="G71" s="758">
        <v>799.7</v>
      </c>
      <c r="H71" s="758">
        <v>829.7</v>
      </c>
      <c r="I71" s="628">
        <v>30</v>
      </c>
      <c r="J71" s="628">
        <v>667.84999999999991</v>
      </c>
      <c r="K71" s="636">
        <f t="shared" si="2"/>
        <v>697.84999999999991</v>
      </c>
      <c r="L71" s="636">
        <v>1213.5899999999999</v>
      </c>
      <c r="M71" s="636">
        <v>1297.26</v>
      </c>
      <c r="N71" s="613"/>
    </row>
    <row r="72" spans="1:14" ht="30" customHeight="1" x14ac:dyDescent="0.25">
      <c r="A72" s="627" t="s">
        <v>10698</v>
      </c>
      <c r="B72" s="627" t="s">
        <v>10697</v>
      </c>
      <c r="C72" s="627" t="s">
        <v>3238</v>
      </c>
      <c r="D72" s="627" t="s">
        <v>10404</v>
      </c>
      <c r="E72" s="767" t="s">
        <v>10698</v>
      </c>
      <c r="F72" s="758">
        <v>370</v>
      </c>
      <c r="G72" s="758">
        <v>601.68000000000006</v>
      </c>
      <c r="H72" s="758">
        <v>971.68000000000006</v>
      </c>
      <c r="I72" s="628">
        <v>170</v>
      </c>
      <c r="J72" s="628">
        <v>2695.1800000000003</v>
      </c>
      <c r="K72" s="636">
        <f t="shared" si="2"/>
        <v>2865.1800000000003</v>
      </c>
      <c r="L72" s="636">
        <v>3902.92</v>
      </c>
      <c r="M72" s="636">
        <v>4270.95</v>
      </c>
      <c r="N72" s="613"/>
    </row>
    <row r="73" spans="1:14" ht="30" customHeight="1" x14ac:dyDescent="0.25">
      <c r="A73" s="627" t="s">
        <v>10696</v>
      </c>
      <c r="B73" s="627" t="s">
        <v>10695</v>
      </c>
      <c r="C73" s="627" t="s">
        <v>7216</v>
      </c>
      <c r="D73" s="627" t="s">
        <v>10692</v>
      </c>
      <c r="E73" s="767" t="s">
        <v>10696</v>
      </c>
      <c r="F73" s="758">
        <v>150</v>
      </c>
      <c r="G73" s="758">
        <v>901</v>
      </c>
      <c r="H73" s="758">
        <v>1051</v>
      </c>
      <c r="I73" s="628">
        <v>245</v>
      </c>
      <c r="J73" s="628">
        <v>1417</v>
      </c>
      <c r="K73" s="636">
        <f t="shared" si="2"/>
        <v>1662</v>
      </c>
      <c r="L73" s="636">
        <v>2056</v>
      </c>
      <c r="M73" s="636">
        <v>1968</v>
      </c>
      <c r="N73" s="613"/>
    </row>
    <row r="74" spans="1:14" ht="30" customHeight="1" x14ac:dyDescent="0.25">
      <c r="A74" s="627" t="s">
        <v>10694</v>
      </c>
      <c r="B74" s="627" t="s">
        <v>10693</v>
      </c>
      <c r="C74" s="627" t="s">
        <v>1165</v>
      </c>
      <c r="D74" s="627" t="s">
        <v>10692</v>
      </c>
      <c r="E74" s="767" t="s">
        <v>10694</v>
      </c>
      <c r="F74" s="758">
        <v>30</v>
      </c>
      <c r="G74" s="758">
        <v>513.51</v>
      </c>
      <c r="H74" s="758">
        <v>543.51</v>
      </c>
      <c r="I74" s="628">
        <v>40</v>
      </c>
      <c r="J74" s="628">
        <v>390</v>
      </c>
      <c r="K74" s="636">
        <f t="shared" si="2"/>
        <v>430</v>
      </c>
      <c r="L74" s="636">
        <v>635</v>
      </c>
      <c r="M74" s="636">
        <v>748</v>
      </c>
      <c r="N74" s="613"/>
    </row>
    <row r="75" spans="1:14" ht="30" customHeight="1" x14ac:dyDescent="0.25">
      <c r="A75" s="627" t="s">
        <v>10691</v>
      </c>
      <c r="B75" s="627" t="s">
        <v>10690</v>
      </c>
      <c r="C75" s="627" t="s">
        <v>226</v>
      </c>
      <c r="D75" s="627" t="s">
        <v>10689</v>
      </c>
      <c r="E75" s="767" t="s">
        <v>10691</v>
      </c>
      <c r="F75" s="758">
        <v>1460</v>
      </c>
      <c r="G75" s="758">
        <v>1008.71</v>
      </c>
      <c r="H75" s="758">
        <v>2468.71</v>
      </c>
      <c r="I75" s="628">
        <v>775</v>
      </c>
      <c r="J75" s="628">
        <v>2980.98</v>
      </c>
      <c r="K75" s="636">
        <f t="shared" si="2"/>
        <v>3755.98</v>
      </c>
      <c r="L75" s="636">
        <v>2938.2799999999997</v>
      </c>
      <c r="M75" s="636">
        <v>4197.62</v>
      </c>
      <c r="N75" s="613"/>
    </row>
    <row r="76" spans="1:14" ht="30" customHeight="1" x14ac:dyDescent="0.25">
      <c r="A76" s="627" t="s">
        <v>10688</v>
      </c>
      <c r="B76" s="627" t="s">
        <v>10687</v>
      </c>
      <c r="C76" s="627" t="s">
        <v>1026</v>
      </c>
      <c r="D76" s="627" t="s">
        <v>10684</v>
      </c>
      <c r="E76" s="767" t="s">
        <v>10688</v>
      </c>
      <c r="F76" s="758">
        <v>125</v>
      </c>
      <c r="G76" s="758">
        <v>72.09</v>
      </c>
      <c r="H76" s="758">
        <v>197.09</v>
      </c>
      <c r="I76" s="628">
        <v>80</v>
      </c>
      <c r="J76" s="628">
        <v>298</v>
      </c>
      <c r="K76" s="636">
        <f t="shared" si="2"/>
        <v>378</v>
      </c>
      <c r="L76" s="636">
        <v>591.94000000000005</v>
      </c>
      <c r="M76" s="636">
        <v>617.82000000000005</v>
      </c>
      <c r="N76" s="613"/>
    </row>
    <row r="77" spans="1:14" ht="30" customHeight="1" x14ac:dyDescent="0.25">
      <c r="A77" s="627" t="s">
        <v>10686</v>
      </c>
      <c r="B77" s="627" t="s">
        <v>10685</v>
      </c>
      <c r="C77" s="627" t="s">
        <v>7280</v>
      </c>
      <c r="D77" s="627" t="s">
        <v>10684</v>
      </c>
      <c r="E77" s="767" t="s">
        <v>10686</v>
      </c>
      <c r="F77" s="758">
        <v>1052.1400000000001</v>
      </c>
      <c r="G77" s="758">
        <v>352.79999999999995</v>
      </c>
      <c r="H77" s="758">
        <v>1404.94</v>
      </c>
      <c r="I77" s="628">
        <v>40</v>
      </c>
      <c r="J77" s="628">
        <v>2700.44</v>
      </c>
      <c r="K77" s="636">
        <f t="shared" si="2"/>
        <v>2740.44</v>
      </c>
      <c r="L77" s="636">
        <v>2774.13</v>
      </c>
      <c r="M77" s="636">
        <v>2604.0100000000002</v>
      </c>
      <c r="N77" s="613"/>
    </row>
    <row r="78" spans="1:14" ht="30" customHeight="1" x14ac:dyDescent="0.25">
      <c r="A78" s="627" t="s">
        <v>10683</v>
      </c>
      <c r="B78" s="627" t="s">
        <v>10682</v>
      </c>
      <c r="C78" s="627" t="s">
        <v>7282</v>
      </c>
      <c r="D78" s="627" t="s">
        <v>10681</v>
      </c>
      <c r="E78" s="767" t="s">
        <v>10683</v>
      </c>
      <c r="F78" s="758">
        <v>120</v>
      </c>
      <c r="G78" s="758">
        <v>1006.2</v>
      </c>
      <c r="H78" s="758">
        <v>1126.2</v>
      </c>
      <c r="I78" s="628">
        <v>60</v>
      </c>
      <c r="J78" s="628">
        <v>50</v>
      </c>
      <c r="K78" s="636">
        <f t="shared" si="2"/>
        <v>110</v>
      </c>
      <c r="L78" s="636">
        <v>1140.2</v>
      </c>
      <c r="M78" s="636">
        <v>1693.74</v>
      </c>
      <c r="N78" s="613"/>
    </row>
    <row r="79" spans="1:14" ht="30" customHeight="1" x14ac:dyDescent="0.25">
      <c r="A79" s="627" t="s">
        <v>10680</v>
      </c>
      <c r="B79" s="627" t="s">
        <v>10679</v>
      </c>
      <c r="C79" s="627" t="s">
        <v>10678</v>
      </c>
      <c r="D79" s="627" t="s">
        <v>10677</v>
      </c>
      <c r="E79" s="767" t="s">
        <v>10680</v>
      </c>
      <c r="F79" s="758">
        <v>604.39999999999986</v>
      </c>
      <c r="G79" s="758">
        <v>355.99</v>
      </c>
      <c r="H79" s="758">
        <v>960.38999999999987</v>
      </c>
      <c r="I79" s="628">
        <v>55</v>
      </c>
      <c r="J79" s="628">
        <v>2999.08</v>
      </c>
      <c r="K79" s="636">
        <f t="shared" si="2"/>
        <v>3054.08</v>
      </c>
      <c r="L79" s="636">
        <v>2760.9</v>
      </c>
      <c r="M79" s="636">
        <v>2556.59</v>
      </c>
      <c r="N79" s="613"/>
    </row>
    <row r="80" spans="1:14" ht="30" customHeight="1" x14ac:dyDescent="0.25">
      <c r="A80" s="627" t="s">
        <v>10676</v>
      </c>
      <c r="B80" s="627" t="s">
        <v>10675</v>
      </c>
      <c r="C80" s="627" t="s">
        <v>10674</v>
      </c>
      <c r="D80" s="627" t="s">
        <v>10673</v>
      </c>
      <c r="E80" s="767" t="s">
        <v>10676</v>
      </c>
      <c r="F80" s="758">
        <v>20</v>
      </c>
      <c r="G80" s="758">
        <v>606.81999999999994</v>
      </c>
      <c r="H80" s="758">
        <v>626.81999999999994</v>
      </c>
      <c r="I80" s="628">
        <v>0</v>
      </c>
      <c r="J80" s="628">
        <v>1411.29</v>
      </c>
      <c r="K80" s="636">
        <f t="shared" si="2"/>
        <v>1411.29</v>
      </c>
      <c r="L80" s="636">
        <v>1641.32</v>
      </c>
      <c r="M80" s="636">
        <v>1607.32</v>
      </c>
      <c r="N80" s="613"/>
    </row>
    <row r="81" spans="1:14" ht="30" customHeight="1" x14ac:dyDescent="0.25">
      <c r="A81" s="627" t="s">
        <v>10672</v>
      </c>
      <c r="B81" s="627" t="s">
        <v>10671</v>
      </c>
      <c r="C81" s="627" t="s">
        <v>7193</v>
      </c>
      <c r="D81" s="627" t="s">
        <v>10670</v>
      </c>
      <c r="E81" s="767" t="s">
        <v>10672</v>
      </c>
      <c r="F81" s="758">
        <v>297.46000000000004</v>
      </c>
      <c r="G81" s="758">
        <v>1287.6300000000001</v>
      </c>
      <c r="H81" s="758">
        <v>1585.0900000000001</v>
      </c>
      <c r="I81" s="628">
        <v>50</v>
      </c>
      <c r="J81" s="628">
        <v>2374.34</v>
      </c>
      <c r="K81" s="636">
        <f t="shared" si="2"/>
        <v>2424.34</v>
      </c>
      <c r="L81" s="636">
        <v>2798.43</v>
      </c>
      <c r="M81" s="636">
        <v>2603.16</v>
      </c>
      <c r="N81" s="613"/>
    </row>
    <row r="82" spans="1:14" ht="30" customHeight="1" x14ac:dyDescent="0.25">
      <c r="A82" s="627" t="s">
        <v>10669</v>
      </c>
      <c r="B82" s="627" t="s">
        <v>10668</v>
      </c>
      <c r="C82" s="627" t="s">
        <v>10667</v>
      </c>
      <c r="D82" s="627" t="s">
        <v>10666</v>
      </c>
      <c r="E82" s="767" t="s">
        <v>10669</v>
      </c>
      <c r="F82" s="758">
        <v>100</v>
      </c>
      <c r="G82" s="758">
        <v>2178.34</v>
      </c>
      <c r="H82" s="758">
        <v>2278.34</v>
      </c>
      <c r="I82" s="628">
        <v>0</v>
      </c>
      <c r="J82" s="628">
        <v>3369.41</v>
      </c>
      <c r="K82" s="636">
        <f t="shared" si="2"/>
        <v>3369.41</v>
      </c>
      <c r="L82" s="636">
        <v>4007.87</v>
      </c>
      <c r="M82" s="636">
        <v>3358.76</v>
      </c>
      <c r="N82" s="613"/>
    </row>
    <row r="83" spans="1:14" ht="30" customHeight="1" x14ac:dyDescent="0.25">
      <c r="A83" s="627" t="s">
        <v>10665</v>
      </c>
      <c r="B83" s="627" t="s">
        <v>10664</v>
      </c>
      <c r="C83" s="627" t="s">
        <v>5371</v>
      </c>
      <c r="D83" s="627" t="s">
        <v>10465</v>
      </c>
      <c r="E83" s="767" t="s">
        <v>10665</v>
      </c>
      <c r="F83" s="758">
        <v>560</v>
      </c>
      <c r="G83" s="758">
        <v>58.4</v>
      </c>
      <c r="H83" s="758">
        <v>618.4</v>
      </c>
      <c r="I83" s="628">
        <v>200</v>
      </c>
      <c r="J83" s="628">
        <v>260</v>
      </c>
      <c r="K83" s="636">
        <f t="shared" si="2"/>
        <v>460</v>
      </c>
      <c r="L83" s="636">
        <v>595</v>
      </c>
      <c r="M83" s="636">
        <v>460</v>
      </c>
      <c r="N83" s="613"/>
    </row>
    <row r="84" spans="1:14" ht="30" customHeight="1" x14ac:dyDescent="0.25">
      <c r="A84" s="627" t="s">
        <v>10663</v>
      </c>
      <c r="B84" s="627" t="s">
        <v>10662</v>
      </c>
      <c r="C84" s="627" t="s">
        <v>10661</v>
      </c>
      <c r="D84" s="627" t="s">
        <v>10465</v>
      </c>
      <c r="E84" s="767" t="s">
        <v>10663</v>
      </c>
      <c r="F84" s="758">
        <v>50</v>
      </c>
      <c r="G84" s="758">
        <v>5</v>
      </c>
      <c r="H84" s="758">
        <v>55</v>
      </c>
      <c r="I84" s="628">
        <v>0</v>
      </c>
      <c r="J84" s="628">
        <v>45</v>
      </c>
      <c r="K84" s="636">
        <f t="shared" si="2"/>
        <v>45</v>
      </c>
      <c r="L84" s="636">
        <v>110</v>
      </c>
      <c r="M84" s="636">
        <v>754</v>
      </c>
      <c r="N84" s="613"/>
    </row>
    <row r="85" spans="1:14" ht="30" customHeight="1" x14ac:dyDescent="0.25">
      <c r="A85" s="627" t="s">
        <v>10660</v>
      </c>
      <c r="B85" s="627" t="s">
        <v>10659</v>
      </c>
      <c r="C85" s="627" t="s">
        <v>66</v>
      </c>
      <c r="D85" s="627" t="s">
        <v>10465</v>
      </c>
      <c r="E85" s="767" t="s">
        <v>10660</v>
      </c>
      <c r="F85" s="758">
        <v>600</v>
      </c>
      <c r="G85" s="758"/>
      <c r="H85" s="758">
        <v>600</v>
      </c>
      <c r="I85" s="628">
        <v>260</v>
      </c>
      <c r="J85" s="628">
        <v>2893.52</v>
      </c>
      <c r="K85" s="636">
        <f t="shared" ref="K85:K103" si="3">SUM(I85:J85)</f>
        <v>3153.52</v>
      </c>
      <c r="L85" s="636">
        <v>2876.55</v>
      </c>
      <c r="M85" s="636">
        <v>2816.45</v>
      </c>
      <c r="N85" s="613"/>
    </row>
    <row r="86" spans="1:14" ht="30" customHeight="1" x14ac:dyDescent="0.25">
      <c r="A86" s="627" t="s">
        <v>10658</v>
      </c>
      <c r="B86" s="627" t="s">
        <v>10657</v>
      </c>
      <c r="C86" s="627" t="s">
        <v>10656</v>
      </c>
      <c r="D86" s="627" t="s">
        <v>10465</v>
      </c>
      <c r="E86" s="767" t="s">
        <v>10658</v>
      </c>
      <c r="F86" s="758">
        <v>50</v>
      </c>
      <c r="G86" s="758">
        <v>212.08</v>
      </c>
      <c r="H86" s="758">
        <v>262.08000000000004</v>
      </c>
      <c r="I86" s="628">
        <v>0</v>
      </c>
      <c r="J86" s="628">
        <v>814.01</v>
      </c>
      <c r="K86" s="636">
        <f t="shared" si="3"/>
        <v>814.01</v>
      </c>
      <c r="L86" s="636">
        <v>678.85</v>
      </c>
      <c r="M86" s="636">
        <v>650.34</v>
      </c>
      <c r="N86" s="613"/>
    </row>
    <row r="87" spans="1:14" ht="30" customHeight="1" x14ac:dyDescent="0.25">
      <c r="A87" s="627" t="s">
        <v>10655</v>
      </c>
      <c r="B87" s="627" t="s">
        <v>10654</v>
      </c>
      <c r="C87" s="627" t="s">
        <v>10653</v>
      </c>
      <c r="D87" s="627" t="s">
        <v>10465</v>
      </c>
      <c r="E87" s="767" t="s">
        <v>10655</v>
      </c>
      <c r="F87" s="758">
        <v>100</v>
      </c>
      <c r="G87" s="758"/>
      <c r="H87" s="758">
        <v>100</v>
      </c>
      <c r="I87" s="628">
        <v>50</v>
      </c>
      <c r="J87" s="628">
        <v>50</v>
      </c>
      <c r="K87" s="636">
        <f t="shared" si="3"/>
        <v>100</v>
      </c>
      <c r="L87" s="636">
        <v>100</v>
      </c>
      <c r="M87" s="636">
        <v>100</v>
      </c>
      <c r="N87" s="613"/>
    </row>
    <row r="88" spans="1:14" ht="30" customHeight="1" x14ac:dyDescent="0.25">
      <c r="A88" s="627" t="s">
        <v>10652</v>
      </c>
      <c r="B88" s="627" t="s">
        <v>10651</v>
      </c>
      <c r="C88" s="627" t="s">
        <v>6487</v>
      </c>
      <c r="D88" s="627" t="s">
        <v>10465</v>
      </c>
      <c r="E88" s="767" t="s">
        <v>10652</v>
      </c>
      <c r="F88" s="758">
        <v>360</v>
      </c>
      <c r="G88" s="758">
        <v>2446.6499999999996</v>
      </c>
      <c r="H88" s="758">
        <v>2806.6499999999996</v>
      </c>
      <c r="I88" s="628">
        <v>185</v>
      </c>
      <c r="J88" s="628">
        <v>2212.38</v>
      </c>
      <c r="K88" s="636">
        <f t="shared" si="3"/>
        <v>2397.38</v>
      </c>
      <c r="L88" s="636">
        <v>2564.9700000000003</v>
      </c>
      <c r="M88" s="636">
        <v>2576.6799999999998</v>
      </c>
      <c r="N88" s="613"/>
    </row>
    <row r="89" spans="1:14" ht="30" customHeight="1" x14ac:dyDescent="0.25">
      <c r="A89" s="627" t="s">
        <v>10650</v>
      </c>
      <c r="B89" s="627" t="s">
        <v>10649</v>
      </c>
      <c r="C89" s="627" t="s">
        <v>2896</v>
      </c>
      <c r="D89" s="627" t="s">
        <v>10465</v>
      </c>
      <c r="E89" s="767" t="s">
        <v>10650</v>
      </c>
      <c r="F89" s="758">
        <v>260</v>
      </c>
      <c r="G89" s="758"/>
      <c r="H89" s="758">
        <v>260</v>
      </c>
      <c r="I89" s="628">
        <v>110</v>
      </c>
      <c r="J89" s="628">
        <v>90</v>
      </c>
      <c r="K89" s="636">
        <f t="shared" si="3"/>
        <v>200</v>
      </c>
      <c r="L89" s="636">
        <v>150</v>
      </c>
      <c r="M89" s="636">
        <v>220</v>
      </c>
      <c r="N89" s="613"/>
    </row>
    <row r="90" spans="1:14" ht="30" customHeight="1" x14ac:dyDescent="0.25">
      <c r="A90" s="627" t="s">
        <v>10648</v>
      </c>
      <c r="B90" s="627" t="s">
        <v>10647</v>
      </c>
      <c r="C90" s="627" t="s">
        <v>7228</v>
      </c>
      <c r="D90" s="627" t="s">
        <v>10465</v>
      </c>
      <c r="E90" s="767" t="s">
        <v>10648</v>
      </c>
      <c r="F90" s="758">
        <v>305</v>
      </c>
      <c r="G90" s="758">
        <v>770.02</v>
      </c>
      <c r="H90" s="758">
        <v>1075.02</v>
      </c>
      <c r="I90" s="628">
        <v>210</v>
      </c>
      <c r="J90" s="628">
        <v>763.78</v>
      </c>
      <c r="K90" s="636">
        <f t="shared" si="3"/>
        <v>973.78</v>
      </c>
      <c r="L90" s="636">
        <v>1838.02</v>
      </c>
      <c r="M90" s="636">
        <v>1837.86</v>
      </c>
      <c r="N90" s="613"/>
    </row>
    <row r="91" spans="1:14" ht="30" customHeight="1" x14ac:dyDescent="0.25">
      <c r="A91" s="627" t="s">
        <v>10646</v>
      </c>
      <c r="B91" s="627" t="s">
        <v>10645</v>
      </c>
      <c r="C91" s="627" t="s">
        <v>5141</v>
      </c>
      <c r="D91" s="627" t="s">
        <v>10465</v>
      </c>
      <c r="E91" s="767" t="s">
        <v>10646</v>
      </c>
      <c r="F91" s="758">
        <v>30</v>
      </c>
      <c r="G91" s="758"/>
      <c r="H91" s="758">
        <v>30</v>
      </c>
      <c r="I91" s="628">
        <v>0</v>
      </c>
      <c r="J91" s="628">
        <v>705.71</v>
      </c>
      <c r="K91" s="636">
        <f t="shared" si="3"/>
        <v>705.71</v>
      </c>
      <c r="L91" s="636">
        <v>678.81</v>
      </c>
      <c r="M91" s="636">
        <v>653.82000000000005</v>
      </c>
      <c r="N91" s="613"/>
    </row>
    <row r="92" spans="1:14" ht="30" customHeight="1" x14ac:dyDescent="0.25">
      <c r="A92" s="627" t="s">
        <v>10644</v>
      </c>
      <c r="B92" s="627" t="s">
        <v>10643</v>
      </c>
      <c r="C92" s="627" t="s">
        <v>916</v>
      </c>
      <c r="D92" s="627" t="s">
        <v>10465</v>
      </c>
      <c r="E92" s="767" t="s">
        <v>10644</v>
      </c>
      <c r="F92" s="758">
        <v>40</v>
      </c>
      <c r="G92" s="758">
        <v>121.96</v>
      </c>
      <c r="H92" s="758">
        <v>161.95999999999998</v>
      </c>
      <c r="I92" s="628">
        <v>10</v>
      </c>
      <c r="J92" s="628">
        <v>1146.2199999999998</v>
      </c>
      <c r="K92" s="636">
        <f t="shared" si="3"/>
        <v>1156.2199999999998</v>
      </c>
      <c r="L92" s="636">
        <v>1302.33</v>
      </c>
      <c r="M92" s="636">
        <v>1449.58</v>
      </c>
      <c r="N92" s="613"/>
    </row>
    <row r="93" spans="1:14" ht="30" customHeight="1" x14ac:dyDescent="0.25">
      <c r="A93" s="627" t="s">
        <v>10642</v>
      </c>
      <c r="B93" s="627" t="s">
        <v>10641</v>
      </c>
      <c r="C93" s="627" t="s">
        <v>5145</v>
      </c>
      <c r="D93" s="627" t="s">
        <v>10465</v>
      </c>
      <c r="E93" s="767" t="s">
        <v>10642</v>
      </c>
      <c r="F93" s="758">
        <v>80</v>
      </c>
      <c r="G93" s="758"/>
      <c r="H93" s="758">
        <v>80</v>
      </c>
      <c r="I93" s="628">
        <v>30</v>
      </c>
      <c r="J93" s="628">
        <v>902.17000000000007</v>
      </c>
      <c r="K93" s="636">
        <f t="shared" si="3"/>
        <v>932.17000000000007</v>
      </c>
      <c r="L93" s="636">
        <v>560</v>
      </c>
      <c r="M93" s="636">
        <v>1667.44</v>
      </c>
      <c r="N93" s="613"/>
    </row>
    <row r="94" spans="1:14" ht="30" customHeight="1" x14ac:dyDescent="0.25">
      <c r="A94" s="627" t="s">
        <v>10640</v>
      </c>
      <c r="B94" s="627" t="s">
        <v>10639</v>
      </c>
      <c r="C94" s="627" t="s">
        <v>5390</v>
      </c>
      <c r="D94" s="627" t="s">
        <v>10465</v>
      </c>
      <c r="E94" s="767" t="s">
        <v>10640</v>
      </c>
      <c r="F94" s="758">
        <v>323</v>
      </c>
      <c r="G94" s="758"/>
      <c r="H94" s="758">
        <v>323</v>
      </c>
      <c r="I94" s="628">
        <v>286</v>
      </c>
      <c r="J94" s="628">
        <v>541</v>
      </c>
      <c r="K94" s="636">
        <f t="shared" si="3"/>
        <v>827</v>
      </c>
      <c r="L94" s="636">
        <v>918.41000000000008</v>
      </c>
      <c r="M94" s="636">
        <v>872</v>
      </c>
      <c r="N94" s="613"/>
    </row>
    <row r="95" spans="1:14" ht="30" customHeight="1" x14ac:dyDescent="0.25">
      <c r="A95" s="627" t="s">
        <v>10638</v>
      </c>
      <c r="B95" s="627" t="s">
        <v>10637</v>
      </c>
      <c r="C95" s="627" t="s">
        <v>2759</v>
      </c>
      <c r="D95" s="627" t="s">
        <v>10465</v>
      </c>
      <c r="E95" s="767" t="s">
        <v>10638</v>
      </c>
      <c r="F95" s="758">
        <v>344</v>
      </c>
      <c r="G95" s="758"/>
      <c r="H95" s="758">
        <v>344</v>
      </c>
      <c r="I95" s="628">
        <v>154</v>
      </c>
      <c r="J95" s="628">
        <v>1844.68</v>
      </c>
      <c r="K95" s="636">
        <f t="shared" si="3"/>
        <v>1998.68</v>
      </c>
      <c r="L95" s="636">
        <v>3541.5</v>
      </c>
      <c r="M95" s="636">
        <v>2611.81</v>
      </c>
      <c r="N95" s="613"/>
    </row>
    <row r="96" spans="1:14" ht="30" customHeight="1" x14ac:dyDescent="0.25">
      <c r="A96" s="627" t="s">
        <v>10636</v>
      </c>
      <c r="B96" s="627" t="s">
        <v>10635</v>
      </c>
      <c r="C96" s="627" t="s">
        <v>7282</v>
      </c>
      <c r="D96" s="627" t="s">
        <v>10465</v>
      </c>
      <c r="E96" s="767"/>
      <c r="F96" s="758"/>
      <c r="G96" s="758"/>
      <c r="H96" s="758"/>
      <c r="I96" s="628">
        <v>0</v>
      </c>
      <c r="J96" s="628">
        <v>1080</v>
      </c>
      <c r="K96" s="636">
        <f t="shared" si="3"/>
        <v>1080</v>
      </c>
      <c r="L96" s="636">
        <v>755</v>
      </c>
      <c r="M96" s="636">
        <v>720</v>
      </c>
      <c r="N96" s="613"/>
    </row>
    <row r="97" spans="1:14" ht="30" customHeight="1" x14ac:dyDescent="0.25">
      <c r="A97" s="627" t="s">
        <v>10634</v>
      </c>
      <c r="B97" s="627" t="s">
        <v>10633</v>
      </c>
      <c r="C97" s="627" t="s">
        <v>10632</v>
      </c>
      <c r="D97" s="627" t="s">
        <v>10465</v>
      </c>
      <c r="E97" s="767" t="s">
        <v>10634</v>
      </c>
      <c r="F97" s="758">
        <v>185</v>
      </c>
      <c r="G97" s="758">
        <v>87</v>
      </c>
      <c r="H97" s="758">
        <v>272</v>
      </c>
      <c r="I97" s="628">
        <v>105</v>
      </c>
      <c r="J97" s="628">
        <v>367.16</v>
      </c>
      <c r="K97" s="636">
        <f t="shared" si="3"/>
        <v>472.16</v>
      </c>
      <c r="L97" s="636">
        <v>279</v>
      </c>
      <c r="M97" s="636">
        <v>170</v>
      </c>
      <c r="N97" s="613"/>
    </row>
    <row r="98" spans="1:14" ht="30" customHeight="1" x14ac:dyDescent="0.25">
      <c r="A98" s="627" t="s">
        <v>10631</v>
      </c>
      <c r="B98" s="627" t="s">
        <v>10630</v>
      </c>
      <c r="C98" s="627" t="s">
        <v>10629</v>
      </c>
      <c r="D98" s="627" t="s">
        <v>10465</v>
      </c>
      <c r="E98" s="767" t="s">
        <v>10631</v>
      </c>
      <c r="F98" s="758">
        <v>290</v>
      </c>
      <c r="G98" s="758">
        <v>39.520000000000003</v>
      </c>
      <c r="H98" s="758">
        <v>329.52</v>
      </c>
      <c r="I98" s="628">
        <v>120</v>
      </c>
      <c r="J98" s="628">
        <v>1134.4699999999998</v>
      </c>
      <c r="K98" s="636">
        <f t="shared" si="3"/>
        <v>1254.4699999999998</v>
      </c>
      <c r="L98" s="636">
        <v>1573.52</v>
      </c>
      <c r="M98" s="636">
        <v>1372.28</v>
      </c>
      <c r="N98" s="613"/>
    </row>
    <row r="99" spans="1:14" ht="30" customHeight="1" x14ac:dyDescent="0.25">
      <c r="A99" s="627" t="s">
        <v>10628</v>
      </c>
      <c r="B99" s="627" t="s">
        <v>10627</v>
      </c>
      <c r="C99" s="627" t="s">
        <v>10626</v>
      </c>
      <c r="D99" s="627" t="s">
        <v>10465</v>
      </c>
      <c r="E99" s="767" t="s">
        <v>10628</v>
      </c>
      <c r="F99" s="758">
        <v>80</v>
      </c>
      <c r="G99" s="758"/>
      <c r="H99" s="758">
        <v>80</v>
      </c>
      <c r="I99" s="628">
        <v>20</v>
      </c>
      <c r="J99" s="628">
        <v>20</v>
      </c>
      <c r="K99" s="636">
        <f t="shared" si="3"/>
        <v>40</v>
      </c>
      <c r="L99" s="636"/>
      <c r="M99" s="636"/>
      <c r="N99" s="613"/>
    </row>
    <row r="100" spans="1:14" ht="30" customHeight="1" x14ac:dyDescent="0.25">
      <c r="A100" s="627" t="s">
        <v>10625</v>
      </c>
      <c r="B100" s="627" t="s">
        <v>10624</v>
      </c>
      <c r="C100" s="627" t="s">
        <v>10623</v>
      </c>
      <c r="D100" s="627" t="s">
        <v>10465</v>
      </c>
      <c r="E100" s="767" t="s">
        <v>10625</v>
      </c>
      <c r="F100" s="758">
        <v>50</v>
      </c>
      <c r="G100" s="758"/>
      <c r="H100" s="758">
        <v>50</v>
      </c>
      <c r="I100" s="628">
        <v>10</v>
      </c>
      <c r="J100" s="628">
        <v>50</v>
      </c>
      <c r="K100" s="636">
        <f t="shared" si="3"/>
        <v>60</v>
      </c>
      <c r="L100" s="636">
        <v>70</v>
      </c>
      <c r="M100" s="636">
        <v>970.15</v>
      </c>
      <c r="N100" s="613"/>
    </row>
    <row r="101" spans="1:14" ht="30" customHeight="1" x14ac:dyDescent="0.25">
      <c r="A101" s="627" t="s">
        <v>11362</v>
      </c>
      <c r="B101" s="627">
        <v>969</v>
      </c>
      <c r="C101" s="627" t="s">
        <v>7207</v>
      </c>
      <c r="D101" s="627" t="s">
        <v>10465</v>
      </c>
      <c r="E101" s="767" t="s">
        <v>11362</v>
      </c>
      <c r="F101" s="758"/>
      <c r="G101" s="758">
        <v>406.78</v>
      </c>
      <c r="H101" s="758">
        <v>406.78</v>
      </c>
      <c r="I101" s="628"/>
      <c r="J101" s="628"/>
      <c r="K101" s="636"/>
      <c r="L101" s="636"/>
      <c r="M101" s="636"/>
      <c r="N101" s="613"/>
    </row>
    <row r="102" spans="1:14" ht="30" customHeight="1" x14ac:dyDescent="0.25">
      <c r="A102" s="627" t="s">
        <v>10622</v>
      </c>
      <c r="B102" s="627" t="s">
        <v>10621</v>
      </c>
      <c r="C102" s="627" t="s">
        <v>10620</v>
      </c>
      <c r="D102" s="627" t="s">
        <v>10465</v>
      </c>
      <c r="E102" s="767" t="s">
        <v>10622</v>
      </c>
      <c r="F102" s="758">
        <v>1025</v>
      </c>
      <c r="G102" s="758"/>
      <c r="H102" s="758">
        <v>1025</v>
      </c>
      <c r="I102" s="628">
        <v>230</v>
      </c>
      <c r="J102" s="628">
        <v>553.49</v>
      </c>
      <c r="K102" s="636">
        <f t="shared" si="3"/>
        <v>783.49</v>
      </c>
      <c r="L102" s="636">
        <v>2751.13</v>
      </c>
      <c r="M102" s="636">
        <v>1606.66</v>
      </c>
      <c r="N102" s="613"/>
    </row>
    <row r="103" spans="1:14" ht="30" customHeight="1" x14ac:dyDescent="0.25">
      <c r="A103" s="627" t="s">
        <v>10619</v>
      </c>
      <c r="B103" s="627" t="s">
        <v>10618</v>
      </c>
      <c r="C103" s="627" t="s">
        <v>10617</v>
      </c>
      <c r="D103" s="627" t="s">
        <v>10465</v>
      </c>
      <c r="E103" s="767" t="s">
        <v>10619</v>
      </c>
      <c r="F103" s="758">
        <v>200</v>
      </c>
      <c r="G103" s="758"/>
      <c r="H103" s="758">
        <v>200</v>
      </c>
      <c r="I103" s="628">
        <v>110</v>
      </c>
      <c r="J103" s="628">
        <v>100</v>
      </c>
      <c r="K103" s="636">
        <f t="shared" si="3"/>
        <v>210</v>
      </c>
      <c r="L103" s="636">
        <v>210</v>
      </c>
      <c r="M103" s="636">
        <v>675</v>
      </c>
      <c r="N103" s="613"/>
    </row>
    <row r="104" spans="1:14" ht="30" customHeight="1" x14ac:dyDescent="0.25">
      <c r="A104" s="627" t="s">
        <v>10950</v>
      </c>
      <c r="B104" s="627">
        <v>974</v>
      </c>
      <c r="C104" s="627" t="s">
        <v>10951</v>
      </c>
      <c r="D104" s="627" t="s">
        <v>10465</v>
      </c>
      <c r="E104" s="767" t="s">
        <v>10950</v>
      </c>
      <c r="F104" s="758">
        <v>108</v>
      </c>
      <c r="G104" s="758">
        <v>55</v>
      </c>
      <c r="H104" s="758">
        <v>163</v>
      </c>
      <c r="I104" s="628"/>
      <c r="J104" s="628"/>
      <c r="K104" s="636"/>
      <c r="L104" s="636">
        <v>256</v>
      </c>
      <c r="M104" s="636">
        <v>277.7</v>
      </c>
      <c r="N104" s="613"/>
    </row>
    <row r="105" spans="1:14" ht="30" customHeight="1" x14ac:dyDescent="0.25">
      <c r="A105" s="627" t="s">
        <v>10616</v>
      </c>
      <c r="B105" s="627" t="s">
        <v>10615</v>
      </c>
      <c r="C105" s="627" t="s">
        <v>10614</v>
      </c>
      <c r="D105" s="627" t="s">
        <v>10465</v>
      </c>
      <c r="E105" s="767" t="s">
        <v>10616</v>
      </c>
      <c r="F105" s="758">
        <v>50</v>
      </c>
      <c r="G105" s="758">
        <v>41</v>
      </c>
      <c r="H105" s="758">
        <v>91</v>
      </c>
      <c r="I105" s="628">
        <v>0</v>
      </c>
      <c r="J105" s="628">
        <v>576</v>
      </c>
      <c r="K105" s="636">
        <f t="shared" ref="K105:K111" si="4">SUM(I105:J105)</f>
        <v>576</v>
      </c>
      <c r="L105" s="636">
        <v>522.96</v>
      </c>
      <c r="M105" s="636">
        <v>1346.8</v>
      </c>
      <c r="N105" s="613"/>
    </row>
    <row r="106" spans="1:14" ht="30" customHeight="1" x14ac:dyDescent="0.25">
      <c r="A106" s="627" t="s">
        <v>10613</v>
      </c>
      <c r="B106" s="627" t="s">
        <v>10612</v>
      </c>
      <c r="C106" s="627" t="s">
        <v>10611</v>
      </c>
      <c r="D106" s="627" t="s">
        <v>10465</v>
      </c>
      <c r="E106" s="767" t="s">
        <v>10613</v>
      </c>
      <c r="F106" s="758">
        <v>911.06</v>
      </c>
      <c r="G106" s="758">
        <v>1453.94</v>
      </c>
      <c r="H106" s="758">
        <v>2365</v>
      </c>
      <c r="I106" s="628">
        <v>252</v>
      </c>
      <c r="J106" s="628">
        <v>2840</v>
      </c>
      <c r="K106" s="636">
        <f t="shared" si="4"/>
        <v>3092</v>
      </c>
      <c r="L106" s="636">
        <v>2459</v>
      </c>
      <c r="M106" s="636">
        <v>3144</v>
      </c>
      <c r="N106" s="613"/>
    </row>
    <row r="107" spans="1:14" ht="30" customHeight="1" x14ac:dyDescent="0.25">
      <c r="A107" s="627" t="s">
        <v>10610</v>
      </c>
      <c r="B107" s="627" t="s">
        <v>10609</v>
      </c>
      <c r="C107" s="627" t="s">
        <v>10608</v>
      </c>
      <c r="D107" s="627" t="s">
        <v>10465</v>
      </c>
      <c r="E107" s="767"/>
      <c r="F107" s="758"/>
      <c r="G107" s="758"/>
      <c r="H107" s="758"/>
      <c r="I107" s="628">
        <v>0</v>
      </c>
      <c r="J107" s="628">
        <v>226.88000000000002</v>
      </c>
      <c r="K107" s="636">
        <f t="shared" si="4"/>
        <v>226.88000000000002</v>
      </c>
      <c r="L107" s="636">
        <v>175.04</v>
      </c>
      <c r="M107" s="636">
        <v>499.73</v>
      </c>
      <c r="N107" s="613"/>
    </row>
    <row r="108" spans="1:14" ht="30" customHeight="1" x14ac:dyDescent="0.25">
      <c r="A108" s="627" t="s">
        <v>10607</v>
      </c>
      <c r="B108" s="627" t="s">
        <v>10606</v>
      </c>
      <c r="C108" s="627" t="s">
        <v>10605</v>
      </c>
      <c r="D108" s="627" t="s">
        <v>10465</v>
      </c>
      <c r="E108" s="767" t="s">
        <v>10607</v>
      </c>
      <c r="F108" s="758">
        <v>60</v>
      </c>
      <c r="G108" s="758">
        <v>1342.86</v>
      </c>
      <c r="H108" s="758">
        <v>1402.86</v>
      </c>
      <c r="I108" s="628">
        <v>40</v>
      </c>
      <c r="J108" s="628">
        <v>1948.9199999999996</v>
      </c>
      <c r="K108" s="636">
        <f t="shared" si="4"/>
        <v>1988.9199999999996</v>
      </c>
      <c r="L108" s="636">
        <v>2375.81</v>
      </c>
      <c r="M108" s="636">
        <v>2680.33</v>
      </c>
      <c r="N108" s="613"/>
    </row>
    <row r="109" spans="1:14" ht="30" customHeight="1" x14ac:dyDescent="0.25">
      <c r="A109" s="627" t="s">
        <v>10604</v>
      </c>
      <c r="B109" s="627" t="s">
        <v>10603</v>
      </c>
      <c r="C109" s="627" t="s">
        <v>10602</v>
      </c>
      <c r="D109" s="627" t="s">
        <v>10465</v>
      </c>
      <c r="E109" s="767" t="s">
        <v>10604</v>
      </c>
      <c r="F109" s="758">
        <v>410</v>
      </c>
      <c r="G109" s="758">
        <v>235</v>
      </c>
      <c r="H109" s="758">
        <v>645</v>
      </c>
      <c r="I109" s="628">
        <v>205</v>
      </c>
      <c r="J109" s="628">
        <v>1289</v>
      </c>
      <c r="K109" s="636">
        <f t="shared" si="4"/>
        <v>1494</v>
      </c>
      <c r="L109" s="636">
        <v>1615.3</v>
      </c>
      <c r="M109" s="636">
        <v>1790.27</v>
      </c>
      <c r="N109" s="613"/>
    </row>
    <row r="110" spans="1:14" ht="30" customHeight="1" x14ac:dyDescent="0.25">
      <c r="A110" s="627" t="s">
        <v>10601</v>
      </c>
      <c r="B110" s="627" t="s">
        <v>10600</v>
      </c>
      <c r="C110" s="627" t="s">
        <v>10599</v>
      </c>
      <c r="D110" s="627" t="s">
        <v>10465</v>
      </c>
      <c r="E110" s="767" t="s">
        <v>10601</v>
      </c>
      <c r="F110" s="758">
        <v>256</v>
      </c>
      <c r="G110" s="758">
        <v>227</v>
      </c>
      <c r="H110" s="758">
        <v>483</v>
      </c>
      <c r="I110" s="628">
        <v>131</v>
      </c>
      <c r="J110" s="628">
        <v>578</v>
      </c>
      <c r="K110" s="636">
        <f t="shared" si="4"/>
        <v>709</v>
      </c>
      <c r="L110" s="636">
        <v>830</v>
      </c>
      <c r="M110" s="636">
        <v>1269</v>
      </c>
      <c r="N110" s="613"/>
    </row>
    <row r="111" spans="1:14" ht="30" customHeight="1" x14ac:dyDescent="0.25">
      <c r="A111" s="627" t="s">
        <v>10598</v>
      </c>
      <c r="B111" s="627" t="s">
        <v>10597</v>
      </c>
      <c r="C111" s="627" t="s">
        <v>10596</v>
      </c>
      <c r="D111" s="627" t="s">
        <v>10465</v>
      </c>
      <c r="E111" s="767" t="s">
        <v>10598</v>
      </c>
      <c r="F111" s="758">
        <v>20</v>
      </c>
      <c r="G111" s="758">
        <v>256.89999999999998</v>
      </c>
      <c r="H111" s="758">
        <v>276.89999999999998</v>
      </c>
      <c r="I111" s="628">
        <v>0</v>
      </c>
      <c r="J111" s="628">
        <v>450</v>
      </c>
      <c r="K111" s="636">
        <f t="shared" si="4"/>
        <v>450</v>
      </c>
      <c r="L111" s="636">
        <v>427</v>
      </c>
      <c r="M111" s="636">
        <v>501</v>
      </c>
      <c r="N111" s="613"/>
    </row>
    <row r="112" spans="1:14" ht="30" customHeight="1" x14ac:dyDescent="0.25">
      <c r="A112" s="627" t="s">
        <v>10952</v>
      </c>
      <c r="B112" s="821" t="s">
        <v>11365</v>
      </c>
      <c r="C112" s="627" t="s">
        <v>10953</v>
      </c>
      <c r="D112" s="627" t="s">
        <v>10465</v>
      </c>
      <c r="E112" s="767"/>
      <c r="F112" s="758"/>
      <c r="G112" s="758"/>
      <c r="H112" s="758"/>
      <c r="I112" s="628"/>
      <c r="J112" s="628"/>
      <c r="K112" s="636"/>
      <c r="L112" s="636">
        <v>750</v>
      </c>
      <c r="M112" s="636"/>
      <c r="N112" s="613"/>
    </row>
    <row r="113" spans="1:14" ht="30" customHeight="1" x14ac:dyDescent="0.25">
      <c r="A113" s="627" t="s">
        <v>10595</v>
      </c>
      <c r="B113" s="627" t="s">
        <v>10594</v>
      </c>
      <c r="C113" s="627" t="s">
        <v>10593</v>
      </c>
      <c r="D113" s="627" t="s">
        <v>10465</v>
      </c>
      <c r="E113" s="767" t="s">
        <v>10595</v>
      </c>
      <c r="F113" s="758">
        <v>15</v>
      </c>
      <c r="G113" s="758">
        <v>355</v>
      </c>
      <c r="H113" s="758">
        <v>370</v>
      </c>
      <c r="I113" s="628">
        <v>0</v>
      </c>
      <c r="J113" s="628">
        <v>1384</v>
      </c>
      <c r="K113" s="636">
        <f t="shared" ref="K113:K125" si="5">SUM(I113:J113)</f>
        <v>1384</v>
      </c>
      <c r="L113" s="636">
        <v>1426</v>
      </c>
      <c r="M113" s="636">
        <v>2174.1</v>
      </c>
      <c r="N113" s="613"/>
    </row>
    <row r="114" spans="1:14" ht="30" customHeight="1" x14ac:dyDescent="0.25">
      <c r="A114" s="627" t="s">
        <v>10592</v>
      </c>
      <c r="B114" s="627" t="s">
        <v>10591</v>
      </c>
      <c r="C114" s="627" t="s">
        <v>1065</v>
      </c>
      <c r="D114" s="627" t="s">
        <v>10396</v>
      </c>
      <c r="E114" s="767" t="s">
        <v>10592</v>
      </c>
      <c r="F114" s="758">
        <v>75</v>
      </c>
      <c r="G114" s="758">
        <v>410.38</v>
      </c>
      <c r="H114" s="758">
        <v>485.38</v>
      </c>
      <c r="I114" s="628">
        <v>50</v>
      </c>
      <c r="J114" s="628">
        <v>1117.78</v>
      </c>
      <c r="K114" s="636">
        <f t="shared" si="5"/>
        <v>1167.78</v>
      </c>
      <c r="L114" s="636">
        <v>628.03</v>
      </c>
      <c r="M114" s="636">
        <v>1040.53</v>
      </c>
      <c r="N114" s="613"/>
    </row>
    <row r="115" spans="1:14" ht="30" customHeight="1" x14ac:dyDescent="0.25">
      <c r="A115" s="627" t="s">
        <v>10590</v>
      </c>
      <c r="B115" s="627" t="s">
        <v>10589</v>
      </c>
      <c r="C115" s="627" t="s">
        <v>10588</v>
      </c>
      <c r="D115" s="627" t="s">
        <v>10396</v>
      </c>
      <c r="E115" s="767" t="s">
        <v>10590</v>
      </c>
      <c r="F115" s="758">
        <v>150</v>
      </c>
      <c r="G115" s="758">
        <v>835.81</v>
      </c>
      <c r="H115" s="758">
        <v>985.81</v>
      </c>
      <c r="I115" s="628">
        <v>90</v>
      </c>
      <c r="J115" s="628">
        <v>870.07999999999993</v>
      </c>
      <c r="K115" s="636">
        <f t="shared" si="5"/>
        <v>960.07999999999993</v>
      </c>
      <c r="L115" s="636">
        <v>1172.24</v>
      </c>
      <c r="M115" s="636">
        <v>1363.47</v>
      </c>
      <c r="N115" s="613"/>
    </row>
    <row r="116" spans="1:14" ht="30" customHeight="1" x14ac:dyDescent="0.25">
      <c r="A116" s="627" t="s">
        <v>10587</v>
      </c>
      <c r="B116" s="627" t="s">
        <v>10586</v>
      </c>
      <c r="C116" s="627" t="s">
        <v>532</v>
      </c>
      <c r="D116" s="627" t="s">
        <v>10585</v>
      </c>
      <c r="E116" s="767" t="s">
        <v>10587</v>
      </c>
      <c r="F116" s="758">
        <v>151.79999999999998</v>
      </c>
      <c r="G116" s="758">
        <v>386.61999999999995</v>
      </c>
      <c r="H116" s="758">
        <v>538.41999999999996</v>
      </c>
      <c r="I116" s="628">
        <v>0</v>
      </c>
      <c r="J116" s="628">
        <v>1561.34</v>
      </c>
      <c r="K116" s="636">
        <f t="shared" si="5"/>
        <v>1561.34</v>
      </c>
      <c r="L116" s="636">
        <v>2008.03</v>
      </c>
      <c r="M116" s="636">
        <v>1997.34</v>
      </c>
      <c r="N116" s="613"/>
    </row>
    <row r="117" spans="1:14" ht="30" customHeight="1" x14ac:dyDescent="0.25">
      <c r="A117" s="627" t="s">
        <v>10584</v>
      </c>
      <c r="B117" s="627" t="s">
        <v>10583</v>
      </c>
      <c r="C117" s="627" t="s">
        <v>9123</v>
      </c>
      <c r="D117" s="627" t="s">
        <v>10575</v>
      </c>
      <c r="E117" s="767" t="s">
        <v>10584</v>
      </c>
      <c r="F117" s="758">
        <v>360</v>
      </c>
      <c r="G117" s="758">
        <v>900</v>
      </c>
      <c r="H117" s="758">
        <v>1260</v>
      </c>
      <c r="I117" s="628">
        <v>30</v>
      </c>
      <c r="J117" s="628">
        <v>3241.31</v>
      </c>
      <c r="K117" s="636">
        <f t="shared" si="5"/>
        <v>3271.31</v>
      </c>
      <c r="L117" s="636">
        <v>1220.5999999999999</v>
      </c>
      <c r="M117" s="636">
        <v>2747.76</v>
      </c>
      <c r="N117" s="613"/>
    </row>
    <row r="118" spans="1:14" ht="30" customHeight="1" x14ac:dyDescent="0.25">
      <c r="A118" s="627" t="s">
        <v>10582</v>
      </c>
      <c r="B118" s="627" t="s">
        <v>10581</v>
      </c>
      <c r="C118" s="627" t="s">
        <v>10580</v>
      </c>
      <c r="D118" s="627" t="s">
        <v>10579</v>
      </c>
      <c r="E118" s="767" t="s">
        <v>10582</v>
      </c>
      <c r="F118" s="758">
        <v>749.67000000000007</v>
      </c>
      <c r="G118" s="758">
        <v>648.77</v>
      </c>
      <c r="H118" s="758">
        <v>1398.44</v>
      </c>
      <c r="I118" s="628">
        <v>0</v>
      </c>
      <c r="J118" s="628">
        <v>1812.4099999999999</v>
      </c>
      <c r="K118" s="636">
        <f t="shared" si="5"/>
        <v>1812.4099999999999</v>
      </c>
      <c r="L118" s="636">
        <v>1817.66</v>
      </c>
      <c r="M118" s="636">
        <v>1475.03</v>
      </c>
      <c r="N118" s="613"/>
    </row>
    <row r="119" spans="1:14" ht="30" customHeight="1" x14ac:dyDescent="0.25">
      <c r="A119" s="627" t="s">
        <v>10578</v>
      </c>
      <c r="B119" s="627" t="s">
        <v>10577</v>
      </c>
      <c r="C119" s="627" t="s">
        <v>10576</v>
      </c>
      <c r="D119" s="627" t="s">
        <v>10575</v>
      </c>
      <c r="E119" s="767" t="s">
        <v>10578</v>
      </c>
      <c r="F119" s="758">
        <v>30</v>
      </c>
      <c r="G119" s="758"/>
      <c r="H119" s="758">
        <v>30</v>
      </c>
      <c r="I119" s="628">
        <v>30</v>
      </c>
      <c r="J119" s="628">
        <v>0</v>
      </c>
      <c r="K119" s="636">
        <f t="shared" si="5"/>
        <v>30</v>
      </c>
      <c r="L119" s="636"/>
      <c r="M119" s="636"/>
      <c r="N119" s="613"/>
    </row>
    <row r="120" spans="1:14" ht="30" customHeight="1" x14ac:dyDescent="0.25">
      <c r="A120" s="627" t="s">
        <v>10574</v>
      </c>
      <c r="B120" s="627" t="s">
        <v>10573</v>
      </c>
      <c r="C120" s="627" t="s">
        <v>10572</v>
      </c>
      <c r="D120" s="627" t="s">
        <v>10571</v>
      </c>
      <c r="E120" s="767" t="s">
        <v>10574</v>
      </c>
      <c r="F120" s="758">
        <v>240</v>
      </c>
      <c r="G120" s="758">
        <v>485.94</v>
      </c>
      <c r="H120" s="758">
        <v>725.94</v>
      </c>
      <c r="I120" s="628">
        <v>5</v>
      </c>
      <c r="J120" s="628">
        <v>1368.97</v>
      </c>
      <c r="K120" s="636">
        <f t="shared" si="5"/>
        <v>1373.97</v>
      </c>
      <c r="L120" s="636">
        <v>929.55</v>
      </c>
      <c r="M120" s="636">
        <v>1632.86</v>
      </c>
      <c r="N120" s="613"/>
    </row>
    <row r="121" spans="1:14" ht="30" customHeight="1" x14ac:dyDescent="0.25">
      <c r="A121" s="627" t="s">
        <v>10570</v>
      </c>
      <c r="B121" s="627" t="s">
        <v>10569</v>
      </c>
      <c r="C121" s="627" t="s">
        <v>1165</v>
      </c>
      <c r="D121" s="627" t="s">
        <v>10568</v>
      </c>
      <c r="E121" s="767" t="s">
        <v>10570</v>
      </c>
      <c r="F121" s="758">
        <v>34</v>
      </c>
      <c r="G121" s="758">
        <v>1500.44</v>
      </c>
      <c r="H121" s="758">
        <v>1534.44</v>
      </c>
      <c r="I121" s="628">
        <v>12</v>
      </c>
      <c r="J121" s="628">
        <v>1457.79</v>
      </c>
      <c r="K121" s="636">
        <f t="shared" si="5"/>
        <v>1469.79</v>
      </c>
      <c r="L121" s="636">
        <v>1536.11</v>
      </c>
      <c r="M121" s="636">
        <v>1519.09</v>
      </c>
      <c r="N121" s="613"/>
    </row>
    <row r="122" spans="1:14" ht="30" customHeight="1" x14ac:dyDescent="0.25">
      <c r="A122" s="627" t="s">
        <v>10567</v>
      </c>
      <c r="B122" s="627" t="s">
        <v>10566</v>
      </c>
      <c r="C122" s="627" t="s">
        <v>10565</v>
      </c>
      <c r="D122" s="627" t="s">
        <v>10392</v>
      </c>
      <c r="E122" s="767"/>
      <c r="F122" s="758"/>
      <c r="G122" s="758"/>
      <c r="H122" s="758"/>
      <c r="I122" s="628">
        <v>0</v>
      </c>
      <c r="J122" s="628">
        <v>945.43999999999983</v>
      </c>
      <c r="K122" s="636">
        <f t="shared" si="5"/>
        <v>945.43999999999983</v>
      </c>
      <c r="L122" s="636">
        <v>1481.19</v>
      </c>
      <c r="M122" s="636">
        <v>0</v>
      </c>
      <c r="N122" s="613"/>
    </row>
    <row r="123" spans="1:14" ht="30" customHeight="1" x14ac:dyDescent="0.25">
      <c r="A123" s="627" t="s">
        <v>10564</v>
      </c>
      <c r="B123" s="627" t="s">
        <v>10563</v>
      </c>
      <c r="C123" s="627" t="s">
        <v>10562</v>
      </c>
      <c r="D123" s="627" t="s">
        <v>10392</v>
      </c>
      <c r="E123" s="767" t="s">
        <v>10564</v>
      </c>
      <c r="F123" s="758">
        <v>22</v>
      </c>
      <c r="G123" s="758">
        <v>1017.5</v>
      </c>
      <c r="H123" s="758">
        <v>1039.5</v>
      </c>
      <c r="I123" s="628">
        <v>10</v>
      </c>
      <c r="J123" s="628">
        <v>1352.4</v>
      </c>
      <c r="K123" s="636">
        <f t="shared" si="5"/>
        <v>1362.4</v>
      </c>
      <c r="L123" s="636">
        <v>1893.28</v>
      </c>
      <c r="M123" s="636">
        <v>1967.69</v>
      </c>
      <c r="N123" s="613"/>
    </row>
    <row r="124" spans="1:14" ht="30" customHeight="1" x14ac:dyDescent="0.25">
      <c r="A124" s="627" t="s">
        <v>10561</v>
      </c>
      <c r="B124" s="627" t="s">
        <v>10560</v>
      </c>
      <c r="C124" s="627" t="s">
        <v>10559</v>
      </c>
      <c r="D124" s="627" t="s">
        <v>10392</v>
      </c>
      <c r="E124" s="767" t="s">
        <v>10561</v>
      </c>
      <c r="F124" s="758">
        <v>45</v>
      </c>
      <c r="G124" s="758">
        <v>245</v>
      </c>
      <c r="H124" s="758">
        <v>290</v>
      </c>
      <c r="I124" s="628">
        <v>35</v>
      </c>
      <c r="J124" s="628">
        <v>240</v>
      </c>
      <c r="K124" s="636">
        <f t="shared" si="5"/>
        <v>275</v>
      </c>
      <c r="L124" s="636">
        <v>189</v>
      </c>
      <c r="M124" s="636">
        <v>510.6</v>
      </c>
      <c r="N124" s="613"/>
    </row>
    <row r="125" spans="1:14" ht="30" customHeight="1" x14ac:dyDescent="0.25">
      <c r="A125" s="627" t="s">
        <v>10558</v>
      </c>
      <c r="B125" s="627" t="s">
        <v>10557</v>
      </c>
      <c r="C125" s="627" t="s">
        <v>10556</v>
      </c>
      <c r="D125" s="627" t="s">
        <v>10392</v>
      </c>
      <c r="E125" s="767" t="s">
        <v>10558</v>
      </c>
      <c r="F125" s="758"/>
      <c r="G125" s="758">
        <v>350.51</v>
      </c>
      <c r="H125" s="758">
        <v>350.51</v>
      </c>
      <c r="I125" s="628">
        <v>0</v>
      </c>
      <c r="J125" s="628">
        <v>63</v>
      </c>
      <c r="K125" s="636">
        <f t="shared" si="5"/>
        <v>63</v>
      </c>
      <c r="L125" s="636">
        <v>777.45</v>
      </c>
      <c r="M125" s="636">
        <v>3163.85</v>
      </c>
      <c r="N125" s="613"/>
    </row>
    <row r="126" spans="1:14" ht="30" customHeight="1" x14ac:dyDescent="0.25">
      <c r="A126" s="627" t="s">
        <v>10954</v>
      </c>
      <c r="B126" s="627">
        <v>1001</v>
      </c>
      <c r="C126" s="627" t="s">
        <v>10955</v>
      </c>
      <c r="D126" s="627" t="s">
        <v>10692</v>
      </c>
      <c r="E126" s="767"/>
      <c r="F126" s="758"/>
      <c r="G126" s="758"/>
      <c r="H126" s="758"/>
      <c r="I126" s="628"/>
      <c r="J126" s="628"/>
      <c r="K126" s="636"/>
      <c r="L126" s="636">
        <v>75</v>
      </c>
      <c r="M126" s="636">
        <v>275</v>
      </c>
      <c r="N126" s="613"/>
    </row>
    <row r="127" spans="1:14" ht="30" customHeight="1" x14ac:dyDescent="0.25">
      <c r="A127" s="627" t="s">
        <v>10555</v>
      </c>
      <c r="B127" s="627" t="s">
        <v>10554</v>
      </c>
      <c r="C127" s="627" t="s">
        <v>10553</v>
      </c>
      <c r="D127" s="627" t="s">
        <v>10392</v>
      </c>
      <c r="E127" s="767" t="s">
        <v>10555</v>
      </c>
      <c r="F127" s="758">
        <v>68</v>
      </c>
      <c r="G127" s="758"/>
      <c r="H127" s="758">
        <v>68</v>
      </c>
      <c r="I127" s="628">
        <v>0</v>
      </c>
      <c r="J127" s="628">
        <v>852.6099999999999</v>
      </c>
      <c r="K127" s="636">
        <f t="shared" ref="K127:K158" si="6">SUM(I127:J127)</f>
        <v>852.6099999999999</v>
      </c>
      <c r="L127" s="636">
        <v>830.42</v>
      </c>
      <c r="M127" s="636">
        <v>1485.86</v>
      </c>
      <c r="N127" s="613"/>
    </row>
    <row r="128" spans="1:14" ht="30" customHeight="1" x14ac:dyDescent="0.25">
      <c r="A128" s="627" t="s">
        <v>10552</v>
      </c>
      <c r="B128" s="627" t="s">
        <v>10551</v>
      </c>
      <c r="C128" s="627" t="s">
        <v>226</v>
      </c>
      <c r="D128" s="627" t="s">
        <v>10550</v>
      </c>
      <c r="E128" s="767" t="s">
        <v>10552</v>
      </c>
      <c r="F128" s="758">
        <v>760</v>
      </c>
      <c r="G128" s="758">
        <v>666.02</v>
      </c>
      <c r="H128" s="758">
        <v>1426.02</v>
      </c>
      <c r="I128" s="628">
        <v>355</v>
      </c>
      <c r="J128" s="628">
        <v>1147.0100000000002</v>
      </c>
      <c r="K128" s="636">
        <f t="shared" si="6"/>
        <v>1502.0100000000002</v>
      </c>
      <c r="L128" s="636">
        <v>1865.25</v>
      </c>
      <c r="M128" s="636">
        <v>1664.51</v>
      </c>
      <c r="N128" s="613"/>
    </row>
    <row r="129" spans="1:14" ht="30" customHeight="1" x14ac:dyDescent="0.25">
      <c r="A129" s="627" t="s">
        <v>10549</v>
      </c>
      <c r="B129" s="627" t="s">
        <v>10548</v>
      </c>
      <c r="C129" s="627" t="s">
        <v>226</v>
      </c>
      <c r="D129" s="627" t="s">
        <v>10547</v>
      </c>
      <c r="E129" s="767" t="s">
        <v>10549</v>
      </c>
      <c r="F129" s="758">
        <v>540</v>
      </c>
      <c r="G129" s="758">
        <v>-63.88</v>
      </c>
      <c r="H129" s="758">
        <v>476.12</v>
      </c>
      <c r="I129" s="628">
        <v>70</v>
      </c>
      <c r="J129" s="628">
        <v>3085.63</v>
      </c>
      <c r="K129" s="636">
        <f t="shared" si="6"/>
        <v>3155.63</v>
      </c>
      <c r="L129" s="636">
        <v>6389.31</v>
      </c>
      <c r="M129" s="636">
        <v>80</v>
      </c>
      <c r="N129" s="613"/>
    </row>
    <row r="130" spans="1:14" ht="30" customHeight="1" x14ac:dyDescent="0.25">
      <c r="A130" s="627" t="s">
        <v>10546</v>
      </c>
      <c r="B130" s="627" t="s">
        <v>10545</v>
      </c>
      <c r="C130" s="627" t="s">
        <v>10544</v>
      </c>
      <c r="D130" s="627" t="s">
        <v>10543</v>
      </c>
      <c r="E130" s="767" t="s">
        <v>10546</v>
      </c>
      <c r="F130" s="758">
        <v>100</v>
      </c>
      <c r="G130" s="758">
        <v>220</v>
      </c>
      <c r="H130" s="758">
        <v>320</v>
      </c>
      <c r="I130" s="628">
        <v>25</v>
      </c>
      <c r="J130" s="628">
        <v>95</v>
      </c>
      <c r="K130" s="636">
        <f t="shared" si="6"/>
        <v>120</v>
      </c>
      <c r="L130" s="636"/>
      <c r="M130" s="636"/>
      <c r="N130" s="613"/>
    </row>
    <row r="131" spans="1:14" ht="30" customHeight="1" x14ac:dyDescent="0.25">
      <c r="A131" s="627" t="s">
        <v>10542</v>
      </c>
      <c r="B131" s="627" t="s">
        <v>10541</v>
      </c>
      <c r="C131" s="627" t="s">
        <v>10540</v>
      </c>
      <c r="D131" s="627" t="s">
        <v>10539</v>
      </c>
      <c r="E131" s="767" t="s">
        <v>10542</v>
      </c>
      <c r="F131" s="758">
        <v>410</v>
      </c>
      <c r="G131" s="758"/>
      <c r="H131" s="758">
        <v>410</v>
      </c>
      <c r="I131" s="628">
        <v>230</v>
      </c>
      <c r="J131" s="628">
        <v>436.31000000000006</v>
      </c>
      <c r="K131" s="636">
        <f t="shared" si="6"/>
        <v>666.31000000000006</v>
      </c>
      <c r="L131" s="636">
        <v>887.29</v>
      </c>
      <c r="M131" s="636">
        <v>917.31999999999994</v>
      </c>
      <c r="N131" s="613"/>
    </row>
    <row r="132" spans="1:14" ht="30" customHeight="1" x14ac:dyDescent="0.25">
      <c r="A132" s="627" t="s">
        <v>10538</v>
      </c>
      <c r="B132" s="627" t="s">
        <v>10537</v>
      </c>
      <c r="C132" s="627" t="s">
        <v>10536</v>
      </c>
      <c r="D132" s="627" t="s">
        <v>10535</v>
      </c>
      <c r="E132" s="767" t="s">
        <v>10538</v>
      </c>
      <c r="F132" s="758">
        <v>239.9</v>
      </c>
      <c r="G132" s="758"/>
      <c r="H132" s="758">
        <v>239.9</v>
      </c>
      <c r="I132" s="628">
        <v>76</v>
      </c>
      <c r="J132" s="628">
        <v>567</v>
      </c>
      <c r="K132" s="636">
        <f t="shared" si="6"/>
        <v>643</v>
      </c>
      <c r="L132" s="636">
        <v>813</v>
      </c>
      <c r="M132" s="636">
        <v>931.4</v>
      </c>
      <c r="N132" s="613"/>
    </row>
    <row r="133" spans="1:14" ht="30" customHeight="1" x14ac:dyDescent="0.25">
      <c r="A133" s="627" t="s">
        <v>10534</v>
      </c>
      <c r="B133" s="627" t="s">
        <v>10533</v>
      </c>
      <c r="C133" s="627" t="s">
        <v>10532</v>
      </c>
      <c r="D133" s="627" t="s">
        <v>10465</v>
      </c>
      <c r="E133" s="767" t="s">
        <v>10534</v>
      </c>
      <c r="F133" s="758">
        <v>465.72</v>
      </c>
      <c r="G133" s="758"/>
      <c r="H133" s="758">
        <v>465.72</v>
      </c>
      <c r="I133" s="628">
        <v>154</v>
      </c>
      <c r="J133" s="628">
        <v>800.99</v>
      </c>
      <c r="K133" s="636">
        <f t="shared" si="6"/>
        <v>954.99</v>
      </c>
      <c r="L133" s="636">
        <v>1495.25</v>
      </c>
      <c r="M133" s="636">
        <v>1510</v>
      </c>
      <c r="N133" s="613"/>
    </row>
    <row r="134" spans="1:14" ht="30" customHeight="1" x14ac:dyDescent="0.25">
      <c r="A134" s="627" t="s">
        <v>10531</v>
      </c>
      <c r="B134" s="627" t="s">
        <v>10530</v>
      </c>
      <c r="C134" s="627" t="s">
        <v>10529</v>
      </c>
      <c r="D134" s="627" t="s">
        <v>10528</v>
      </c>
      <c r="E134" s="767" t="s">
        <v>10531</v>
      </c>
      <c r="F134" s="758">
        <v>549</v>
      </c>
      <c r="G134" s="758">
        <v>611.5</v>
      </c>
      <c r="H134" s="758">
        <v>1160.5</v>
      </c>
      <c r="I134" s="628">
        <v>163</v>
      </c>
      <c r="J134" s="628">
        <v>1136.67</v>
      </c>
      <c r="K134" s="636">
        <f t="shared" si="6"/>
        <v>1299.67</v>
      </c>
      <c r="L134" s="636">
        <v>1080.27</v>
      </c>
      <c r="M134" s="636">
        <v>1060.5899999999999</v>
      </c>
      <c r="N134" s="613"/>
    </row>
    <row r="135" spans="1:14" ht="30" customHeight="1" x14ac:dyDescent="0.25">
      <c r="A135" s="627" t="s">
        <v>10527</v>
      </c>
      <c r="B135" s="627" t="s">
        <v>10526</v>
      </c>
      <c r="C135" s="627" t="s">
        <v>3974</v>
      </c>
      <c r="D135" s="627" t="s">
        <v>10525</v>
      </c>
      <c r="E135" s="767" t="s">
        <v>10527</v>
      </c>
      <c r="F135" s="758">
        <v>472</v>
      </c>
      <c r="G135" s="758">
        <v>2189.86</v>
      </c>
      <c r="H135" s="758">
        <v>2661.86</v>
      </c>
      <c r="I135" s="628">
        <v>155</v>
      </c>
      <c r="J135" s="628">
        <v>2410</v>
      </c>
      <c r="K135" s="636">
        <f t="shared" si="6"/>
        <v>2565</v>
      </c>
      <c r="L135" s="636">
        <v>3102.5</v>
      </c>
      <c r="M135" s="636">
        <v>3141.83</v>
      </c>
      <c r="N135" s="613"/>
    </row>
    <row r="136" spans="1:14" ht="30" customHeight="1" x14ac:dyDescent="0.25">
      <c r="A136" s="627" t="s">
        <v>10524</v>
      </c>
      <c r="B136" s="627" t="s">
        <v>10523</v>
      </c>
      <c r="C136" s="627" t="s">
        <v>10522</v>
      </c>
      <c r="D136" s="627" t="s">
        <v>10521</v>
      </c>
      <c r="E136" s="767" t="s">
        <v>10524</v>
      </c>
      <c r="F136" s="758">
        <v>439.4</v>
      </c>
      <c r="G136" s="758">
        <v>1472.94</v>
      </c>
      <c r="H136" s="758">
        <v>1912.3400000000001</v>
      </c>
      <c r="I136" s="628">
        <v>30</v>
      </c>
      <c r="J136" s="628">
        <v>3512.36</v>
      </c>
      <c r="K136" s="636">
        <f t="shared" si="6"/>
        <v>3542.36</v>
      </c>
      <c r="L136" s="636">
        <v>3904.68</v>
      </c>
      <c r="M136" s="636">
        <v>3849.36</v>
      </c>
      <c r="N136" s="613"/>
    </row>
    <row r="137" spans="1:14" ht="30" customHeight="1" x14ac:dyDescent="0.25">
      <c r="A137" s="627" t="s">
        <v>10520</v>
      </c>
      <c r="B137" s="627" t="s">
        <v>10519</v>
      </c>
      <c r="C137" s="627" t="s">
        <v>532</v>
      </c>
      <c r="D137" s="627" t="s">
        <v>10518</v>
      </c>
      <c r="E137" s="767" t="s">
        <v>10520</v>
      </c>
      <c r="F137" s="758">
        <v>505</v>
      </c>
      <c r="G137" s="758"/>
      <c r="H137" s="758">
        <v>505</v>
      </c>
      <c r="I137" s="628">
        <v>100</v>
      </c>
      <c r="J137" s="628">
        <v>1536.48</v>
      </c>
      <c r="K137" s="636">
        <f t="shared" si="6"/>
        <v>1636.48</v>
      </c>
      <c r="L137" s="636">
        <v>2128.44</v>
      </c>
      <c r="M137" s="636">
        <v>2301.84</v>
      </c>
      <c r="N137" s="613"/>
    </row>
    <row r="138" spans="1:14" ht="30" customHeight="1" x14ac:dyDescent="0.25">
      <c r="A138" s="627" t="s">
        <v>10517</v>
      </c>
      <c r="B138" s="627" t="s">
        <v>10516</v>
      </c>
      <c r="C138" s="627" t="s">
        <v>10515</v>
      </c>
      <c r="D138" s="627" t="s">
        <v>10514</v>
      </c>
      <c r="E138" s="767" t="s">
        <v>10517</v>
      </c>
      <c r="F138" s="758">
        <v>222</v>
      </c>
      <c r="G138" s="758"/>
      <c r="H138" s="758">
        <v>222</v>
      </c>
      <c r="I138" s="628">
        <v>70</v>
      </c>
      <c r="J138" s="628">
        <v>1310.2899999999997</v>
      </c>
      <c r="K138" s="636">
        <f t="shared" si="6"/>
        <v>1380.2899999999997</v>
      </c>
      <c r="L138" s="636">
        <v>728.68</v>
      </c>
      <c r="M138" s="636">
        <v>948.92</v>
      </c>
      <c r="N138" s="613"/>
    </row>
    <row r="139" spans="1:14" ht="30" customHeight="1" x14ac:dyDescent="0.25">
      <c r="A139" s="627" t="s">
        <v>10513</v>
      </c>
      <c r="B139" s="627" t="s">
        <v>10512</v>
      </c>
      <c r="C139" s="627" t="s">
        <v>10511</v>
      </c>
      <c r="D139" s="627" t="s">
        <v>5368</v>
      </c>
      <c r="E139" s="767" t="s">
        <v>10513</v>
      </c>
      <c r="F139" s="758">
        <v>1116.5899999999999</v>
      </c>
      <c r="G139" s="758">
        <v>2073.9</v>
      </c>
      <c r="H139" s="758">
        <v>3190.49</v>
      </c>
      <c r="I139" s="628">
        <v>110</v>
      </c>
      <c r="J139" s="628">
        <v>4076.55</v>
      </c>
      <c r="K139" s="636">
        <f t="shared" si="6"/>
        <v>4186.55</v>
      </c>
      <c r="L139" s="636">
        <v>4117.67</v>
      </c>
      <c r="M139" s="636">
        <v>4507.05</v>
      </c>
      <c r="N139" s="613"/>
    </row>
    <row r="140" spans="1:14" ht="30" customHeight="1" x14ac:dyDescent="0.25">
      <c r="A140" s="627" t="s">
        <v>10510</v>
      </c>
      <c r="B140" s="627" t="s">
        <v>10509</v>
      </c>
      <c r="C140" s="627" t="s">
        <v>8759</v>
      </c>
      <c r="D140" s="627" t="s">
        <v>10508</v>
      </c>
      <c r="E140" s="767" t="s">
        <v>10510</v>
      </c>
      <c r="F140" s="758">
        <v>160</v>
      </c>
      <c r="G140" s="758"/>
      <c r="H140" s="758">
        <v>160</v>
      </c>
      <c r="I140" s="628">
        <v>20</v>
      </c>
      <c r="J140" s="628">
        <v>171.32</v>
      </c>
      <c r="K140" s="636">
        <f t="shared" si="6"/>
        <v>191.32</v>
      </c>
      <c r="L140" s="636">
        <v>369.7</v>
      </c>
      <c r="M140" s="636">
        <v>384.73</v>
      </c>
      <c r="N140" s="613"/>
    </row>
    <row r="141" spans="1:14" ht="30" customHeight="1" x14ac:dyDescent="0.25">
      <c r="A141" s="627" t="s">
        <v>10507</v>
      </c>
      <c r="B141" s="627" t="s">
        <v>10506</v>
      </c>
      <c r="C141" s="627" t="s">
        <v>812</v>
      </c>
      <c r="D141" s="627" t="s">
        <v>10505</v>
      </c>
      <c r="E141" s="767" t="s">
        <v>10507</v>
      </c>
      <c r="F141" s="758">
        <v>546.03999999999974</v>
      </c>
      <c r="G141" s="758">
        <v>772.07999999999993</v>
      </c>
      <c r="H141" s="758">
        <v>1318.1199999999997</v>
      </c>
      <c r="I141" s="628">
        <v>128</v>
      </c>
      <c r="J141" s="628">
        <v>1576.6000000000001</v>
      </c>
      <c r="K141" s="636">
        <f t="shared" si="6"/>
        <v>1704.6000000000001</v>
      </c>
      <c r="L141" s="636">
        <v>1297.5</v>
      </c>
      <c r="M141" s="636">
        <v>1249.03</v>
      </c>
      <c r="N141" s="613"/>
    </row>
    <row r="142" spans="1:14" ht="30" customHeight="1" x14ac:dyDescent="0.25">
      <c r="A142" s="627" t="s">
        <v>10504</v>
      </c>
      <c r="B142" s="627" t="s">
        <v>10503</v>
      </c>
      <c r="C142" s="627" t="s">
        <v>1008</v>
      </c>
      <c r="D142" s="627" t="s">
        <v>10491</v>
      </c>
      <c r="E142" s="767" t="s">
        <v>10504</v>
      </c>
      <c r="F142" s="758">
        <v>200</v>
      </c>
      <c r="G142" s="758">
        <v>549.48</v>
      </c>
      <c r="H142" s="758">
        <v>749.48</v>
      </c>
      <c r="I142" s="628">
        <v>50</v>
      </c>
      <c r="J142" s="628">
        <v>417.82000000000005</v>
      </c>
      <c r="K142" s="636">
        <f t="shared" si="6"/>
        <v>467.82000000000005</v>
      </c>
      <c r="L142" s="636">
        <v>451.82</v>
      </c>
      <c r="M142" s="636">
        <v>410.61</v>
      </c>
      <c r="N142" s="613"/>
    </row>
    <row r="143" spans="1:14" ht="30" customHeight="1" x14ac:dyDescent="0.25">
      <c r="A143" s="627" t="s">
        <v>10502</v>
      </c>
      <c r="B143" s="627" t="s">
        <v>10501</v>
      </c>
      <c r="C143" s="627" t="s">
        <v>10500</v>
      </c>
      <c r="D143" s="627" t="s">
        <v>10491</v>
      </c>
      <c r="E143" s="767" t="s">
        <v>10502</v>
      </c>
      <c r="F143" s="758">
        <v>44</v>
      </c>
      <c r="G143" s="758">
        <v>1325.0800000000002</v>
      </c>
      <c r="H143" s="758">
        <v>1369.0800000000002</v>
      </c>
      <c r="I143" s="628">
        <v>32</v>
      </c>
      <c r="J143" s="628">
        <v>1945.43</v>
      </c>
      <c r="K143" s="636">
        <f t="shared" si="6"/>
        <v>1977.43</v>
      </c>
      <c r="L143" s="636">
        <v>1808.97</v>
      </c>
      <c r="M143" s="636">
        <v>1572.25</v>
      </c>
      <c r="N143" s="613"/>
    </row>
    <row r="144" spans="1:14" ht="30" customHeight="1" x14ac:dyDescent="0.25">
      <c r="A144" s="627" t="s">
        <v>10499</v>
      </c>
      <c r="B144" s="627" t="s">
        <v>10498</v>
      </c>
      <c r="C144" s="627" t="s">
        <v>10497</v>
      </c>
      <c r="D144" s="627" t="s">
        <v>10491</v>
      </c>
      <c r="E144" s="767" t="s">
        <v>10499</v>
      </c>
      <c r="F144" s="758">
        <v>368.15999999999997</v>
      </c>
      <c r="G144" s="758">
        <v>1828.64</v>
      </c>
      <c r="H144" s="758">
        <v>2196.8000000000002</v>
      </c>
      <c r="I144" s="628">
        <v>40</v>
      </c>
      <c r="J144" s="628">
        <v>3909.77</v>
      </c>
      <c r="K144" s="636">
        <f t="shared" si="6"/>
        <v>3949.77</v>
      </c>
      <c r="L144" s="636">
        <v>4001.03</v>
      </c>
      <c r="M144" s="636">
        <v>3212.68</v>
      </c>
      <c r="N144" s="613"/>
    </row>
    <row r="145" spans="1:14" ht="30" customHeight="1" x14ac:dyDescent="0.25">
      <c r="A145" s="627" t="s">
        <v>10496</v>
      </c>
      <c r="B145" s="627" t="s">
        <v>10495</v>
      </c>
      <c r="C145" s="627" t="s">
        <v>10494</v>
      </c>
      <c r="D145" s="627" t="s">
        <v>10491</v>
      </c>
      <c r="E145" s="767" t="s">
        <v>10496</v>
      </c>
      <c r="F145" s="758">
        <v>348.9</v>
      </c>
      <c r="G145" s="758">
        <v>346</v>
      </c>
      <c r="H145" s="758">
        <v>694.9</v>
      </c>
      <c r="I145" s="628">
        <v>187</v>
      </c>
      <c r="J145" s="628">
        <v>1447.5200000000002</v>
      </c>
      <c r="K145" s="636">
        <f t="shared" si="6"/>
        <v>1634.5200000000002</v>
      </c>
      <c r="L145" s="636">
        <v>1753.28</v>
      </c>
      <c r="M145" s="636">
        <v>1826.7</v>
      </c>
      <c r="N145" s="613"/>
    </row>
    <row r="146" spans="1:14" ht="30" customHeight="1" x14ac:dyDescent="0.25">
      <c r="A146" s="627" t="s">
        <v>10493</v>
      </c>
      <c r="B146" s="627" t="s">
        <v>10492</v>
      </c>
      <c r="C146" s="627" t="s">
        <v>10032</v>
      </c>
      <c r="D146" s="627" t="s">
        <v>10491</v>
      </c>
      <c r="E146" s="767"/>
      <c r="F146" s="758"/>
      <c r="G146" s="758"/>
      <c r="H146" s="758"/>
      <c r="I146" s="628">
        <v>0</v>
      </c>
      <c r="J146" s="628">
        <v>652</v>
      </c>
      <c r="K146" s="636">
        <f t="shared" si="6"/>
        <v>652</v>
      </c>
      <c r="L146" s="636">
        <v>524</v>
      </c>
      <c r="M146" s="636">
        <v>805</v>
      </c>
      <c r="N146" s="613"/>
    </row>
    <row r="147" spans="1:14" ht="30" customHeight="1" x14ac:dyDescent="0.25">
      <c r="A147" s="627" t="s">
        <v>10490</v>
      </c>
      <c r="B147" s="627" t="s">
        <v>10489</v>
      </c>
      <c r="C147" s="627" t="s">
        <v>10488</v>
      </c>
      <c r="D147" s="627" t="s">
        <v>10487</v>
      </c>
      <c r="E147" s="767" t="s">
        <v>10490</v>
      </c>
      <c r="F147" s="758">
        <v>548</v>
      </c>
      <c r="G147" s="758">
        <v>631.6400000000001</v>
      </c>
      <c r="H147" s="758">
        <v>1179.6400000000001</v>
      </c>
      <c r="I147" s="628">
        <v>208</v>
      </c>
      <c r="J147" s="628">
        <v>2151.2400000000002</v>
      </c>
      <c r="K147" s="636">
        <f t="shared" si="6"/>
        <v>2359.2400000000002</v>
      </c>
      <c r="L147" s="636">
        <v>2444.37</v>
      </c>
      <c r="M147" s="636">
        <v>2378.16</v>
      </c>
      <c r="N147" s="613"/>
    </row>
    <row r="148" spans="1:14" ht="30" customHeight="1" x14ac:dyDescent="0.25">
      <c r="A148" s="627" t="s">
        <v>10486</v>
      </c>
      <c r="B148" s="627" t="s">
        <v>10485</v>
      </c>
      <c r="C148" s="627" t="s">
        <v>10484</v>
      </c>
      <c r="D148" s="627" t="s">
        <v>10483</v>
      </c>
      <c r="E148" s="767" t="s">
        <v>10486</v>
      </c>
      <c r="F148" s="758"/>
      <c r="G148" s="758">
        <v>70.89</v>
      </c>
      <c r="H148" s="758">
        <v>70.89</v>
      </c>
      <c r="I148" s="628">
        <v>0</v>
      </c>
      <c r="J148" s="628">
        <v>75.75</v>
      </c>
      <c r="K148" s="636">
        <f t="shared" si="6"/>
        <v>75.75</v>
      </c>
      <c r="L148" s="636">
        <v>35.86</v>
      </c>
      <c r="M148" s="636">
        <v>44.81</v>
      </c>
      <c r="N148" s="613"/>
    </row>
    <row r="149" spans="1:14" ht="30" customHeight="1" x14ac:dyDescent="0.25">
      <c r="A149" s="627" t="s">
        <v>10482</v>
      </c>
      <c r="B149" s="627" t="s">
        <v>10481</v>
      </c>
      <c r="C149" s="627" t="s">
        <v>10480</v>
      </c>
      <c r="D149" s="627" t="s">
        <v>10479</v>
      </c>
      <c r="E149" s="767" t="s">
        <v>10482</v>
      </c>
      <c r="F149" s="758">
        <v>407.75</v>
      </c>
      <c r="G149" s="758"/>
      <c r="H149" s="758">
        <v>407.75</v>
      </c>
      <c r="I149" s="628">
        <v>0</v>
      </c>
      <c r="J149" s="628">
        <v>613.54999999999995</v>
      </c>
      <c r="K149" s="636">
        <f t="shared" si="6"/>
        <v>613.54999999999995</v>
      </c>
      <c r="L149" s="636">
        <v>651.4</v>
      </c>
      <c r="M149" s="636">
        <v>775.09</v>
      </c>
      <c r="N149" s="613"/>
    </row>
    <row r="150" spans="1:14" ht="30" customHeight="1" x14ac:dyDescent="0.25">
      <c r="A150" s="627" t="s">
        <v>10478</v>
      </c>
      <c r="B150" s="627" t="s">
        <v>10477</v>
      </c>
      <c r="C150" s="627" t="s">
        <v>532</v>
      </c>
      <c r="D150" s="627" t="s">
        <v>10476</v>
      </c>
      <c r="E150" s="767" t="s">
        <v>10478</v>
      </c>
      <c r="F150" s="758">
        <v>100</v>
      </c>
      <c r="G150" s="758">
        <v>363.58</v>
      </c>
      <c r="H150" s="758">
        <v>463.58</v>
      </c>
      <c r="I150" s="628">
        <v>60</v>
      </c>
      <c r="J150" s="628">
        <v>594.66999999999996</v>
      </c>
      <c r="K150" s="636">
        <f t="shared" si="6"/>
        <v>654.66999999999996</v>
      </c>
      <c r="L150" s="636">
        <v>1455.99</v>
      </c>
      <c r="M150" s="636">
        <v>1328.07</v>
      </c>
      <c r="N150" s="613"/>
    </row>
    <row r="151" spans="1:14" ht="30" customHeight="1" x14ac:dyDescent="0.25">
      <c r="A151" s="627" t="s">
        <v>10475</v>
      </c>
      <c r="B151" s="627" t="s">
        <v>10474</v>
      </c>
      <c r="C151" s="627" t="s">
        <v>10473</v>
      </c>
      <c r="D151" s="627" t="s">
        <v>10472</v>
      </c>
      <c r="E151" s="767" t="s">
        <v>10475</v>
      </c>
      <c r="F151" s="758">
        <v>504</v>
      </c>
      <c r="G151" s="758">
        <v>530.91</v>
      </c>
      <c r="H151" s="758">
        <v>1034.9099999999999</v>
      </c>
      <c r="I151" s="628">
        <v>250</v>
      </c>
      <c r="J151" s="628">
        <v>512.36999999999989</v>
      </c>
      <c r="K151" s="636">
        <f t="shared" si="6"/>
        <v>762.36999999999989</v>
      </c>
      <c r="L151" s="636">
        <v>706.14</v>
      </c>
      <c r="M151" s="636">
        <v>642.12</v>
      </c>
      <c r="N151" s="613"/>
    </row>
    <row r="152" spans="1:14" ht="30" customHeight="1" x14ac:dyDescent="0.25">
      <c r="A152" s="627" t="s">
        <v>10471</v>
      </c>
      <c r="B152" s="627" t="s">
        <v>10470</v>
      </c>
      <c r="C152" s="627" t="s">
        <v>10469</v>
      </c>
      <c r="D152" s="627" t="s">
        <v>10461</v>
      </c>
      <c r="E152" s="767" t="s">
        <v>10471</v>
      </c>
      <c r="F152" s="758">
        <v>243</v>
      </c>
      <c r="G152" s="758">
        <v>870.46</v>
      </c>
      <c r="H152" s="758">
        <v>1113.46</v>
      </c>
      <c r="I152" s="628">
        <v>30</v>
      </c>
      <c r="J152" s="628">
        <v>2433.79</v>
      </c>
      <c r="K152" s="636">
        <f t="shared" si="6"/>
        <v>2463.79</v>
      </c>
      <c r="L152" s="636">
        <v>3326.23</v>
      </c>
      <c r="M152" s="636">
        <v>3172.84</v>
      </c>
      <c r="N152" s="613"/>
    </row>
    <row r="153" spans="1:14" ht="30" customHeight="1" x14ac:dyDescent="0.25">
      <c r="A153" s="627" t="s">
        <v>10468</v>
      </c>
      <c r="B153" s="627" t="s">
        <v>10467</v>
      </c>
      <c r="C153" s="627" t="s">
        <v>10466</v>
      </c>
      <c r="D153" s="627" t="s">
        <v>10465</v>
      </c>
      <c r="E153" s="767" t="s">
        <v>10468</v>
      </c>
      <c r="F153" s="758">
        <v>13.45</v>
      </c>
      <c r="G153" s="758">
        <v>855.74000000000012</v>
      </c>
      <c r="H153" s="758">
        <v>869.19000000000017</v>
      </c>
      <c r="I153" s="628">
        <v>0</v>
      </c>
      <c r="J153" s="628">
        <v>3636.4900000000002</v>
      </c>
      <c r="K153" s="636">
        <f t="shared" si="6"/>
        <v>3636.4900000000002</v>
      </c>
      <c r="L153" s="636">
        <v>4438.8599999999997</v>
      </c>
      <c r="M153" s="636">
        <v>4623.9799999999996</v>
      </c>
      <c r="N153" s="613"/>
    </row>
    <row r="154" spans="1:14" ht="30" customHeight="1" x14ac:dyDescent="0.25">
      <c r="A154" s="627" t="s">
        <v>10464</v>
      </c>
      <c r="B154" s="627" t="s">
        <v>10463</v>
      </c>
      <c r="C154" s="627" t="s">
        <v>10462</v>
      </c>
      <c r="D154" s="627" t="s">
        <v>10461</v>
      </c>
      <c r="E154" s="767" t="s">
        <v>10464</v>
      </c>
      <c r="F154" s="758">
        <v>35</v>
      </c>
      <c r="G154" s="758">
        <v>843.63</v>
      </c>
      <c r="H154" s="758">
        <v>878.63</v>
      </c>
      <c r="I154" s="628">
        <v>0</v>
      </c>
      <c r="J154" s="628">
        <v>777.83</v>
      </c>
      <c r="K154" s="636">
        <f t="shared" si="6"/>
        <v>777.83</v>
      </c>
      <c r="L154" s="636"/>
      <c r="M154" s="636"/>
      <c r="N154" s="613"/>
    </row>
    <row r="155" spans="1:14" ht="30" customHeight="1" x14ac:dyDescent="0.25">
      <c r="A155" s="627" t="s">
        <v>10460</v>
      </c>
      <c r="B155" s="627" t="s">
        <v>10459</v>
      </c>
      <c r="C155" s="627" t="s">
        <v>10458</v>
      </c>
      <c r="D155" s="627" t="s">
        <v>10454</v>
      </c>
      <c r="E155" s="767" t="s">
        <v>10460</v>
      </c>
      <c r="F155" s="758">
        <v>1505</v>
      </c>
      <c r="G155" s="758">
        <v>975.48</v>
      </c>
      <c r="H155" s="758">
        <v>2480.48</v>
      </c>
      <c r="I155" s="628">
        <v>273</v>
      </c>
      <c r="J155" s="628">
        <v>2569.94</v>
      </c>
      <c r="K155" s="636">
        <f t="shared" si="6"/>
        <v>2842.94</v>
      </c>
      <c r="L155" s="636">
        <v>4432.76</v>
      </c>
      <c r="M155" s="636">
        <v>3888.75</v>
      </c>
      <c r="N155" s="613"/>
    </row>
    <row r="156" spans="1:14" ht="30" customHeight="1" x14ac:dyDescent="0.25">
      <c r="A156" s="627" t="s">
        <v>10457</v>
      </c>
      <c r="B156" s="627" t="s">
        <v>10456</v>
      </c>
      <c r="C156" s="627" t="s">
        <v>10455</v>
      </c>
      <c r="D156" s="627" t="s">
        <v>10454</v>
      </c>
      <c r="E156" s="767" t="s">
        <v>10457</v>
      </c>
      <c r="F156" s="758">
        <v>120</v>
      </c>
      <c r="G156" s="758"/>
      <c r="H156" s="758">
        <v>120</v>
      </c>
      <c r="I156" s="628">
        <v>60</v>
      </c>
      <c r="J156" s="628">
        <v>309.93999999999994</v>
      </c>
      <c r="K156" s="636">
        <f t="shared" si="6"/>
        <v>369.93999999999994</v>
      </c>
      <c r="L156" s="636">
        <v>1115</v>
      </c>
      <c r="M156" s="636">
        <v>1036.75</v>
      </c>
      <c r="N156" s="613"/>
    </row>
    <row r="157" spans="1:14" ht="30" customHeight="1" x14ac:dyDescent="0.25">
      <c r="A157" s="627" t="s">
        <v>10453</v>
      </c>
      <c r="B157" s="627" t="s">
        <v>10452</v>
      </c>
      <c r="C157" s="627" t="s">
        <v>532</v>
      </c>
      <c r="D157" s="627" t="s">
        <v>10451</v>
      </c>
      <c r="E157" s="767" t="s">
        <v>10453</v>
      </c>
      <c r="F157" s="758">
        <v>123.13</v>
      </c>
      <c r="G157" s="758">
        <v>286.87</v>
      </c>
      <c r="H157" s="758">
        <v>410</v>
      </c>
      <c r="I157" s="628">
        <v>10</v>
      </c>
      <c r="J157" s="628">
        <v>991.43999999999994</v>
      </c>
      <c r="K157" s="636">
        <f t="shared" si="6"/>
        <v>1001.4399999999999</v>
      </c>
      <c r="L157" s="636">
        <v>1307</v>
      </c>
      <c r="M157" s="636">
        <v>1005</v>
      </c>
      <c r="N157" s="613"/>
    </row>
    <row r="158" spans="1:14" ht="30" customHeight="1" x14ac:dyDescent="0.25">
      <c r="A158" s="627" t="s">
        <v>10450</v>
      </c>
      <c r="B158" s="627" t="s">
        <v>10449</v>
      </c>
      <c r="C158" s="627" t="s">
        <v>7829</v>
      </c>
      <c r="D158" s="627" t="s">
        <v>10448</v>
      </c>
      <c r="E158" s="767" t="s">
        <v>10450</v>
      </c>
      <c r="F158" s="758">
        <v>158</v>
      </c>
      <c r="G158" s="758">
        <v>445.86</v>
      </c>
      <c r="H158" s="758">
        <v>603.86</v>
      </c>
      <c r="I158" s="628">
        <v>175</v>
      </c>
      <c r="J158" s="628">
        <v>1123.9699999999998</v>
      </c>
      <c r="K158" s="636">
        <f t="shared" si="6"/>
        <v>1298.9699999999998</v>
      </c>
      <c r="L158" s="636">
        <v>1373.5</v>
      </c>
      <c r="M158" s="636">
        <v>1224.6300000000001</v>
      </c>
      <c r="N158" s="613"/>
    </row>
    <row r="159" spans="1:14" ht="30" customHeight="1" x14ac:dyDescent="0.25">
      <c r="A159" s="627" t="s">
        <v>10447</v>
      </c>
      <c r="B159" s="627" t="s">
        <v>10446</v>
      </c>
      <c r="C159" s="627" t="s">
        <v>10445</v>
      </c>
      <c r="D159" s="627" t="s">
        <v>10444</v>
      </c>
      <c r="E159" s="767" t="s">
        <v>10447</v>
      </c>
      <c r="F159" s="758">
        <v>329</v>
      </c>
      <c r="G159" s="758">
        <v>1356.3500000000001</v>
      </c>
      <c r="H159" s="758">
        <v>1685.3500000000001</v>
      </c>
      <c r="I159" s="628">
        <v>222</v>
      </c>
      <c r="J159" s="628">
        <v>644.87</v>
      </c>
      <c r="K159" s="636">
        <f t="shared" ref="K159:K167" si="7">SUM(I159:J159)</f>
        <v>866.87</v>
      </c>
      <c r="L159" s="636">
        <v>1512.84</v>
      </c>
      <c r="M159" s="636">
        <v>1163.19</v>
      </c>
      <c r="N159" s="613"/>
    </row>
    <row r="160" spans="1:14" ht="30" customHeight="1" x14ac:dyDescent="0.25">
      <c r="A160" s="627" t="s">
        <v>10443</v>
      </c>
      <c r="B160" s="627" t="s">
        <v>10442</v>
      </c>
      <c r="C160" s="627" t="s">
        <v>9384</v>
      </c>
      <c r="D160" s="627" t="s">
        <v>10441</v>
      </c>
      <c r="E160" s="767" t="s">
        <v>10443</v>
      </c>
      <c r="F160" s="758">
        <v>391</v>
      </c>
      <c r="G160" s="758">
        <v>333.95</v>
      </c>
      <c r="H160" s="758">
        <v>724.95</v>
      </c>
      <c r="I160" s="628">
        <v>180</v>
      </c>
      <c r="J160" s="628">
        <v>543.18000000000006</v>
      </c>
      <c r="K160" s="636">
        <f t="shared" si="7"/>
        <v>723.18000000000006</v>
      </c>
      <c r="L160" s="636">
        <v>1573.15</v>
      </c>
      <c r="M160" s="636">
        <v>2349.62</v>
      </c>
      <c r="N160" s="613"/>
    </row>
    <row r="161" spans="1:14" ht="30" customHeight="1" x14ac:dyDescent="0.25">
      <c r="A161" s="627" t="s">
        <v>10440</v>
      </c>
      <c r="B161" s="627" t="s">
        <v>10439</v>
      </c>
      <c r="C161" s="627" t="s">
        <v>916</v>
      </c>
      <c r="D161" s="627" t="s">
        <v>10438</v>
      </c>
      <c r="E161" s="767" t="s">
        <v>10440</v>
      </c>
      <c r="F161" s="758">
        <v>40</v>
      </c>
      <c r="G161" s="758"/>
      <c r="H161" s="758">
        <v>40</v>
      </c>
      <c r="I161" s="628">
        <v>15</v>
      </c>
      <c r="J161" s="628">
        <v>815</v>
      </c>
      <c r="K161" s="636">
        <f t="shared" si="7"/>
        <v>830</v>
      </c>
      <c r="L161" s="636">
        <v>486</v>
      </c>
      <c r="M161" s="636">
        <v>1058</v>
      </c>
      <c r="N161" s="613"/>
    </row>
    <row r="162" spans="1:14" ht="30" customHeight="1" x14ac:dyDescent="0.25">
      <c r="A162" s="627" t="s">
        <v>10437</v>
      </c>
      <c r="B162" s="627" t="s">
        <v>10436</v>
      </c>
      <c r="C162" s="627" t="s">
        <v>7797</v>
      </c>
      <c r="D162" s="627" t="s">
        <v>10435</v>
      </c>
      <c r="E162" s="767" t="s">
        <v>10437</v>
      </c>
      <c r="F162" s="758">
        <v>35</v>
      </c>
      <c r="G162" s="758">
        <v>893.26</v>
      </c>
      <c r="H162" s="758">
        <v>928.26</v>
      </c>
      <c r="I162" s="628">
        <v>25</v>
      </c>
      <c r="J162" s="628">
        <v>1127.42</v>
      </c>
      <c r="K162" s="636">
        <f t="shared" si="7"/>
        <v>1152.42</v>
      </c>
      <c r="L162" s="636">
        <v>1337.2</v>
      </c>
      <c r="M162" s="636">
        <v>1471.07</v>
      </c>
      <c r="N162" s="613"/>
    </row>
    <row r="163" spans="1:14" ht="30" customHeight="1" x14ac:dyDescent="0.25">
      <c r="A163" s="627" t="s">
        <v>10434</v>
      </c>
      <c r="B163" s="627" t="s">
        <v>10433</v>
      </c>
      <c r="C163" s="627" t="s">
        <v>231</v>
      </c>
      <c r="D163" s="627" t="s">
        <v>10432</v>
      </c>
      <c r="E163" s="767" t="s">
        <v>10434</v>
      </c>
      <c r="F163" s="758">
        <v>300</v>
      </c>
      <c r="G163" s="758">
        <v>1014.35</v>
      </c>
      <c r="H163" s="758">
        <v>1314.35</v>
      </c>
      <c r="I163" s="628">
        <v>185</v>
      </c>
      <c r="J163" s="628">
        <v>2220.2000000000003</v>
      </c>
      <c r="K163" s="636">
        <f t="shared" si="7"/>
        <v>2405.2000000000003</v>
      </c>
      <c r="L163" s="636">
        <v>1862.82</v>
      </c>
      <c r="M163" s="636">
        <v>2961.08</v>
      </c>
      <c r="N163" s="613"/>
    </row>
    <row r="164" spans="1:14" ht="30" customHeight="1" x14ac:dyDescent="0.25">
      <c r="A164" s="627" t="s">
        <v>10431</v>
      </c>
      <c r="B164" s="627" t="s">
        <v>10430</v>
      </c>
      <c r="C164" s="627" t="s">
        <v>1047</v>
      </c>
      <c r="D164" s="627" t="s">
        <v>10429</v>
      </c>
      <c r="E164" s="767" t="s">
        <v>10431</v>
      </c>
      <c r="F164" s="758">
        <v>270</v>
      </c>
      <c r="G164" s="758"/>
      <c r="H164" s="758">
        <v>270</v>
      </c>
      <c r="I164" s="628">
        <v>40</v>
      </c>
      <c r="J164" s="628">
        <v>445.86</v>
      </c>
      <c r="K164" s="636">
        <f t="shared" si="7"/>
        <v>485.86</v>
      </c>
      <c r="L164" s="636">
        <v>870</v>
      </c>
      <c r="M164" s="636">
        <v>727.4</v>
      </c>
      <c r="N164" s="613"/>
    </row>
    <row r="165" spans="1:14" ht="30" customHeight="1" x14ac:dyDescent="0.25">
      <c r="A165" s="627" t="s">
        <v>10428</v>
      </c>
      <c r="B165" s="627" t="s">
        <v>10427</v>
      </c>
      <c r="C165" s="627" t="s">
        <v>10426</v>
      </c>
      <c r="D165" s="627" t="s">
        <v>10388</v>
      </c>
      <c r="E165" s="767" t="s">
        <v>10428</v>
      </c>
      <c r="F165" s="758">
        <v>245</v>
      </c>
      <c r="G165" s="758">
        <v>225.04</v>
      </c>
      <c r="H165" s="758">
        <v>470.03999999999996</v>
      </c>
      <c r="I165" s="628">
        <v>0</v>
      </c>
      <c r="J165" s="628">
        <v>2098.59</v>
      </c>
      <c r="K165" s="636">
        <f t="shared" si="7"/>
        <v>2098.59</v>
      </c>
      <c r="L165" s="636">
        <v>1760.76</v>
      </c>
      <c r="M165" s="636">
        <v>2146.5700000000002</v>
      </c>
    </row>
    <row r="166" spans="1:14" ht="30" customHeight="1" x14ac:dyDescent="0.25">
      <c r="A166" s="627" t="s">
        <v>10425</v>
      </c>
      <c r="B166" s="627" t="s">
        <v>10424</v>
      </c>
      <c r="C166" s="627" t="s">
        <v>10423</v>
      </c>
      <c r="D166" s="627" t="s">
        <v>10422</v>
      </c>
      <c r="E166" s="767" t="s">
        <v>10425</v>
      </c>
      <c r="F166" s="758">
        <v>176</v>
      </c>
      <c r="G166" s="758">
        <v>210.9</v>
      </c>
      <c r="H166" s="758">
        <v>386.9</v>
      </c>
      <c r="I166" s="628">
        <v>88</v>
      </c>
      <c r="J166" s="628">
        <v>88</v>
      </c>
      <c r="K166" s="636">
        <f t="shared" si="7"/>
        <v>176</v>
      </c>
      <c r="L166" s="636">
        <v>189.01</v>
      </c>
      <c r="M166" s="636">
        <v>349.38</v>
      </c>
    </row>
    <row r="167" spans="1:14" ht="30" customHeight="1" x14ac:dyDescent="0.25">
      <c r="A167" s="627" t="s">
        <v>10421</v>
      </c>
      <c r="B167" s="627" t="s">
        <v>10420</v>
      </c>
      <c r="C167" s="627" t="s">
        <v>10419</v>
      </c>
      <c r="D167" s="627" t="s">
        <v>10415</v>
      </c>
      <c r="E167" s="767" t="s">
        <v>10421</v>
      </c>
      <c r="F167" s="758">
        <v>431</v>
      </c>
      <c r="G167" s="758">
        <v>306.64999999999998</v>
      </c>
      <c r="H167" s="758">
        <v>737.65</v>
      </c>
      <c r="I167" s="628">
        <v>87</v>
      </c>
      <c r="J167" s="628">
        <v>1766.74</v>
      </c>
      <c r="K167" s="636">
        <f t="shared" si="7"/>
        <v>1853.74</v>
      </c>
      <c r="L167" s="636">
        <v>1775.55</v>
      </c>
      <c r="M167" s="636">
        <v>1827.73</v>
      </c>
    </row>
    <row r="168" spans="1:14" ht="30" customHeight="1" x14ac:dyDescent="0.25">
      <c r="A168" s="627" t="s">
        <v>10418</v>
      </c>
      <c r="B168" s="627" t="s">
        <v>10417</v>
      </c>
      <c r="C168" s="627" t="s">
        <v>10416</v>
      </c>
      <c r="D168" s="627" t="s">
        <v>10415</v>
      </c>
      <c r="E168" s="767" t="s">
        <v>10418</v>
      </c>
      <c r="F168" s="758"/>
      <c r="G168" s="758">
        <v>143</v>
      </c>
      <c r="H168" s="758">
        <v>143</v>
      </c>
      <c r="I168" s="628">
        <v>0</v>
      </c>
      <c r="J168" s="628">
        <v>447</v>
      </c>
      <c r="K168" s="636">
        <f t="shared" ref="K168:K176" si="8">SUM(I168:J168)</f>
        <v>447</v>
      </c>
      <c r="L168" s="636">
        <v>317</v>
      </c>
      <c r="M168" s="636">
        <v>1102</v>
      </c>
    </row>
    <row r="169" spans="1:14" ht="30" customHeight="1" x14ac:dyDescent="0.25">
      <c r="A169" s="627" t="s">
        <v>10414</v>
      </c>
      <c r="B169" s="627" t="s">
        <v>10413</v>
      </c>
      <c r="C169" s="627" t="s">
        <v>10412</v>
      </c>
      <c r="D169" s="627" t="s">
        <v>10411</v>
      </c>
      <c r="E169" s="767" t="s">
        <v>10414</v>
      </c>
      <c r="F169" s="758">
        <v>160</v>
      </c>
      <c r="G169" s="758">
        <v>494.31000000000006</v>
      </c>
      <c r="H169" s="758">
        <v>654.31000000000006</v>
      </c>
      <c r="I169" s="628">
        <v>30</v>
      </c>
      <c r="J169" s="628">
        <v>673.06999999999994</v>
      </c>
      <c r="K169" s="636">
        <f t="shared" si="8"/>
        <v>703.06999999999994</v>
      </c>
      <c r="L169" s="636">
        <v>700.97</v>
      </c>
      <c r="M169" s="636">
        <v>790.54</v>
      </c>
    </row>
    <row r="170" spans="1:14" ht="30" customHeight="1" x14ac:dyDescent="0.25">
      <c r="A170" s="627" t="s">
        <v>10410</v>
      </c>
      <c r="B170" s="627" t="s">
        <v>10409</v>
      </c>
      <c r="C170" s="627" t="s">
        <v>10408</v>
      </c>
      <c r="D170" s="627" t="s">
        <v>5816</v>
      </c>
      <c r="E170" s="767" t="s">
        <v>10410</v>
      </c>
      <c r="F170" s="758">
        <v>182.43</v>
      </c>
      <c r="G170" s="758">
        <v>572.81999999999994</v>
      </c>
      <c r="H170" s="758">
        <v>755.25</v>
      </c>
      <c r="I170" s="628">
        <v>25</v>
      </c>
      <c r="J170" s="628">
        <v>1908.45</v>
      </c>
      <c r="K170" s="636">
        <f t="shared" si="8"/>
        <v>1933.45</v>
      </c>
      <c r="L170" s="636">
        <v>1873.64</v>
      </c>
      <c r="M170" s="636">
        <v>1327.35</v>
      </c>
    </row>
    <row r="171" spans="1:14" ht="30" customHeight="1" x14ac:dyDescent="0.25">
      <c r="A171" s="627" t="s">
        <v>10407</v>
      </c>
      <c r="B171" s="627" t="s">
        <v>10406</v>
      </c>
      <c r="C171" s="627" t="s">
        <v>10405</v>
      </c>
      <c r="D171" s="627" t="s">
        <v>10404</v>
      </c>
      <c r="E171" s="767"/>
      <c r="F171" s="758"/>
      <c r="G171" s="758"/>
      <c r="H171" s="758"/>
      <c r="I171" s="628">
        <v>20</v>
      </c>
      <c r="J171" s="628">
        <v>0</v>
      </c>
      <c r="K171" s="636">
        <f t="shared" si="8"/>
        <v>20</v>
      </c>
      <c r="L171" s="636">
        <v>120</v>
      </c>
      <c r="M171" s="636"/>
    </row>
    <row r="172" spans="1:14" ht="30" customHeight="1" x14ac:dyDescent="0.25">
      <c r="A172" s="627" t="s">
        <v>10403</v>
      </c>
      <c r="B172" s="627" t="s">
        <v>10402</v>
      </c>
      <c r="C172" s="627" t="s">
        <v>10401</v>
      </c>
      <c r="D172" s="627" t="s">
        <v>10400</v>
      </c>
      <c r="E172" s="767" t="s">
        <v>10403</v>
      </c>
      <c r="F172" s="758">
        <v>339</v>
      </c>
      <c r="G172" s="758">
        <v>931.28</v>
      </c>
      <c r="H172" s="758">
        <v>1270.28</v>
      </c>
      <c r="I172" s="628">
        <v>140</v>
      </c>
      <c r="J172" s="628">
        <v>1336.25</v>
      </c>
      <c r="K172" s="636">
        <f t="shared" si="8"/>
        <v>1476.25</v>
      </c>
      <c r="L172" s="636">
        <v>1599.34</v>
      </c>
      <c r="M172" s="636">
        <v>1571.5</v>
      </c>
    </row>
    <row r="173" spans="1:14" ht="30" customHeight="1" x14ac:dyDescent="0.25">
      <c r="A173" s="627" t="s">
        <v>10399</v>
      </c>
      <c r="B173" s="627" t="s">
        <v>10398</v>
      </c>
      <c r="C173" s="627" t="s">
        <v>10397</v>
      </c>
      <c r="D173" s="627" t="s">
        <v>10396</v>
      </c>
      <c r="E173" s="767" t="s">
        <v>10399</v>
      </c>
      <c r="F173" s="758">
        <v>82</v>
      </c>
      <c r="G173" s="758">
        <v>468</v>
      </c>
      <c r="H173" s="758">
        <v>550</v>
      </c>
      <c r="I173" s="628">
        <v>40</v>
      </c>
      <c r="J173" s="628">
        <v>1103.8699999999999</v>
      </c>
      <c r="K173" s="636">
        <f t="shared" si="8"/>
        <v>1143.8699999999999</v>
      </c>
      <c r="L173" s="636">
        <v>1310.75</v>
      </c>
      <c r="M173" s="636">
        <v>1672.73</v>
      </c>
    </row>
    <row r="174" spans="1:14" ht="30" customHeight="1" x14ac:dyDescent="0.25">
      <c r="A174" s="627" t="s">
        <v>10395</v>
      </c>
      <c r="B174" s="627" t="s">
        <v>10394</v>
      </c>
      <c r="C174" s="627" t="s">
        <v>10393</v>
      </c>
      <c r="D174" s="627" t="s">
        <v>10392</v>
      </c>
      <c r="E174" s="767" t="s">
        <v>10395</v>
      </c>
      <c r="F174" s="758">
        <v>175</v>
      </c>
      <c r="G174" s="758"/>
      <c r="H174" s="758">
        <v>175</v>
      </c>
      <c r="I174" s="628">
        <v>297.33000000000004</v>
      </c>
      <c r="J174" s="628">
        <v>134.55000000000001</v>
      </c>
      <c r="K174" s="636">
        <f t="shared" si="8"/>
        <v>431.88000000000005</v>
      </c>
      <c r="L174" s="636">
        <v>876.11</v>
      </c>
      <c r="M174" s="636">
        <v>1035.4000000000001</v>
      </c>
    </row>
    <row r="175" spans="1:14" ht="30" customHeight="1" x14ac:dyDescent="0.25">
      <c r="A175" s="627" t="s">
        <v>10391</v>
      </c>
      <c r="B175" s="627" t="s">
        <v>10390</v>
      </c>
      <c r="C175" s="627" t="s">
        <v>10389</v>
      </c>
      <c r="D175" s="627" t="s">
        <v>10388</v>
      </c>
      <c r="E175" s="767" t="s">
        <v>10391</v>
      </c>
      <c r="F175" s="758">
        <v>240</v>
      </c>
      <c r="G175" s="758">
        <v>391</v>
      </c>
      <c r="H175" s="758">
        <v>631</v>
      </c>
      <c r="I175" s="628">
        <v>150</v>
      </c>
      <c r="J175" s="628">
        <v>1160</v>
      </c>
      <c r="K175" s="636">
        <f t="shared" si="8"/>
        <v>1310</v>
      </c>
      <c r="L175" s="636">
        <v>855.63</v>
      </c>
      <c r="M175" s="636">
        <v>630</v>
      </c>
    </row>
    <row r="176" spans="1:14" ht="30" customHeight="1" x14ac:dyDescent="0.25">
      <c r="A176" s="627" t="s">
        <v>10387</v>
      </c>
      <c r="B176" s="627" t="s">
        <v>10386</v>
      </c>
      <c r="C176" s="627" t="s">
        <v>10385</v>
      </c>
      <c r="D176" s="627" t="s">
        <v>10384</v>
      </c>
      <c r="E176" s="767" t="s">
        <v>10387</v>
      </c>
      <c r="F176" s="758">
        <v>5728.96</v>
      </c>
      <c r="G176" s="758">
        <v>554.35</v>
      </c>
      <c r="H176" s="758">
        <v>6283.31</v>
      </c>
      <c r="I176" s="628">
        <v>665</v>
      </c>
      <c r="J176" s="628">
        <v>13573.85</v>
      </c>
      <c r="K176" s="636">
        <f t="shared" si="8"/>
        <v>14238.85</v>
      </c>
      <c r="L176" s="636">
        <v>2306.5</v>
      </c>
      <c r="M176" s="636">
        <v>1186.6500000000001</v>
      </c>
    </row>
    <row r="177" spans="1:15" ht="15.75" thickBot="1" x14ac:dyDescent="0.3">
      <c r="E177" s="613"/>
      <c r="F177" s="613"/>
      <c r="H177" s="608"/>
      <c r="I177" s="608"/>
      <c r="J177" s="608"/>
    </row>
    <row r="178" spans="1:15" s="74" customFormat="1" ht="83.25" customHeight="1" thickBot="1" x14ac:dyDescent="0.25">
      <c r="A178" s="854" t="s">
        <v>10987</v>
      </c>
      <c r="B178" s="855"/>
      <c r="C178" s="855"/>
      <c r="D178" s="855"/>
      <c r="E178" s="855"/>
      <c r="F178" s="855"/>
      <c r="G178" s="855"/>
      <c r="H178" s="855"/>
      <c r="I178" s="855"/>
      <c r="J178" s="855"/>
      <c r="K178" s="855"/>
      <c r="L178" s="855"/>
      <c r="M178" s="855"/>
      <c r="N178" s="855"/>
      <c r="O178" s="855"/>
    </row>
    <row r="179" spans="1:15" x14ac:dyDescent="0.25">
      <c r="E179" s="613"/>
      <c r="F179" s="613"/>
      <c r="H179" s="608"/>
      <c r="I179" s="608"/>
      <c r="J179" s="608"/>
    </row>
    <row r="180" spans="1:15" s="74" customFormat="1" ht="45" x14ac:dyDescent="0.2">
      <c r="A180" s="897" t="s">
        <v>10990</v>
      </c>
      <c r="B180" s="897"/>
      <c r="C180" s="764" t="s">
        <v>11008</v>
      </c>
    </row>
    <row r="181" spans="1:15" s="74" customFormat="1" ht="45" x14ac:dyDescent="0.2">
      <c r="A181" s="897" t="s">
        <v>7809</v>
      </c>
      <c r="B181" s="897"/>
      <c r="C181" s="764" t="s">
        <v>11320</v>
      </c>
    </row>
    <row r="182" spans="1:15" x14ac:dyDescent="0.25">
      <c r="E182" s="613"/>
      <c r="F182" s="613"/>
      <c r="H182" s="608"/>
      <c r="I182" s="608"/>
      <c r="J182" s="608"/>
    </row>
    <row r="183" spans="1:15" x14ac:dyDescent="0.25">
      <c r="E183" s="613"/>
      <c r="F183" s="613"/>
      <c r="H183" s="608"/>
      <c r="I183" s="608"/>
      <c r="J183" s="608"/>
    </row>
    <row r="184" spans="1:15" x14ac:dyDescent="0.25">
      <c r="E184" s="613"/>
      <c r="F184" s="613"/>
      <c r="H184" s="608"/>
      <c r="I184" s="608"/>
      <c r="J184" s="608"/>
    </row>
    <row r="185" spans="1:15" x14ac:dyDescent="0.25">
      <c r="E185" s="613"/>
      <c r="F185" s="613"/>
      <c r="H185" s="608"/>
      <c r="I185" s="608"/>
      <c r="J185" s="608"/>
    </row>
  </sheetData>
  <mergeCells count="3">
    <mergeCell ref="A178:O178"/>
    <mergeCell ref="A180:B180"/>
    <mergeCell ref="A181:B181"/>
  </mergeCells>
  <conditionalFormatting sqref="A1:A173 A177 A179 A182:A1048576">
    <cfRule type="duplicateValues" dxfId="13" priority="33"/>
  </conditionalFormatting>
  <conditionalFormatting sqref="A174:A176">
    <cfRule type="duplicateValues" dxfId="12" priority="3"/>
  </conditionalFormatting>
  <conditionalFormatting sqref="A178">
    <cfRule type="duplicateValues" dxfId="11" priority="2"/>
  </conditionalFormatting>
  <conditionalFormatting sqref="A180:A181">
    <cfRule type="duplicateValues" dxfId="10"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tint="-0.249977111117893"/>
    <pageSetUpPr fitToPage="1"/>
  </sheetPr>
  <dimension ref="A1:P125"/>
  <sheetViews>
    <sheetView zoomScaleNormal="100" workbookViewId="0">
      <pane ySplit="2" topLeftCell="A3" activePane="bottomLeft" state="frozen"/>
      <selection pane="bottomLeft" activeCell="A2" sqref="A2"/>
    </sheetView>
  </sheetViews>
  <sheetFormatPr defaultRowHeight="12.75" outlineLevelRow="1" outlineLevelCol="1" x14ac:dyDescent="0.2"/>
  <cols>
    <col min="1" max="1" width="24.140625" style="86" customWidth="1"/>
    <col min="2" max="2" width="29.85546875" style="86" customWidth="1"/>
    <col min="3" max="3" width="48.42578125" style="86" customWidth="1"/>
    <col min="4" max="4" width="27" style="474" hidden="1" customWidth="1" outlineLevel="1"/>
    <col min="5" max="6" width="21.7109375" style="354" hidden="1" customWidth="1" outlineLevel="1"/>
    <col min="7" max="7" width="21.7109375" style="354" hidden="1" customWidth="1" collapsed="1"/>
    <col min="8" max="8" width="17" style="486" bestFit="1" customWidth="1"/>
    <col min="9" max="9" width="15.5703125" style="19" bestFit="1" customWidth="1"/>
    <col min="10" max="10" width="16.5703125" style="556" customWidth="1"/>
    <col min="11" max="11" width="12.85546875" style="354" bestFit="1" customWidth="1"/>
    <col min="12" max="12" width="0" style="86" hidden="1" customWidth="1"/>
    <col min="13" max="13" width="12.85546875" style="556" bestFit="1" customWidth="1"/>
    <col min="14" max="16" width="12.85546875" style="86" bestFit="1" customWidth="1"/>
    <col min="17" max="258" width="9.140625" style="86"/>
    <col min="259" max="259" width="15.5703125" style="86" customWidth="1"/>
    <col min="260" max="260" width="29.85546875" style="86" customWidth="1"/>
    <col min="261" max="261" width="45.85546875" style="86" customWidth="1"/>
    <col min="262" max="262" width="27" style="86" bestFit="1" customWidth="1"/>
    <col min="263" max="263" width="21.7109375" style="86" bestFit="1" customWidth="1"/>
    <col min="264" max="264" width="17" style="86" bestFit="1" customWidth="1"/>
    <col min="265" max="265" width="15.5703125" style="86" bestFit="1" customWidth="1"/>
    <col min="266" max="266" width="10.85546875" style="86" bestFit="1" customWidth="1"/>
    <col min="267" max="514" width="9.140625" style="86"/>
    <col min="515" max="515" width="15.5703125" style="86" customWidth="1"/>
    <col min="516" max="516" width="29.85546875" style="86" customWidth="1"/>
    <col min="517" max="517" width="45.85546875" style="86" customWidth="1"/>
    <col min="518" max="518" width="27" style="86" bestFit="1" customWidth="1"/>
    <col min="519" max="519" width="21.7109375" style="86" bestFit="1" customWidth="1"/>
    <col min="520" max="520" width="17" style="86" bestFit="1" customWidth="1"/>
    <col min="521" max="521" width="15.5703125" style="86" bestFit="1" customWidth="1"/>
    <col min="522" max="522" width="10.85546875" style="86" bestFit="1" customWidth="1"/>
    <col min="523" max="770" width="9.140625" style="86"/>
    <col min="771" max="771" width="15.5703125" style="86" customWidth="1"/>
    <col min="772" max="772" width="29.85546875" style="86" customWidth="1"/>
    <col min="773" max="773" width="45.85546875" style="86" customWidth="1"/>
    <col min="774" max="774" width="27" style="86" bestFit="1" customWidth="1"/>
    <col min="775" max="775" width="21.7109375" style="86" bestFit="1" customWidth="1"/>
    <col min="776" max="776" width="17" style="86" bestFit="1" customWidth="1"/>
    <col min="777" max="777" width="15.5703125" style="86" bestFit="1" customWidth="1"/>
    <col min="778" max="778" width="10.85546875" style="86" bestFit="1" customWidth="1"/>
    <col min="779" max="1026" width="9.140625" style="86"/>
    <col min="1027" max="1027" width="15.5703125" style="86" customWidth="1"/>
    <col min="1028" max="1028" width="29.85546875" style="86" customWidth="1"/>
    <col min="1029" max="1029" width="45.85546875" style="86" customWidth="1"/>
    <col min="1030" max="1030" width="27" style="86" bestFit="1" customWidth="1"/>
    <col min="1031" max="1031" width="21.7109375" style="86" bestFit="1" customWidth="1"/>
    <col min="1032" max="1032" width="17" style="86" bestFit="1" customWidth="1"/>
    <col min="1033" max="1033" width="15.5703125" style="86" bestFit="1" customWidth="1"/>
    <col min="1034" max="1034" width="10.85546875" style="86" bestFit="1" customWidth="1"/>
    <col min="1035" max="1282" width="9.140625" style="86"/>
    <col min="1283" max="1283" width="15.5703125" style="86" customWidth="1"/>
    <col min="1284" max="1284" width="29.85546875" style="86" customWidth="1"/>
    <col min="1285" max="1285" width="45.85546875" style="86" customWidth="1"/>
    <col min="1286" max="1286" width="27" style="86" bestFit="1" customWidth="1"/>
    <col min="1287" max="1287" width="21.7109375" style="86" bestFit="1" customWidth="1"/>
    <col min="1288" max="1288" width="17" style="86" bestFit="1" customWidth="1"/>
    <col min="1289" max="1289" width="15.5703125" style="86" bestFit="1" customWidth="1"/>
    <col min="1290" max="1290" width="10.85546875" style="86" bestFit="1" customWidth="1"/>
    <col min="1291" max="1538" width="9.140625" style="86"/>
    <col min="1539" max="1539" width="15.5703125" style="86" customWidth="1"/>
    <col min="1540" max="1540" width="29.85546875" style="86" customWidth="1"/>
    <col min="1541" max="1541" width="45.85546875" style="86" customWidth="1"/>
    <col min="1542" max="1542" width="27" style="86" bestFit="1" customWidth="1"/>
    <col min="1543" max="1543" width="21.7109375" style="86" bestFit="1" customWidth="1"/>
    <col min="1544" max="1544" width="17" style="86" bestFit="1" customWidth="1"/>
    <col min="1545" max="1545" width="15.5703125" style="86" bestFit="1" customWidth="1"/>
    <col min="1546" max="1546" width="10.85546875" style="86" bestFit="1" customWidth="1"/>
    <col min="1547" max="1794" width="9.140625" style="86"/>
    <col min="1795" max="1795" width="15.5703125" style="86" customWidth="1"/>
    <col min="1796" max="1796" width="29.85546875" style="86" customWidth="1"/>
    <col min="1797" max="1797" width="45.85546875" style="86" customWidth="1"/>
    <col min="1798" max="1798" width="27" style="86" bestFit="1" customWidth="1"/>
    <col min="1799" max="1799" width="21.7109375" style="86" bestFit="1" customWidth="1"/>
    <col min="1800" max="1800" width="17" style="86" bestFit="1" customWidth="1"/>
    <col min="1801" max="1801" width="15.5703125" style="86" bestFit="1" customWidth="1"/>
    <col min="1802" max="1802" width="10.85546875" style="86" bestFit="1" customWidth="1"/>
    <col min="1803" max="2050" width="9.140625" style="86"/>
    <col min="2051" max="2051" width="15.5703125" style="86" customWidth="1"/>
    <col min="2052" max="2052" width="29.85546875" style="86" customWidth="1"/>
    <col min="2053" max="2053" width="45.85546875" style="86" customWidth="1"/>
    <col min="2054" max="2054" width="27" style="86" bestFit="1" customWidth="1"/>
    <col min="2055" max="2055" width="21.7109375" style="86" bestFit="1" customWidth="1"/>
    <col min="2056" max="2056" width="17" style="86" bestFit="1" customWidth="1"/>
    <col min="2057" max="2057" width="15.5703125" style="86" bestFit="1" customWidth="1"/>
    <col min="2058" max="2058" width="10.85546875" style="86" bestFit="1" customWidth="1"/>
    <col min="2059" max="2306" width="9.140625" style="86"/>
    <col min="2307" max="2307" width="15.5703125" style="86" customWidth="1"/>
    <col min="2308" max="2308" width="29.85546875" style="86" customWidth="1"/>
    <col min="2309" max="2309" width="45.85546875" style="86" customWidth="1"/>
    <col min="2310" max="2310" width="27" style="86" bestFit="1" customWidth="1"/>
    <col min="2311" max="2311" width="21.7109375" style="86" bestFit="1" customWidth="1"/>
    <col min="2312" max="2312" width="17" style="86" bestFit="1" customWidth="1"/>
    <col min="2313" max="2313" width="15.5703125" style="86" bestFit="1" customWidth="1"/>
    <col min="2314" max="2314" width="10.85546875" style="86" bestFit="1" customWidth="1"/>
    <col min="2315" max="2562" width="9.140625" style="86"/>
    <col min="2563" max="2563" width="15.5703125" style="86" customWidth="1"/>
    <col min="2564" max="2564" width="29.85546875" style="86" customWidth="1"/>
    <col min="2565" max="2565" width="45.85546875" style="86" customWidth="1"/>
    <col min="2566" max="2566" width="27" style="86" bestFit="1" customWidth="1"/>
    <col min="2567" max="2567" width="21.7109375" style="86" bestFit="1" customWidth="1"/>
    <col min="2568" max="2568" width="17" style="86" bestFit="1" customWidth="1"/>
    <col min="2569" max="2569" width="15.5703125" style="86" bestFit="1" customWidth="1"/>
    <col min="2570" max="2570" width="10.85546875" style="86" bestFit="1" customWidth="1"/>
    <col min="2571" max="2818" width="9.140625" style="86"/>
    <col min="2819" max="2819" width="15.5703125" style="86" customWidth="1"/>
    <col min="2820" max="2820" width="29.85546875" style="86" customWidth="1"/>
    <col min="2821" max="2821" width="45.85546875" style="86" customWidth="1"/>
    <col min="2822" max="2822" width="27" style="86" bestFit="1" customWidth="1"/>
    <col min="2823" max="2823" width="21.7109375" style="86" bestFit="1" customWidth="1"/>
    <col min="2824" max="2824" width="17" style="86" bestFit="1" customWidth="1"/>
    <col min="2825" max="2825" width="15.5703125" style="86" bestFit="1" customWidth="1"/>
    <col min="2826" max="2826" width="10.85546875" style="86" bestFit="1" customWidth="1"/>
    <col min="2827" max="3074" width="9.140625" style="86"/>
    <col min="3075" max="3075" width="15.5703125" style="86" customWidth="1"/>
    <col min="3076" max="3076" width="29.85546875" style="86" customWidth="1"/>
    <col min="3077" max="3077" width="45.85546875" style="86" customWidth="1"/>
    <col min="3078" max="3078" width="27" style="86" bestFit="1" customWidth="1"/>
    <col min="3079" max="3079" width="21.7109375" style="86" bestFit="1" customWidth="1"/>
    <col min="3080" max="3080" width="17" style="86" bestFit="1" customWidth="1"/>
    <col min="3081" max="3081" width="15.5703125" style="86" bestFit="1" customWidth="1"/>
    <col min="3082" max="3082" width="10.85546875" style="86" bestFit="1" customWidth="1"/>
    <col min="3083" max="3330" width="9.140625" style="86"/>
    <col min="3331" max="3331" width="15.5703125" style="86" customWidth="1"/>
    <col min="3332" max="3332" width="29.85546875" style="86" customWidth="1"/>
    <col min="3333" max="3333" width="45.85546875" style="86" customWidth="1"/>
    <col min="3334" max="3334" width="27" style="86" bestFit="1" customWidth="1"/>
    <col min="3335" max="3335" width="21.7109375" style="86" bestFit="1" customWidth="1"/>
    <col min="3336" max="3336" width="17" style="86" bestFit="1" customWidth="1"/>
    <col min="3337" max="3337" width="15.5703125" style="86" bestFit="1" customWidth="1"/>
    <col min="3338" max="3338" width="10.85546875" style="86" bestFit="1" customWidth="1"/>
    <col min="3339" max="3586" width="9.140625" style="86"/>
    <col min="3587" max="3587" width="15.5703125" style="86" customWidth="1"/>
    <col min="3588" max="3588" width="29.85546875" style="86" customWidth="1"/>
    <col min="3589" max="3589" width="45.85546875" style="86" customWidth="1"/>
    <col min="3590" max="3590" width="27" style="86" bestFit="1" customWidth="1"/>
    <col min="3591" max="3591" width="21.7109375" style="86" bestFit="1" customWidth="1"/>
    <col min="3592" max="3592" width="17" style="86" bestFit="1" customWidth="1"/>
    <col min="3593" max="3593" width="15.5703125" style="86" bestFit="1" customWidth="1"/>
    <col min="3594" max="3594" width="10.85546875" style="86" bestFit="1" customWidth="1"/>
    <col min="3595" max="3842" width="9.140625" style="86"/>
    <col min="3843" max="3843" width="15.5703125" style="86" customWidth="1"/>
    <col min="3844" max="3844" width="29.85546875" style="86" customWidth="1"/>
    <col min="3845" max="3845" width="45.85546875" style="86" customWidth="1"/>
    <col min="3846" max="3846" width="27" style="86" bestFit="1" customWidth="1"/>
    <col min="3847" max="3847" width="21.7109375" style="86" bestFit="1" customWidth="1"/>
    <col min="3848" max="3848" width="17" style="86" bestFit="1" customWidth="1"/>
    <col min="3849" max="3849" width="15.5703125" style="86" bestFit="1" customWidth="1"/>
    <col min="3850" max="3850" width="10.85546875" style="86" bestFit="1" customWidth="1"/>
    <col min="3851" max="4098" width="9.140625" style="86"/>
    <col min="4099" max="4099" width="15.5703125" style="86" customWidth="1"/>
    <col min="4100" max="4100" width="29.85546875" style="86" customWidth="1"/>
    <col min="4101" max="4101" width="45.85546875" style="86" customWidth="1"/>
    <col min="4102" max="4102" width="27" style="86" bestFit="1" customWidth="1"/>
    <col min="4103" max="4103" width="21.7109375" style="86" bestFit="1" customWidth="1"/>
    <col min="4104" max="4104" width="17" style="86" bestFit="1" customWidth="1"/>
    <col min="4105" max="4105" width="15.5703125" style="86" bestFit="1" customWidth="1"/>
    <col min="4106" max="4106" width="10.85546875" style="86" bestFit="1" customWidth="1"/>
    <col min="4107" max="4354" width="9.140625" style="86"/>
    <col min="4355" max="4355" width="15.5703125" style="86" customWidth="1"/>
    <col min="4356" max="4356" width="29.85546875" style="86" customWidth="1"/>
    <col min="4357" max="4357" width="45.85546875" style="86" customWidth="1"/>
    <col min="4358" max="4358" width="27" style="86" bestFit="1" customWidth="1"/>
    <col min="4359" max="4359" width="21.7109375" style="86" bestFit="1" customWidth="1"/>
    <col min="4360" max="4360" width="17" style="86" bestFit="1" customWidth="1"/>
    <col min="4361" max="4361" width="15.5703125" style="86" bestFit="1" customWidth="1"/>
    <col min="4362" max="4362" width="10.85546875" style="86" bestFit="1" customWidth="1"/>
    <col min="4363" max="4610" width="9.140625" style="86"/>
    <col min="4611" max="4611" width="15.5703125" style="86" customWidth="1"/>
    <col min="4612" max="4612" width="29.85546875" style="86" customWidth="1"/>
    <col min="4613" max="4613" width="45.85546875" style="86" customWidth="1"/>
    <col min="4614" max="4614" width="27" style="86" bestFit="1" customWidth="1"/>
    <col min="4615" max="4615" width="21.7109375" style="86" bestFit="1" customWidth="1"/>
    <col min="4616" max="4616" width="17" style="86" bestFit="1" customWidth="1"/>
    <col min="4617" max="4617" width="15.5703125" style="86" bestFit="1" customWidth="1"/>
    <col min="4618" max="4618" width="10.85546875" style="86" bestFit="1" customWidth="1"/>
    <col min="4619" max="4866" width="9.140625" style="86"/>
    <col min="4867" max="4867" width="15.5703125" style="86" customWidth="1"/>
    <col min="4868" max="4868" width="29.85546875" style="86" customWidth="1"/>
    <col min="4869" max="4869" width="45.85546875" style="86" customWidth="1"/>
    <col min="4870" max="4870" width="27" style="86" bestFit="1" customWidth="1"/>
    <col min="4871" max="4871" width="21.7109375" style="86" bestFit="1" customWidth="1"/>
    <col min="4872" max="4872" width="17" style="86" bestFit="1" customWidth="1"/>
    <col min="4873" max="4873" width="15.5703125" style="86" bestFit="1" customWidth="1"/>
    <col min="4874" max="4874" width="10.85546875" style="86" bestFit="1" customWidth="1"/>
    <col min="4875" max="5122" width="9.140625" style="86"/>
    <col min="5123" max="5123" width="15.5703125" style="86" customWidth="1"/>
    <col min="5124" max="5124" width="29.85546875" style="86" customWidth="1"/>
    <col min="5125" max="5125" width="45.85546875" style="86" customWidth="1"/>
    <col min="5126" max="5126" width="27" style="86" bestFit="1" customWidth="1"/>
    <col min="5127" max="5127" width="21.7109375" style="86" bestFit="1" customWidth="1"/>
    <col min="5128" max="5128" width="17" style="86" bestFit="1" customWidth="1"/>
    <col min="5129" max="5129" width="15.5703125" style="86" bestFit="1" customWidth="1"/>
    <col min="5130" max="5130" width="10.85546875" style="86" bestFit="1" customWidth="1"/>
    <col min="5131" max="5378" width="9.140625" style="86"/>
    <col min="5379" max="5379" width="15.5703125" style="86" customWidth="1"/>
    <col min="5380" max="5380" width="29.85546875" style="86" customWidth="1"/>
    <col min="5381" max="5381" width="45.85546875" style="86" customWidth="1"/>
    <col min="5382" max="5382" width="27" style="86" bestFit="1" customWidth="1"/>
    <col min="5383" max="5383" width="21.7109375" style="86" bestFit="1" customWidth="1"/>
    <col min="5384" max="5384" width="17" style="86" bestFit="1" customWidth="1"/>
    <col min="5385" max="5385" width="15.5703125" style="86" bestFit="1" customWidth="1"/>
    <col min="5386" max="5386" width="10.85546875" style="86" bestFit="1" customWidth="1"/>
    <col min="5387" max="5634" width="9.140625" style="86"/>
    <col min="5635" max="5635" width="15.5703125" style="86" customWidth="1"/>
    <col min="5636" max="5636" width="29.85546875" style="86" customWidth="1"/>
    <col min="5637" max="5637" width="45.85546875" style="86" customWidth="1"/>
    <col min="5638" max="5638" width="27" style="86" bestFit="1" customWidth="1"/>
    <col min="5639" max="5639" width="21.7109375" style="86" bestFit="1" customWidth="1"/>
    <col min="5640" max="5640" width="17" style="86" bestFit="1" customWidth="1"/>
    <col min="5641" max="5641" width="15.5703125" style="86" bestFit="1" customWidth="1"/>
    <col min="5642" max="5642" width="10.85546875" style="86" bestFit="1" customWidth="1"/>
    <col min="5643" max="5890" width="9.140625" style="86"/>
    <col min="5891" max="5891" width="15.5703125" style="86" customWidth="1"/>
    <col min="5892" max="5892" width="29.85546875" style="86" customWidth="1"/>
    <col min="5893" max="5893" width="45.85546875" style="86" customWidth="1"/>
    <col min="5894" max="5894" width="27" style="86" bestFit="1" customWidth="1"/>
    <col min="5895" max="5895" width="21.7109375" style="86" bestFit="1" customWidth="1"/>
    <col min="5896" max="5896" width="17" style="86" bestFit="1" customWidth="1"/>
    <col min="5897" max="5897" width="15.5703125" style="86" bestFit="1" customWidth="1"/>
    <col min="5898" max="5898" width="10.85546875" style="86" bestFit="1" customWidth="1"/>
    <col min="5899" max="6146" width="9.140625" style="86"/>
    <col min="6147" max="6147" width="15.5703125" style="86" customWidth="1"/>
    <col min="6148" max="6148" width="29.85546875" style="86" customWidth="1"/>
    <col min="6149" max="6149" width="45.85546875" style="86" customWidth="1"/>
    <col min="6150" max="6150" width="27" style="86" bestFit="1" customWidth="1"/>
    <col min="6151" max="6151" width="21.7109375" style="86" bestFit="1" customWidth="1"/>
    <col min="6152" max="6152" width="17" style="86" bestFit="1" customWidth="1"/>
    <col min="6153" max="6153" width="15.5703125" style="86" bestFit="1" customWidth="1"/>
    <col min="6154" max="6154" width="10.85546875" style="86" bestFit="1" customWidth="1"/>
    <col min="6155" max="6402" width="9.140625" style="86"/>
    <col min="6403" max="6403" width="15.5703125" style="86" customWidth="1"/>
    <col min="6404" max="6404" width="29.85546875" style="86" customWidth="1"/>
    <col min="6405" max="6405" width="45.85546875" style="86" customWidth="1"/>
    <col min="6406" max="6406" width="27" style="86" bestFit="1" customWidth="1"/>
    <col min="6407" max="6407" width="21.7109375" style="86" bestFit="1" customWidth="1"/>
    <col min="6408" max="6408" width="17" style="86" bestFit="1" customWidth="1"/>
    <col min="6409" max="6409" width="15.5703125" style="86" bestFit="1" customWidth="1"/>
    <col min="6410" max="6410" width="10.85546875" style="86" bestFit="1" customWidth="1"/>
    <col min="6411" max="6658" width="9.140625" style="86"/>
    <col min="6659" max="6659" width="15.5703125" style="86" customWidth="1"/>
    <col min="6660" max="6660" width="29.85546875" style="86" customWidth="1"/>
    <col min="6661" max="6661" width="45.85546875" style="86" customWidth="1"/>
    <col min="6662" max="6662" width="27" style="86" bestFit="1" customWidth="1"/>
    <col min="6663" max="6663" width="21.7109375" style="86" bestFit="1" customWidth="1"/>
    <col min="6664" max="6664" width="17" style="86" bestFit="1" customWidth="1"/>
    <col min="6665" max="6665" width="15.5703125" style="86" bestFit="1" customWidth="1"/>
    <col min="6666" max="6666" width="10.85546875" style="86" bestFit="1" customWidth="1"/>
    <col min="6667" max="6914" width="9.140625" style="86"/>
    <col min="6915" max="6915" width="15.5703125" style="86" customWidth="1"/>
    <col min="6916" max="6916" width="29.85546875" style="86" customWidth="1"/>
    <col min="6917" max="6917" width="45.85546875" style="86" customWidth="1"/>
    <col min="6918" max="6918" width="27" style="86" bestFit="1" customWidth="1"/>
    <col min="6919" max="6919" width="21.7109375" style="86" bestFit="1" customWidth="1"/>
    <col min="6920" max="6920" width="17" style="86" bestFit="1" customWidth="1"/>
    <col min="6921" max="6921" width="15.5703125" style="86" bestFit="1" customWidth="1"/>
    <col min="6922" max="6922" width="10.85546875" style="86" bestFit="1" customWidth="1"/>
    <col min="6923" max="7170" width="9.140625" style="86"/>
    <col min="7171" max="7171" width="15.5703125" style="86" customWidth="1"/>
    <col min="7172" max="7172" width="29.85546875" style="86" customWidth="1"/>
    <col min="7173" max="7173" width="45.85546875" style="86" customWidth="1"/>
    <col min="7174" max="7174" width="27" style="86" bestFit="1" customWidth="1"/>
    <col min="7175" max="7175" width="21.7109375" style="86" bestFit="1" customWidth="1"/>
    <col min="7176" max="7176" width="17" style="86" bestFit="1" customWidth="1"/>
    <col min="7177" max="7177" width="15.5703125" style="86" bestFit="1" customWidth="1"/>
    <col min="7178" max="7178" width="10.85546875" style="86" bestFit="1" customWidth="1"/>
    <col min="7179" max="7426" width="9.140625" style="86"/>
    <col min="7427" max="7427" width="15.5703125" style="86" customWidth="1"/>
    <col min="7428" max="7428" width="29.85546875" style="86" customWidth="1"/>
    <col min="7429" max="7429" width="45.85546875" style="86" customWidth="1"/>
    <col min="7430" max="7430" width="27" style="86" bestFit="1" customWidth="1"/>
    <col min="7431" max="7431" width="21.7109375" style="86" bestFit="1" customWidth="1"/>
    <col min="7432" max="7432" width="17" style="86" bestFit="1" customWidth="1"/>
    <col min="7433" max="7433" width="15.5703125" style="86" bestFit="1" customWidth="1"/>
    <col min="7434" max="7434" width="10.85546875" style="86" bestFit="1" customWidth="1"/>
    <col min="7435" max="7682" width="9.140625" style="86"/>
    <col min="7683" max="7683" width="15.5703125" style="86" customWidth="1"/>
    <col min="7684" max="7684" width="29.85546875" style="86" customWidth="1"/>
    <col min="7685" max="7685" width="45.85546875" style="86" customWidth="1"/>
    <col min="7686" max="7686" width="27" style="86" bestFit="1" customWidth="1"/>
    <col min="7687" max="7687" width="21.7109375" style="86" bestFit="1" customWidth="1"/>
    <col min="7688" max="7688" width="17" style="86" bestFit="1" customWidth="1"/>
    <col min="7689" max="7689" width="15.5703125" style="86" bestFit="1" customWidth="1"/>
    <col min="7690" max="7690" width="10.85546875" style="86" bestFit="1" customWidth="1"/>
    <col min="7691" max="7938" width="9.140625" style="86"/>
    <col min="7939" max="7939" width="15.5703125" style="86" customWidth="1"/>
    <col min="7940" max="7940" width="29.85546875" style="86" customWidth="1"/>
    <col min="7941" max="7941" width="45.85546875" style="86" customWidth="1"/>
    <col min="7942" max="7942" width="27" style="86" bestFit="1" customWidth="1"/>
    <col min="7943" max="7943" width="21.7109375" style="86" bestFit="1" customWidth="1"/>
    <col min="7944" max="7944" width="17" style="86" bestFit="1" customWidth="1"/>
    <col min="7945" max="7945" width="15.5703125" style="86" bestFit="1" customWidth="1"/>
    <col min="7946" max="7946" width="10.85546875" style="86" bestFit="1" customWidth="1"/>
    <col min="7947" max="8194" width="9.140625" style="86"/>
    <col min="8195" max="8195" width="15.5703125" style="86" customWidth="1"/>
    <col min="8196" max="8196" width="29.85546875" style="86" customWidth="1"/>
    <col min="8197" max="8197" width="45.85546875" style="86" customWidth="1"/>
    <col min="8198" max="8198" width="27" style="86" bestFit="1" customWidth="1"/>
    <col min="8199" max="8199" width="21.7109375" style="86" bestFit="1" customWidth="1"/>
    <col min="8200" max="8200" width="17" style="86" bestFit="1" customWidth="1"/>
    <col min="8201" max="8201" width="15.5703125" style="86" bestFit="1" customWidth="1"/>
    <col min="8202" max="8202" width="10.85546875" style="86" bestFit="1" customWidth="1"/>
    <col min="8203" max="8450" width="9.140625" style="86"/>
    <col min="8451" max="8451" width="15.5703125" style="86" customWidth="1"/>
    <col min="8452" max="8452" width="29.85546875" style="86" customWidth="1"/>
    <col min="8453" max="8453" width="45.85546875" style="86" customWidth="1"/>
    <col min="8454" max="8454" width="27" style="86" bestFit="1" customWidth="1"/>
    <col min="8455" max="8455" width="21.7109375" style="86" bestFit="1" customWidth="1"/>
    <col min="8456" max="8456" width="17" style="86" bestFit="1" customWidth="1"/>
    <col min="8457" max="8457" width="15.5703125" style="86" bestFit="1" customWidth="1"/>
    <col min="8458" max="8458" width="10.85546875" style="86" bestFit="1" customWidth="1"/>
    <col min="8459" max="8706" width="9.140625" style="86"/>
    <col min="8707" max="8707" width="15.5703125" style="86" customWidth="1"/>
    <col min="8708" max="8708" width="29.85546875" style="86" customWidth="1"/>
    <col min="8709" max="8709" width="45.85546875" style="86" customWidth="1"/>
    <col min="8710" max="8710" width="27" style="86" bestFit="1" customWidth="1"/>
    <col min="8711" max="8711" width="21.7109375" style="86" bestFit="1" customWidth="1"/>
    <col min="8712" max="8712" width="17" style="86" bestFit="1" customWidth="1"/>
    <col min="8713" max="8713" width="15.5703125" style="86" bestFit="1" customWidth="1"/>
    <col min="8714" max="8714" width="10.85546875" style="86" bestFit="1" customWidth="1"/>
    <col min="8715" max="8962" width="9.140625" style="86"/>
    <col min="8963" max="8963" width="15.5703125" style="86" customWidth="1"/>
    <col min="8964" max="8964" width="29.85546875" style="86" customWidth="1"/>
    <col min="8965" max="8965" width="45.85546875" style="86" customWidth="1"/>
    <col min="8966" max="8966" width="27" style="86" bestFit="1" customWidth="1"/>
    <col min="8967" max="8967" width="21.7109375" style="86" bestFit="1" customWidth="1"/>
    <col min="8968" max="8968" width="17" style="86" bestFit="1" customWidth="1"/>
    <col min="8969" max="8969" width="15.5703125" style="86" bestFit="1" customWidth="1"/>
    <col min="8970" max="8970" width="10.85546875" style="86" bestFit="1" customWidth="1"/>
    <col min="8971" max="9218" width="9.140625" style="86"/>
    <col min="9219" max="9219" width="15.5703125" style="86" customWidth="1"/>
    <col min="9220" max="9220" width="29.85546875" style="86" customWidth="1"/>
    <col min="9221" max="9221" width="45.85546875" style="86" customWidth="1"/>
    <col min="9222" max="9222" width="27" style="86" bestFit="1" customWidth="1"/>
    <col min="9223" max="9223" width="21.7109375" style="86" bestFit="1" customWidth="1"/>
    <col min="9224" max="9224" width="17" style="86" bestFit="1" customWidth="1"/>
    <col min="9225" max="9225" width="15.5703125" style="86" bestFit="1" customWidth="1"/>
    <col min="9226" max="9226" width="10.85546875" style="86" bestFit="1" customWidth="1"/>
    <col min="9227" max="9474" width="9.140625" style="86"/>
    <col min="9475" max="9475" width="15.5703125" style="86" customWidth="1"/>
    <col min="9476" max="9476" width="29.85546875" style="86" customWidth="1"/>
    <col min="9477" max="9477" width="45.85546875" style="86" customWidth="1"/>
    <col min="9478" max="9478" width="27" style="86" bestFit="1" customWidth="1"/>
    <col min="9479" max="9479" width="21.7109375" style="86" bestFit="1" customWidth="1"/>
    <col min="9480" max="9480" width="17" style="86" bestFit="1" customWidth="1"/>
    <col min="9481" max="9481" width="15.5703125" style="86" bestFit="1" customWidth="1"/>
    <col min="9482" max="9482" width="10.85546875" style="86" bestFit="1" customWidth="1"/>
    <col min="9483" max="9730" width="9.140625" style="86"/>
    <col min="9731" max="9731" width="15.5703125" style="86" customWidth="1"/>
    <col min="9732" max="9732" width="29.85546875" style="86" customWidth="1"/>
    <col min="9733" max="9733" width="45.85546875" style="86" customWidth="1"/>
    <col min="9734" max="9734" width="27" style="86" bestFit="1" customWidth="1"/>
    <col min="9735" max="9735" width="21.7109375" style="86" bestFit="1" customWidth="1"/>
    <col min="9736" max="9736" width="17" style="86" bestFit="1" customWidth="1"/>
    <col min="9737" max="9737" width="15.5703125" style="86" bestFit="1" customWidth="1"/>
    <col min="9738" max="9738" width="10.85546875" style="86" bestFit="1" customWidth="1"/>
    <col min="9739" max="9986" width="9.140625" style="86"/>
    <col min="9987" max="9987" width="15.5703125" style="86" customWidth="1"/>
    <col min="9988" max="9988" width="29.85546875" style="86" customWidth="1"/>
    <col min="9989" max="9989" width="45.85546875" style="86" customWidth="1"/>
    <col min="9990" max="9990" width="27" style="86" bestFit="1" customWidth="1"/>
    <col min="9991" max="9991" width="21.7109375" style="86" bestFit="1" customWidth="1"/>
    <col min="9992" max="9992" width="17" style="86" bestFit="1" customWidth="1"/>
    <col min="9993" max="9993" width="15.5703125" style="86" bestFit="1" customWidth="1"/>
    <col min="9994" max="9994" width="10.85546875" style="86" bestFit="1" customWidth="1"/>
    <col min="9995" max="10242" width="9.140625" style="86"/>
    <col min="10243" max="10243" width="15.5703125" style="86" customWidth="1"/>
    <col min="10244" max="10244" width="29.85546875" style="86" customWidth="1"/>
    <col min="10245" max="10245" width="45.85546875" style="86" customWidth="1"/>
    <col min="10246" max="10246" width="27" style="86" bestFit="1" customWidth="1"/>
    <col min="10247" max="10247" width="21.7109375" style="86" bestFit="1" customWidth="1"/>
    <col min="10248" max="10248" width="17" style="86" bestFit="1" customWidth="1"/>
    <col min="10249" max="10249" width="15.5703125" style="86" bestFit="1" customWidth="1"/>
    <col min="10250" max="10250" width="10.85546875" style="86" bestFit="1" customWidth="1"/>
    <col min="10251" max="10498" width="9.140625" style="86"/>
    <col min="10499" max="10499" width="15.5703125" style="86" customWidth="1"/>
    <col min="10500" max="10500" width="29.85546875" style="86" customWidth="1"/>
    <col min="10501" max="10501" width="45.85546875" style="86" customWidth="1"/>
    <col min="10502" max="10502" width="27" style="86" bestFit="1" customWidth="1"/>
    <col min="10503" max="10503" width="21.7109375" style="86" bestFit="1" customWidth="1"/>
    <col min="10504" max="10504" width="17" style="86" bestFit="1" customWidth="1"/>
    <col min="10505" max="10505" width="15.5703125" style="86" bestFit="1" customWidth="1"/>
    <col min="10506" max="10506" width="10.85546875" style="86" bestFit="1" customWidth="1"/>
    <col min="10507" max="10754" width="9.140625" style="86"/>
    <col min="10755" max="10755" width="15.5703125" style="86" customWidth="1"/>
    <col min="10756" max="10756" width="29.85546875" style="86" customWidth="1"/>
    <col min="10757" max="10757" width="45.85546875" style="86" customWidth="1"/>
    <col min="10758" max="10758" width="27" style="86" bestFit="1" customWidth="1"/>
    <col min="10759" max="10759" width="21.7109375" style="86" bestFit="1" customWidth="1"/>
    <col min="10760" max="10760" width="17" style="86" bestFit="1" customWidth="1"/>
    <col min="10761" max="10761" width="15.5703125" style="86" bestFit="1" customWidth="1"/>
    <col min="10762" max="10762" width="10.85546875" style="86" bestFit="1" customWidth="1"/>
    <col min="10763" max="11010" width="9.140625" style="86"/>
    <col min="11011" max="11011" width="15.5703125" style="86" customWidth="1"/>
    <col min="11012" max="11012" width="29.85546875" style="86" customWidth="1"/>
    <col min="11013" max="11013" width="45.85546875" style="86" customWidth="1"/>
    <col min="11014" max="11014" width="27" style="86" bestFit="1" customWidth="1"/>
    <col min="11015" max="11015" width="21.7109375" style="86" bestFit="1" customWidth="1"/>
    <col min="11016" max="11016" width="17" style="86" bestFit="1" customWidth="1"/>
    <col min="11017" max="11017" width="15.5703125" style="86" bestFit="1" customWidth="1"/>
    <col min="11018" max="11018" width="10.85546875" style="86" bestFit="1" customWidth="1"/>
    <col min="11019" max="11266" width="9.140625" style="86"/>
    <col min="11267" max="11267" width="15.5703125" style="86" customWidth="1"/>
    <col min="11268" max="11268" width="29.85546875" style="86" customWidth="1"/>
    <col min="11269" max="11269" width="45.85546875" style="86" customWidth="1"/>
    <col min="11270" max="11270" width="27" style="86" bestFit="1" customWidth="1"/>
    <col min="11271" max="11271" width="21.7109375" style="86" bestFit="1" customWidth="1"/>
    <col min="11272" max="11272" width="17" style="86" bestFit="1" customWidth="1"/>
    <col min="11273" max="11273" width="15.5703125" style="86" bestFit="1" customWidth="1"/>
    <col min="11274" max="11274" width="10.85546875" style="86" bestFit="1" customWidth="1"/>
    <col min="11275" max="11522" width="9.140625" style="86"/>
    <col min="11523" max="11523" width="15.5703125" style="86" customWidth="1"/>
    <col min="11524" max="11524" width="29.85546875" style="86" customWidth="1"/>
    <col min="11525" max="11525" width="45.85546875" style="86" customWidth="1"/>
    <col min="11526" max="11526" width="27" style="86" bestFit="1" customWidth="1"/>
    <col min="11527" max="11527" width="21.7109375" style="86" bestFit="1" customWidth="1"/>
    <col min="11528" max="11528" width="17" style="86" bestFit="1" customWidth="1"/>
    <col min="11529" max="11529" width="15.5703125" style="86" bestFit="1" customWidth="1"/>
    <col min="11530" max="11530" width="10.85546875" style="86" bestFit="1" customWidth="1"/>
    <col min="11531" max="11778" width="9.140625" style="86"/>
    <col min="11779" max="11779" width="15.5703125" style="86" customWidth="1"/>
    <col min="11780" max="11780" width="29.85546875" style="86" customWidth="1"/>
    <col min="11781" max="11781" width="45.85546875" style="86" customWidth="1"/>
    <col min="11782" max="11782" width="27" style="86" bestFit="1" customWidth="1"/>
    <col min="11783" max="11783" width="21.7109375" style="86" bestFit="1" customWidth="1"/>
    <col min="11784" max="11784" width="17" style="86" bestFit="1" customWidth="1"/>
    <col min="11785" max="11785" width="15.5703125" style="86" bestFit="1" customWidth="1"/>
    <col min="11786" max="11786" width="10.85546875" style="86" bestFit="1" customWidth="1"/>
    <col min="11787" max="12034" width="9.140625" style="86"/>
    <col min="12035" max="12035" width="15.5703125" style="86" customWidth="1"/>
    <col min="12036" max="12036" width="29.85546875" style="86" customWidth="1"/>
    <col min="12037" max="12037" width="45.85546875" style="86" customWidth="1"/>
    <col min="12038" max="12038" width="27" style="86" bestFit="1" customWidth="1"/>
    <col min="12039" max="12039" width="21.7109375" style="86" bestFit="1" customWidth="1"/>
    <col min="12040" max="12040" width="17" style="86" bestFit="1" customWidth="1"/>
    <col min="12041" max="12041" width="15.5703125" style="86" bestFit="1" customWidth="1"/>
    <col min="12042" max="12042" width="10.85546875" style="86" bestFit="1" customWidth="1"/>
    <col min="12043" max="12290" width="9.140625" style="86"/>
    <col min="12291" max="12291" width="15.5703125" style="86" customWidth="1"/>
    <col min="12292" max="12292" width="29.85546875" style="86" customWidth="1"/>
    <col min="12293" max="12293" width="45.85546875" style="86" customWidth="1"/>
    <col min="12294" max="12294" width="27" style="86" bestFit="1" customWidth="1"/>
    <col min="12295" max="12295" width="21.7109375" style="86" bestFit="1" customWidth="1"/>
    <col min="12296" max="12296" width="17" style="86" bestFit="1" customWidth="1"/>
    <col min="12297" max="12297" width="15.5703125" style="86" bestFit="1" customWidth="1"/>
    <col min="12298" max="12298" width="10.85546875" style="86" bestFit="1" customWidth="1"/>
    <col min="12299" max="12546" width="9.140625" style="86"/>
    <col min="12547" max="12547" width="15.5703125" style="86" customWidth="1"/>
    <col min="12548" max="12548" width="29.85546875" style="86" customWidth="1"/>
    <col min="12549" max="12549" width="45.85546875" style="86" customWidth="1"/>
    <col min="12550" max="12550" width="27" style="86" bestFit="1" customWidth="1"/>
    <col min="12551" max="12551" width="21.7109375" style="86" bestFit="1" customWidth="1"/>
    <col min="12552" max="12552" width="17" style="86" bestFit="1" customWidth="1"/>
    <col min="12553" max="12553" width="15.5703125" style="86" bestFit="1" customWidth="1"/>
    <col min="12554" max="12554" width="10.85546875" style="86" bestFit="1" customWidth="1"/>
    <col min="12555" max="12802" width="9.140625" style="86"/>
    <col min="12803" max="12803" width="15.5703125" style="86" customWidth="1"/>
    <col min="12804" max="12804" width="29.85546875" style="86" customWidth="1"/>
    <col min="12805" max="12805" width="45.85546875" style="86" customWidth="1"/>
    <col min="12806" max="12806" width="27" style="86" bestFit="1" customWidth="1"/>
    <col min="12807" max="12807" width="21.7109375" style="86" bestFit="1" customWidth="1"/>
    <col min="12808" max="12808" width="17" style="86" bestFit="1" customWidth="1"/>
    <col min="12809" max="12809" width="15.5703125" style="86" bestFit="1" customWidth="1"/>
    <col min="12810" max="12810" width="10.85546875" style="86" bestFit="1" customWidth="1"/>
    <col min="12811" max="13058" width="9.140625" style="86"/>
    <col min="13059" max="13059" width="15.5703125" style="86" customWidth="1"/>
    <col min="13060" max="13060" width="29.85546875" style="86" customWidth="1"/>
    <col min="13061" max="13061" width="45.85546875" style="86" customWidth="1"/>
    <col min="13062" max="13062" width="27" style="86" bestFit="1" customWidth="1"/>
    <col min="13063" max="13063" width="21.7109375" style="86" bestFit="1" customWidth="1"/>
    <col min="13064" max="13064" width="17" style="86" bestFit="1" customWidth="1"/>
    <col min="13065" max="13065" width="15.5703125" style="86" bestFit="1" customWidth="1"/>
    <col min="13066" max="13066" width="10.85546875" style="86" bestFit="1" customWidth="1"/>
    <col min="13067" max="13314" width="9.140625" style="86"/>
    <col min="13315" max="13315" width="15.5703125" style="86" customWidth="1"/>
    <col min="13316" max="13316" width="29.85546875" style="86" customWidth="1"/>
    <col min="13317" max="13317" width="45.85546875" style="86" customWidth="1"/>
    <col min="13318" max="13318" width="27" style="86" bestFit="1" customWidth="1"/>
    <col min="13319" max="13319" width="21.7109375" style="86" bestFit="1" customWidth="1"/>
    <col min="13320" max="13320" width="17" style="86" bestFit="1" customWidth="1"/>
    <col min="13321" max="13321" width="15.5703125" style="86" bestFit="1" customWidth="1"/>
    <col min="13322" max="13322" width="10.85546875" style="86" bestFit="1" customWidth="1"/>
    <col min="13323" max="13570" width="9.140625" style="86"/>
    <col min="13571" max="13571" width="15.5703125" style="86" customWidth="1"/>
    <col min="13572" max="13572" width="29.85546875" style="86" customWidth="1"/>
    <col min="13573" max="13573" width="45.85546875" style="86" customWidth="1"/>
    <col min="13574" max="13574" width="27" style="86" bestFit="1" customWidth="1"/>
    <col min="13575" max="13575" width="21.7109375" style="86" bestFit="1" customWidth="1"/>
    <col min="13576" max="13576" width="17" style="86" bestFit="1" customWidth="1"/>
    <col min="13577" max="13577" width="15.5703125" style="86" bestFit="1" customWidth="1"/>
    <col min="13578" max="13578" width="10.85546875" style="86" bestFit="1" customWidth="1"/>
    <col min="13579" max="13826" width="9.140625" style="86"/>
    <col min="13827" max="13827" width="15.5703125" style="86" customWidth="1"/>
    <col min="13828" max="13828" width="29.85546875" style="86" customWidth="1"/>
    <col min="13829" max="13829" width="45.85546875" style="86" customWidth="1"/>
    <col min="13830" max="13830" width="27" style="86" bestFit="1" customWidth="1"/>
    <col min="13831" max="13831" width="21.7109375" style="86" bestFit="1" customWidth="1"/>
    <col min="13832" max="13832" width="17" style="86" bestFit="1" customWidth="1"/>
    <col min="13833" max="13833" width="15.5703125" style="86" bestFit="1" customWidth="1"/>
    <col min="13834" max="13834" width="10.85546875" style="86" bestFit="1" customWidth="1"/>
    <col min="13835" max="14082" width="9.140625" style="86"/>
    <col min="14083" max="14083" width="15.5703125" style="86" customWidth="1"/>
    <col min="14084" max="14084" width="29.85546875" style="86" customWidth="1"/>
    <col min="14085" max="14085" width="45.85546875" style="86" customWidth="1"/>
    <col min="14086" max="14086" width="27" style="86" bestFit="1" customWidth="1"/>
    <col min="14087" max="14087" width="21.7109375" style="86" bestFit="1" customWidth="1"/>
    <col min="14088" max="14088" width="17" style="86" bestFit="1" customWidth="1"/>
    <col min="14089" max="14089" width="15.5703125" style="86" bestFit="1" customWidth="1"/>
    <col min="14090" max="14090" width="10.85546875" style="86" bestFit="1" customWidth="1"/>
    <col min="14091" max="14338" width="9.140625" style="86"/>
    <col min="14339" max="14339" width="15.5703125" style="86" customWidth="1"/>
    <col min="14340" max="14340" width="29.85546875" style="86" customWidth="1"/>
    <col min="14341" max="14341" width="45.85546875" style="86" customWidth="1"/>
    <col min="14342" max="14342" width="27" style="86" bestFit="1" customWidth="1"/>
    <col min="14343" max="14343" width="21.7109375" style="86" bestFit="1" customWidth="1"/>
    <col min="14344" max="14344" width="17" style="86" bestFit="1" customWidth="1"/>
    <col min="14345" max="14345" width="15.5703125" style="86" bestFit="1" customWidth="1"/>
    <col min="14346" max="14346" width="10.85546875" style="86" bestFit="1" customWidth="1"/>
    <col min="14347" max="14594" width="9.140625" style="86"/>
    <col min="14595" max="14595" width="15.5703125" style="86" customWidth="1"/>
    <col min="14596" max="14596" width="29.85546875" style="86" customWidth="1"/>
    <col min="14597" max="14597" width="45.85546875" style="86" customWidth="1"/>
    <col min="14598" max="14598" width="27" style="86" bestFit="1" customWidth="1"/>
    <col min="14599" max="14599" width="21.7109375" style="86" bestFit="1" customWidth="1"/>
    <col min="14600" max="14600" width="17" style="86" bestFit="1" customWidth="1"/>
    <col min="14601" max="14601" width="15.5703125" style="86" bestFit="1" customWidth="1"/>
    <col min="14602" max="14602" width="10.85546875" style="86" bestFit="1" customWidth="1"/>
    <col min="14603" max="14850" width="9.140625" style="86"/>
    <col min="14851" max="14851" width="15.5703125" style="86" customWidth="1"/>
    <col min="14852" max="14852" width="29.85546875" style="86" customWidth="1"/>
    <col min="14853" max="14853" width="45.85546875" style="86" customWidth="1"/>
    <col min="14854" max="14854" width="27" style="86" bestFit="1" customWidth="1"/>
    <col min="14855" max="14855" width="21.7109375" style="86" bestFit="1" customWidth="1"/>
    <col min="14856" max="14856" width="17" style="86" bestFit="1" customWidth="1"/>
    <col min="14857" max="14857" width="15.5703125" style="86" bestFit="1" customWidth="1"/>
    <col min="14858" max="14858" width="10.85546875" style="86" bestFit="1" customWidth="1"/>
    <col min="14859" max="15106" width="9.140625" style="86"/>
    <col min="15107" max="15107" width="15.5703125" style="86" customWidth="1"/>
    <col min="15108" max="15108" width="29.85546875" style="86" customWidth="1"/>
    <col min="15109" max="15109" width="45.85546875" style="86" customWidth="1"/>
    <col min="15110" max="15110" width="27" style="86" bestFit="1" customWidth="1"/>
    <col min="15111" max="15111" width="21.7109375" style="86" bestFit="1" customWidth="1"/>
    <col min="15112" max="15112" width="17" style="86" bestFit="1" customWidth="1"/>
    <col min="15113" max="15113" width="15.5703125" style="86" bestFit="1" customWidth="1"/>
    <col min="15114" max="15114" width="10.85546875" style="86" bestFit="1" customWidth="1"/>
    <col min="15115" max="15362" width="9.140625" style="86"/>
    <col min="15363" max="15363" width="15.5703125" style="86" customWidth="1"/>
    <col min="15364" max="15364" width="29.85546875" style="86" customWidth="1"/>
    <col min="15365" max="15365" width="45.85546875" style="86" customWidth="1"/>
    <col min="15366" max="15366" width="27" style="86" bestFit="1" customWidth="1"/>
    <col min="15367" max="15367" width="21.7109375" style="86" bestFit="1" customWidth="1"/>
    <col min="15368" max="15368" width="17" style="86" bestFit="1" customWidth="1"/>
    <col min="15369" max="15369" width="15.5703125" style="86" bestFit="1" customWidth="1"/>
    <col min="15370" max="15370" width="10.85546875" style="86" bestFit="1" customWidth="1"/>
    <col min="15371" max="15618" width="9.140625" style="86"/>
    <col min="15619" max="15619" width="15.5703125" style="86" customWidth="1"/>
    <col min="15620" max="15620" width="29.85546875" style="86" customWidth="1"/>
    <col min="15621" max="15621" width="45.85546875" style="86" customWidth="1"/>
    <col min="15622" max="15622" width="27" style="86" bestFit="1" customWidth="1"/>
    <col min="15623" max="15623" width="21.7109375" style="86" bestFit="1" customWidth="1"/>
    <col min="15624" max="15624" width="17" style="86" bestFit="1" customWidth="1"/>
    <col min="15625" max="15625" width="15.5703125" style="86" bestFit="1" customWidth="1"/>
    <col min="15626" max="15626" width="10.85546875" style="86" bestFit="1" customWidth="1"/>
    <col min="15627" max="15874" width="9.140625" style="86"/>
    <col min="15875" max="15875" width="15.5703125" style="86" customWidth="1"/>
    <col min="15876" max="15876" width="29.85546875" style="86" customWidth="1"/>
    <col min="15877" max="15877" width="45.85546875" style="86" customWidth="1"/>
    <col min="15878" max="15878" width="27" style="86" bestFit="1" customWidth="1"/>
    <col min="15879" max="15879" width="21.7109375" style="86" bestFit="1" customWidth="1"/>
    <col min="15880" max="15880" width="17" style="86" bestFit="1" customWidth="1"/>
    <col min="15881" max="15881" width="15.5703125" style="86" bestFit="1" customWidth="1"/>
    <col min="15882" max="15882" width="10.85546875" style="86" bestFit="1" customWidth="1"/>
    <col min="15883" max="16130" width="9.140625" style="86"/>
    <col min="16131" max="16131" width="15.5703125" style="86" customWidth="1"/>
    <col min="16132" max="16132" width="29.85546875" style="86" customWidth="1"/>
    <col min="16133" max="16133" width="45.85546875" style="86" customWidth="1"/>
    <col min="16134" max="16134" width="27" style="86" bestFit="1" customWidth="1"/>
    <col min="16135" max="16135" width="21.7109375" style="86" bestFit="1" customWidth="1"/>
    <col min="16136" max="16136" width="17" style="86" bestFit="1" customWidth="1"/>
    <col min="16137" max="16137" width="15.5703125" style="86" bestFit="1" customWidth="1"/>
    <col min="16138" max="16138" width="10.85546875" style="86" bestFit="1" customWidth="1"/>
    <col min="16139" max="16384" width="9.140625" style="86"/>
  </cols>
  <sheetData>
    <row r="1" spans="1:16" ht="41.25" customHeight="1" x14ac:dyDescent="0.25">
      <c r="A1" s="841" t="str">
        <f>"Missio and Mill Hill Red Box Parish Results 2020 -  Shrewsbury Diocese"</f>
        <v>Missio and Mill Hill Red Box Parish Results 2020 -  Shrewsbury Diocese</v>
      </c>
      <c r="B1" s="248"/>
      <c r="C1" s="248"/>
      <c r="D1" s="167"/>
      <c r="E1" s="248"/>
      <c r="H1" s="757">
        <v>2020</v>
      </c>
      <c r="I1" s="757">
        <v>2020</v>
      </c>
      <c r="J1" s="757">
        <v>2020</v>
      </c>
      <c r="L1" s="248"/>
      <c r="M1" s="483"/>
      <c r="N1" s="483"/>
      <c r="O1" s="248"/>
      <c r="P1" s="483"/>
    </row>
    <row r="2" spans="1:16" ht="30" customHeight="1" x14ac:dyDescent="0.3">
      <c r="A2" s="622" t="s">
        <v>1</v>
      </c>
      <c r="B2" s="622" t="s">
        <v>7809</v>
      </c>
      <c r="C2" s="622" t="s">
        <v>3</v>
      </c>
      <c r="D2" s="622" t="s">
        <v>8214</v>
      </c>
      <c r="E2" s="622" t="s">
        <v>8165</v>
      </c>
      <c r="F2" s="622"/>
      <c r="G2" s="622"/>
      <c r="H2" s="622" t="s">
        <v>308</v>
      </c>
      <c r="I2" s="622" t="s">
        <v>11022</v>
      </c>
      <c r="J2" s="622" t="s">
        <v>11034</v>
      </c>
      <c r="K2" s="622">
        <v>2020</v>
      </c>
      <c r="L2" s="622">
        <f>ARU!P2</f>
        <v>2019</v>
      </c>
      <c r="M2" s="622">
        <v>2019</v>
      </c>
      <c r="N2" s="622">
        <v>2018</v>
      </c>
      <c r="O2" s="622">
        <v>2017</v>
      </c>
      <c r="P2" s="622">
        <v>2016</v>
      </c>
    </row>
    <row r="3" spans="1:16" ht="30" customHeight="1" x14ac:dyDescent="0.2">
      <c r="A3" s="291" t="str">
        <f t="shared" ref="A3:A67" si="0">D3&amp;" / "&amp;E3</f>
        <v>SHR001 / 1053</v>
      </c>
      <c r="B3" s="89" t="s">
        <v>5059</v>
      </c>
      <c r="C3" s="89" t="s">
        <v>7810</v>
      </c>
      <c r="D3" s="318" t="s">
        <v>5056</v>
      </c>
      <c r="E3" s="369" t="str">
        <f>VLOOKUP(D:D,'Master Table'!C:D,2,FALSE)</f>
        <v>1053</v>
      </c>
      <c r="F3" s="798" t="s">
        <v>11088</v>
      </c>
      <c r="G3" s="799" t="s">
        <v>11089</v>
      </c>
      <c r="H3" s="790">
        <v>0</v>
      </c>
      <c r="I3" s="790">
        <v>1576.52</v>
      </c>
      <c r="J3" s="790">
        <v>305</v>
      </c>
      <c r="K3" s="312">
        <v>1881.52</v>
      </c>
      <c r="L3" s="467">
        <f>VLOOKUP(D:D,'Master Table'!C:O,13,FALSE)</f>
        <v>1519.33</v>
      </c>
      <c r="M3" s="657">
        <v>1519.33</v>
      </c>
      <c r="N3" s="555">
        <v>2010.95</v>
      </c>
      <c r="O3" s="208">
        <v>1873.36</v>
      </c>
      <c r="P3" s="616">
        <v>1842.8400000000001</v>
      </c>
    </row>
    <row r="4" spans="1:16" ht="30" customHeight="1" x14ac:dyDescent="0.2">
      <c r="A4" s="291" t="str">
        <f t="shared" si="0"/>
        <v>SHR002 / 1054</v>
      </c>
      <c r="B4" s="89" t="s">
        <v>5059</v>
      </c>
      <c r="C4" s="89" t="s">
        <v>5063</v>
      </c>
      <c r="D4" s="318" t="s">
        <v>5061</v>
      </c>
      <c r="E4" s="369" t="str">
        <f>VLOOKUP(D:D,'Master Table'!C:D,2,FALSE)</f>
        <v>1054</v>
      </c>
      <c r="F4" s="798" t="s">
        <v>11090</v>
      </c>
      <c r="G4" s="799" t="s">
        <v>11091</v>
      </c>
      <c r="H4" s="790">
        <v>753.21</v>
      </c>
      <c r="I4" s="790">
        <v>25</v>
      </c>
      <c r="J4" s="790"/>
      <c r="K4" s="312">
        <v>778.21</v>
      </c>
      <c r="L4" s="467">
        <f>VLOOKUP(D:D,'Master Table'!C:O,13,FALSE)</f>
        <v>834.56</v>
      </c>
      <c r="M4" s="657">
        <v>834.56</v>
      </c>
      <c r="N4" s="555">
        <v>801</v>
      </c>
      <c r="O4" s="208">
        <v>926.98</v>
      </c>
      <c r="P4" s="616">
        <v>942.05000000000007</v>
      </c>
    </row>
    <row r="5" spans="1:16" ht="30" customHeight="1" x14ac:dyDescent="0.2">
      <c r="A5" s="291" t="str">
        <f t="shared" si="0"/>
        <v>SHR003 / 1055</v>
      </c>
      <c r="B5" s="89" t="s">
        <v>5059</v>
      </c>
      <c r="C5" s="89" t="s">
        <v>5066</v>
      </c>
      <c r="D5" s="318" t="s">
        <v>5064</v>
      </c>
      <c r="E5" s="369" t="str">
        <f>VLOOKUP(D:D,'Master Table'!C:D,2,FALSE)</f>
        <v>1055</v>
      </c>
      <c r="F5" s="798" t="s">
        <v>11092</v>
      </c>
      <c r="G5" s="799" t="s">
        <v>11093</v>
      </c>
      <c r="H5" s="790">
        <v>299.38</v>
      </c>
      <c r="I5" s="790">
        <v>197</v>
      </c>
      <c r="J5" s="790"/>
      <c r="K5" s="312">
        <v>496.38</v>
      </c>
      <c r="L5" s="467">
        <f>VLOOKUP(D:D,'Master Table'!C:O,13,FALSE)</f>
        <v>585.79</v>
      </c>
      <c r="M5" s="657">
        <v>585.79</v>
      </c>
      <c r="N5" s="555">
        <v>799.45</v>
      </c>
      <c r="O5" s="208">
        <v>759.72</v>
      </c>
      <c r="P5" s="616">
        <v>957.30000000000007</v>
      </c>
    </row>
    <row r="6" spans="1:16" ht="30" customHeight="1" x14ac:dyDescent="0.2">
      <c r="A6" s="291" t="str">
        <f t="shared" si="0"/>
        <v>SHR004 / 1056</v>
      </c>
      <c r="B6" s="89" t="s">
        <v>5070</v>
      </c>
      <c r="C6" s="89" t="s">
        <v>5069</v>
      </c>
      <c r="D6" s="318" t="s">
        <v>5067</v>
      </c>
      <c r="E6" s="369" t="str">
        <f>VLOOKUP(D:D,'Master Table'!C:D,2,FALSE)</f>
        <v>1056</v>
      </c>
      <c r="F6" s="798" t="s">
        <v>11094</v>
      </c>
      <c r="G6" s="799" t="s">
        <v>11095</v>
      </c>
      <c r="H6" s="790">
        <v>242.16000000000003</v>
      </c>
      <c r="I6" s="790">
        <v>115</v>
      </c>
      <c r="J6" s="790"/>
      <c r="K6" s="312">
        <v>357.16</v>
      </c>
      <c r="L6" s="467">
        <f>VLOOKUP(D:D,'Master Table'!C:O,13,FALSE)</f>
        <v>452.77</v>
      </c>
      <c r="M6" s="657">
        <v>452.77</v>
      </c>
      <c r="N6" s="555">
        <v>570.45000000000005</v>
      </c>
      <c r="O6" s="208">
        <v>630.79999999999995</v>
      </c>
      <c r="P6" s="616">
        <v>1328</v>
      </c>
    </row>
    <row r="7" spans="1:16" ht="30" customHeight="1" x14ac:dyDescent="0.2">
      <c r="A7" s="291" t="str">
        <f t="shared" si="0"/>
        <v>SHR005 / 1057</v>
      </c>
      <c r="B7" s="89" t="s">
        <v>5075</v>
      </c>
      <c r="C7" s="89" t="s">
        <v>5074</v>
      </c>
      <c r="D7" s="318" t="s">
        <v>5072</v>
      </c>
      <c r="E7" s="369" t="str">
        <f>VLOOKUP(D:D,'Master Table'!C:D,2,FALSE)</f>
        <v>1057</v>
      </c>
      <c r="F7" s="798" t="s">
        <v>11096</v>
      </c>
      <c r="G7" s="799" t="s">
        <v>11097</v>
      </c>
      <c r="H7" s="790">
        <v>3788.3799999999997</v>
      </c>
      <c r="I7" s="790">
        <v>762.63</v>
      </c>
      <c r="J7" s="790"/>
      <c r="K7" s="312">
        <v>4551.0099999999993</v>
      </c>
      <c r="L7" s="467">
        <f>VLOOKUP(D:D,'Master Table'!C:O,13,FALSE)</f>
        <v>4606.71</v>
      </c>
      <c r="M7" s="657">
        <v>4606.71</v>
      </c>
      <c r="N7" s="555">
        <v>3561.3799999999997</v>
      </c>
      <c r="O7" s="208">
        <v>3535.8199999999993</v>
      </c>
      <c r="P7" s="616">
        <v>1353.79</v>
      </c>
    </row>
    <row r="8" spans="1:16" ht="30" customHeight="1" x14ac:dyDescent="0.2">
      <c r="A8" s="291" t="str">
        <f t="shared" si="0"/>
        <v>SHR006 / 1059</v>
      </c>
      <c r="B8" s="89" t="s">
        <v>5080</v>
      </c>
      <c r="C8" s="89" t="s">
        <v>5079</v>
      </c>
      <c r="D8" s="318" t="s">
        <v>5077</v>
      </c>
      <c r="E8" s="369" t="str">
        <f>VLOOKUP(D:D,'Master Table'!C:D,2,FALSE)</f>
        <v>1059</v>
      </c>
      <c r="F8" s="798" t="s">
        <v>11098</v>
      </c>
      <c r="G8" s="799" t="s">
        <v>11099</v>
      </c>
      <c r="H8" s="790">
        <v>1496.37</v>
      </c>
      <c r="I8" s="790">
        <v>1401</v>
      </c>
      <c r="J8" s="790">
        <v>50</v>
      </c>
      <c r="K8" s="312">
        <v>2947.37</v>
      </c>
      <c r="L8" s="467">
        <f>VLOOKUP(D:D,'Master Table'!C:O,13,FALSE)</f>
        <v>3218.39</v>
      </c>
      <c r="M8" s="657">
        <v>3218.39</v>
      </c>
      <c r="N8" s="555">
        <v>4284.17</v>
      </c>
      <c r="O8" s="208">
        <v>3796</v>
      </c>
      <c r="P8" s="616">
        <v>3649</v>
      </c>
    </row>
    <row r="9" spans="1:16" ht="30" customHeight="1" x14ac:dyDescent="0.2">
      <c r="A9" s="291" t="str">
        <f t="shared" si="0"/>
        <v>SHR008 / 1061</v>
      </c>
      <c r="B9" s="89" t="s">
        <v>5080</v>
      </c>
      <c r="C9" s="89" t="s">
        <v>246</v>
      </c>
      <c r="D9" s="318" t="s">
        <v>5082</v>
      </c>
      <c r="E9" s="369" t="str">
        <f>VLOOKUP(D:D,'Master Table'!C:D,2,FALSE)</f>
        <v>1061</v>
      </c>
      <c r="F9" s="798" t="s">
        <v>11100</v>
      </c>
      <c r="G9" s="799" t="s">
        <v>11101</v>
      </c>
      <c r="H9" s="790">
        <v>6628.89</v>
      </c>
      <c r="I9" s="790">
        <v>1760</v>
      </c>
      <c r="J9" s="790"/>
      <c r="K9" s="312">
        <v>8388.89</v>
      </c>
      <c r="L9" s="467">
        <f>VLOOKUP(D:D,'Master Table'!C:O,13,FALSE)</f>
        <v>6835.81</v>
      </c>
      <c r="M9" s="657">
        <v>6835.81</v>
      </c>
      <c r="N9" s="555">
        <v>6549.86</v>
      </c>
      <c r="O9" s="208">
        <v>7772.9299999999994</v>
      </c>
      <c r="P9" s="616">
        <v>7461.56</v>
      </c>
    </row>
    <row r="10" spans="1:16" ht="30" customHeight="1" x14ac:dyDescent="0.2">
      <c r="A10" s="291" t="str">
        <f t="shared" si="0"/>
        <v>SHR009 / 1062</v>
      </c>
      <c r="B10" s="89" t="s">
        <v>5087</v>
      </c>
      <c r="C10" s="89" t="s">
        <v>740</v>
      </c>
      <c r="D10" s="318" t="s">
        <v>5084</v>
      </c>
      <c r="E10" s="369" t="str">
        <f>VLOOKUP(D:D,'Master Table'!C:D,2,FALSE)</f>
        <v>1062</v>
      </c>
      <c r="F10" s="798" t="s">
        <v>11102</v>
      </c>
      <c r="G10" s="799" t="s">
        <v>11103</v>
      </c>
      <c r="H10" s="790">
        <v>324.67</v>
      </c>
      <c r="I10" s="790">
        <v>234</v>
      </c>
      <c r="J10" s="790"/>
      <c r="K10" s="312">
        <v>558.67000000000007</v>
      </c>
      <c r="L10" s="467">
        <f>VLOOKUP(D:D,'Master Table'!C:O,13,FALSE)</f>
        <v>423.15999999999997</v>
      </c>
      <c r="M10" s="657">
        <v>423.15999999999997</v>
      </c>
      <c r="N10" s="555">
        <v>401.64</v>
      </c>
      <c r="O10" s="208">
        <v>503.66</v>
      </c>
      <c r="P10" s="616">
        <v>423.46000000000004</v>
      </c>
    </row>
    <row r="11" spans="1:16" ht="30" customHeight="1" x14ac:dyDescent="0.2">
      <c r="A11" s="291" t="str">
        <f t="shared" si="0"/>
        <v>SHR009X / 1063</v>
      </c>
      <c r="B11" s="89" t="s">
        <v>5092</v>
      </c>
      <c r="C11" s="89" t="s">
        <v>5091</v>
      </c>
      <c r="D11" s="318" t="s">
        <v>5089</v>
      </c>
      <c r="E11" s="369" t="str">
        <f>VLOOKUP(D:D,'Master Table'!C:D,2,FALSE)</f>
        <v>1063</v>
      </c>
      <c r="F11" s="798" t="s">
        <v>11104</v>
      </c>
      <c r="G11" s="799" t="s">
        <v>11105</v>
      </c>
      <c r="H11" s="790">
        <v>912.74</v>
      </c>
      <c r="I11" s="790">
        <v>805</v>
      </c>
      <c r="J11" s="790"/>
      <c r="K11" s="312">
        <v>1717.74</v>
      </c>
      <c r="L11" s="467">
        <f>VLOOKUP(D:D,'Master Table'!C:O,13,FALSE)</f>
        <v>1921.16</v>
      </c>
      <c r="M11" s="657">
        <v>1921.16</v>
      </c>
      <c r="N11" s="555">
        <v>1869.1200000000001</v>
      </c>
      <c r="O11" s="208">
        <v>1900.3400000000001</v>
      </c>
      <c r="P11" s="616">
        <v>1914.13</v>
      </c>
    </row>
    <row r="12" spans="1:16" ht="30" customHeight="1" x14ac:dyDescent="0.2">
      <c r="A12" s="291" t="str">
        <f t="shared" si="0"/>
        <v>SHR011 / 1065</v>
      </c>
      <c r="B12" s="89" t="s">
        <v>5096</v>
      </c>
      <c r="C12" s="89" t="s">
        <v>5095</v>
      </c>
      <c r="D12" s="318" t="s">
        <v>5093</v>
      </c>
      <c r="E12" s="369" t="str">
        <f>VLOOKUP(D:D,'Master Table'!C:D,2,FALSE)</f>
        <v>1065</v>
      </c>
      <c r="F12" s="798" t="s">
        <v>11106</v>
      </c>
      <c r="G12" s="799" t="s">
        <v>11107</v>
      </c>
      <c r="H12" s="790">
        <v>0</v>
      </c>
      <c r="I12" s="790">
        <v>351</v>
      </c>
      <c r="J12" s="790"/>
      <c r="K12" s="312">
        <v>351</v>
      </c>
      <c r="L12" s="467">
        <f>VLOOKUP(D:D,'Master Table'!C:O,13,FALSE)</f>
        <v>723.28</v>
      </c>
      <c r="M12" s="657">
        <v>723.28</v>
      </c>
      <c r="N12" s="555">
        <v>701.87</v>
      </c>
      <c r="O12" s="208">
        <v>647.95000000000005</v>
      </c>
      <c r="P12" s="616">
        <v>776.9</v>
      </c>
    </row>
    <row r="13" spans="1:16" ht="30" customHeight="1" x14ac:dyDescent="0.2">
      <c r="A13" s="291" t="str">
        <f t="shared" si="0"/>
        <v>SHR012 / 1066</v>
      </c>
      <c r="B13" s="89" t="s">
        <v>5096</v>
      </c>
      <c r="C13" s="89" t="s">
        <v>7811</v>
      </c>
      <c r="D13" s="318" t="s">
        <v>5097</v>
      </c>
      <c r="E13" s="369" t="str">
        <f>VLOOKUP(D:D,'Master Table'!C:D,2,FALSE)</f>
        <v>1066</v>
      </c>
      <c r="F13" s="798" t="s">
        <v>11108</v>
      </c>
      <c r="G13" s="799" t="s">
        <v>11109</v>
      </c>
      <c r="H13" s="790">
        <v>241.70999999999998</v>
      </c>
      <c r="I13" s="790">
        <v>131</v>
      </c>
      <c r="J13" s="790"/>
      <c r="K13" s="312">
        <v>372.71</v>
      </c>
      <c r="L13" s="467">
        <f>VLOOKUP(D:D,'Master Table'!C:O,13,FALSE)</f>
        <v>691.63</v>
      </c>
      <c r="M13" s="657">
        <v>691.63</v>
      </c>
      <c r="N13" s="555">
        <v>690.43</v>
      </c>
      <c r="O13" s="208">
        <v>747.64</v>
      </c>
      <c r="P13" s="616">
        <v>970.18000000000006</v>
      </c>
    </row>
    <row r="14" spans="1:16" ht="30" customHeight="1" x14ac:dyDescent="0.2">
      <c r="A14" s="291" t="str">
        <f t="shared" si="0"/>
        <v>SHR013 / 1067</v>
      </c>
      <c r="B14" s="89" t="s">
        <v>5096</v>
      </c>
      <c r="C14" s="89" t="s">
        <v>839</v>
      </c>
      <c r="D14" s="318" t="s">
        <v>5100</v>
      </c>
      <c r="E14" s="369" t="str">
        <f>VLOOKUP(D:D,'Master Table'!C:D,2,FALSE)</f>
        <v>1067</v>
      </c>
      <c r="F14" s="798" t="s">
        <v>11110</v>
      </c>
      <c r="G14" s="799" t="s">
        <v>11111</v>
      </c>
      <c r="H14" s="790">
        <v>2323.83</v>
      </c>
      <c r="I14" s="790">
        <v>245</v>
      </c>
      <c r="J14" s="790">
        <v>15</v>
      </c>
      <c r="K14" s="312">
        <v>2583.83</v>
      </c>
      <c r="L14" s="467">
        <f>VLOOKUP(D:D,'Master Table'!C:O,13,FALSE)</f>
        <v>2110.2199999999998</v>
      </c>
      <c r="M14" s="657">
        <v>2110.2199999999998</v>
      </c>
      <c r="N14" s="555">
        <v>2794.3</v>
      </c>
      <c r="O14" s="208">
        <v>2299.54</v>
      </c>
      <c r="P14" s="616">
        <v>1276.92</v>
      </c>
    </row>
    <row r="15" spans="1:16" ht="30" customHeight="1" x14ac:dyDescent="0.2">
      <c r="A15" s="291" t="str">
        <f t="shared" si="0"/>
        <v>SHR014 / 1068</v>
      </c>
      <c r="B15" s="89" t="s">
        <v>5096</v>
      </c>
      <c r="C15" s="89" t="s">
        <v>532</v>
      </c>
      <c r="D15" s="318" t="s">
        <v>5103</v>
      </c>
      <c r="E15" s="369" t="str">
        <f>VLOOKUP(D:D,'Master Table'!C:D,2,FALSE)</f>
        <v>1068</v>
      </c>
      <c r="F15" s="798" t="s">
        <v>11112</v>
      </c>
      <c r="G15" s="799" t="s">
        <v>11113</v>
      </c>
      <c r="H15" s="790">
        <v>0</v>
      </c>
      <c r="I15" s="790">
        <v>40</v>
      </c>
      <c r="J15" s="790">
        <v>676.80000000000007</v>
      </c>
      <c r="K15" s="312">
        <v>716.80000000000007</v>
      </c>
      <c r="L15" s="467">
        <f>VLOOKUP(D:D,'Master Table'!C:O,13,FALSE)</f>
        <v>777.38</v>
      </c>
      <c r="M15" s="657">
        <v>777.38</v>
      </c>
      <c r="N15" s="555">
        <v>794.59</v>
      </c>
      <c r="O15" s="208">
        <v>643.49</v>
      </c>
      <c r="P15" s="616">
        <v>729.86</v>
      </c>
    </row>
    <row r="16" spans="1:16" ht="30" customHeight="1" x14ac:dyDescent="0.2">
      <c r="A16" s="291" t="str">
        <f t="shared" si="0"/>
        <v>SHR016 / 1070</v>
      </c>
      <c r="B16" s="89" t="s">
        <v>5096</v>
      </c>
      <c r="C16" s="89" t="s">
        <v>5108</v>
      </c>
      <c r="D16" s="318" t="s">
        <v>5106</v>
      </c>
      <c r="E16" s="369" t="str">
        <f>VLOOKUP(D:D,'Master Table'!C:D,2,FALSE)</f>
        <v>1070</v>
      </c>
      <c r="F16" s="798" t="s">
        <v>11114</v>
      </c>
      <c r="G16" s="799" t="s">
        <v>11115</v>
      </c>
      <c r="H16" s="790">
        <v>330</v>
      </c>
      <c r="I16" s="790"/>
      <c r="J16" s="790"/>
      <c r="K16" s="312">
        <v>330</v>
      </c>
      <c r="L16" s="467">
        <f>VLOOKUP(D:D,'Master Table'!C:O,13,FALSE)</f>
        <v>763</v>
      </c>
      <c r="M16" s="657">
        <v>763</v>
      </c>
      <c r="N16" s="555">
        <v>263</v>
      </c>
      <c r="O16" s="208">
        <v>670.65</v>
      </c>
      <c r="P16" s="616">
        <v>382.5</v>
      </c>
    </row>
    <row r="17" spans="1:16" ht="30" customHeight="1" x14ac:dyDescent="0.2">
      <c r="A17" s="291" t="str">
        <f t="shared" si="0"/>
        <v>SHR017 / 1071</v>
      </c>
      <c r="B17" s="89" t="s">
        <v>5096</v>
      </c>
      <c r="C17" s="89" t="s">
        <v>2667</v>
      </c>
      <c r="D17" s="318" t="s">
        <v>5109</v>
      </c>
      <c r="E17" s="369" t="str">
        <f>VLOOKUP(D:D,'Master Table'!C:D,2,FALSE)</f>
        <v>1071</v>
      </c>
      <c r="F17" s="798" t="s">
        <v>11116</v>
      </c>
      <c r="G17" s="799" t="s">
        <v>11117</v>
      </c>
      <c r="H17" s="790">
        <v>330.92999999999995</v>
      </c>
      <c r="I17" s="790">
        <v>30</v>
      </c>
      <c r="J17" s="790"/>
      <c r="K17" s="312">
        <v>360.92999999999995</v>
      </c>
      <c r="L17" s="467">
        <f>VLOOKUP(D:D,'Master Table'!C:O,13,FALSE)</f>
        <v>288.27999999999997</v>
      </c>
      <c r="M17" s="657">
        <v>288.27999999999997</v>
      </c>
      <c r="N17" s="555">
        <v>209</v>
      </c>
      <c r="O17" s="208">
        <v>295.60000000000002</v>
      </c>
      <c r="P17" s="616">
        <v>346</v>
      </c>
    </row>
    <row r="18" spans="1:16" ht="30" customHeight="1" x14ac:dyDescent="0.2">
      <c r="A18" s="291" t="str">
        <f t="shared" si="0"/>
        <v>SHR019 / 1073</v>
      </c>
      <c r="B18" s="89" t="s">
        <v>5096</v>
      </c>
      <c r="C18" s="89" t="s">
        <v>5117</v>
      </c>
      <c r="D18" s="318" t="s">
        <v>5115</v>
      </c>
      <c r="E18" s="369" t="str">
        <f>VLOOKUP(D:D,'Master Table'!C:D,2,FALSE)</f>
        <v>1073</v>
      </c>
      <c r="F18" s="798" t="s">
        <v>11118</v>
      </c>
      <c r="G18" s="799" t="s">
        <v>11119</v>
      </c>
      <c r="H18" s="790">
        <v>158.13</v>
      </c>
      <c r="I18" s="790">
        <v>20</v>
      </c>
      <c r="J18" s="790"/>
      <c r="K18" s="312">
        <v>178.13</v>
      </c>
      <c r="L18" s="467">
        <f>VLOOKUP(D:D,'Master Table'!C:O,13,FALSE)</f>
        <v>251.87</v>
      </c>
      <c r="M18" s="657">
        <v>251.87</v>
      </c>
      <c r="N18" s="555">
        <v>286.21000000000004</v>
      </c>
      <c r="O18" s="208">
        <v>341.25</v>
      </c>
      <c r="P18" s="616">
        <v>269.49</v>
      </c>
    </row>
    <row r="19" spans="1:16" ht="30" customHeight="1" x14ac:dyDescent="0.2">
      <c r="A19" s="291" t="str">
        <f t="shared" si="0"/>
        <v>SHR020 / 1074</v>
      </c>
      <c r="B19" s="89" t="s">
        <v>5120</v>
      </c>
      <c r="C19" s="89" t="s">
        <v>476</v>
      </c>
      <c r="D19" s="318" t="s">
        <v>5118</v>
      </c>
      <c r="E19" s="369" t="str">
        <f>VLOOKUP(D:D,'Master Table'!C:D,2,FALSE)</f>
        <v>1074</v>
      </c>
      <c r="F19" s="798" t="s">
        <v>11120</v>
      </c>
      <c r="G19" s="799" t="s">
        <v>11121</v>
      </c>
      <c r="H19" s="790">
        <v>0</v>
      </c>
      <c r="I19" s="790">
        <v>357</v>
      </c>
      <c r="J19" s="790"/>
      <c r="K19" s="312">
        <v>357</v>
      </c>
      <c r="L19" s="467">
        <f>VLOOKUP(D:D,'Master Table'!C:O,13,FALSE)</f>
        <v>245</v>
      </c>
      <c r="M19" s="657">
        <v>245</v>
      </c>
      <c r="N19" s="555">
        <v>1206</v>
      </c>
      <c r="O19" s="208">
        <v>530</v>
      </c>
      <c r="P19" s="616">
        <v>525</v>
      </c>
    </row>
    <row r="20" spans="1:16" ht="30" customHeight="1" x14ac:dyDescent="0.2">
      <c r="A20" s="291" t="str">
        <f t="shared" si="0"/>
        <v>SHR021 / 1075</v>
      </c>
      <c r="B20" s="89" t="s">
        <v>5123</v>
      </c>
      <c r="C20" s="89" t="s">
        <v>246</v>
      </c>
      <c r="D20" s="318" t="s">
        <v>5121</v>
      </c>
      <c r="E20" s="369" t="str">
        <f>VLOOKUP(D:D,'Master Table'!C:D,2,FALSE)</f>
        <v>1075</v>
      </c>
      <c r="F20" s="798" t="s">
        <v>11122</v>
      </c>
      <c r="G20" s="799" t="s">
        <v>11123</v>
      </c>
      <c r="H20" s="790">
        <v>591.53</v>
      </c>
      <c r="I20" s="790">
        <v>345</v>
      </c>
      <c r="J20" s="790"/>
      <c r="K20" s="312">
        <v>936.53</v>
      </c>
      <c r="L20" s="467">
        <f>VLOOKUP(D:D,'Master Table'!C:O,13,FALSE)</f>
        <v>954</v>
      </c>
      <c r="M20" s="657">
        <v>954</v>
      </c>
      <c r="N20" s="555">
        <v>1406</v>
      </c>
      <c r="O20" s="208">
        <v>1469</v>
      </c>
      <c r="P20" s="616">
        <v>1493</v>
      </c>
    </row>
    <row r="21" spans="1:16" ht="30" customHeight="1" x14ac:dyDescent="0.2">
      <c r="A21" s="291" t="str">
        <f t="shared" si="0"/>
        <v>SHR022 / 1076</v>
      </c>
      <c r="B21" s="89" t="s">
        <v>5126</v>
      </c>
      <c r="C21" s="89" t="s">
        <v>164</v>
      </c>
      <c r="D21" s="318" t="s">
        <v>5124</v>
      </c>
      <c r="E21" s="369" t="str">
        <f>VLOOKUP(D:D,'Master Table'!C:D,2,FALSE)</f>
        <v>1076</v>
      </c>
      <c r="F21" s="798" t="s">
        <v>11124</v>
      </c>
      <c r="G21" s="799" t="s">
        <v>11125</v>
      </c>
      <c r="H21" s="790">
        <v>849.30999999999983</v>
      </c>
      <c r="I21" s="790">
        <v>120</v>
      </c>
      <c r="J21" s="790"/>
      <c r="K21" s="312">
        <v>969.30999999999983</v>
      </c>
      <c r="L21" s="467">
        <f>VLOOKUP(D:D,'Master Table'!C:O,13,FALSE)</f>
        <v>1174.5999999999999</v>
      </c>
      <c r="M21" s="657">
        <v>1174.5999999999999</v>
      </c>
      <c r="N21" s="555">
        <v>1048.93</v>
      </c>
      <c r="O21" s="208">
        <v>986.56000000000006</v>
      </c>
      <c r="P21" s="616">
        <v>694.56000000000006</v>
      </c>
    </row>
    <row r="22" spans="1:16" ht="30" customHeight="1" x14ac:dyDescent="0.2">
      <c r="A22" s="291" t="str">
        <f t="shared" si="0"/>
        <v>SHR023 / 1077</v>
      </c>
      <c r="B22" s="89" t="s">
        <v>5130</v>
      </c>
      <c r="C22" s="89" t="s">
        <v>916</v>
      </c>
      <c r="D22" s="318" t="s">
        <v>5128</v>
      </c>
      <c r="E22" s="369" t="str">
        <f>VLOOKUP(D:D,'Master Table'!C:D,2,FALSE)</f>
        <v>1077</v>
      </c>
      <c r="F22" s="798" t="s">
        <v>11126</v>
      </c>
      <c r="G22" s="799" t="s">
        <v>11127</v>
      </c>
      <c r="H22" s="790">
        <v>2131.98</v>
      </c>
      <c r="I22" s="790">
        <v>451</v>
      </c>
      <c r="J22" s="790"/>
      <c r="K22" s="312">
        <v>2582.98</v>
      </c>
      <c r="L22" s="467">
        <f>VLOOKUP(D:D,'Master Table'!C:O,13,FALSE)</f>
        <v>2467.62</v>
      </c>
      <c r="M22" s="657">
        <v>2467.62</v>
      </c>
      <c r="N22" s="555">
        <v>2286.56</v>
      </c>
      <c r="O22" s="208">
        <v>1695.22</v>
      </c>
      <c r="P22" s="616">
        <v>1651.47</v>
      </c>
    </row>
    <row r="23" spans="1:16" ht="30" customHeight="1" x14ac:dyDescent="0.2">
      <c r="A23" s="291" t="str">
        <f t="shared" si="0"/>
        <v>SHR024 / 1078</v>
      </c>
      <c r="B23" s="89" t="s">
        <v>7812</v>
      </c>
      <c r="C23" s="89" t="s">
        <v>5133</v>
      </c>
      <c r="D23" s="318" t="s">
        <v>5131</v>
      </c>
      <c r="E23" s="369" t="str">
        <f>VLOOKUP(D:D,'Master Table'!C:D,2,FALSE)</f>
        <v>1078</v>
      </c>
      <c r="F23" s="798" t="s">
        <v>11128</v>
      </c>
      <c r="G23" s="799" t="s">
        <v>11129</v>
      </c>
      <c r="H23" s="790">
        <v>647.80999999999995</v>
      </c>
      <c r="I23" s="790">
        <v>330</v>
      </c>
      <c r="J23" s="790"/>
      <c r="K23" s="312">
        <v>977.81</v>
      </c>
      <c r="L23" s="467">
        <f>VLOOKUP(D:D,'Master Table'!C:O,13,FALSE)</f>
        <v>1671.12</v>
      </c>
      <c r="M23" s="657">
        <v>1671.12</v>
      </c>
      <c r="N23" s="555">
        <v>1925.18</v>
      </c>
      <c r="O23" s="208">
        <v>2484.2800000000002</v>
      </c>
      <c r="P23" s="616">
        <v>3066.37</v>
      </c>
    </row>
    <row r="24" spans="1:16" ht="30" customHeight="1" x14ac:dyDescent="0.2">
      <c r="A24" s="291" t="str">
        <f t="shared" si="0"/>
        <v>SHR025 / 1079</v>
      </c>
      <c r="B24" s="89" t="s">
        <v>1128</v>
      </c>
      <c r="C24" s="89" t="s">
        <v>5138</v>
      </c>
      <c r="D24" s="318" t="s">
        <v>5136</v>
      </c>
      <c r="E24" s="369" t="str">
        <f>VLOOKUP(D:D,'Master Table'!C:D,2,FALSE)</f>
        <v>1079</v>
      </c>
      <c r="F24" s="798" t="s">
        <v>11130</v>
      </c>
      <c r="G24" s="799" t="s">
        <v>11131</v>
      </c>
      <c r="H24" s="790">
        <v>145</v>
      </c>
      <c r="I24" s="790">
        <v>210</v>
      </c>
      <c r="J24" s="790"/>
      <c r="K24" s="312">
        <v>355</v>
      </c>
      <c r="L24" s="467">
        <f>VLOOKUP(D:D,'Master Table'!C:O,13,FALSE)</f>
        <v>264.57</v>
      </c>
      <c r="M24" s="657">
        <v>264.57</v>
      </c>
      <c r="N24" s="555">
        <v>416.94</v>
      </c>
      <c r="O24" s="208">
        <v>396</v>
      </c>
      <c r="P24" s="616">
        <v>426</v>
      </c>
    </row>
    <row r="25" spans="1:16" ht="30" customHeight="1" x14ac:dyDescent="0.2">
      <c r="A25" s="291" t="str">
        <f t="shared" si="0"/>
        <v>SHR026 / 1080</v>
      </c>
      <c r="B25" s="89" t="s">
        <v>1128</v>
      </c>
      <c r="C25" s="89" t="s">
        <v>5141</v>
      </c>
      <c r="D25" s="318" t="s">
        <v>5139</v>
      </c>
      <c r="E25" s="369" t="str">
        <f>VLOOKUP(D:D,'Master Table'!C:D,2,FALSE)</f>
        <v>1080</v>
      </c>
      <c r="F25" s="798" t="s">
        <v>11132</v>
      </c>
      <c r="G25" s="799" t="s">
        <v>11133</v>
      </c>
      <c r="H25" s="790">
        <v>26.46</v>
      </c>
      <c r="I25" s="790">
        <v>445</v>
      </c>
      <c r="J25" s="790"/>
      <c r="K25" s="312">
        <v>471.46</v>
      </c>
      <c r="L25" s="467">
        <f>VLOOKUP(D:D,'Master Table'!C:O,13,FALSE)</f>
        <v>1451.56</v>
      </c>
      <c r="M25" s="657">
        <v>1451.56</v>
      </c>
      <c r="N25" s="555">
        <v>1281.33</v>
      </c>
      <c r="O25" s="208">
        <v>1855.3</v>
      </c>
      <c r="P25" s="616">
        <v>813.5</v>
      </c>
    </row>
    <row r="26" spans="1:16" ht="30" customHeight="1" x14ac:dyDescent="0.2">
      <c r="A26" s="291" t="str">
        <f t="shared" si="0"/>
        <v>SHR027 / 1081</v>
      </c>
      <c r="B26" s="89" t="s">
        <v>5146</v>
      </c>
      <c r="C26" s="89" t="s">
        <v>5145</v>
      </c>
      <c r="D26" s="318" t="s">
        <v>5143</v>
      </c>
      <c r="E26" s="369" t="str">
        <f>VLOOKUP(D:D,'Master Table'!C:D,2,FALSE)</f>
        <v>1081</v>
      </c>
      <c r="F26" s="798" t="s">
        <v>11134</v>
      </c>
      <c r="G26" s="799" t="s">
        <v>11135</v>
      </c>
      <c r="H26" s="790">
        <v>677.66000000000008</v>
      </c>
      <c r="I26" s="790">
        <v>980</v>
      </c>
      <c r="J26" s="790"/>
      <c r="K26" s="312">
        <v>1657.66</v>
      </c>
      <c r="L26" s="467">
        <f>VLOOKUP(D:D,'Master Table'!C:O,13,FALSE)</f>
        <v>1969.05</v>
      </c>
      <c r="M26" s="657">
        <v>1969.05</v>
      </c>
      <c r="N26" s="555">
        <v>1978.86</v>
      </c>
      <c r="O26" s="208">
        <v>2126.81</v>
      </c>
      <c r="P26" s="616">
        <v>2113.2600000000002</v>
      </c>
    </row>
    <row r="27" spans="1:16" ht="30" customHeight="1" x14ac:dyDescent="0.2">
      <c r="A27" s="291" t="str">
        <f t="shared" si="0"/>
        <v>SHR028 / 1082</v>
      </c>
      <c r="B27" s="89" t="s">
        <v>5146</v>
      </c>
      <c r="C27" s="89" t="s">
        <v>301</v>
      </c>
      <c r="D27" s="318" t="s">
        <v>5148</v>
      </c>
      <c r="E27" s="369" t="str">
        <f>VLOOKUP(D:D,'Master Table'!C:D,2,FALSE)</f>
        <v>1082</v>
      </c>
      <c r="F27" s="798" t="s">
        <v>11136</v>
      </c>
      <c r="G27" s="799" t="s">
        <v>11137</v>
      </c>
      <c r="H27" s="790">
        <v>422.92999999999995</v>
      </c>
      <c r="I27" s="790">
        <v>306</v>
      </c>
      <c r="J27" s="790"/>
      <c r="K27" s="312">
        <v>728.93</v>
      </c>
      <c r="L27" s="467">
        <f>VLOOKUP(D:D,'Master Table'!C:O,13,FALSE)</f>
        <v>1176.98</v>
      </c>
      <c r="M27" s="657">
        <v>1176.98</v>
      </c>
      <c r="N27" s="555">
        <v>844.47</v>
      </c>
      <c r="O27" s="208">
        <v>1697.4</v>
      </c>
      <c r="P27" s="616">
        <v>1734</v>
      </c>
    </row>
    <row r="28" spans="1:16" ht="30" customHeight="1" x14ac:dyDescent="0.2">
      <c r="A28" s="291" t="str">
        <f t="shared" si="0"/>
        <v>SHR029 / 1083</v>
      </c>
      <c r="B28" s="89" t="s">
        <v>5146</v>
      </c>
      <c r="C28" s="89" t="s">
        <v>5152</v>
      </c>
      <c r="D28" s="318" t="s">
        <v>5150</v>
      </c>
      <c r="E28" s="369" t="str">
        <f>VLOOKUP(D:D,'Master Table'!C:D,2,FALSE)</f>
        <v>1083</v>
      </c>
      <c r="F28" s="798" t="s">
        <v>11138</v>
      </c>
      <c r="G28" s="799" t="s">
        <v>11139</v>
      </c>
      <c r="H28" s="790">
        <v>0</v>
      </c>
      <c r="I28" s="790"/>
      <c r="J28" s="790"/>
      <c r="K28" s="312">
        <v>0</v>
      </c>
      <c r="L28" s="467">
        <f>VLOOKUP(D:D,'Master Table'!C:O,13,FALSE)</f>
        <v>0</v>
      </c>
      <c r="M28" s="657">
        <v>0</v>
      </c>
      <c r="N28" s="555">
        <v>0</v>
      </c>
      <c r="O28" s="208">
        <v>0</v>
      </c>
      <c r="P28" s="616">
        <v>200</v>
      </c>
    </row>
    <row r="29" spans="1:16" ht="30" customHeight="1" x14ac:dyDescent="0.2">
      <c r="A29" s="291" t="str">
        <f t="shared" si="0"/>
        <v>SHR030 / 1084</v>
      </c>
      <c r="B29" s="89" t="s">
        <v>5146</v>
      </c>
      <c r="C29" s="89" t="s">
        <v>5155</v>
      </c>
      <c r="D29" s="318" t="s">
        <v>5153</v>
      </c>
      <c r="E29" s="369" t="str">
        <f>VLOOKUP(D:D,'Master Table'!C:D,2,FALSE)</f>
        <v>1084</v>
      </c>
      <c r="F29" s="798" t="s">
        <v>11140</v>
      </c>
      <c r="G29" s="799" t="s">
        <v>11141</v>
      </c>
      <c r="H29" s="790">
        <v>210.51</v>
      </c>
      <c r="I29" s="790">
        <v>20</v>
      </c>
      <c r="J29" s="790"/>
      <c r="K29" s="312">
        <v>230.51</v>
      </c>
      <c r="L29" s="467">
        <f>VLOOKUP(D:D,'Master Table'!C:O,13,FALSE)</f>
        <v>208.86</v>
      </c>
      <c r="M29" s="657">
        <v>208.86</v>
      </c>
      <c r="N29" s="555">
        <v>422.19</v>
      </c>
      <c r="O29" s="208">
        <v>589.66</v>
      </c>
      <c r="P29" s="616">
        <v>437.33</v>
      </c>
    </row>
    <row r="30" spans="1:16" ht="30" customHeight="1" x14ac:dyDescent="0.2">
      <c r="A30" s="291" t="str">
        <f t="shared" si="0"/>
        <v>SHR031 / 1085</v>
      </c>
      <c r="B30" s="89" t="s">
        <v>5146</v>
      </c>
      <c r="C30" s="89" t="s">
        <v>5158</v>
      </c>
      <c r="D30" s="318" t="s">
        <v>5156</v>
      </c>
      <c r="E30" s="369" t="str">
        <f>VLOOKUP(D:D,'Master Table'!C:D,2,FALSE)</f>
        <v>1085</v>
      </c>
      <c r="F30" s="798" t="s">
        <v>11142</v>
      </c>
      <c r="G30" s="799" t="s">
        <v>11143</v>
      </c>
      <c r="H30" s="790">
        <v>2395.56</v>
      </c>
      <c r="I30" s="790">
        <v>491</v>
      </c>
      <c r="J30" s="790"/>
      <c r="K30" s="312">
        <v>2886.56</v>
      </c>
      <c r="L30" s="467">
        <f>VLOOKUP(D:D,'Master Table'!C:O,13,FALSE)</f>
        <v>3948.14</v>
      </c>
      <c r="M30" s="657">
        <v>3948.14</v>
      </c>
      <c r="N30" s="555">
        <v>3315.7300000000005</v>
      </c>
      <c r="O30" s="208">
        <v>2730.6899999999996</v>
      </c>
      <c r="P30" s="616">
        <v>2583.69</v>
      </c>
    </row>
    <row r="31" spans="1:16" ht="30" customHeight="1" x14ac:dyDescent="0.2">
      <c r="A31" s="291" t="str">
        <f t="shared" si="0"/>
        <v>SHR032 / 1086</v>
      </c>
      <c r="B31" s="89" t="s">
        <v>5166</v>
      </c>
      <c r="C31" s="89" t="s">
        <v>7813</v>
      </c>
      <c r="D31" s="318" t="s">
        <v>5163</v>
      </c>
      <c r="E31" s="369" t="str">
        <f>VLOOKUP(D:D,'Master Table'!C:D,2,FALSE)</f>
        <v>1086</v>
      </c>
      <c r="F31" s="798" t="s">
        <v>11144</v>
      </c>
      <c r="G31" s="799" t="s">
        <v>11145</v>
      </c>
      <c r="H31" s="790">
        <v>130</v>
      </c>
      <c r="I31" s="790">
        <v>415</v>
      </c>
      <c r="J31" s="790"/>
      <c r="K31" s="312">
        <v>545</v>
      </c>
      <c r="L31" s="467">
        <f>VLOOKUP(D:D,'Master Table'!C:O,13,FALSE)</f>
        <v>541.77</v>
      </c>
      <c r="M31" s="657">
        <v>541.77</v>
      </c>
      <c r="N31" s="555">
        <v>552.06999999999994</v>
      </c>
      <c r="O31" s="208">
        <v>597.52</v>
      </c>
      <c r="P31" s="616">
        <v>679.38</v>
      </c>
    </row>
    <row r="32" spans="1:16" ht="30" customHeight="1" x14ac:dyDescent="0.2">
      <c r="A32" s="291" t="str">
        <f t="shared" si="0"/>
        <v>SHR033 / 1087</v>
      </c>
      <c r="B32" s="89" t="s">
        <v>5173</v>
      </c>
      <c r="C32" s="89" t="s">
        <v>226</v>
      </c>
      <c r="D32" s="318" t="s">
        <v>5171</v>
      </c>
      <c r="E32" s="369" t="str">
        <f>VLOOKUP(D:D,'Master Table'!C:D,2,FALSE)</f>
        <v>1087</v>
      </c>
      <c r="F32" s="798" t="s">
        <v>11146</v>
      </c>
      <c r="G32" s="799" t="s">
        <v>11147</v>
      </c>
      <c r="H32" s="790">
        <v>105</v>
      </c>
      <c r="I32" s="790">
        <v>270</v>
      </c>
      <c r="J32" s="790"/>
      <c r="K32" s="312">
        <v>375</v>
      </c>
      <c r="L32" s="467">
        <f>VLOOKUP(D:D,'Master Table'!C:O,13,FALSE)</f>
        <v>1093.3499999999999</v>
      </c>
      <c r="M32" s="657">
        <v>1093.3499999999999</v>
      </c>
      <c r="N32" s="555">
        <v>1477.58</v>
      </c>
      <c r="O32" s="208">
        <v>1177.44</v>
      </c>
      <c r="P32" s="616">
        <v>1025</v>
      </c>
    </row>
    <row r="33" spans="1:16" ht="30" customHeight="1" x14ac:dyDescent="0.2">
      <c r="A33" s="291" t="str">
        <f t="shared" si="0"/>
        <v>SHR034 / 1088</v>
      </c>
      <c r="B33" s="89" t="s">
        <v>5177</v>
      </c>
      <c r="C33" s="89" t="s">
        <v>5176</v>
      </c>
      <c r="D33" s="318" t="s">
        <v>5174</v>
      </c>
      <c r="E33" s="369" t="str">
        <f>VLOOKUP(D:D,'Master Table'!C:D,2,FALSE)</f>
        <v>1088</v>
      </c>
      <c r="F33" s="798" t="s">
        <v>11148</v>
      </c>
      <c r="G33" s="799" t="s">
        <v>11149</v>
      </c>
      <c r="H33" s="790">
        <v>1169.6099999999999</v>
      </c>
      <c r="I33" s="790">
        <v>453</v>
      </c>
      <c r="J33" s="790"/>
      <c r="K33" s="312">
        <v>1622.61</v>
      </c>
      <c r="L33" s="467">
        <f>VLOOKUP(D:D,'Master Table'!C:O,13,FALSE)</f>
        <v>2539.48</v>
      </c>
      <c r="M33" s="657">
        <v>2539.48</v>
      </c>
      <c r="N33" s="555">
        <v>1894.27</v>
      </c>
      <c r="O33" s="208">
        <v>2057.83</v>
      </c>
      <c r="P33" s="616">
        <v>1564.57</v>
      </c>
    </row>
    <row r="34" spans="1:16" ht="30" customHeight="1" x14ac:dyDescent="0.2">
      <c r="A34" s="291" t="str">
        <f t="shared" si="0"/>
        <v>SHR035 / 1089</v>
      </c>
      <c r="B34" s="89" t="s">
        <v>5180</v>
      </c>
      <c r="C34" s="89" t="s">
        <v>226</v>
      </c>
      <c r="D34" s="318" t="s">
        <v>5178</v>
      </c>
      <c r="E34" s="369" t="str">
        <f>VLOOKUP(D:D,'Master Table'!C:D,2,FALSE)</f>
        <v>1089</v>
      </c>
      <c r="F34" s="798" t="s">
        <v>11150</v>
      </c>
      <c r="G34" s="799" t="s">
        <v>11151</v>
      </c>
      <c r="H34" s="790">
        <v>217</v>
      </c>
      <c r="I34" s="790">
        <v>285</v>
      </c>
      <c r="J34" s="790"/>
      <c r="K34" s="312">
        <v>502</v>
      </c>
      <c r="L34" s="467">
        <f>VLOOKUP(D:D,'Master Table'!C:O,13,FALSE)</f>
        <v>931.3</v>
      </c>
      <c r="M34" s="657">
        <v>931.3</v>
      </c>
      <c r="N34" s="555">
        <v>1044.49</v>
      </c>
      <c r="O34" s="208">
        <v>1224.22</v>
      </c>
      <c r="P34" s="616">
        <v>881.15</v>
      </c>
    </row>
    <row r="35" spans="1:16" ht="30" customHeight="1" x14ac:dyDescent="0.2">
      <c r="A35" s="291" t="str">
        <f t="shared" si="0"/>
        <v>SHR036 / 1090</v>
      </c>
      <c r="B35" s="89" t="s">
        <v>5183</v>
      </c>
      <c r="C35" s="89" t="s">
        <v>1489</v>
      </c>
      <c r="D35" s="318" t="s">
        <v>5181</v>
      </c>
      <c r="E35" s="369" t="str">
        <f>VLOOKUP(D:D,'Master Table'!C:D,2,FALSE)</f>
        <v>1090</v>
      </c>
      <c r="F35" s="798" t="s">
        <v>11152</v>
      </c>
      <c r="G35" s="799" t="s">
        <v>11153</v>
      </c>
      <c r="H35" s="790">
        <v>0</v>
      </c>
      <c r="I35" s="790">
        <v>30</v>
      </c>
      <c r="J35" s="790"/>
      <c r="K35" s="312">
        <v>30</v>
      </c>
      <c r="L35" s="467">
        <f>VLOOKUP(D:D,'Master Table'!C:O,13,FALSE)</f>
        <v>50</v>
      </c>
      <c r="M35" s="657">
        <v>50</v>
      </c>
      <c r="N35" s="555">
        <v>40</v>
      </c>
      <c r="O35" s="208">
        <v>43</v>
      </c>
      <c r="P35" s="616">
        <v>189.13</v>
      </c>
    </row>
    <row r="36" spans="1:16" ht="30" customHeight="1" x14ac:dyDescent="0.2">
      <c r="A36" s="291" t="str">
        <f t="shared" si="0"/>
        <v>SHR036X / 147912</v>
      </c>
      <c r="B36" s="89" t="s">
        <v>5187</v>
      </c>
      <c r="C36" s="89" t="s">
        <v>1032</v>
      </c>
      <c r="D36" s="318" t="s">
        <v>5184</v>
      </c>
      <c r="E36" s="369" t="str">
        <f>VLOOKUP(D:D,'Master Table'!C:D,2,FALSE)</f>
        <v>147912</v>
      </c>
      <c r="F36" s="798" t="s">
        <v>11154</v>
      </c>
      <c r="G36" s="799" t="s">
        <v>11155</v>
      </c>
      <c r="H36" s="790">
        <v>773.86</v>
      </c>
      <c r="I36" s="790">
        <v>200</v>
      </c>
      <c r="J36" s="790"/>
      <c r="K36" s="312">
        <v>973.86</v>
      </c>
      <c r="L36" s="467">
        <f>VLOOKUP(D:D,'Master Table'!C:O,13,FALSE)</f>
        <v>1308.95</v>
      </c>
      <c r="M36" s="657">
        <v>1308.95</v>
      </c>
      <c r="N36" s="555">
        <v>1309.94</v>
      </c>
      <c r="O36" s="208">
        <v>1080.3600000000001</v>
      </c>
      <c r="P36" s="616">
        <v>1081.77</v>
      </c>
    </row>
    <row r="37" spans="1:16" ht="30" customHeight="1" x14ac:dyDescent="0.2">
      <c r="A37" s="291" t="str">
        <f t="shared" si="0"/>
        <v>SHR037 / 1091</v>
      </c>
      <c r="B37" s="877" t="s">
        <v>5190</v>
      </c>
      <c r="C37" s="489" t="s">
        <v>8362</v>
      </c>
      <c r="D37" s="318" t="s">
        <v>5188</v>
      </c>
      <c r="E37" s="369" t="str">
        <f>VLOOKUP(D:D,'Master Table'!C:D,2,FALSE)</f>
        <v>1091</v>
      </c>
      <c r="F37" s="798" t="s">
        <v>11156</v>
      </c>
      <c r="G37" s="799" t="s">
        <v>11157</v>
      </c>
      <c r="H37" s="790">
        <v>0</v>
      </c>
      <c r="I37" s="790">
        <v>272</v>
      </c>
      <c r="J37" s="790"/>
      <c r="K37" s="312">
        <v>272</v>
      </c>
      <c r="L37" s="467">
        <f>VLOOKUP(D:D,'Master Table'!C:O,13,FALSE)</f>
        <v>1526.3</v>
      </c>
      <c r="M37" s="869">
        <f>L37+L38</f>
        <v>1601.3</v>
      </c>
      <c r="N37" s="913">
        <v>1984.56</v>
      </c>
      <c r="O37" s="208">
        <v>1959.4900000000002</v>
      </c>
      <c r="P37" s="616">
        <v>2198.02</v>
      </c>
    </row>
    <row r="38" spans="1:16" ht="30" customHeight="1" x14ac:dyDescent="0.2">
      <c r="A38" s="291" t="str">
        <f t="shared" ref="A38" si="1">D38&amp;" / "&amp;E38</f>
        <v>SHR038 / 1092</v>
      </c>
      <c r="B38" s="878"/>
      <c r="C38" s="490" t="s">
        <v>8361</v>
      </c>
      <c r="D38" s="318" t="s">
        <v>5191</v>
      </c>
      <c r="E38" s="369" t="str">
        <f>VLOOKUP(D:D,'Master Table'!C:D,2,FALSE)</f>
        <v>1092</v>
      </c>
      <c r="F38" s="798"/>
      <c r="G38" s="799"/>
      <c r="H38" s="790"/>
      <c r="I38" s="790">
        <v>70</v>
      </c>
      <c r="J38" s="790"/>
      <c r="K38" s="312">
        <v>70</v>
      </c>
      <c r="L38" s="467">
        <f>VLOOKUP(D:D,'Master Table'!C:O,13,FALSE)</f>
        <v>75</v>
      </c>
      <c r="M38" s="870"/>
      <c r="N38" s="914"/>
      <c r="O38" s="208"/>
      <c r="P38" s="616"/>
    </row>
    <row r="39" spans="1:16" ht="30" customHeight="1" x14ac:dyDescent="0.2">
      <c r="A39" s="291" t="str">
        <f t="shared" si="0"/>
        <v>SHR039 / 1093</v>
      </c>
      <c r="B39" s="89" t="s">
        <v>5196</v>
      </c>
      <c r="C39" s="89" t="s">
        <v>299</v>
      </c>
      <c r="D39" s="318" t="s">
        <v>5194</v>
      </c>
      <c r="E39" s="369" t="str">
        <f>VLOOKUP(D:D,'Master Table'!C:D,2,FALSE)</f>
        <v>1093</v>
      </c>
      <c r="F39" s="798" t="s">
        <v>11158</v>
      </c>
      <c r="G39" s="799" t="s">
        <v>11159</v>
      </c>
      <c r="H39" s="790">
        <v>436</v>
      </c>
      <c r="I39" s="790">
        <v>742</v>
      </c>
      <c r="J39" s="790"/>
      <c r="K39" s="312">
        <v>1178</v>
      </c>
      <c r="L39" s="467">
        <f>VLOOKUP(D:D,'Master Table'!C:O,13,FALSE)</f>
        <v>1071.17</v>
      </c>
      <c r="M39" s="657">
        <v>1071.17</v>
      </c>
      <c r="N39" s="555">
        <v>1434.25</v>
      </c>
      <c r="O39" s="208">
        <v>1317.6599999999999</v>
      </c>
      <c r="P39" s="616">
        <v>1474.15</v>
      </c>
    </row>
    <row r="40" spans="1:16" ht="30" customHeight="1" x14ac:dyDescent="0.2">
      <c r="A40" s="291" t="str">
        <f t="shared" si="0"/>
        <v>SHR040 / 1094</v>
      </c>
      <c r="B40" s="89" t="s">
        <v>5199</v>
      </c>
      <c r="C40" s="89" t="s">
        <v>5063</v>
      </c>
      <c r="D40" s="318" t="s">
        <v>5197</v>
      </c>
      <c r="E40" s="369" t="str">
        <f>VLOOKUP(D:D,'Master Table'!C:D,2,FALSE)</f>
        <v>1094</v>
      </c>
      <c r="F40" s="798" t="s">
        <v>11160</v>
      </c>
      <c r="G40" s="799" t="s">
        <v>11161</v>
      </c>
      <c r="H40" s="790">
        <v>546.78</v>
      </c>
      <c r="I40" s="790">
        <v>621</v>
      </c>
      <c r="J40" s="790"/>
      <c r="K40" s="312">
        <v>1167.78</v>
      </c>
      <c r="L40" s="467">
        <f>VLOOKUP(D:D,'Master Table'!C:O,13,FALSE)</f>
        <v>2288.4799999999996</v>
      </c>
      <c r="M40" s="657">
        <v>2288.4799999999996</v>
      </c>
      <c r="N40" s="555">
        <v>3068.07</v>
      </c>
      <c r="O40" s="208">
        <v>2960.38</v>
      </c>
      <c r="P40" s="616">
        <v>2606</v>
      </c>
    </row>
    <row r="41" spans="1:16" ht="30" customHeight="1" x14ac:dyDescent="0.2">
      <c r="A41" s="291" t="str">
        <f t="shared" si="0"/>
        <v>SHR041 / 1095</v>
      </c>
      <c r="B41" s="89" t="s">
        <v>5190</v>
      </c>
      <c r="C41" s="89" t="s">
        <v>1076</v>
      </c>
      <c r="D41" s="318" t="s">
        <v>5201</v>
      </c>
      <c r="E41" s="369" t="str">
        <f>VLOOKUP(D:D,'Master Table'!C:D,2,FALSE)</f>
        <v>1095</v>
      </c>
      <c r="F41" s="798" t="s">
        <v>11162</v>
      </c>
      <c r="G41" s="799" t="s">
        <v>11163</v>
      </c>
      <c r="H41" s="790">
        <v>646.08000000000004</v>
      </c>
      <c r="I41" s="790">
        <v>190</v>
      </c>
      <c r="J41" s="790"/>
      <c r="K41" s="312">
        <v>836.08</v>
      </c>
      <c r="L41" s="467">
        <f>VLOOKUP(D:D,'Master Table'!C:O,13,FALSE)</f>
        <v>2102.5299999999997</v>
      </c>
      <c r="M41" s="657">
        <v>2102.5299999999997</v>
      </c>
      <c r="N41" s="555">
        <v>1926.3900000000003</v>
      </c>
      <c r="O41" s="208">
        <v>1948.6700000000003</v>
      </c>
      <c r="P41" s="616">
        <v>1484.48</v>
      </c>
    </row>
    <row r="42" spans="1:16" ht="30" customHeight="1" x14ac:dyDescent="0.2">
      <c r="A42" s="291" t="str">
        <f t="shared" si="0"/>
        <v>SHR042 / 1096</v>
      </c>
      <c r="B42" s="89" t="s">
        <v>5207</v>
      </c>
      <c r="C42" s="89" t="s">
        <v>5206</v>
      </c>
      <c r="D42" s="318" t="s">
        <v>5204</v>
      </c>
      <c r="E42" s="369" t="str">
        <f>VLOOKUP(D:D,'Master Table'!C:D,2,FALSE)</f>
        <v>1096</v>
      </c>
      <c r="F42" s="798" t="s">
        <v>11164</v>
      </c>
      <c r="G42" s="799" t="s">
        <v>11165</v>
      </c>
      <c r="H42" s="790">
        <v>0</v>
      </c>
      <c r="I42" s="790">
        <v>1079.99</v>
      </c>
      <c r="J42" s="790">
        <v>70</v>
      </c>
      <c r="K42" s="312">
        <v>1149.99</v>
      </c>
      <c r="L42" s="467">
        <f>VLOOKUP(D:D,'Master Table'!C:O,13,FALSE)</f>
        <v>1311.49</v>
      </c>
      <c r="M42" s="657">
        <v>1311.49</v>
      </c>
      <c r="N42" s="555">
        <v>842</v>
      </c>
      <c r="O42" s="208">
        <v>1336.54</v>
      </c>
      <c r="P42" s="616">
        <v>1017.41</v>
      </c>
    </row>
    <row r="43" spans="1:16" ht="30" customHeight="1" x14ac:dyDescent="0.2">
      <c r="A43" s="291" t="str">
        <f t="shared" si="0"/>
        <v>SHR043 / 1097</v>
      </c>
      <c r="B43" s="89" t="s">
        <v>5212</v>
      </c>
      <c r="C43" s="89" t="s">
        <v>5211</v>
      </c>
      <c r="D43" s="318" t="s">
        <v>5209</v>
      </c>
      <c r="E43" s="369" t="str">
        <f>VLOOKUP(D:D,'Master Table'!C:D,2,FALSE)</f>
        <v>1097</v>
      </c>
      <c r="F43" s="798" t="s">
        <v>11166</v>
      </c>
      <c r="G43" s="799" t="s">
        <v>11167</v>
      </c>
      <c r="H43" s="790">
        <v>0</v>
      </c>
      <c r="I43" s="790">
        <v>40</v>
      </c>
      <c r="J43" s="790"/>
      <c r="K43" s="312">
        <v>40</v>
      </c>
      <c r="L43" s="467">
        <f>VLOOKUP(D:D,'Master Table'!C:O,13,FALSE)</f>
        <v>1048.17</v>
      </c>
      <c r="M43" s="657">
        <v>1048.17</v>
      </c>
      <c r="N43" s="555">
        <v>1019.17</v>
      </c>
      <c r="O43" s="208">
        <v>850.85</v>
      </c>
      <c r="P43" s="616">
        <v>872.06000000000006</v>
      </c>
    </row>
    <row r="44" spans="1:16" ht="30" customHeight="1" x14ac:dyDescent="0.2">
      <c r="A44" s="291" t="str">
        <f t="shared" si="0"/>
        <v>SHR044 / 1098</v>
      </c>
      <c r="B44" s="89" t="s">
        <v>5216</v>
      </c>
      <c r="C44" s="89" t="s">
        <v>5215</v>
      </c>
      <c r="D44" s="318" t="s">
        <v>5213</v>
      </c>
      <c r="E44" s="369" t="str">
        <f>VLOOKUP(D:D,'Master Table'!C:D,2,FALSE)</f>
        <v>1098</v>
      </c>
      <c r="F44" s="798" t="s">
        <v>11168</v>
      </c>
      <c r="G44" s="799" t="s">
        <v>11169</v>
      </c>
      <c r="H44" s="790">
        <v>0</v>
      </c>
      <c r="I44" s="790"/>
      <c r="J44" s="790"/>
      <c r="K44" s="312">
        <v>0</v>
      </c>
      <c r="L44" s="467">
        <f>VLOOKUP(D:D,'Master Table'!C:O,13,FALSE)</f>
        <v>266.89</v>
      </c>
      <c r="M44" s="657">
        <v>266.89</v>
      </c>
      <c r="N44" s="555">
        <v>179.53</v>
      </c>
      <c r="O44" s="208">
        <v>356</v>
      </c>
      <c r="P44" s="616">
        <v>115.16</v>
      </c>
    </row>
    <row r="45" spans="1:16" ht="30" customHeight="1" x14ac:dyDescent="0.2">
      <c r="A45" s="291" t="str">
        <f t="shared" si="0"/>
        <v>SHR046 / 1100</v>
      </c>
      <c r="B45" s="89" t="s">
        <v>5219</v>
      </c>
      <c r="C45" s="89" t="s">
        <v>1065</v>
      </c>
      <c r="D45" s="318" t="s">
        <v>5217</v>
      </c>
      <c r="E45" s="369" t="str">
        <f>VLOOKUP(D:D,'Master Table'!C:D,2,FALSE)</f>
        <v>1100</v>
      </c>
      <c r="F45" s="798" t="s">
        <v>11170</v>
      </c>
      <c r="G45" s="799" t="s">
        <v>11171</v>
      </c>
      <c r="H45" s="790">
        <v>5560</v>
      </c>
      <c r="I45" s="790">
        <v>805</v>
      </c>
      <c r="J45" s="790">
        <v>350</v>
      </c>
      <c r="K45" s="312">
        <v>6715</v>
      </c>
      <c r="L45" s="467">
        <f>VLOOKUP(D:D,'Master Table'!C:O,13,FALSE)</f>
        <v>8125</v>
      </c>
      <c r="M45" s="657">
        <v>8125</v>
      </c>
      <c r="N45" s="555">
        <v>6480</v>
      </c>
      <c r="O45" s="208">
        <v>6555</v>
      </c>
      <c r="P45" s="616">
        <v>6435</v>
      </c>
    </row>
    <row r="46" spans="1:16" ht="30" customHeight="1" x14ac:dyDescent="0.2">
      <c r="A46" s="291" t="str">
        <f t="shared" si="0"/>
        <v>SHR047 / 1101</v>
      </c>
      <c r="B46" s="89" t="s">
        <v>5223</v>
      </c>
      <c r="C46" s="89" t="s">
        <v>1244</v>
      </c>
      <c r="D46" s="318" t="s">
        <v>5221</v>
      </c>
      <c r="E46" s="369" t="str">
        <f>VLOOKUP(D:D,'Master Table'!C:D,2,FALSE)</f>
        <v>1101</v>
      </c>
      <c r="F46" s="798" t="s">
        <v>11172</v>
      </c>
      <c r="G46" s="799" t="s">
        <v>11173</v>
      </c>
      <c r="H46" s="790">
        <v>70</v>
      </c>
      <c r="I46" s="790">
        <v>410</v>
      </c>
      <c r="J46" s="790"/>
      <c r="K46" s="312">
        <v>480</v>
      </c>
      <c r="L46" s="467">
        <f>VLOOKUP(D:D,'Master Table'!C:O,13,FALSE)</f>
        <v>1151</v>
      </c>
      <c r="M46" s="657">
        <v>1151</v>
      </c>
      <c r="N46" s="555">
        <v>738.5</v>
      </c>
      <c r="O46" s="208">
        <v>388</v>
      </c>
      <c r="P46" s="616">
        <v>892</v>
      </c>
    </row>
    <row r="47" spans="1:16" ht="30" customHeight="1" x14ac:dyDescent="0.2">
      <c r="A47" s="291" t="str">
        <f t="shared" si="0"/>
        <v>SHR048 / 1102</v>
      </c>
      <c r="B47" s="89" t="s">
        <v>5227</v>
      </c>
      <c r="C47" s="89" t="s">
        <v>1004</v>
      </c>
      <c r="D47" s="318" t="s">
        <v>5225</v>
      </c>
      <c r="E47" s="369" t="str">
        <f>VLOOKUP(D:D,'Master Table'!C:D,2,FALSE)</f>
        <v>1102</v>
      </c>
      <c r="F47" s="798" t="s">
        <v>11174</v>
      </c>
      <c r="G47" s="799" t="s">
        <v>11175</v>
      </c>
      <c r="H47" s="790">
        <v>0</v>
      </c>
      <c r="I47" s="790">
        <v>585</v>
      </c>
      <c r="J47" s="790"/>
      <c r="K47" s="312">
        <v>585</v>
      </c>
      <c r="L47" s="467">
        <f>VLOOKUP(D:D,'Master Table'!C:O,13,FALSE)</f>
        <v>586.5</v>
      </c>
      <c r="M47" s="657">
        <v>586.5</v>
      </c>
      <c r="N47" s="555">
        <v>715.91000000000008</v>
      </c>
      <c r="O47" s="208">
        <v>788.78</v>
      </c>
      <c r="P47" s="616">
        <v>645.11</v>
      </c>
    </row>
    <row r="48" spans="1:16" ht="30" customHeight="1" x14ac:dyDescent="0.2">
      <c r="A48" s="291" t="str">
        <f t="shared" si="0"/>
        <v>SHR049 / 1103</v>
      </c>
      <c r="B48" s="89" t="s">
        <v>5232</v>
      </c>
      <c r="C48" s="89" t="s">
        <v>5231</v>
      </c>
      <c r="D48" s="318" t="s">
        <v>5229</v>
      </c>
      <c r="E48" s="369" t="str">
        <f>VLOOKUP(D:D,'Master Table'!C:D,2,FALSE)</f>
        <v>1103</v>
      </c>
      <c r="F48" s="798" t="s">
        <v>11176</v>
      </c>
      <c r="G48" s="799" t="s">
        <v>11177</v>
      </c>
      <c r="H48" s="790">
        <v>0</v>
      </c>
      <c r="I48" s="790">
        <v>378.85</v>
      </c>
      <c r="J48" s="790"/>
      <c r="K48" s="312">
        <v>378.85</v>
      </c>
      <c r="L48" s="467">
        <f>VLOOKUP(D:D,'Master Table'!C:O,13,FALSE)</f>
        <v>804.94</v>
      </c>
      <c r="M48" s="657">
        <v>804.94</v>
      </c>
      <c r="N48" s="555">
        <v>740.73</v>
      </c>
      <c r="O48" s="208">
        <v>946.29000000000008</v>
      </c>
      <c r="P48" s="616">
        <v>955.63</v>
      </c>
    </row>
    <row r="49" spans="1:16" ht="30" customHeight="1" x14ac:dyDescent="0.2">
      <c r="A49" s="291" t="str">
        <f t="shared" si="0"/>
        <v>SHR050 / 1104</v>
      </c>
      <c r="B49" s="89" t="s">
        <v>5235</v>
      </c>
      <c r="C49" s="89" t="s">
        <v>2667</v>
      </c>
      <c r="D49" s="318" t="s">
        <v>5233</v>
      </c>
      <c r="E49" s="369" t="str">
        <f>VLOOKUP(D:D,'Master Table'!C:D,2,FALSE)</f>
        <v>1104</v>
      </c>
      <c r="F49" s="798" t="s">
        <v>11178</v>
      </c>
      <c r="G49" s="799" t="s">
        <v>11179</v>
      </c>
      <c r="H49" s="790">
        <v>403.90999999999997</v>
      </c>
      <c r="I49" s="790">
        <v>110</v>
      </c>
      <c r="J49" s="790"/>
      <c r="K49" s="312">
        <v>513.91</v>
      </c>
      <c r="L49" s="467">
        <f>VLOOKUP(D:D,'Master Table'!C:O,13,FALSE)</f>
        <v>763.96</v>
      </c>
      <c r="M49" s="657">
        <v>763.96</v>
      </c>
      <c r="N49" s="555">
        <v>661.95</v>
      </c>
      <c r="O49" s="208">
        <v>814</v>
      </c>
      <c r="P49" s="616">
        <v>1237.8800000000001</v>
      </c>
    </row>
    <row r="50" spans="1:16" ht="30" customHeight="1" x14ac:dyDescent="0.2">
      <c r="A50" s="291" t="str">
        <f t="shared" si="0"/>
        <v>SHR051 / 1105</v>
      </c>
      <c r="B50" s="89" t="s">
        <v>5238</v>
      </c>
      <c r="C50" s="89" t="s">
        <v>246</v>
      </c>
      <c r="D50" s="318" t="s">
        <v>5236</v>
      </c>
      <c r="E50" s="369" t="str">
        <f>VLOOKUP(D:D,'Master Table'!C:D,2,FALSE)</f>
        <v>1105</v>
      </c>
      <c r="F50" s="798" t="s">
        <v>11180</v>
      </c>
      <c r="G50" s="799" t="s">
        <v>11181</v>
      </c>
      <c r="H50" s="790">
        <v>0</v>
      </c>
      <c r="I50" s="790">
        <v>830</v>
      </c>
      <c r="J50" s="790">
        <v>378.24</v>
      </c>
      <c r="K50" s="312">
        <v>1208.24</v>
      </c>
      <c r="L50" s="467">
        <f>VLOOKUP(D:D,'Master Table'!C:O,13,FALSE)</f>
        <v>1249.94</v>
      </c>
      <c r="M50" s="657">
        <v>1249.94</v>
      </c>
      <c r="N50" s="555">
        <v>1793.92</v>
      </c>
      <c r="O50" s="208">
        <v>1364.23</v>
      </c>
      <c r="P50" s="616">
        <v>1290.2</v>
      </c>
    </row>
    <row r="51" spans="1:16" ht="30" customHeight="1" x14ac:dyDescent="0.2">
      <c r="A51" s="291" t="str">
        <f t="shared" si="0"/>
        <v>SHR052 / 1106</v>
      </c>
      <c r="B51" s="89" t="s">
        <v>5243</v>
      </c>
      <c r="C51" s="89" t="s">
        <v>5242</v>
      </c>
      <c r="D51" s="318" t="s">
        <v>5240</v>
      </c>
      <c r="E51" s="369" t="str">
        <f>VLOOKUP(D:D,'Master Table'!C:D,2,FALSE)</f>
        <v>1106</v>
      </c>
      <c r="F51" s="798" t="s">
        <v>11182</v>
      </c>
      <c r="G51" s="799" t="s">
        <v>11183</v>
      </c>
      <c r="H51" s="790">
        <v>907.77</v>
      </c>
      <c r="I51" s="790">
        <v>249</v>
      </c>
      <c r="J51" s="790">
        <v>20</v>
      </c>
      <c r="K51" s="312">
        <v>1176.77</v>
      </c>
      <c r="L51" s="467">
        <f>VLOOKUP(D:D,'Master Table'!C:O,13,FALSE)</f>
        <v>1695.97</v>
      </c>
      <c r="M51" s="657">
        <v>1695.97</v>
      </c>
      <c r="N51" s="555">
        <v>1473.37</v>
      </c>
      <c r="O51" s="208">
        <v>869.53</v>
      </c>
      <c r="P51" s="616">
        <v>1651.7</v>
      </c>
    </row>
    <row r="52" spans="1:16" ht="30" customHeight="1" x14ac:dyDescent="0.2">
      <c r="A52" s="291" t="str">
        <f t="shared" si="0"/>
        <v>SHR054 / 1108</v>
      </c>
      <c r="B52" s="89" t="s">
        <v>5246</v>
      </c>
      <c r="C52" s="89" t="s">
        <v>1065</v>
      </c>
      <c r="D52" s="318" t="s">
        <v>5244</v>
      </c>
      <c r="E52" s="369" t="str">
        <f>VLOOKUP(D:D,'Master Table'!C:D,2,FALSE)</f>
        <v>1108</v>
      </c>
      <c r="F52" s="798" t="s">
        <v>11184</v>
      </c>
      <c r="G52" s="799" t="s">
        <v>11185</v>
      </c>
      <c r="H52" s="790">
        <v>0</v>
      </c>
      <c r="I52" s="790">
        <v>110</v>
      </c>
      <c r="J52" s="790"/>
      <c r="K52" s="312">
        <v>110</v>
      </c>
      <c r="L52" s="467">
        <f>VLOOKUP(D:D,'Master Table'!C:O,13,FALSE)</f>
        <v>418.17</v>
      </c>
      <c r="M52" s="657">
        <v>418.17</v>
      </c>
      <c r="N52" s="555">
        <v>70</v>
      </c>
      <c r="O52" s="208">
        <v>368</v>
      </c>
      <c r="P52" s="616">
        <v>689.31000000000006</v>
      </c>
    </row>
    <row r="53" spans="1:16" ht="30" customHeight="1" x14ac:dyDescent="0.2">
      <c r="A53" s="291" t="str">
        <f t="shared" si="0"/>
        <v>SHR054A / 147944</v>
      </c>
      <c r="B53" s="89" t="s">
        <v>5250</v>
      </c>
      <c r="C53" s="89" t="s">
        <v>5249</v>
      </c>
      <c r="D53" s="318" t="s">
        <v>5247</v>
      </c>
      <c r="E53" s="369" t="str">
        <f>VLOOKUP(D:D,'Master Table'!C:D,2,FALSE)</f>
        <v>147944</v>
      </c>
      <c r="F53" s="798" t="s">
        <v>11186</v>
      </c>
      <c r="G53" s="799" t="s">
        <v>11187</v>
      </c>
      <c r="H53" s="790">
        <v>0</v>
      </c>
      <c r="I53" s="790">
        <v>10</v>
      </c>
      <c r="J53" s="790">
        <v>102.28</v>
      </c>
      <c r="K53" s="312">
        <v>112.28</v>
      </c>
      <c r="L53" s="467">
        <f>VLOOKUP(D:D,'Master Table'!C:O,13,FALSE)</f>
        <v>199.03</v>
      </c>
      <c r="M53" s="657">
        <v>199.03</v>
      </c>
      <c r="N53" s="555">
        <v>205.89</v>
      </c>
      <c r="O53" s="208">
        <v>190.84</v>
      </c>
      <c r="P53" s="616">
        <v>168.22</v>
      </c>
    </row>
    <row r="54" spans="1:16" ht="30" customHeight="1" x14ac:dyDescent="0.2">
      <c r="A54" s="291" t="str">
        <f t="shared" si="0"/>
        <v>SHR055 / 1109</v>
      </c>
      <c r="B54" s="89" t="s">
        <v>5253</v>
      </c>
      <c r="C54" s="89" t="s">
        <v>5066</v>
      </c>
      <c r="D54" s="318" t="s">
        <v>5251</v>
      </c>
      <c r="E54" s="369" t="str">
        <f>VLOOKUP(D:D,'Master Table'!C:D,2,FALSE)</f>
        <v>1109</v>
      </c>
      <c r="F54" s="798" t="s">
        <v>11188</v>
      </c>
      <c r="G54" s="799" t="s">
        <v>11189</v>
      </c>
      <c r="H54" s="790">
        <v>1005.91</v>
      </c>
      <c r="I54" s="790">
        <v>260</v>
      </c>
      <c r="J54" s="790"/>
      <c r="K54" s="312">
        <v>1265.9099999999999</v>
      </c>
      <c r="L54" s="467">
        <f>VLOOKUP(D:D,'Master Table'!C:O,13,FALSE)</f>
        <v>1241.1399999999999</v>
      </c>
      <c r="M54" s="657">
        <v>1241.1399999999999</v>
      </c>
      <c r="N54" s="555">
        <v>1330.23</v>
      </c>
      <c r="O54" s="208">
        <v>1158.02</v>
      </c>
      <c r="P54" s="616">
        <v>1149.25</v>
      </c>
    </row>
    <row r="55" spans="1:16" ht="30" customHeight="1" x14ac:dyDescent="0.2">
      <c r="A55" s="291" t="str">
        <f t="shared" si="0"/>
        <v>SHR056 / 1110</v>
      </c>
      <c r="B55" s="89" t="s">
        <v>5257</v>
      </c>
      <c r="C55" s="89" t="s">
        <v>5256</v>
      </c>
      <c r="D55" s="318" t="s">
        <v>5254</v>
      </c>
      <c r="E55" s="369" t="str">
        <f>VLOOKUP(D:D,'Master Table'!C:D,2,FALSE)</f>
        <v>1110</v>
      </c>
      <c r="F55" s="798" t="s">
        <v>11190</v>
      </c>
      <c r="G55" s="799" t="s">
        <v>11191</v>
      </c>
      <c r="H55" s="790">
        <v>0</v>
      </c>
      <c r="I55" s="790">
        <v>2190</v>
      </c>
      <c r="J55" s="790">
        <v>57</v>
      </c>
      <c r="K55" s="312">
        <v>2247</v>
      </c>
      <c r="L55" s="467">
        <f>VLOOKUP(D:D,'Master Table'!C:O,13,FALSE)</f>
        <v>2250.1799999999998</v>
      </c>
      <c r="M55" s="657">
        <v>2250.1799999999998</v>
      </c>
      <c r="N55" s="555">
        <v>1788.5300000000002</v>
      </c>
      <c r="O55" s="208">
        <v>2878.9700000000003</v>
      </c>
      <c r="P55" s="616">
        <v>1686.83</v>
      </c>
    </row>
    <row r="56" spans="1:16" ht="30" customHeight="1" x14ac:dyDescent="0.2">
      <c r="A56" s="291" t="str">
        <f t="shared" si="0"/>
        <v>SHR057 / 1111</v>
      </c>
      <c r="B56" s="89" t="s">
        <v>5257</v>
      </c>
      <c r="C56" s="89" t="s">
        <v>72</v>
      </c>
      <c r="D56" s="318" t="s">
        <v>5259</v>
      </c>
      <c r="E56" s="369" t="str">
        <f>VLOOKUP(D:D,'Master Table'!C:D,2,FALSE)</f>
        <v>1111</v>
      </c>
      <c r="F56" s="798" t="s">
        <v>11192</v>
      </c>
      <c r="G56" s="799" t="s">
        <v>11193</v>
      </c>
      <c r="H56" s="790">
        <v>0</v>
      </c>
      <c r="I56" s="790">
        <v>115</v>
      </c>
      <c r="J56" s="790"/>
      <c r="K56" s="312">
        <v>115</v>
      </c>
      <c r="L56" s="467">
        <f>VLOOKUP(D:D,'Master Table'!C:O,13,FALSE)</f>
        <v>575</v>
      </c>
      <c r="M56" s="657">
        <v>575</v>
      </c>
      <c r="N56" s="555">
        <v>1020.95</v>
      </c>
      <c r="O56" s="208">
        <v>879</v>
      </c>
      <c r="P56" s="616">
        <v>793.85</v>
      </c>
    </row>
    <row r="57" spans="1:16" ht="15" x14ac:dyDescent="0.2">
      <c r="F57" s="798" t="s">
        <v>11194</v>
      </c>
      <c r="G57" s="799" t="s">
        <v>11195</v>
      </c>
      <c r="H57" s="790">
        <v>0</v>
      </c>
      <c r="I57" s="790"/>
      <c r="J57" s="790"/>
      <c r="K57" s="312">
        <v>0</v>
      </c>
      <c r="L57" s="354"/>
      <c r="M57" s="802"/>
      <c r="N57" s="486"/>
      <c r="O57" s="19"/>
      <c r="P57" s="617"/>
    </row>
    <row r="58" spans="1:16" ht="30" customHeight="1" x14ac:dyDescent="0.2">
      <c r="A58" s="291" t="str">
        <f t="shared" si="0"/>
        <v>SHR059 / 1113</v>
      </c>
      <c r="B58" s="89" t="s">
        <v>5267</v>
      </c>
      <c r="C58" s="89" t="s">
        <v>5266</v>
      </c>
      <c r="D58" s="318" t="s">
        <v>5264</v>
      </c>
      <c r="E58" s="369" t="str">
        <f>VLOOKUP(D:D,'Master Table'!C:D,2,FALSE)</f>
        <v>1113</v>
      </c>
      <c r="F58" s="798" t="s">
        <v>11196</v>
      </c>
      <c r="G58" s="799" t="s">
        <v>11197</v>
      </c>
      <c r="H58" s="790">
        <v>570.37</v>
      </c>
      <c r="I58" s="790">
        <v>180</v>
      </c>
      <c r="J58" s="790"/>
      <c r="K58" s="312">
        <v>750.37</v>
      </c>
      <c r="L58" s="467">
        <f>VLOOKUP(D:D,'Master Table'!C:O,13,FALSE)</f>
        <v>577.62</v>
      </c>
      <c r="M58" s="657">
        <v>577.62</v>
      </c>
      <c r="N58" s="555">
        <v>215.24</v>
      </c>
      <c r="O58" s="208">
        <v>236.44</v>
      </c>
      <c r="P58" s="616">
        <v>223.36</v>
      </c>
    </row>
    <row r="59" spans="1:16" ht="30" customHeight="1" x14ac:dyDescent="0.2">
      <c r="A59" s="291" t="str">
        <f t="shared" si="0"/>
        <v>SHR060 / 1114</v>
      </c>
      <c r="B59" s="89" t="s">
        <v>5271</v>
      </c>
      <c r="C59" s="89" t="s">
        <v>5270</v>
      </c>
      <c r="D59" s="318" t="s">
        <v>5268</v>
      </c>
      <c r="E59" s="369" t="str">
        <f>VLOOKUP(D:D,'Master Table'!C:D,2,FALSE)</f>
        <v>1114</v>
      </c>
      <c r="F59" s="798" t="s">
        <v>11198</v>
      </c>
      <c r="G59" s="799" t="s">
        <v>11199</v>
      </c>
      <c r="H59" s="790">
        <v>378.17</v>
      </c>
      <c r="I59" s="790">
        <v>755</v>
      </c>
      <c r="J59" s="790"/>
      <c r="K59" s="312">
        <v>1133.17</v>
      </c>
      <c r="L59" s="467">
        <f>VLOOKUP(D:D,'Master Table'!C:O,13,FALSE)</f>
        <v>905</v>
      </c>
      <c r="M59" s="657">
        <v>905</v>
      </c>
      <c r="N59" s="555">
        <v>1238.2</v>
      </c>
      <c r="O59" s="208">
        <v>640</v>
      </c>
      <c r="P59" s="616">
        <v>650</v>
      </c>
    </row>
    <row r="60" spans="1:16" ht="30" customHeight="1" x14ac:dyDescent="0.2">
      <c r="A60" s="291" t="str">
        <f t="shared" si="0"/>
        <v>SHR061 / 1115</v>
      </c>
      <c r="B60" s="89" t="s">
        <v>5274</v>
      </c>
      <c r="C60" s="89" t="s">
        <v>226</v>
      </c>
      <c r="D60" s="318" t="s">
        <v>5272</v>
      </c>
      <c r="E60" s="369" t="str">
        <f>VLOOKUP(D:D,'Master Table'!C:D,2,FALSE)</f>
        <v>1115</v>
      </c>
      <c r="F60" s="798" t="s">
        <v>11200</v>
      </c>
      <c r="G60" s="799" t="s">
        <v>11201</v>
      </c>
      <c r="H60" s="790">
        <v>0</v>
      </c>
      <c r="I60" s="790">
        <v>235</v>
      </c>
      <c r="J60" s="790"/>
      <c r="K60" s="312">
        <v>235</v>
      </c>
      <c r="L60" s="467">
        <f>VLOOKUP(D:D,'Master Table'!C:O,13,FALSE)</f>
        <v>1165</v>
      </c>
      <c r="M60" s="657">
        <v>1165</v>
      </c>
      <c r="N60" s="555">
        <v>1551.54</v>
      </c>
      <c r="O60" s="208">
        <v>340</v>
      </c>
      <c r="P60" s="616">
        <v>574.49</v>
      </c>
    </row>
    <row r="61" spans="1:16" ht="30" customHeight="1" x14ac:dyDescent="0.2">
      <c r="A61" s="291" t="str">
        <f t="shared" si="0"/>
        <v>SHR063 / 1117</v>
      </c>
      <c r="B61" s="89" t="s">
        <v>5285</v>
      </c>
      <c r="C61" s="89" t="s">
        <v>839</v>
      </c>
      <c r="D61" s="318" t="s">
        <v>5283</v>
      </c>
      <c r="E61" s="369" t="str">
        <f>VLOOKUP(D:D,'Master Table'!C:D,2,FALSE)</f>
        <v>1117</v>
      </c>
      <c r="F61" s="798" t="s">
        <v>11202</v>
      </c>
      <c r="G61" s="799" t="s">
        <v>11203</v>
      </c>
      <c r="H61" s="790">
        <v>1448.5</v>
      </c>
      <c r="I61" s="790">
        <v>1268.8</v>
      </c>
      <c r="J61" s="790"/>
      <c r="K61" s="312">
        <v>2717.3</v>
      </c>
      <c r="L61" s="467">
        <f>VLOOKUP(D:D,'Master Table'!C:O,13,FALSE)</f>
        <v>3914.54</v>
      </c>
      <c r="M61" s="657">
        <v>3914.54</v>
      </c>
      <c r="N61" s="555">
        <v>998.46</v>
      </c>
      <c r="O61" s="208">
        <v>1010.94</v>
      </c>
      <c r="P61" s="616">
        <v>1181.02</v>
      </c>
    </row>
    <row r="62" spans="1:16" ht="30" customHeight="1" x14ac:dyDescent="0.2">
      <c r="A62" s="291" t="str">
        <f t="shared" si="0"/>
        <v>SHR064 / 1118</v>
      </c>
      <c r="B62" s="89" t="s">
        <v>5288</v>
      </c>
      <c r="C62" s="89" t="s">
        <v>5066</v>
      </c>
      <c r="D62" s="318" t="s">
        <v>5286</v>
      </c>
      <c r="E62" s="369" t="str">
        <f>VLOOKUP(D:D,'Master Table'!C:D,2,FALSE)</f>
        <v>1118</v>
      </c>
      <c r="F62" s="798" t="s">
        <v>11204</v>
      </c>
      <c r="G62" s="799" t="s">
        <v>11205</v>
      </c>
      <c r="H62" s="790">
        <v>0</v>
      </c>
      <c r="I62" s="790">
        <v>45</v>
      </c>
      <c r="J62" s="790"/>
      <c r="K62" s="312">
        <v>45</v>
      </c>
      <c r="L62" s="467">
        <f>VLOOKUP(D:D,'Master Table'!C:O,13,FALSE)</f>
        <v>199</v>
      </c>
      <c r="M62" s="657">
        <v>199</v>
      </c>
      <c r="N62" s="555">
        <v>171</v>
      </c>
      <c r="O62" s="208">
        <v>322</v>
      </c>
      <c r="P62" s="616">
        <v>1683</v>
      </c>
    </row>
    <row r="63" spans="1:16" ht="30" customHeight="1" x14ac:dyDescent="0.2">
      <c r="A63" s="291" t="str">
        <f t="shared" si="0"/>
        <v>SHR065 / 1119</v>
      </c>
      <c r="B63" s="89" t="s">
        <v>5291</v>
      </c>
      <c r="C63" s="89" t="s">
        <v>164</v>
      </c>
      <c r="D63" s="318" t="s">
        <v>5289</v>
      </c>
      <c r="E63" s="369" t="str">
        <f>VLOOKUP(D:D,'Master Table'!C:D,2,FALSE)</f>
        <v>1119</v>
      </c>
      <c r="F63" s="798" t="s">
        <v>11206</v>
      </c>
      <c r="G63" s="799" t="s">
        <v>11207</v>
      </c>
      <c r="H63" s="790">
        <v>214.26</v>
      </c>
      <c r="I63" s="790">
        <v>16.05</v>
      </c>
      <c r="J63" s="790"/>
      <c r="K63" s="312">
        <v>230.31</v>
      </c>
      <c r="L63" s="467">
        <f>VLOOKUP(D:D,'Master Table'!C:O,13,FALSE)</f>
        <v>687.04</v>
      </c>
      <c r="M63" s="657">
        <v>687.04</v>
      </c>
      <c r="N63" s="555">
        <v>391.05</v>
      </c>
      <c r="O63" s="208">
        <v>494.25</v>
      </c>
      <c r="P63" s="616">
        <v>936.27</v>
      </c>
    </row>
    <row r="64" spans="1:16" ht="30" customHeight="1" x14ac:dyDescent="0.2">
      <c r="A64" s="291" t="str">
        <f t="shared" si="0"/>
        <v>SHR066 / 1120</v>
      </c>
      <c r="B64" s="89" t="s">
        <v>195</v>
      </c>
      <c r="C64" s="89" t="s">
        <v>942</v>
      </c>
      <c r="D64" s="318" t="s">
        <v>5292</v>
      </c>
      <c r="E64" s="369" t="str">
        <f>VLOOKUP(D:D,'Master Table'!C:D,2,FALSE)</f>
        <v>1120</v>
      </c>
      <c r="F64" s="798" t="s">
        <v>11208</v>
      </c>
      <c r="G64" s="799" t="s">
        <v>11209</v>
      </c>
      <c r="H64" s="790">
        <v>0</v>
      </c>
      <c r="I64" s="790">
        <v>85</v>
      </c>
      <c r="J64" s="790"/>
      <c r="K64" s="312">
        <v>85</v>
      </c>
      <c r="L64" s="467">
        <f>VLOOKUP(D:D,'Master Table'!C:O,13,FALSE)</f>
        <v>253</v>
      </c>
      <c r="M64" s="657">
        <v>253</v>
      </c>
      <c r="N64" s="555">
        <v>506.21000000000004</v>
      </c>
      <c r="O64" s="208">
        <v>420.44</v>
      </c>
      <c r="P64" s="616">
        <v>490.43</v>
      </c>
    </row>
    <row r="65" spans="1:16" ht="30" customHeight="1" x14ac:dyDescent="0.2">
      <c r="A65" s="291" t="str">
        <f t="shared" si="0"/>
        <v>SHR067 / 1121</v>
      </c>
      <c r="B65" s="89" t="s">
        <v>5297</v>
      </c>
      <c r="C65" s="89" t="s">
        <v>7193</v>
      </c>
      <c r="D65" s="318" t="s">
        <v>5294</v>
      </c>
      <c r="E65" s="369" t="str">
        <f>VLOOKUP(D:D,'Master Table'!C:D,2,FALSE)</f>
        <v>1121</v>
      </c>
      <c r="F65" s="798" t="s">
        <v>11210</v>
      </c>
      <c r="G65" s="799" t="s">
        <v>11211</v>
      </c>
      <c r="H65" s="790">
        <v>495.36</v>
      </c>
      <c r="I65" s="790">
        <v>440</v>
      </c>
      <c r="J65" s="790"/>
      <c r="K65" s="312">
        <v>935.36</v>
      </c>
      <c r="L65" s="467">
        <f>VLOOKUP(D:D,'Master Table'!C:O,13,FALSE)</f>
        <v>2895.71</v>
      </c>
      <c r="M65" s="657">
        <v>2895.71</v>
      </c>
      <c r="N65" s="555">
        <v>2634.03</v>
      </c>
      <c r="O65" s="208">
        <v>2853.3200000000006</v>
      </c>
      <c r="P65" s="616">
        <v>2466.7200000000003</v>
      </c>
    </row>
    <row r="66" spans="1:16" ht="30" customHeight="1" x14ac:dyDescent="0.2">
      <c r="A66" s="291" t="str">
        <f t="shared" si="0"/>
        <v>SHR069 / 1123</v>
      </c>
      <c r="B66" s="89" t="s">
        <v>5303</v>
      </c>
      <c r="C66" s="89" t="s">
        <v>5302</v>
      </c>
      <c r="D66" s="318" t="s">
        <v>5300</v>
      </c>
      <c r="E66" s="369" t="str">
        <f>VLOOKUP(D:D,'Master Table'!C:D,2,FALSE)</f>
        <v>1123</v>
      </c>
      <c r="F66" s="798" t="s">
        <v>11212</v>
      </c>
      <c r="G66" s="799" t="s">
        <v>11213</v>
      </c>
      <c r="H66" s="790">
        <v>74</v>
      </c>
      <c r="I66" s="790">
        <v>430.5</v>
      </c>
      <c r="J66" s="790"/>
      <c r="K66" s="312">
        <v>504.5</v>
      </c>
      <c r="L66" s="467">
        <f>VLOOKUP(D:D,'Master Table'!C:O,13,FALSE)</f>
        <v>899.23</v>
      </c>
      <c r="M66" s="657">
        <v>899.23</v>
      </c>
      <c r="N66" s="555">
        <v>855</v>
      </c>
      <c r="O66" s="208">
        <v>1033</v>
      </c>
      <c r="P66" s="616">
        <v>936</v>
      </c>
    </row>
    <row r="67" spans="1:16" ht="30" customHeight="1" x14ac:dyDescent="0.2">
      <c r="A67" s="291" t="str">
        <f t="shared" si="0"/>
        <v>SHR070 / 1124</v>
      </c>
      <c r="B67" s="89" t="s">
        <v>5307</v>
      </c>
      <c r="C67" s="89" t="s">
        <v>1203</v>
      </c>
      <c r="D67" s="318" t="s">
        <v>5305</v>
      </c>
      <c r="E67" s="369" t="str">
        <f>VLOOKUP(D:D,'Master Table'!C:D,2,FALSE)</f>
        <v>1124</v>
      </c>
      <c r="F67" s="798" t="s">
        <v>11214</v>
      </c>
      <c r="G67" s="799" t="s">
        <v>11215</v>
      </c>
      <c r="H67" s="790">
        <v>0</v>
      </c>
      <c r="I67" s="790"/>
      <c r="J67" s="790">
        <v>32.479999999999997</v>
      </c>
      <c r="K67" s="312">
        <v>32.479999999999997</v>
      </c>
      <c r="L67" s="467">
        <f>VLOOKUP(D:D,'Master Table'!C:O,13,FALSE)</f>
        <v>10</v>
      </c>
      <c r="M67" s="657">
        <v>10</v>
      </c>
      <c r="N67" s="555">
        <v>70</v>
      </c>
      <c r="O67" s="208">
        <v>70</v>
      </c>
      <c r="P67" s="616">
        <v>70</v>
      </c>
    </row>
    <row r="68" spans="1:16" ht="30" customHeight="1" x14ac:dyDescent="0.2">
      <c r="A68" s="291" t="str">
        <f t="shared" ref="A68:A113" si="2">D68&amp;" / "&amp;E68</f>
        <v>SHR071 / 1125</v>
      </c>
      <c r="B68" s="89" t="s">
        <v>5310</v>
      </c>
      <c r="C68" s="89" t="s">
        <v>1165</v>
      </c>
      <c r="D68" s="318" t="s">
        <v>5308</v>
      </c>
      <c r="E68" s="369" t="str">
        <f>VLOOKUP(D:D,'Master Table'!C:D,2,FALSE)</f>
        <v>1125</v>
      </c>
      <c r="F68" s="798" t="s">
        <v>11216</v>
      </c>
      <c r="G68" s="799" t="s">
        <v>11217</v>
      </c>
      <c r="H68" s="790">
        <v>0</v>
      </c>
      <c r="I68" s="790">
        <v>50</v>
      </c>
      <c r="J68" s="790"/>
      <c r="K68" s="312">
        <v>50</v>
      </c>
      <c r="L68" s="467">
        <f>VLOOKUP(D:D,'Master Table'!C:O,13,FALSE)</f>
        <v>1072.3499999999999</v>
      </c>
      <c r="M68" s="657">
        <v>1072.3499999999999</v>
      </c>
      <c r="N68" s="555">
        <v>628.87</v>
      </c>
      <c r="O68" s="208">
        <v>585</v>
      </c>
      <c r="P68" s="616">
        <v>615</v>
      </c>
    </row>
    <row r="69" spans="1:16" ht="30" customHeight="1" x14ac:dyDescent="0.2">
      <c r="A69" s="291" t="str">
        <f t="shared" si="2"/>
        <v>SHR072 / 1126</v>
      </c>
      <c r="B69" s="89" t="s">
        <v>5313</v>
      </c>
      <c r="C69" s="89" t="s">
        <v>2667</v>
      </c>
      <c r="D69" s="318" t="s">
        <v>5311</v>
      </c>
      <c r="E69" s="369" t="str">
        <f>VLOOKUP(D:D,'Master Table'!C:D,2,FALSE)</f>
        <v>1126</v>
      </c>
      <c r="F69" s="798" t="s">
        <v>11218</v>
      </c>
      <c r="G69" s="799" t="s">
        <v>11219</v>
      </c>
      <c r="H69" s="790">
        <v>128.18</v>
      </c>
      <c r="I69" s="790">
        <v>230</v>
      </c>
      <c r="J69" s="790"/>
      <c r="K69" s="312">
        <v>358.18</v>
      </c>
      <c r="L69" s="467">
        <f>VLOOKUP(D:D,'Master Table'!C:O,13,FALSE)</f>
        <v>567</v>
      </c>
      <c r="M69" s="657">
        <v>567</v>
      </c>
      <c r="N69" s="555">
        <v>364.85</v>
      </c>
      <c r="O69" s="208">
        <v>505.4</v>
      </c>
      <c r="P69" s="616">
        <v>663</v>
      </c>
    </row>
    <row r="70" spans="1:16" ht="30" customHeight="1" x14ac:dyDescent="0.2">
      <c r="A70" s="291" t="str">
        <f t="shared" si="2"/>
        <v>SHR073 / 1127</v>
      </c>
      <c r="B70" s="89" t="s">
        <v>5317</v>
      </c>
      <c r="C70" s="89" t="s">
        <v>5316</v>
      </c>
      <c r="D70" s="318" t="s">
        <v>5314</v>
      </c>
      <c r="E70" s="369" t="str">
        <f>VLOOKUP(D:D,'Master Table'!C:D,2,FALSE)</f>
        <v>1127</v>
      </c>
      <c r="F70" s="798" t="s">
        <v>11220</v>
      </c>
      <c r="G70" s="799" t="s">
        <v>11221</v>
      </c>
      <c r="H70" s="790">
        <v>1136.3100000000002</v>
      </c>
      <c r="I70" s="790">
        <v>667.5</v>
      </c>
      <c r="J70" s="790"/>
      <c r="K70" s="312">
        <v>1803.8100000000002</v>
      </c>
      <c r="L70" s="467">
        <f>VLOOKUP(D:D,'Master Table'!C:O,13,FALSE)</f>
        <v>2228.0200000000004</v>
      </c>
      <c r="M70" s="657">
        <v>2228.0200000000004</v>
      </c>
      <c r="N70" s="555">
        <v>2536.7399999999998</v>
      </c>
      <c r="O70" s="208">
        <v>2269.86</v>
      </c>
      <c r="P70" s="616">
        <v>2315.91</v>
      </c>
    </row>
    <row r="71" spans="1:16" ht="30" customHeight="1" x14ac:dyDescent="0.2">
      <c r="A71" s="291" t="str">
        <f t="shared" si="2"/>
        <v>SHR075 / 1129</v>
      </c>
      <c r="B71" s="89" t="s">
        <v>5322</v>
      </c>
      <c r="C71" s="89" t="s">
        <v>7817</v>
      </c>
      <c r="D71" s="318" t="s">
        <v>5323</v>
      </c>
      <c r="E71" s="369" t="str">
        <f>VLOOKUP(D:D,'Master Table'!C:D,2,FALSE)</f>
        <v>1129</v>
      </c>
      <c r="F71" s="798" t="s">
        <v>11224</v>
      </c>
      <c r="G71" s="799" t="s">
        <v>11225</v>
      </c>
      <c r="H71" s="790">
        <v>367.99</v>
      </c>
      <c r="I71" s="790">
        <v>205</v>
      </c>
      <c r="J71" s="790"/>
      <c r="K71" s="312">
        <v>572.99</v>
      </c>
      <c r="L71" s="467">
        <f>VLOOKUP(D:D,'Master Table'!C:O,13,FALSE)</f>
        <v>538.45000000000005</v>
      </c>
      <c r="M71" s="657">
        <v>538.45000000000005</v>
      </c>
      <c r="N71" s="555">
        <v>908.6</v>
      </c>
      <c r="O71" s="208">
        <v>155</v>
      </c>
      <c r="P71" s="616">
        <v>577.91</v>
      </c>
    </row>
    <row r="72" spans="1:16" ht="30" customHeight="1" x14ac:dyDescent="0.2">
      <c r="A72" s="291" t="str">
        <f t="shared" si="2"/>
        <v>SHR076 / 1130</v>
      </c>
      <c r="B72" s="89" t="s">
        <v>5322</v>
      </c>
      <c r="C72" s="89" t="s">
        <v>1160</v>
      </c>
      <c r="D72" s="318" t="s">
        <v>5326</v>
      </c>
      <c r="E72" s="369" t="str">
        <f>VLOOKUP(D:D,'Master Table'!C:D,2,FALSE)</f>
        <v>1130</v>
      </c>
      <c r="F72" s="798" t="s">
        <v>11226</v>
      </c>
      <c r="G72" s="799" t="s">
        <v>11227</v>
      </c>
      <c r="H72" s="790">
        <v>155</v>
      </c>
      <c r="I72" s="790">
        <v>35</v>
      </c>
      <c r="J72" s="790"/>
      <c r="K72" s="312">
        <v>190</v>
      </c>
      <c r="L72" s="467">
        <f>VLOOKUP(D:D,'Master Table'!C:O,13,FALSE)</f>
        <v>522.05999999999995</v>
      </c>
      <c r="M72" s="657">
        <v>522.05999999999995</v>
      </c>
      <c r="N72" s="555">
        <v>918.13</v>
      </c>
      <c r="O72" s="208">
        <v>386.18</v>
      </c>
      <c r="P72" s="616">
        <v>468.76</v>
      </c>
    </row>
    <row r="73" spans="1:16" ht="30" customHeight="1" x14ac:dyDescent="0.2">
      <c r="A73" s="291" t="str">
        <f t="shared" si="2"/>
        <v>SHR077 / 1131</v>
      </c>
      <c r="B73" s="877" t="s">
        <v>5322</v>
      </c>
      <c r="C73" s="489" t="s">
        <v>8360</v>
      </c>
      <c r="D73" s="318" t="s">
        <v>5329</v>
      </c>
      <c r="E73" s="369" t="str">
        <f>VLOOKUP(D:D,'Master Table'!C:D,2,FALSE)</f>
        <v>1131</v>
      </c>
      <c r="F73" s="798" t="s">
        <v>11228</v>
      </c>
      <c r="G73" s="799" t="s">
        <v>11229</v>
      </c>
      <c r="H73" s="790">
        <v>0</v>
      </c>
      <c r="I73" s="790">
        <v>939</v>
      </c>
      <c r="J73" s="790"/>
      <c r="K73" s="312">
        <v>939</v>
      </c>
      <c r="L73" s="467">
        <f>VLOOKUP(D:D,'Master Table'!C:O,13,FALSE)</f>
        <v>1583.77</v>
      </c>
      <c r="M73" s="869">
        <f>L73+L74</f>
        <v>1746.77</v>
      </c>
      <c r="N73" s="913">
        <v>2177.25</v>
      </c>
      <c r="O73" s="208">
        <v>942.68</v>
      </c>
      <c r="P73" s="616">
        <v>1019.69</v>
      </c>
    </row>
    <row r="74" spans="1:16" ht="30" customHeight="1" x14ac:dyDescent="0.2">
      <c r="A74" s="291" t="str">
        <f t="shared" ref="A74" si="3">D74&amp;" / "&amp;E74</f>
        <v>SHR074 / 1128</v>
      </c>
      <c r="B74" s="878"/>
      <c r="C74" s="490" t="s">
        <v>8261</v>
      </c>
      <c r="D74" s="318" t="s">
        <v>5319</v>
      </c>
      <c r="E74" s="369" t="str">
        <f>VLOOKUP(D:D,'Master Table'!C:D,2,FALSE)</f>
        <v>1128</v>
      </c>
      <c r="F74" s="798" t="s">
        <v>11222</v>
      </c>
      <c r="G74" s="799" t="s">
        <v>11223</v>
      </c>
      <c r="H74" s="790">
        <v>0</v>
      </c>
      <c r="I74" s="790">
        <v>120</v>
      </c>
      <c r="J74" s="790"/>
      <c r="K74" s="312">
        <v>120</v>
      </c>
      <c r="L74" s="467">
        <f>VLOOKUP(D:D,'Master Table'!C:O,13,FALSE)</f>
        <v>163</v>
      </c>
      <c r="M74" s="870"/>
      <c r="N74" s="914"/>
      <c r="O74" s="208"/>
      <c r="P74" s="616"/>
    </row>
    <row r="75" spans="1:16" ht="30" customHeight="1" x14ac:dyDescent="0.2">
      <c r="A75" s="291" t="str">
        <f t="shared" si="2"/>
        <v>SHR078 / 1132</v>
      </c>
      <c r="B75" s="89" t="s">
        <v>5322</v>
      </c>
      <c r="C75" s="89" t="s">
        <v>3742</v>
      </c>
      <c r="D75" s="318" t="s">
        <v>5333</v>
      </c>
      <c r="E75" s="369" t="str">
        <f>VLOOKUP(D:D,'Master Table'!C:D,2,FALSE)</f>
        <v>1132</v>
      </c>
      <c r="F75" s="798" t="s">
        <v>11230</v>
      </c>
      <c r="G75" s="799" t="s">
        <v>11231</v>
      </c>
      <c r="H75" s="790">
        <v>0</v>
      </c>
      <c r="I75" s="790">
        <v>40</v>
      </c>
      <c r="J75" s="790"/>
      <c r="K75" s="312">
        <v>40</v>
      </c>
      <c r="L75" s="467">
        <f>VLOOKUP(D:D,'Master Table'!C:O,13,FALSE)</f>
        <v>412.59</v>
      </c>
      <c r="M75" s="657">
        <v>412.59</v>
      </c>
      <c r="N75" s="555">
        <v>445.67</v>
      </c>
      <c r="O75" s="208">
        <v>282.60000000000002</v>
      </c>
      <c r="P75" s="616">
        <v>368.1</v>
      </c>
    </row>
    <row r="76" spans="1:16" ht="30" customHeight="1" x14ac:dyDescent="0.2">
      <c r="A76" s="291" t="str">
        <f t="shared" si="2"/>
        <v>SHR079 / 1133</v>
      </c>
      <c r="B76" s="89" t="s">
        <v>5338</v>
      </c>
      <c r="C76" s="89" t="s">
        <v>1871</v>
      </c>
      <c r="D76" s="318" t="s">
        <v>5336</v>
      </c>
      <c r="E76" s="369" t="str">
        <f>VLOOKUP(D:D,'Master Table'!C:D,2,FALSE)</f>
        <v>1133</v>
      </c>
      <c r="F76" s="798" t="s">
        <v>11232</v>
      </c>
      <c r="G76" s="799" t="s">
        <v>11233</v>
      </c>
      <c r="H76" s="790">
        <v>65</v>
      </c>
      <c r="I76" s="790">
        <v>50</v>
      </c>
      <c r="J76" s="790"/>
      <c r="K76" s="312">
        <v>115</v>
      </c>
      <c r="L76" s="467">
        <f>VLOOKUP(D:D,'Master Table'!C:O,13,FALSE)</f>
        <v>605</v>
      </c>
      <c r="M76" s="657">
        <v>605</v>
      </c>
      <c r="N76" s="555">
        <v>389.9</v>
      </c>
      <c r="O76" s="208">
        <v>285</v>
      </c>
      <c r="P76" s="616">
        <v>621.19000000000005</v>
      </c>
    </row>
    <row r="77" spans="1:16" ht="30" customHeight="1" x14ac:dyDescent="0.2">
      <c r="A77" s="291" t="str">
        <f t="shared" si="2"/>
        <v>SHR079A / 1134</v>
      </c>
      <c r="B77" s="89" t="s">
        <v>5338</v>
      </c>
      <c r="C77" s="89" t="s">
        <v>5277</v>
      </c>
      <c r="D77" s="318" t="s">
        <v>5339</v>
      </c>
      <c r="E77" s="369" t="str">
        <f>VLOOKUP(D:D,'Master Table'!C:D,2,FALSE)</f>
        <v>1134</v>
      </c>
      <c r="F77" s="798" t="s">
        <v>11234</v>
      </c>
      <c r="G77" s="799" t="s">
        <v>11235</v>
      </c>
      <c r="H77" s="790">
        <v>0</v>
      </c>
      <c r="I77" s="790">
        <v>180</v>
      </c>
      <c r="J77" s="790"/>
      <c r="K77" s="312">
        <v>180</v>
      </c>
      <c r="L77" s="467">
        <f>VLOOKUP(D:D,'Master Table'!C:O,13,FALSE)</f>
        <v>230</v>
      </c>
      <c r="M77" s="657">
        <v>230</v>
      </c>
      <c r="N77" s="555">
        <v>525</v>
      </c>
      <c r="O77" s="208">
        <v>391</v>
      </c>
      <c r="P77" s="616">
        <v>447</v>
      </c>
    </row>
    <row r="78" spans="1:16" ht="30" customHeight="1" x14ac:dyDescent="0.2">
      <c r="A78" s="291" t="str">
        <f t="shared" si="2"/>
        <v>SHR080 / 1135</v>
      </c>
      <c r="B78" s="89" t="s">
        <v>5338</v>
      </c>
      <c r="C78" s="89" t="s">
        <v>532</v>
      </c>
      <c r="D78" s="318" t="s">
        <v>5341</v>
      </c>
      <c r="E78" s="369" t="str">
        <f>VLOOKUP(D:D,'Master Table'!C:D,2,FALSE)</f>
        <v>1135</v>
      </c>
      <c r="F78" s="798" t="s">
        <v>11236</v>
      </c>
      <c r="G78" s="799" t="s">
        <v>11237</v>
      </c>
      <c r="H78" s="790">
        <v>1792.23</v>
      </c>
      <c r="I78" s="790">
        <v>610</v>
      </c>
      <c r="J78" s="790"/>
      <c r="K78" s="312">
        <v>2402.23</v>
      </c>
      <c r="L78" s="467">
        <f>VLOOKUP(D:D,'Master Table'!C:O,13,FALSE)</f>
        <v>6218.71</v>
      </c>
      <c r="M78" s="657">
        <v>6218.71</v>
      </c>
      <c r="N78" s="555">
        <v>6314.25</v>
      </c>
      <c r="O78" s="208">
        <v>6750.1</v>
      </c>
      <c r="P78" s="616">
        <v>6293</v>
      </c>
    </row>
    <row r="79" spans="1:16" ht="30" customHeight="1" x14ac:dyDescent="0.2">
      <c r="A79" s="291" t="str">
        <f t="shared" si="2"/>
        <v>SHR081 / 1136</v>
      </c>
      <c r="B79" s="89" t="s">
        <v>5345</v>
      </c>
      <c r="C79" s="89" t="s">
        <v>1165</v>
      </c>
      <c r="D79" s="318" t="s">
        <v>5343</v>
      </c>
      <c r="E79" s="369" t="str">
        <f>VLOOKUP(D:D,'Master Table'!C:D,2,FALSE)</f>
        <v>1136</v>
      </c>
      <c r="F79" s="798" t="s">
        <v>11238</v>
      </c>
      <c r="G79" s="799" t="s">
        <v>11239</v>
      </c>
      <c r="H79" s="790">
        <v>0</v>
      </c>
      <c r="I79" s="790">
        <v>851</v>
      </c>
      <c r="J79" s="790">
        <v>40</v>
      </c>
      <c r="K79" s="312">
        <v>891</v>
      </c>
      <c r="L79" s="467">
        <f>VLOOKUP(D:D,'Master Table'!C:O,13,FALSE)</f>
        <v>1520.73</v>
      </c>
      <c r="M79" s="657">
        <v>1520.73</v>
      </c>
      <c r="N79" s="555">
        <v>2046.52</v>
      </c>
      <c r="O79" s="208">
        <v>2171.8900000000003</v>
      </c>
      <c r="P79" s="616">
        <v>2443.9</v>
      </c>
    </row>
    <row r="80" spans="1:16" ht="30" customHeight="1" x14ac:dyDescent="0.2">
      <c r="A80" s="291" t="str">
        <f t="shared" si="2"/>
        <v>SHR082 / 1137</v>
      </c>
      <c r="B80" s="89" t="s">
        <v>5349</v>
      </c>
      <c r="C80" s="89" t="s">
        <v>5066</v>
      </c>
      <c r="D80" s="318" t="s">
        <v>5347</v>
      </c>
      <c r="E80" s="369" t="str">
        <f>VLOOKUP(D:D,'Master Table'!C:D,2,FALSE)</f>
        <v>1137</v>
      </c>
      <c r="F80" s="798" t="s">
        <v>11240</v>
      </c>
      <c r="G80" s="799" t="s">
        <v>11241</v>
      </c>
      <c r="H80" s="790">
        <v>494.15999999999997</v>
      </c>
      <c r="I80" s="790">
        <v>195</v>
      </c>
      <c r="J80" s="790"/>
      <c r="K80" s="312">
        <v>689.16</v>
      </c>
      <c r="L80" s="467">
        <f>VLOOKUP(D:D,'Master Table'!C:O,13,FALSE)</f>
        <v>749.01</v>
      </c>
      <c r="M80" s="657">
        <v>749.01</v>
      </c>
      <c r="N80" s="555">
        <v>873.69</v>
      </c>
      <c r="O80" s="208">
        <v>702.72</v>
      </c>
      <c r="P80" s="616">
        <v>728.41</v>
      </c>
    </row>
    <row r="81" spans="1:16" ht="30" customHeight="1" x14ac:dyDescent="0.2">
      <c r="A81" s="291" t="str">
        <f t="shared" si="2"/>
        <v>SHR083 / 1138</v>
      </c>
      <c r="B81" s="89" t="s">
        <v>5352</v>
      </c>
      <c r="C81" s="89" t="s">
        <v>226</v>
      </c>
      <c r="D81" s="318" t="s">
        <v>5350</v>
      </c>
      <c r="E81" s="369" t="str">
        <f>VLOOKUP(D:D,'Master Table'!C:D,2,FALSE)</f>
        <v>1138</v>
      </c>
      <c r="F81" s="798" t="s">
        <v>11242</v>
      </c>
      <c r="G81" s="799" t="s">
        <v>11243</v>
      </c>
      <c r="H81" s="790">
        <v>517.37</v>
      </c>
      <c r="I81" s="790">
        <v>50</v>
      </c>
      <c r="J81" s="790"/>
      <c r="K81" s="312">
        <v>567.37</v>
      </c>
      <c r="L81" s="467">
        <f>VLOOKUP(D:D,'Master Table'!C:O,13,FALSE)</f>
        <v>1726.9299999999998</v>
      </c>
      <c r="M81" s="657">
        <v>1726.9299999999998</v>
      </c>
      <c r="N81" s="555">
        <v>1316.4599999999998</v>
      </c>
      <c r="O81" s="208">
        <v>1119.8</v>
      </c>
      <c r="P81" s="616">
        <v>1086.1400000000001</v>
      </c>
    </row>
    <row r="82" spans="1:16" ht="30" customHeight="1" x14ac:dyDescent="0.2">
      <c r="A82" s="291" t="str">
        <f t="shared" si="2"/>
        <v>SHR085 / 1139</v>
      </c>
      <c r="B82" s="877" t="s">
        <v>5360</v>
      </c>
      <c r="C82" s="453" t="s">
        <v>8263</v>
      </c>
      <c r="D82" s="318" t="s">
        <v>5357</v>
      </c>
      <c r="E82" s="369" t="str">
        <f>VLOOKUP(D:D,'Master Table'!C:D,2,FALSE)</f>
        <v>1139</v>
      </c>
      <c r="F82" s="798" t="s">
        <v>11244</v>
      </c>
      <c r="G82" s="799" t="s">
        <v>11245</v>
      </c>
      <c r="H82" s="790">
        <v>0</v>
      </c>
      <c r="I82" s="790">
        <v>285</v>
      </c>
      <c r="J82" s="790"/>
      <c r="K82" s="312">
        <v>285</v>
      </c>
      <c r="L82" s="467">
        <f>VLOOKUP(D:D,'Master Table'!C:O,13,FALSE)</f>
        <v>380</v>
      </c>
      <c r="M82" s="869">
        <f>L82+L83</f>
        <v>380</v>
      </c>
      <c r="N82" s="913">
        <v>1332.13</v>
      </c>
      <c r="O82" s="208">
        <v>1617.8799999999999</v>
      </c>
      <c r="P82" s="616">
        <v>1736.37</v>
      </c>
    </row>
    <row r="83" spans="1:16" ht="30" customHeight="1" x14ac:dyDescent="0.2">
      <c r="A83" s="291" t="str">
        <f t="shared" ref="A83" si="4">D83&amp;" / "&amp;E83</f>
        <v>SHR086 / 1140</v>
      </c>
      <c r="B83" s="878"/>
      <c r="C83" s="454" t="s">
        <v>8262</v>
      </c>
      <c r="D83" s="318" t="s">
        <v>5361</v>
      </c>
      <c r="E83" s="369" t="str">
        <f>VLOOKUP(D:D,'Master Table'!C:D,2,FALSE)</f>
        <v>1140</v>
      </c>
      <c r="F83" s="798"/>
      <c r="G83" s="799"/>
      <c r="H83" s="790"/>
      <c r="I83" s="790"/>
      <c r="J83" s="790"/>
      <c r="K83" s="312"/>
      <c r="L83" s="467">
        <f>VLOOKUP(D:D,'Master Table'!C:O,13,FALSE)</f>
        <v>0</v>
      </c>
      <c r="M83" s="870"/>
      <c r="N83" s="914"/>
      <c r="O83" s="208"/>
      <c r="P83" s="616"/>
    </row>
    <row r="84" spans="1:16" ht="30" customHeight="1" x14ac:dyDescent="0.2">
      <c r="A84" s="291" t="str">
        <f t="shared" si="2"/>
        <v>SHR088 / 1142</v>
      </c>
      <c r="B84" s="89" t="s">
        <v>5368</v>
      </c>
      <c r="C84" s="89" t="s">
        <v>7822</v>
      </c>
      <c r="D84" s="318" t="s">
        <v>5365</v>
      </c>
      <c r="E84" s="369" t="str">
        <f>VLOOKUP(D:D,'Master Table'!C:D,2,FALSE)</f>
        <v>1142</v>
      </c>
      <c r="F84" s="798" t="s">
        <v>11246</v>
      </c>
      <c r="G84" s="799" t="s">
        <v>11247</v>
      </c>
      <c r="H84" s="790">
        <v>0</v>
      </c>
      <c r="I84" s="790">
        <v>326.5</v>
      </c>
      <c r="J84" s="790"/>
      <c r="K84" s="312">
        <v>326.5</v>
      </c>
      <c r="L84" s="467">
        <f>VLOOKUP(D:D,'Master Table'!C:O,13,FALSE)</f>
        <v>485.58000000000004</v>
      </c>
      <c r="M84" s="657">
        <v>485.58000000000004</v>
      </c>
      <c r="N84" s="555">
        <v>867.47</v>
      </c>
      <c r="O84" s="208">
        <v>438</v>
      </c>
      <c r="P84" s="616">
        <v>506.63</v>
      </c>
    </row>
    <row r="85" spans="1:16" ht="30" customHeight="1" x14ac:dyDescent="0.2">
      <c r="A85" s="291" t="str">
        <f t="shared" si="2"/>
        <v>SHR089 / 1143</v>
      </c>
      <c r="B85" s="89" t="s">
        <v>5368</v>
      </c>
      <c r="C85" s="89" t="s">
        <v>5371</v>
      </c>
      <c r="D85" s="318" t="s">
        <v>5369</v>
      </c>
      <c r="E85" s="369" t="str">
        <f>VLOOKUP(D:D,'Master Table'!C:D,2,FALSE)</f>
        <v>1143</v>
      </c>
      <c r="F85" s="798" t="s">
        <v>11248</v>
      </c>
      <c r="G85" s="799" t="s">
        <v>11249</v>
      </c>
      <c r="H85" s="790">
        <v>41.63</v>
      </c>
      <c r="I85" s="790">
        <v>30</v>
      </c>
      <c r="J85" s="790"/>
      <c r="K85" s="312">
        <v>71.63</v>
      </c>
      <c r="L85" s="467">
        <f>VLOOKUP(D:D,'Master Table'!C:O,13,FALSE)</f>
        <v>688.77</v>
      </c>
      <c r="M85" s="657">
        <v>688.77</v>
      </c>
      <c r="N85" s="555">
        <v>374.47</v>
      </c>
      <c r="O85" s="208">
        <v>1097.23</v>
      </c>
      <c r="P85" s="616">
        <v>1056.06</v>
      </c>
    </row>
    <row r="86" spans="1:16" ht="30" customHeight="1" x14ac:dyDescent="0.2">
      <c r="A86" s="291" t="str">
        <f t="shared" si="2"/>
        <v>SHR090 / 1144</v>
      </c>
      <c r="B86" s="89" t="s">
        <v>5368</v>
      </c>
      <c r="C86" s="89" t="s">
        <v>2896</v>
      </c>
      <c r="D86" s="318" t="s">
        <v>5373</v>
      </c>
      <c r="E86" s="369" t="str">
        <f>VLOOKUP(D:D,'Master Table'!C:D,2,FALSE)</f>
        <v>1144</v>
      </c>
      <c r="F86" s="798" t="s">
        <v>11250</v>
      </c>
      <c r="G86" s="799" t="s">
        <v>11251</v>
      </c>
      <c r="H86" s="790">
        <v>244.62</v>
      </c>
      <c r="I86" s="790"/>
      <c r="J86" s="790"/>
      <c r="K86" s="312">
        <v>244.62</v>
      </c>
      <c r="L86" s="467">
        <f>VLOOKUP(D:D,'Master Table'!C:O,13,FALSE)</f>
        <v>273.33999999999997</v>
      </c>
      <c r="M86" s="657">
        <v>273.33999999999997</v>
      </c>
      <c r="N86" s="555">
        <v>353.88</v>
      </c>
      <c r="O86" s="208">
        <v>351.24</v>
      </c>
      <c r="P86" s="616">
        <v>245.3</v>
      </c>
    </row>
    <row r="87" spans="1:16" ht="30" customHeight="1" x14ac:dyDescent="0.2">
      <c r="A87" s="291" t="str">
        <f t="shared" si="2"/>
        <v>SHR091 / 1145</v>
      </c>
      <c r="B87" s="89" t="s">
        <v>5368</v>
      </c>
      <c r="C87" s="89" t="s">
        <v>532</v>
      </c>
      <c r="D87" s="318" t="s">
        <v>5375</v>
      </c>
      <c r="E87" s="369" t="str">
        <f>VLOOKUP(D:D,'Master Table'!C:D,2,FALSE)</f>
        <v>1145</v>
      </c>
      <c r="F87" s="798" t="s">
        <v>11252</v>
      </c>
      <c r="G87" s="799" t="s">
        <v>11253</v>
      </c>
      <c r="H87" s="790">
        <v>0</v>
      </c>
      <c r="I87" s="790">
        <v>210</v>
      </c>
      <c r="J87" s="790">
        <v>569.1</v>
      </c>
      <c r="K87" s="312">
        <v>779.1</v>
      </c>
      <c r="L87" s="467">
        <f>VLOOKUP(D:D,'Master Table'!C:O,13,FALSE)</f>
        <v>260</v>
      </c>
      <c r="M87" s="657">
        <v>260</v>
      </c>
      <c r="N87" s="555">
        <v>394.19</v>
      </c>
      <c r="O87" s="208">
        <v>375</v>
      </c>
      <c r="P87" s="616">
        <v>295</v>
      </c>
    </row>
    <row r="88" spans="1:16" ht="30" customHeight="1" x14ac:dyDescent="0.2">
      <c r="A88" s="291" t="str">
        <f t="shared" si="2"/>
        <v>SHR092 / 1146</v>
      </c>
      <c r="B88" s="89" t="s">
        <v>5368</v>
      </c>
      <c r="C88" s="89" t="s">
        <v>7823</v>
      </c>
      <c r="D88" s="318" t="s">
        <v>5377</v>
      </c>
      <c r="E88" s="369" t="str">
        <f>VLOOKUP(D:D,'Master Table'!C:D,2,FALSE)</f>
        <v>1146</v>
      </c>
      <c r="F88" s="798" t="s">
        <v>11254</v>
      </c>
      <c r="G88" s="799" t="s">
        <v>11255</v>
      </c>
      <c r="H88" s="790">
        <v>0</v>
      </c>
      <c r="I88" s="790">
        <v>115</v>
      </c>
      <c r="J88" s="790">
        <v>103.72</v>
      </c>
      <c r="K88" s="312">
        <v>218.72</v>
      </c>
      <c r="L88" s="467">
        <f>VLOOKUP(D:D,'Master Table'!C:O,13,FALSE)</f>
        <v>465.64</v>
      </c>
      <c r="M88" s="657">
        <v>465.64</v>
      </c>
      <c r="N88" s="555">
        <v>312.27</v>
      </c>
      <c r="O88" s="208">
        <v>501</v>
      </c>
      <c r="P88" s="616">
        <v>612.51</v>
      </c>
    </row>
    <row r="89" spans="1:16" ht="30" customHeight="1" x14ac:dyDescent="0.2">
      <c r="A89" s="291" t="str">
        <f t="shared" si="2"/>
        <v>SHR093 / 1147</v>
      </c>
      <c r="B89" s="89" t="s">
        <v>5383</v>
      </c>
      <c r="C89" s="89" t="s">
        <v>5382</v>
      </c>
      <c r="D89" s="318" t="s">
        <v>5380</v>
      </c>
      <c r="E89" s="369" t="str">
        <f>VLOOKUP(D:D,'Master Table'!C:D,2,FALSE)</f>
        <v>1147</v>
      </c>
      <c r="F89" s="798" t="s">
        <v>11256</v>
      </c>
      <c r="G89" s="799" t="s">
        <v>11257</v>
      </c>
      <c r="H89" s="790">
        <v>1318.26</v>
      </c>
      <c r="I89" s="790">
        <v>535</v>
      </c>
      <c r="J89" s="790"/>
      <c r="K89" s="312">
        <v>1853.26</v>
      </c>
      <c r="L89" s="467">
        <f>VLOOKUP(D:D,'Master Table'!C:O,13,FALSE)</f>
        <v>3253.13</v>
      </c>
      <c r="M89" s="657">
        <v>3253.13</v>
      </c>
      <c r="N89" s="555">
        <v>2415.87</v>
      </c>
      <c r="O89" s="208">
        <v>2725.98</v>
      </c>
      <c r="P89" s="616">
        <v>2469.66</v>
      </c>
    </row>
    <row r="90" spans="1:16" ht="30" customHeight="1" x14ac:dyDescent="0.2">
      <c r="A90" s="291" t="str">
        <f t="shared" si="2"/>
        <v>SHR094 / 1148</v>
      </c>
      <c r="B90" s="89" t="s">
        <v>5387</v>
      </c>
      <c r="C90" s="89" t="s">
        <v>5386</v>
      </c>
      <c r="D90" s="318" t="s">
        <v>5384</v>
      </c>
      <c r="E90" s="369" t="str">
        <f>VLOOKUP(D:D,'Master Table'!C:D,2,FALSE)</f>
        <v>1148</v>
      </c>
      <c r="F90" s="798" t="s">
        <v>11258</v>
      </c>
      <c r="G90" s="799" t="s">
        <v>11259</v>
      </c>
      <c r="H90" s="790">
        <v>488.23</v>
      </c>
      <c r="I90" s="790">
        <v>165.5</v>
      </c>
      <c r="J90" s="790"/>
      <c r="K90" s="312">
        <v>653.73</v>
      </c>
      <c r="L90" s="467">
        <f>VLOOKUP(D:D,'Master Table'!C:O,13,FALSE)</f>
        <v>1080.2</v>
      </c>
      <c r="M90" s="657">
        <v>1080.2</v>
      </c>
      <c r="N90" s="555">
        <v>1083.5</v>
      </c>
      <c r="O90" s="208">
        <v>1002</v>
      </c>
      <c r="P90" s="616">
        <v>1035</v>
      </c>
    </row>
    <row r="91" spans="1:16" ht="30" customHeight="1" x14ac:dyDescent="0.2">
      <c r="A91" s="291" t="str">
        <f t="shared" si="2"/>
        <v>SHR095 / 1149</v>
      </c>
      <c r="B91" s="89" t="s">
        <v>5394</v>
      </c>
      <c r="C91" s="89" t="s">
        <v>158</v>
      </c>
      <c r="D91" s="318" t="s">
        <v>5392</v>
      </c>
      <c r="E91" s="369" t="str">
        <f>VLOOKUP(D:D,'Master Table'!C:D,2,FALSE)</f>
        <v>1149</v>
      </c>
      <c r="F91" s="798" t="s">
        <v>11260</v>
      </c>
      <c r="G91" s="799" t="s">
        <v>11261</v>
      </c>
      <c r="H91" s="790">
        <v>0</v>
      </c>
      <c r="I91" s="790">
        <v>275</v>
      </c>
      <c r="J91" s="790"/>
      <c r="K91" s="312">
        <v>275</v>
      </c>
      <c r="L91" s="467">
        <f>VLOOKUP(D:D,'Master Table'!C:O,13,FALSE)</f>
        <v>1082</v>
      </c>
      <c r="M91" s="657">
        <v>1082</v>
      </c>
      <c r="N91" s="555">
        <v>1449.5</v>
      </c>
      <c r="O91" s="208">
        <v>1104.46</v>
      </c>
      <c r="P91" s="616">
        <v>1617.24</v>
      </c>
    </row>
    <row r="92" spans="1:16" ht="30" customHeight="1" x14ac:dyDescent="0.2">
      <c r="A92" s="291" t="str">
        <f t="shared" si="2"/>
        <v>SHR097 / 1151</v>
      </c>
      <c r="B92" s="89" t="s">
        <v>5394</v>
      </c>
      <c r="C92" s="89" t="s">
        <v>198</v>
      </c>
      <c r="D92" s="318" t="s">
        <v>5395</v>
      </c>
      <c r="E92" s="369" t="str">
        <f>VLOOKUP(D:D,'Master Table'!C:D,2,FALSE)</f>
        <v>1151</v>
      </c>
      <c r="F92" s="798" t="s">
        <v>11262</v>
      </c>
      <c r="G92" s="799" t="s">
        <v>11263</v>
      </c>
      <c r="H92" s="790">
        <v>115</v>
      </c>
      <c r="I92" s="790">
        <v>35</v>
      </c>
      <c r="J92" s="790"/>
      <c r="K92" s="312">
        <v>150</v>
      </c>
      <c r="L92" s="467">
        <f>VLOOKUP(D:D,'Master Table'!C:O,13,FALSE)</f>
        <v>326</v>
      </c>
      <c r="M92" s="657">
        <v>326</v>
      </c>
      <c r="N92" s="555">
        <v>421.5</v>
      </c>
      <c r="O92" s="208">
        <v>510</v>
      </c>
      <c r="P92" s="616">
        <v>597.5</v>
      </c>
    </row>
    <row r="93" spans="1:16" ht="30" customHeight="1" x14ac:dyDescent="0.2">
      <c r="A93" s="291" t="str">
        <f t="shared" si="2"/>
        <v>SHR098 / 1152</v>
      </c>
      <c r="B93" s="89" t="s">
        <v>5394</v>
      </c>
      <c r="C93" s="89" t="s">
        <v>2530</v>
      </c>
      <c r="D93" s="318" t="s">
        <v>5401</v>
      </c>
      <c r="E93" s="369" t="str">
        <f>VLOOKUP(D:D,'Master Table'!C:D,2,FALSE)</f>
        <v>1152</v>
      </c>
      <c r="F93" s="798" t="s">
        <v>11264</v>
      </c>
      <c r="G93" s="799" t="s">
        <v>11265</v>
      </c>
      <c r="H93" s="790">
        <v>0</v>
      </c>
      <c r="I93" s="790">
        <v>160</v>
      </c>
      <c r="J93" s="790">
        <v>87.01</v>
      </c>
      <c r="K93" s="312">
        <v>247.01</v>
      </c>
      <c r="L93" s="467">
        <f>VLOOKUP(D:D,'Master Table'!C:O,13,FALSE)</f>
        <v>699.25</v>
      </c>
      <c r="M93" s="657">
        <v>699.25</v>
      </c>
      <c r="N93" s="555">
        <v>776.05</v>
      </c>
      <c r="O93" s="208">
        <v>1104.1199999999999</v>
      </c>
      <c r="P93" s="616">
        <v>623.21</v>
      </c>
    </row>
    <row r="94" spans="1:16" ht="30" customHeight="1" x14ac:dyDescent="0.2">
      <c r="A94" s="291" t="str">
        <f t="shared" si="2"/>
        <v>SHR100 / 1154</v>
      </c>
      <c r="B94" s="89" t="s">
        <v>5409</v>
      </c>
      <c r="C94" s="89" t="s">
        <v>532</v>
      </c>
      <c r="D94" s="318" t="s">
        <v>5407</v>
      </c>
      <c r="E94" s="369" t="str">
        <f>VLOOKUP(D:D,'Master Table'!C:D,2,FALSE)</f>
        <v>1154</v>
      </c>
      <c r="F94" s="798" t="s">
        <v>11266</v>
      </c>
      <c r="G94" s="799" t="s">
        <v>11267</v>
      </c>
      <c r="H94" s="790">
        <v>156.41</v>
      </c>
      <c r="I94" s="790">
        <v>669.60000000000014</v>
      </c>
      <c r="J94" s="790"/>
      <c r="K94" s="312">
        <v>826.0100000000001</v>
      </c>
      <c r="L94" s="467">
        <f>VLOOKUP(D:D,'Master Table'!C:O,13,FALSE)</f>
        <v>1581.1599999999999</v>
      </c>
      <c r="M94" s="657">
        <v>1581.1599999999999</v>
      </c>
      <c r="N94" s="555">
        <v>1454.07</v>
      </c>
      <c r="O94" s="208">
        <v>1773.58</v>
      </c>
      <c r="P94" s="616">
        <v>1971.25</v>
      </c>
    </row>
    <row r="95" spans="1:16" ht="30" customHeight="1" x14ac:dyDescent="0.2">
      <c r="A95" s="291" t="str">
        <f t="shared" si="2"/>
        <v>SHR101 / 1155</v>
      </c>
      <c r="B95" s="877" t="s">
        <v>5412</v>
      </c>
      <c r="C95" s="453" t="s">
        <v>8264</v>
      </c>
      <c r="D95" s="318" t="s">
        <v>5410</v>
      </c>
      <c r="E95" s="369" t="str">
        <f>VLOOKUP(D:D,'Master Table'!C:D,2,FALSE)</f>
        <v>1155</v>
      </c>
      <c r="F95" s="798" t="s">
        <v>11268</v>
      </c>
      <c r="G95" s="799" t="s">
        <v>11269</v>
      </c>
      <c r="H95" s="790">
        <v>0</v>
      </c>
      <c r="I95" s="790">
        <v>1268.03</v>
      </c>
      <c r="J95" s="790"/>
      <c r="K95" s="312">
        <v>1268.03</v>
      </c>
      <c r="L95" s="467">
        <f>VLOOKUP(D:D,'Master Table'!C:O,13,FALSE)</f>
        <v>45</v>
      </c>
      <c r="M95" s="869">
        <v>45</v>
      </c>
      <c r="N95" s="913">
        <v>55</v>
      </c>
      <c r="O95" s="208">
        <v>605.25</v>
      </c>
      <c r="P95" s="616">
        <v>952.74</v>
      </c>
    </row>
    <row r="96" spans="1:16" ht="30" customHeight="1" x14ac:dyDescent="0.2">
      <c r="A96" s="291" t="str">
        <f t="shared" ref="A96" si="5">D96&amp;" / "&amp;E96</f>
        <v>SHR103 / 1157</v>
      </c>
      <c r="B96" s="878"/>
      <c r="C96" s="454" t="s">
        <v>8265</v>
      </c>
      <c r="D96" s="318" t="s">
        <v>5417</v>
      </c>
      <c r="E96" s="369" t="str">
        <f>VLOOKUP(D:D,'Master Table'!C:D,2,FALSE)</f>
        <v>1157</v>
      </c>
      <c r="F96" s="798"/>
      <c r="G96" s="799"/>
      <c r="H96" s="790"/>
      <c r="I96" s="790"/>
      <c r="J96" s="790"/>
      <c r="K96" s="312"/>
      <c r="L96" s="467">
        <f>VLOOKUP(D:D,'Master Table'!C:O,13,FALSE)</f>
        <v>0</v>
      </c>
      <c r="M96" s="870"/>
      <c r="N96" s="914"/>
      <c r="O96" s="208"/>
      <c r="P96" s="616"/>
    </row>
    <row r="97" spans="1:16" ht="30" customHeight="1" x14ac:dyDescent="0.2">
      <c r="A97" s="291" t="str">
        <f t="shared" si="2"/>
        <v>SHR102 / 1156</v>
      </c>
      <c r="B97" s="89" t="s">
        <v>5412</v>
      </c>
      <c r="C97" s="89" t="s">
        <v>3238</v>
      </c>
      <c r="D97" s="318" t="s">
        <v>5413</v>
      </c>
      <c r="E97" s="369" t="str">
        <f>VLOOKUP(D:D,'Master Table'!C:D,2,FALSE)</f>
        <v>1156</v>
      </c>
      <c r="F97" s="798" t="s">
        <v>11270</v>
      </c>
      <c r="G97" s="799" t="s">
        <v>11271</v>
      </c>
      <c r="H97" s="790">
        <v>417.98</v>
      </c>
      <c r="I97" s="790">
        <v>75</v>
      </c>
      <c r="J97" s="790"/>
      <c r="K97" s="312">
        <v>492.98</v>
      </c>
      <c r="L97" s="467">
        <f>VLOOKUP(D:D,'Master Table'!C:O,13,FALSE)</f>
        <v>589.87</v>
      </c>
      <c r="M97" s="657">
        <v>589.87</v>
      </c>
      <c r="N97" s="555">
        <v>45</v>
      </c>
      <c r="O97" s="208">
        <v>50</v>
      </c>
      <c r="P97" s="616">
        <v>60</v>
      </c>
    </row>
    <row r="98" spans="1:16" ht="30" customHeight="1" x14ac:dyDescent="0.2">
      <c r="A98" s="291" t="str">
        <f t="shared" si="2"/>
        <v>SHR104 / 1158</v>
      </c>
      <c r="B98" s="89" t="s">
        <v>5412</v>
      </c>
      <c r="C98" s="89" t="s">
        <v>5256</v>
      </c>
      <c r="D98" s="318" t="s">
        <v>5419</v>
      </c>
      <c r="E98" s="369" t="str">
        <f>VLOOKUP(D:D,'Master Table'!C:D,2,FALSE)</f>
        <v>1158</v>
      </c>
      <c r="F98" s="798" t="s">
        <v>11272</v>
      </c>
      <c r="G98" s="799" t="s">
        <v>11273</v>
      </c>
      <c r="H98" s="790">
        <v>0</v>
      </c>
      <c r="I98" s="790">
        <v>219.4</v>
      </c>
      <c r="J98" s="790"/>
      <c r="K98" s="312">
        <v>219.4</v>
      </c>
      <c r="L98" s="467">
        <f>VLOOKUP(D:D,'Master Table'!C:O,13,FALSE)</f>
        <v>701.87</v>
      </c>
      <c r="M98" s="657">
        <v>701.87</v>
      </c>
      <c r="N98" s="555">
        <v>172</v>
      </c>
      <c r="O98" s="208">
        <v>1483.8099999999997</v>
      </c>
      <c r="P98" s="616">
        <v>1523.31</v>
      </c>
    </row>
    <row r="99" spans="1:16" ht="30" customHeight="1" x14ac:dyDescent="0.2">
      <c r="A99" s="291" t="str">
        <f t="shared" si="2"/>
        <v>SHR105 / 1159</v>
      </c>
      <c r="B99" s="877" t="s">
        <v>5412</v>
      </c>
      <c r="C99" s="453" t="s">
        <v>8267</v>
      </c>
      <c r="D99" s="318" t="s">
        <v>5422</v>
      </c>
      <c r="E99" s="369" t="str">
        <f>VLOOKUP(D:D,'Master Table'!C:D,2,FALSE)</f>
        <v>1159</v>
      </c>
      <c r="F99" s="798" t="s">
        <v>11274</v>
      </c>
      <c r="G99" s="799" t="s">
        <v>11275</v>
      </c>
      <c r="H99" s="790">
        <v>0</v>
      </c>
      <c r="I99" s="790">
        <v>116</v>
      </c>
      <c r="J99" s="790"/>
      <c r="K99" s="312">
        <v>116</v>
      </c>
      <c r="L99" s="467">
        <f>VLOOKUP(D:D,'Master Table'!C:O,13,FALSE)</f>
        <v>125</v>
      </c>
      <c r="M99" s="869">
        <f>L99+L100</f>
        <v>1235.97</v>
      </c>
      <c r="N99" s="913">
        <v>1281.98</v>
      </c>
      <c r="O99" s="208"/>
      <c r="P99" s="616"/>
    </row>
    <row r="100" spans="1:16" ht="30" customHeight="1" x14ac:dyDescent="0.2">
      <c r="A100" s="291" t="str">
        <f t="shared" ref="A100" si="6">D100&amp;" / "&amp;E100</f>
        <v>SHR106 / 1160</v>
      </c>
      <c r="B100" s="878"/>
      <c r="C100" s="454" t="s">
        <v>8266</v>
      </c>
      <c r="D100" s="318" t="s">
        <v>5426</v>
      </c>
      <c r="E100" s="369" t="str">
        <f>VLOOKUP(D:D,'Master Table'!C:D,2,FALSE)</f>
        <v>1160</v>
      </c>
      <c r="F100" s="798"/>
      <c r="G100" s="799"/>
      <c r="H100" s="790"/>
      <c r="I100" s="790">
        <v>80</v>
      </c>
      <c r="J100" s="790"/>
      <c r="K100" s="312">
        <v>80</v>
      </c>
      <c r="L100" s="467">
        <f>VLOOKUP(D:D,'Master Table'!C:O,13,FALSE)</f>
        <v>1110.97</v>
      </c>
      <c r="M100" s="870"/>
      <c r="N100" s="914"/>
      <c r="O100" s="208">
        <v>1928.7999999999997</v>
      </c>
      <c r="P100" s="616">
        <v>1671.6</v>
      </c>
    </row>
    <row r="101" spans="1:16" ht="30" customHeight="1" x14ac:dyDescent="0.2">
      <c r="A101" s="291" t="str">
        <f t="shared" si="2"/>
        <v>SHR107 / 1161</v>
      </c>
      <c r="B101" s="89" t="s">
        <v>5433</v>
      </c>
      <c r="C101" s="89" t="s">
        <v>3774</v>
      </c>
      <c r="D101" s="318" t="s">
        <v>5430</v>
      </c>
      <c r="E101" s="369" t="str">
        <f>VLOOKUP(D:D,'Master Table'!C:D,2,FALSE)</f>
        <v>1161</v>
      </c>
      <c r="F101" s="798" t="s">
        <v>11276</v>
      </c>
      <c r="G101" s="799" t="s">
        <v>11277</v>
      </c>
      <c r="H101" s="790">
        <v>93.509999999999991</v>
      </c>
      <c r="I101" s="790">
        <v>430</v>
      </c>
      <c r="J101" s="790"/>
      <c r="K101" s="312">
        <v>523.51</v>
      </c>
      <c r="L101" s="467">
        <f>VLOOKUP(D:D,'Master Table'!C:O,13,FALSE)</f>
        <v>597.52</v>
      </c>
      <c r="M101" s="657">
        <v>597.52</v>
      </c>
      <c r="N101" s="555">
        <v>599.97</v>
      </c>
      <c r="O101" s="208">
        <v>685.8900000000001</v>
      </c>
      <c r="P101" s="616">
        <v>583.64</v>
      </c>
    </row>
    <row r="102" spans="1:16" ht="30" customHeight="1" x14ac:dyDescent="0.2">
      <c r="A102" s="291" t="str">
        <f t="shared" si="2"/>
        <v>SHR108 / 1162</v>
      </c>
      <c r="B102" s="89" t="s">
        <v>5437</v>
      </c>
      <c r="C102" s="89" t="s">
        <v>5436</v>
      </c>
      <c r="D102" s="318" t="s">
        <v>5434</v>
      </c>
      <c r="E102" s="369" t="str">
        <f>VLOOKUP(D:D,'Master Table'!C:D,2,FALSE)</f>
        <v>1162</v>
      </c>
      <c r="F102" s="798" t="s">
        <v>11278</v>
      </c>
      <c r="G102" s="799" t="s">
        <v>11279</v>
      </c>
      <c r="H102" s="790">
        <v>152.26</v>
      </c>
      <c r="I102" s="790">
        <v>2705</v>
      </c>
      <c r="J102" s="790"/>
      <c r="K102" s="312">
        <v>2857.26</v>
      </c>
      <c r="L102" s="467">
        <f>VLOOKUP(D:D,'Master Table'!C:O,13,FALSE)</f>
        <v>3298.8500000000004</v>
      </c>
      <c r="M102" s="657">
        <v>3298.8500000000004</v>
      </c>
      <c r="N102" s="555">
        <v>3481.73</v>
      </c>
      <c r="O102" s="208">
        <v>3444.1300000000006</v>
      </c>
      <c r="P102" s="616">
        <v>3357.65</v>
      </c>
    </row>
    <row r="103" spans="1:16" ht="30" customHeight="1" x14ac:dyDescent="0.2">
      <c r="A103" s="291" t="str">
        <f t="shared" si="2"/>
        <v>SHR109 / 1163</v>
      </c>
      <c r="B103" s="89" t="s">
        <v>5441</v>
      </c>
      <c r="C103" s="89" t="s">
        <v>1284</v>
      </c>
      <c r="D103" s="318" t="s">
        <v>5439</v>
      </c>
      <c r="E103" s="369" t="str">
        <f>VLOOKUP(D:D,'Master Table'!C:D,2,FALSE)</f>
        <v>1163</v>
      </c>
      <c r="F103" s="798" t="s">
        <v>11280</v>
      </c>
      <c r="G103" s="799" t="s">
        <v>11281</v>
      </c>
      <c r="H103" s="790">
        <v>0</v>
      </c>
      <c r="I103" s="790">
        <v>323</v>
      </c>
      <c r="J103" s="790"/>
      <c r="K103" s="312">
        <v>323</v>
      </c>
      <c r="L103" s="467">
        <f>VLOOKUP(D:D,'Master Table'!C:O,13,FALSE)</f>
        <v>718.38</v>
      </c>
      <c r="M103" s="657">
        <v>718.38</v>
      </c>
      <c r="N103" s="555">
        <v>418.08</v>
      </c>
      <c r="O103" s="208">
        <v>780.56999999999994</v>
      </c>
      <c r="P103" s="616">
        <v>323.78000000000003</v>
      </c>
    </row>
    <row r="104" spans="1:16" ht="30" customHeight="1" x14ac:dyDescent="0.2">
      <c r="A104" s="291" t="str">
        <f t="shared" si="2"/>
        <v>SHR110 / 1164</v>
      </c>
      <c r="B104" s="89" t="s">
        <v>5449</v>
      </c>
      <c r="C104" s="89" t="s">
        <v>2900</v>
      </c>
      <c r="D104" s="318" t="s">
        <v>5446</v>
      </c>
      <c r="E104" s="369" t="str">
        <f>VLOOKUP(D:D,'Master Table'!C:D,2,FALSE)</f>
        <v>1164</v>
      </c>
      <c r="F104" s="798" t="s">
        <v>11282</v>
      </c>
      <c r="G104" s="799" t="s">
        <v>11283</v>
      </c>
      <c r="H104" s="790">
        <v>122.66999999999999</v>
      </c>
      <c r="I104" s="790">
        <v>10</v>
      </c>
      <c r="J104" s="790"/>
      <c r="K104" s="312">
        <v>132.66999999999999</v>
      </c>
      <c r="L104" s="467">
        <f>VLOOKUP(D:D,'Master Table'!C:O,13,FALSE)</f>
        <v>209.15</v>
      </c>
      <c r="M104" s="657">
        <v>209.15</v>
      </c>
      <c r="N104" s="555">
        <v>191.14</v>
      </c>
      <c r="O104" s="208">
        <v>176.05</v>
      </c>
      <c r="P104" s="616">
        <v>84.67</v>
      </c>
    </row>
    <row r="105" spans="1:16" ht="30" customHeight="1" x14ac:dyDescent="0.2">
      <c r="A105" s="291" t="str">
        <f t="shared" si="2"/>
        <v>SHR111 / 1165</v>
      </c>
      <c r="B105" s="89" t="s">
        <v>5453</v>
      </c>
      <c r="C105" s="89" t="s">
        <v>5452</v>
      </c>
      <c r="D105" s="318" t="s">
        <v>5450</v>
      </c>
      <c r="E105" s="369" t="str">
        <f>VLOOKUP(D:D,'Master Table'!C:D,2,FALSE)</f>
        <v>1165</v>
      </c>
      <c r="F105" s="798" t="s">
        <v>11284</v>
      </c>
      <c r="G105" s="799" t="s">
        <v>11285</v>
      </c>
      <c r="H105" s="790">
        <v>108.8</v>
      </c>
      <c r="I105" s="790">
        <v>305</v>
      </c>
      <c r="J105" s="790"/>
      <c r="K105" s="312">
        <v>413.8</v>
      </c>
      <c r="L105" s="467">
        <f>VLOOKUP(D:D,'Master Table'!C:O,13,FALSE)</f>
        <v>600.19000000000005</v>
      </c>
      <c r="M105" s="657">
        <v>600.19000000000005</v>
      </c>
      <c r="N105" s="555">
        <v>668</v>
      </c>
      <c r="O105" s="208">
        <v>1115</v>
      </c>
      <c r="P105" s="616">
        <v>654.5</v>
      </c>
    </row>
    <row r="106" spans="1:16" ht="30" customHeight="1" x14ac:dyDescent="0.2">
      <c r="A106" s="291" t="str">
        <f t="shared" si="2"/>
        <v>SHR112 / 1166</v>
      </c>
      <c r="B106" s="89" t="s">
        <v>5456</v>
      </c>
      <c r="C106" s="89" t="s">
        <v>532</v>
      </c>
      <c r="D106" s="318" t="s">
        <v>5454</v>
      </c>
      <c r="E106" s="369" t="str">
        <f>VLOOKUP(D:D,'Master Table'!C:D,2,FALSE)</f>
        <v>1166</v>
      </c>
      <c r="F106" s="798" t="s">
        <v>11286</v>
      </c>
      <c r="G106" s="799" t="s">
        <v>11287</v>
      </c>
      <c r="H106" s="790">
        <v>295.09000000000003</v>
      </c>
      <c r="I106" s="790">
        <v>635</v>
      </c>
      <c r="J106" s="790"/>
      <c r="K106" s="312">
        <v>930.09</v>
      </c>
      <c r="L106" s="467">
        <f>VLOOKUP(D:D,'Master Table'!C:O,13,FALSE)</f>
        <v>1866.07</v>
      </c>
      <c r="M106" s="657">
        <v>1866.07</v>
      </c>
      <c r="N106" s="555">
        <v>1568.79</v>
      </c>
      <c r="O106" s="208">
        <v>1584.83</v>
      </c>
      <c r="P106" s="616">
        <v>561.19000000000005</v>
      </c>
    </row>
    <row r="107" spans="1:16" ht="30" customHeight="1" x14ac:dyDescent="0.2">
      <c r="A107" s="291" t="str">
        <f t="shared" si="2"/>
        <v>SHR114 / 1167</v>
      </c>
      <c r="B107" s="89" t="s">
        <v>5461</v>
      </c>
      <c r="C107" s="89" t="s">
        <v>7827</v>
      </c>
      <c r="D107" s="318" t="s">
        <v>5458</v>
      </c>
      <c r="E107" s="369" t="str">
        <f>VLOOKUP(D:D,'Master Table'!C:D,2,FALSE)</f>
        <v>1167</v>
      </c>
      <c r="F107" s="798" t="s">
        <v>11288</v>
      </c>
      <c r="G107" s="799" t="s">
        <v>11289</v>
      </c>
      <c r="H107" s="790">
        <v>536.68999999999994</v>
      </c>
      <c r="I107" s="790">
        <v>230</v>
      </c>
      <c r="J107" s="790"/>
      <c r="K107" s="312">
        <v>766.68999999999994</v>
      </c>
      <c r="L107" s="467">
        <f>VLOOKUP(D:D,'Master Table'!C:O,13,FALSE)</f>
        <v>938.56</v>
      </c>
      <c r="M107" s="657">
        <v>938.56</v>
      </c>
      <c r="N107" s="555">
        <v>1102.25</v>
      </c>
      <c r="O107" s="208">
        <v>2015.9300000000003</v>
      </c>
      <c r="P107" s="616">
        <v>1541</v>
      </c>
    </row>
    <row r="108" spans="1:16" ht="30" customHeight="1" x14ac:dyDescent="0.2">
      <c r="A108" s="291" t="str">
        <f t="shared" si="2"/>
        <v>SHR115 / 1168</v>
      </c>
      <c r="B108" s="89" t="s">
        <v>5461</v>
      </c>
      <c r="C108" s="89" t="s">
        <v>3715</v>
      </c>
      <c r="D108" s="318" t="s">
        <v>5462</v>
      </c>
      <c r="E108" s="369" t="str">
        <f>VLOOKUP(D:D,'Master Table'!C:D,2,FALSE)</f>
        <v>1168</v>
      </c>
      <c r="F108" s="798" t="s">
        <v>11290</v>
      </c>
      <c r="G108" s="799" t="s">
        <v>11291</v>
      </c>
      <c r="H108" s="790">
        <v>204.07999999999998</v>
      </c>
      <c r="I108" s="790"/>
      <c r="J108" s="790"/>
      <c r="K108" s="312">
        <v>204.07999999999998</v>
      </c>
      <c r="L108" s="467">
        <f>VLOOKUP(D:D,'Master Table'!C:O,13,FALSE)</f>
        <v>235.64</v>
      </c>
      <c r="M108" s="657">
        <v>235.64</v>
      </c>
      <c r="N108" s="555">
        <v>359.45</v>
      </c>
      <c r="O108" s="208">
        <v>331</v>
      </c>
      <c r="P108" s="616">
        <v>610</v>
      </c>
    </row>
    <row r="109" spans="1:16" ht="30" customHeight="1" x14ac:dyDescent="0.2">
      <c r="A109" s="291" t="str">
        <f t="shared" si="2"/>
        <v>SHR116 / 1169</v>
      </c>
      <c r="B109" s="89" t="s">
        <v>5461</v>
      </c>
      <c r="C109" s="89" t="s">
        <v>7828</v>
      </c>
      <c r="D109" s="318" t="s">
        <v>5465</v>
      </c>
      <c r="E109" s="369" t="str">
        <f>VLOOKUP(D:D,'Master Table'!C:D,2,FALSE)</f>
        <v>1169</v>
      </c>
      <c r="F109" s="798" t="s">
        <v>11292</v>
      </c>
      <c r="G109" s="799" t="s">
        <v>11293</v>
      </c>
      <c r="H109" s="790">
        <v>315.66000000000003</v>
      </c>
      <c r="I109" s="790">
        <v>130</v>
      </c>
      <c r="J109" s="790"/>
      <c r="K109" s="312">
        <v>445.66</v>
      </c>
      <c r="L109" s="467">
        <f>VLOOKUP(D:D,'Master Table'!C:O,13,FALSE)</f>
        <v>1403.45</v>
      </c>
      <c r="M109" s="657">
        <v>1403.45</v>
      </c>
      <c r="N109" s="555">
        <v>2102.1999999999998</v>
      </c>
      <c r="O109" s="208">
        <v>2318</v>
      </c>
      <c r="P109" s="616">
        <v>1466.48</v>
      </c>
    </row>
    <row r="110" spans="1:16" ht="30" customHeight="1" x14ac:dyDescent="0.2">
      <c r="A110" s="291" t="str">
        <f t="shared" si="2"/>
        <v>SHR117 / 1170</v>
      </c>
      <c r="B110" s="89" t="s">
        <v>5461</v>
      </c>
      <c r="C110" s="89" t="s">
        <v>5249</v>
      </c>
      <c r="D110" s="318" t="s">
        <v>5468</v>
      </c>
      <c r="E110" s="369" t="str">
        <f>VLOOKUP(D:D,'Master Table'!C:D,2,FALSE)</f>
        <v>1170</v>
      </c>
      <c r="F110" s="798" t="s">
        <v>11294</v>
      </c>
      <c r="G110" s="799" t="s">
        <v>11295</v>
      </c>
      <c r="H110" s="790">
        <v>425.35</v>
      </c>
      <c r="I110" s="790">
        <v>105</v>
      </c>
      <c r="J110" s="790"/>
      <c r="K110" s="312">
        <v>530.35</v>
      </c>
      <c r="L110" s="467">
        <f>VLOOKUP(D:D,'Master Table'!C:O,13,FALSE)</f>
        <v>851.38</v>
      </c>
      <c r="M110" s="657">
        <v>851.38</v>
      </c>
      <c r="N110" s="555">
        <v>746.35</v>
      </c>
      <c r="O110" s="208">
        <v>914.69</v>
      </c>
      <c r="P110" s="616">
        <v>635.85</v>
      </c>
    </row>
    <row r="111" spans="1:16" ht="30" customHeight="1" x14ac:dyDescent="0.2">
      <c r="A111" s="291" t="str">
        <f t="shared" si="2"/>
        <v>SHR118 / 1171</v>
      </c>
      <c r="B111" s="89" t="s">
        <v>5461</v>
      </c>
      <c r="C111" s="89" t="s">
        <v>7829</v>
      </c>
      <c r="D111" s="318" t="s">
        <v>5471</v>
      </c>
      <c r="E111" s="369" t="str">
        <f>VLOOKUP(D:D,'Master Table'!C:D,2,FALSE)</f>
        <v>1171</v>
      </c>
      <c r="F111" s="798" t="s">
        <v>11296</v>
      </c>
      <c r="G111" s="799" t="s">
        <v>11297</v>
      </c>
      <c r="H111" s="790">
        <v>75</v>
      </c>
      <c r="I111" s="790">
        <v>15</v>
      </c>
      <c r="J111" s="790"/>
      <c r="K111" s="312">
        <v>90</v>
      </c>
      <c r="L111" s="467">
        <f>VLOOKUP(D:D,'Master Table'!C:O,13,FALSE)</f>
        <v>594.42999999999995</v>
      </c>
      <c r="M111" s="657">
        <v>594.42999999999995</v>
      </c>
      <c r="N111" s="555">
        <v>587.65</v>
      </c>
      <c r="O111" s="208">
        <v>626.85</v>
      </c>
      <c r="P111" s="616">
        <v>642.66</v>
      </c>
    </row>
    <row r="112" spans="1:16" ht="30" customHeight="1" x14ac:dyDescent="0.2">
      <c r="A112" s="291" t="str">
        <f t="shared" si="2"/>
        <v>SHR119 / 1172</v>
      </c>
      <c r="B112" s="89" t="s">
        <v>5461</v>
      </c>
      <c r="C112" s="89" t="s">
        <v>1087</v>
      </c>
      <c r="D112" s="318" t="s">
        <v>5474</v>
      </c>
      <c r="E112" s="369" t="str">
        <f>VLOOKUP(D:D,'Master Table'!C:D,2,FALSE)</f>
        <v>1172</v>
      </c>
      <c r="F112" s="798" t="s">
        <v>11298</v>
      </c>
      <c r="G112" s="799" t="s">
        <v>11299</v>
      </c>
      <c r="H112" s="790">
        <v>0</v>
      </c>
      <c r="I112" s="790">
        <v>70</v>
      </c>
      <c r="J112" s="790"/>
      <c r="K112" s="312">
        <v>70</v>
      </c>
      <c r="L112" s="467">
        <f>VLOOKUP(D:D,'Master Table'!C:O,13,FALSE)</f>
        <v>102.51</v>
      </c>
      <c r="M112" s="657">
        <v>102.51</v>
      </c>
      <c r="N112" s="555">
        <v>61.239999999999995</v>
      </c>
      <c r="O112" s="208">
        <v>144</v>
      </c>
      <c r="P112" s="616">
        <v>420</v>
      </c>
    </row>
    <row r="113" spans="1:16" ht="30" hidden="1" customHeight="1" outlineLevel="1" x14ac:dyDescent="0.2">
      <c r="A113" s="291" t="str">
        <f t="shared" si="2"/>
        <v>SHR999 / 1176</v>
      </c>
      <c r="B113" s="89" t="s">
        <v>7831</v>
      </c>
      <c r="C113" s="89" t="s">
        <v>7261</v>
      </c>
      <c r="D113" s="318" t="s">
        <v>5478</v>
      </c>
      <c r="E113" s="369" t="str">
        <f>VLOOKUP(D:D,'Master Table'!C:D,2,FALSE)</f>
        <v>1176</v>
      </c>
      <c r="F113" s="798" t="s">
        <v>11300</v>
      </c>
      <c r="G113" s="799" t="s">
        <v>7261</v>
      </c>
      <c r="H113" s="801">
        <v>57</v>
      </c>
      <c r="I113" s="800">
        <v>5141.6499999999996</v>
      </c>
      <c r="J113" s="800">
        <v>1152.6500000000001</v>
      </c>
      <c r="K113" s="845">
        <v>6351.2999999999993</v>
      </c>
      <c r="L113" s="467">
        <f>VLOOKUP(D:D,'Master Table'!C:O,13,FALSE)</f>
        <v>-50.389999999999986</v>
      </c>
      <c r="M113" s="657">
        <v>-50.389999999999986</v>
      </c>
      <c r="N113" s="555">
        <v>1327.8600000000001</v>
      </c>
      <c r="O113" s="208">
        <v>1337.82</v>
      </c>
      <c r="P113" s="616">
        <v>1489.47</v>
      </c>
    </row>
    <row r="114" spans="1:16" hidden="1" collapsed="1" x14ac:dyDescent="0.2"/>
    <row r="115" spans="1:16" ht="15" hidden="1" x14ac:dyDescent="0.2">
      <c r="C115" s="542" t="s">
        <v>8368</v>
      </c>
      <c r="E115" s="542" t="s">
        <v>8368</v>
      </c>
      <c r="G115" s="478">
        <v>2019</v>
      </c>
      <c r="H115" s="478">
        <v>2018</v>
      </c>
      <c r="I115" s="369">
        <v>2017</v>
      </c>
      <c r="J115" s="556">
        <v>2016</v>
      </c>
    </row>
    <row r="116" spans="1:16" hidden="1" x14ac:dyDescent="0.2">
      <c r="D116" s="475"/>
      <c r="E116" s="357"/>
      <c r="F116" s="357"/>
      <c r="G116" s="486">
        <v>130907.83</v>
      </c>
      <c r="H116" s="486">
        <v>130617.16</v>
      </c>
      <c r="I116" s="19">
        <v>134153.00000000006</v>
      </c>
      <c r="J116" s="556">
        <v>129373.99</v>
      </c>
    </row>
    <row r="117" spans="1:16" ht="13.5" thickBot="1" x14ac:dyDescent="0.25">
      <c r="H117" s="556"/>
      <c r="I117" s="86"/>
    </row>
    <row r="118" spans="1:16" s="74" customFormat="1" ht="83.25" customHeight="1" thickBot="1" x14ac:dyDescent="0.25">
      <c r="A118" s="854" t="s">
        <v>10987</v>
      </c>
      <c r="B118" s="855"/>
      <c r="C118" s="855"/>
      <c r="D118" s="855"/>
      <c r="E118" s="855"/>
      <c r="F118" s="855"/>
      <c r="G118" s="855"/>
      <c r="H118" s="855"/>
      <c r="I118" s="855"/>
      <c r="J118" s="855"/>
      <c r="K118" s="855"/>
      <c r="L118" s="855"/>
      <c r="M118" s="855"/>
      <c r="N118" s="855"/>
      <c r="O118" s="855"/>
    </row>
    <row r="119" spans="1:16" s="74" customFormat="1" ht="15" x14ac:dyDescent="0.2">
      <c r="A119" s="718"/>
      <c r="B119" s="718"/>
      <c r="C119" s="718"/>
      <c r="K119" s="283"/>
      <c r="M119" s="844"/>
    </row>
    <row r="120" spans="1:16" s="74" customFormat="1" ht="45" x14ac:dyDescent="0.2">
      <c r="A120" s="763" t="s">
        <v>7422</v>
      </c>
      <c r="B120" s="764" t="s">
        <v>11007</v>
      </c>
      <c r="C120" s="715"/>
      <c r="K120" s="283"/>
      <c r="M120" s="844"/>
    </row>
    <row r="121" spans="1:16" s="74" customFormat="1" ht="75" x14ac:dyDescent="0.2">
      <c r="A121" s="763" t="s">
        <v>10990</v>
      </c>
      <c r="B121" s="764" t="s">
        <v>11008</v>
      </c>
      <c r="C121" s="715"/>
      <c r="K121" s="283"/>
      <c r="M121" s="844"/>
    </row>
    <row r="122" spans="1:16" s="74" customFormat="1" ht="75" x14ac:dyDescent="0.2">
      <c r="A122" s="763" t="s">
        <v>10991</v>
      </c>
      <c r="B122" s="764" t="s">
        <v>11009</v>
      </c>
      <c r="C122" s="715"/>
      <c r="K122" s="283"/>
      <c r="M122" s="844"/>
    </row>
    <row r="123" spans="1:16" ht="30" customHeight="1" x14ac:dyDescent="0.2">
      <c r="D123" s="86"/>
      <c r="E123" s="86"/>
      <c r="F123" s="86"/>
      <c r="G123" s="86"/>
      <c r="H123" s="86"/>
      <c r="I123" s="86"/>
    </row>
    <row r="124" spans="1:16" x14ac:dyDescent="0.2">
      <c r="D124" s="86"/>
      <c r="E124" s="86"/>
      <c r="F124" s="86"/>
      <c r="G124" s="86"/>
      <c r="H124" s="86"/>
      <c r="I124" s="86"/>
    </row>
    <row r="125" spans="1:16" x14ac:dyDescent="0.2">
      <c r="D125" s="86"/>
      <c r="E125" s="86"/>
      <c r="F125" s="86"/>
      <c r="G125" s="86"/>
      <c r="H125" s="86"/>
      <c r="I125" s="86"/>
    </row>
  </sheetData>
  <mergeCells count="16">
    <mergeCell ref="B73:B74"/>
    <mergeCell ref="B82:B83"/>
    <mergeCell ref="B95:B96"/>
    <mergeCell ref="B99:B100"/>
    <mergeCell ref="B37:B38"/>
    <mergeCell ref="N37:N38"/>
    <mergeCell ref="M37:M38"/>
    <mergeCell ref="N73:N74"/>
    <mergeCell ref="M73:M74"/>
    <mergeCell ref="N82:N83"/>
    <mergeCell ref="M82:M83"/>
    <mergeCell ref="N95:N96"/>
    <mergeCell ref="M95:M96"/>
    <mergeCell ref="N99:N100"/>
    <mergeCell ref="M99:M100"/>
    <mergeCell ref="A118:O118"/>
  </mergeCells>
  <conditionalFormatting sqref="E3:E37 E75:E82 E84:E95 E97:E99 E101:E113 E39:E56 F4:G56 E58:E73 F113:K113 F58:G112">
    <cfRule type="cellIs" dxfId="9" priority="6" stopIfTrue="1" operator="equal">
      <formula>0</formula>
    </cfRule>
  </conditionalFormatting>
  <conditionalFormatting sqref="E38">
    <cfRule type="cellIs" dxfId="8" priority="5" stopIfTrue="1" operator="equal">
      <formula>0</formula>
    </cfRule>
  </conditionalFormatting>
  <conditionalFormatting sqref="E74">
    <cfRule type="cellIs" dxfId="7" priority="4" stopIfTrue="1" operator="equal">
      <formula>0</formula>
    </cfRule>
  </conditionalFormatting>
  <conditionalFormatting sqref="E83">
    <cfRule type="cellIs" dxfId="6" priority="3" stopIfTrue="1" operator="equal">
      <formula>0</formula>
    </cfRule>
  </conditionalFormatting>
  <conditionalFormatting sqref="E96">
    <cfRule type="cellIs" dxfId="5" priority="2" stopIfTrue="1" operator="equal">
      <formula>0</formula>
    </cfRule>
  </conditionalFormatting>
  <conditionalFormatting sqref="E100">
    <cfRule type="cellIs" dxfId="4" priority="1" stopIfTrue="1" operator="equal">
      <formula>0</formula>
    </cfRule>
  </conditionalFormatting>
  <pageMargins left="0.23622047244094491" right="0.23622047244094491" top="0.39370078740157483" bottom="0.39370078740157483" header="0.31496062992125984" footer="0.31496062992125984"/>
  <pageSetup paperSize="9" scale="71" fitToHeight="0" orientation="portrait" r:id="rId1"/>
  <headerFooter>
    <oddFooter>&amp;RPage &amp;P / &amp;N</oddFooter>
  </headerFooter>
  <rowBreaks count="1" manualBreakCount="1">
    <brk id="36" max="6"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9" tint="-0.249977111117893"/>
    <pageSetUpPr fitToPage="1"/>
  </sheetPr>
  <dimension ref="A1:S215"/>
  <sheetViews>
    <sheetView zoomScaleNormal="100" workbookViewId="0">
      <pane xSplit="2" ySplit="2" topLeftCell="C3" activePane="bottomRight" state="frozen"/>
      <selection pane="topRight" activeCell="C1" sqref="C1"/>
      <selection pane="bottomLeft" activeCell="A3" sqref="A3"/>
      <selection pane="bottomRight" activeCell="D1" sqref="D1:J1048576"/>
    </sheetView>
  </sheetViews>
  <sheetFormatPr defaultRowHeight="12.75" outlineLevelCol="1" x14ac:dyDescent="0.2"/>
  <cols>
    <col min="1" max="1" width="23.28515625" style="86" customWidth="1"/>
    <col min="2" max="2" width="35" style="86" customWidth="1"/>
    <col min="3" max="3" width="51.7109375" style="86" customWidth="1"/>
    <col min="4" max="4" width="27.28515625" style="430" hidden="1" customWidth="1" outlineLevel="1"/>
    <col min="5" max="5" width="30.140625" style="354" hidden="1" customWidth="1" outlineLevel="1"/>
    <col min="6" max="6" width="18.42578125" style="354" hidden="1" customWidth="1" outlineLevel="1"/>
    <col min="7" max="7" width="18.42578125" style="354" hidden="1" customWidth="1" collapsed="1"/>
    <col min="8" max="8" width="15.5703125" style="477" hidden="1" customWidth="1"/>
    <col min="9" max="9" width="15.5703125" style="98" hidden="1" customWidth="1"/>
    <col min="10" max="10" width="16.42578125" style="86" hidden="1" customWidth="1"/>
    <col min="11" max="11" width="16.85546875" style="86" customWidth="1"/>
    <col min="12" max="12" width="16.85546875" style="86" bestFit="1" customWidth="1"/>
    <col min="13" max="13" width="20" style="86" bestFit="1" customWidth="1"/>
    <col min="14" max="14" width="18.5703125" style="354" bestFit="1" customWidth="1"/>
    <col min="15" max="15" width="0" style="86" hidden="1" customWidth="1"/>
    <col min="16" max="17" width="12.85546875" style="86" bestFit="1" customWidth="1"/>
    <col min="18" max="18" width="14.28515625" style="86" bestFit="1" customWidth="1"/>
    <col min="19" max="19" width="12.85546875" style="86" bestFit="1" customWidth="1"/>
    <col min="20" max="258" width="9.140625" style="86"/>
    <col min="259" max="259" width="15" style="86" bestFit="1" customWidth="1"/>
    <col min="260" max="260" width="35" style="86" customWidth="1"/>
    <col min="261" max="261" width="43.42578125" style="86" customWidth="1"/>
    <col min="262" max="262" width="27.28515625" style="86" customWidth="1"/>
    <col min="263" max="263" width="30.140625" style="86" customWidth="1"/>
    <col min="264" max="265" width="15.5703125" style="86" bestFit="1" customWidth="1"/>
    <col min="266" max="266" width="15" style="86" customWidth="1"/>
    <col min="267" max="514" width="9.140625" style="86"/>
    <col min="515" max="515" width="15" style="86" bestFit="1" customWidth="1"/>
    <col min="516" max="516" width="35" style="86" customWidth="1"/>
    <col min="517" max="517" width="43.42578125" style="86" customWidth="1"/>
    <col min="518" max="518" width="27.28515625" style="86" customWidth="1"/>
    <col min="519" max="519" width="30.140625" style="86" customWidth="1"/>
    <col min="520" max="521" width="15.5703125" style="86" bestFit="1" customWidth="1"/>
    <col min="522" max="522" width="15" style="86" customWidth="1"/>
    <col min="523" max="770" width="9.140625" style="86"/>
    <col min="771" max="771" width="15" style="86" bestFit="1" customWidth="1"/>
    <col min="772" max="772" width="35" style="86" customWidth="1"/>
    <col min="773" max="773" width="43.42578125" style="86" customWidth="1"/>
    <col min="774" max="774" width="27.28515625" style="86" customWidth="1"/>
    <col min="775" max="775" width="30.140625" style="86" customWidth="1"/>
    <col min="776" max="777" width="15.5703125" style="86" bestFit="1" customWidth="1"/>
    <col min="778" max="778" width="15" style="86" customWidth="1"/>
    <col min="779" max="1026" width="9.140625" style="86"/>
    <col min="1027" max="1027" width="15" style="86" bestFit="1" customWidth="1"/>
    <col min="1028" max="1028" width="35" style="86" customWidth="1"/>
    <col min="1029" max="1029" width="43.42578125" style="86" customWidth="1"/>
    <col min="1030" max="1030" width="27.28515625" style="86" customWidth="1"/>
    <col min="1031" max="1031" width="30.140625" style="86" customWidth="1"/>
    <col min="1032" max="1033" width="15.5703125" style="86" bestFit="1" customWidth="1"/>
    <col min="1034" max="1034" width="15" style="86" customWidth="1"/>
    <col min="1035" max="1282" width="9.140625" style="86"/>
    <col min="1283" max="1283" width="15" style="86" bestFit="1" customWidth="1"/>
    <col min="1284" max="1284" width="35" style="86" customWidth="1"/>
    <col min="1285" max="1285" width="43.42578125" style="86" customWidth="1"/>
    <col min="1286" max="1286" width="27.28515625" style="86" customWidth="1"/>
    <col min="1287" max="1287" width="30.140625" style="86" customWidth="1"/>
    <col min="1288" max="1289" width="15.5703125" style="86" bestFit="1" customWidth="1"/>
    <col min="1290" max="1290" width="15" style="86" customWidth="1"/>
    <col min="1291" max="1538" width="9.140625" style="86"/>
    <col min="1539" max="1539" width="15" style="86" bestFit="1" customWidth="1"/>
    <col min="1540" max="1540" width="35" style="86" customWidth="1"/>
    <col min="1541" max="1541" width="43.42578125" style="86" customWidth="1"/>
    <col min="1542" max="1542" width="27.28515625" style="86" customWidth="1"/>
    <col min="1543" max="1543" width="30.140625" style="86" customWidth="1"/>
    <col min="1544" max="1545" width="15.5703125" style="86" bestFit="1" customWidth="1"/>
    <col min="1546" max="1546" width="15" style="86" customWidth="1"/>
    <col min="1547" max="1794" width="9.140625" style="86"/>
    <col min="1795" max="1795" width="15" style="86" bestFit="1" customWidth="1"/>
    <col min="1796" max="1796" width="35" style="86" customWidth="1"/>
    <col min="1797" max="1797" width="43.42578125" style="86" customWidth="1"/>
    <col min="1798" max="1798" width="27.28515625" style="86" customWidth="1"/>
    <col min="1799" max="1799" width="30.140625" style="86" customWidth="1"/>
    <col min="1800" max="1801" width="15.5703125" style="86" bestFit="1" customWidth="1"/>
    <col min="1802" max="1802" width="15" style="86" customWidth="1"/>
    <col min="1803" max="2050" width="9.140625" style="86"/>
    <col min="2051" max="2051" width="15" style="86" bestFit="1" customWidth="1"/>
    <col min="2052" max="2052" width="35" style="86" customWidth="1"/>
    <col min="2053" max="2053" width="43.42578125" style="86" customWidth="1"/>
    <col min="2054" max="2054" width="27.28515625" style="86" customWidth="1"/>
    <col min="2055" max="2055" width="30.140625" style="86" customWidth="1"/>
    <col min="2056" max="2057" width="15.5703125" style="86" bestFit="1" customWidth="1"/>
    <col min="2058" max="2058" width="15" style="86" customWidth="1"/>
    <col min="2059" max="2306" width="9.140625" style="86"/>
    <col min="2307" max="2307" width="15" style="86" bestFit="1" customWidth="1"/>
    <col min="2308" max="2308" width="35" style="86" customWidth="1"/>
    <col min="2309" max="2309" width="43.42578125" style="86" customWidth="1"/>
    <col min="2310" max="2310" width="27.28515625" style="86" customWidth="1"/>
    <col min="2311" max="2311" width="30.140625" style="86" customWidth="1"/>
    <col min="2312" max="2313" width="15.5703125" style="86" bestFit="1" customWidth="1"/>
    <col min="2314" max="2314" width="15" style="86" customWidth="1"/>
    <col min="2315" max="2562" width="9.140625" style="86"/>
    <col min="2563" max="2563" width="15" style="86" bestFit="1" customWidth="1"/>
    <col min="2564" max="2564" width="35" style="86" customWidth="1"/>
    <col min="2565" max="2565" width="43.42578125" style="86" customWidth="1"/>
    <col min="2566" max="2566" width="27.28515625" style="86" customWidth="1"/>
    <col min="2567" max="2567" width="30.140625" style="86" customWidth="1"/>
    <col min="2568" max="2569" width="15.5703125" style="86" bestFit="1" customWidth="1"/>
    <col min="2570" max="2570" width="15" style="86" customWidth="1"/>
    <col min="2571" max="2818" width="9.140625" style="86"/>
    <col min="2819" max="2819" width="15" style="86" bestFit="1" customWidth="1"/>
    <col min="2820" max="2820" width="35" style="86" customWidth="1"/>
    <col min="2821" max="2821" width="43.42578125" style="86" customWidth="1"/>
    <col min="2822" max="2822" width="27.28515625" style="86" customWidth="1"/>
    <col min="2823" max="2823" width="30.140625" style="86" customWidth="1"/>
    <col min="2824" max="2825" width="15.5703125" style="86" bestFit="1" customWidth="1"/>
    <col min="2826" max="2826" width="15" style="86" customWidth="1"/>
    <col min="2827" max="3074" width="9.140625" style="86"/>
    <col min="3075" max="3075" width="15" style="86" bestFit="1" customWidth="1"/>
    <col min="3076" max="3076" width="35" style="86" customWidth="1"/>
    <col min="3077" max="3077" width="43.42578125" style="86" customWidth="1"/>
    <col min="3078" max="3078" width="27.28515625" style="86" customWidth="1"/>
    <col min="3079" max="3079" width="30.140625" style="86" customWidth="1"/>
    <col min="3080" max="3081" width="15.5703125" style="86" bestFit="1" customWidth="1"/>
    <col min="3082" max="3082" width="15" style="86" customWidth="1"/>
    <col min="3083" max="3330" width="9.140625" style="86"/>
    <col min="3331" max="3331" width="15" style="86" bestFit="1" customWidth="1"/>
    <col min="3332" max="3332" width="35" style="86" customWidth="1"/>
    <col min="3333" max="3333" width="43.42578125" style="86" customWidth="1"/>
    <col min="3334" max="3334" width="27.28515625" style="86" customWidth="1"/>
    <col min="3335" max="3335" width="30.140625" style="86" customWidth="1"/>
    <col min="3336" max="3337" width="15.5703125" style="86" bestFit="1" customWidth="1"/>
    <col min="3338" max="3338" width="15" style="86" customWidth="1"/>
    <col min="3339" max="3586" width="9.140625" style="86"/>
    <col min="3587" max="3587" width="15" style="86" bestFit="1" customWidth="1"/>
    <col min="3588" max="3588" width="35" style="86" customWidth="1"/>
    <col min="3589" max="3589" width="43.42578125" style="86" customWidth="1"/>
    <col min="3590" max="3590" width="27.28515625" style="86" customWidth="1"/>
    <col min="3591" max="3591" width="30.140625" style="86" customWidth="1"/>
    <col min="3592" max="3593" width="15.5703125" style="86" bestFit="1" customWidth="1"/>
    <col min="3594" max="3594" width="15" style="86" customWidth="1"/>
    <col min="3595" max="3842" width="9.140625" style="86"/>
    <col min="3843" max="3843" width="15" style="86" bestFit="1" customWidth="1"/>
    <col min="3844" max="3844" width="35" style="86" customWidth="1"/>
    <col min="3845" max="3845" width="43.42578125" style="86" customWidth="1"/>
    <col min="3846" max="3846" width="27.28515625" style="86" customWidth="1"/>
    <col min="3847" max="3847" width="30.140625" style="86" customWidth="1"/>
    <col min="3848" max="3849" width="15.5703125" style="86" bestFit="1" customWidth="1"/>
    <col min="3850" max="3850" width="15" style="86" customWidth="1"/>
    <col min="3851" max="4098" width="9.140625" style="86"/>
    <col min="4099" max="4099" width="15" style="86" bestFit="1" customWidth="1"/>
    <col min="4100" max="4100" width="35" style="86" customWidth="1"/>
    <col min="4101" max="4101" width="43.42578125" style="86" customWidth="1"/>
    <col min="4102" max="4102" width="27.28515625" style="86" customWidth="1"/>
    <col min="4103" max="4103" width="30.140625" style="86" customWidth="1"/>
    <col min="4104" max="4105" width="15.5703125" style="86" bestFit="1" customWidth="1"/>
    <col min="4106" max="4106" width="15" style="86" customWidth="1"/>
    <col min="4107" max="4354" width="9.140625" style="86"/>
    <col min="4355" max="4355" width="15" style="86" bestFit="1" customWidth="1"/>
    <col min="4356" max="4356" width="35" style="86" customWidth="1"/>
    <col min="4357" max="4357" width="43.42578125" style="86" customWidth="1"/>
    <col min="4358" max="4358" width="27.28515625" style="86" customWidth="1"/>
    <col min="4359" max="4359" width="30.140625" style="86" customWidth="1"/>
    <col min="4360" max="4361" width="15.5703125" style="86" bestFit="1" customWidth="1"/>
    <col min="4362" max="4362" width="15" style="86" customWidth="1"/>
    <col min="4363" max="4610" width="9.140625" style="86"/>
    <col min="4611" max="4611" width="15" style="86" bestFit="1" customWidth="1"/>
    <col min="4612" max="4612" width="35" style="86" customWidth="1"/>
    <col min="4613" max="4613" width="43.42578125" style="86" customWidth="1"/>
    <col min="4614" max="4614" width="27.28515625" style="86" customWidth="1"/>
    <col min="4615" max="4615" width="30.140625" style="86" customWidth="1"/>
    <col min="4616" max="4617" width="15.5703125" style="86" bestFit="1" customWidth="1"/>
    <col min="4618" max="4618" width="15" style="86" customWidth="1"/>
    <col min="4619" max="4866" width="9.140625" style="86"/>
    <col min="4867" max="4867" width="15" style="86" bestFit="1" customWidth="1"/>
    <col min="4868" max="4868" width="35" style="86" customWidth="1"/>
    <col min="4869" max="4869" width="43.42578125" style="86" customWidth="1"/>
    <col min="4870" max="4870" width="27.28515625" style="86" customWidth="1"/>
    <col min="4871" max="4871" width="30.140625" style="86" customWidth="1"/>
    <col min="4872" max="4873" width="15.5703125" style="86" bestFit="1" customWidth="1"/>
    <col min="4874" max="4874" width="15" style="86" customWidth="1"/>
    <col min="4875" max="5122" width="9.140625" style="86"/>
    <col min="5123" max="5123" width="15" style="86" bestFit="1" customWidth="1"/>
    <col min="5124" max="5124" width="35" style="86" customWidth="1"/>
    <col min="5125" max="5125" width="43.42578125" style="86" customWidth="1"/>
    <col min="5126" max="5126" width="27.28515625" style="86" customWidth="1"/>
    <col min="5127" max="5127" width="30.140625" style="86" customWidth="1"/>
    <col min="5128" max="5129" width="15.5703125" style="86" bestFit="1" customWidth="1"/>
    <col min="5130" max="5130" width="15" style="86" customWidth="1"/>
    <col min="5131" max="5378" width="9.140625" style="86"/>
    <col min="5379" max="5379" width="15" style="86" bestFit="1" customWidth="1"/>
    <col min="5380" max="5380" width="35" style="86" customWidth="1"/>
    <col min="5381" max="5381" width="43.42578125" style="86" customWidth="1"/>
    <col min="5382" max="5382" width="27.28515625" style="86" customWidth="1"/>
    <col min="5383" max="5383" width="30.140625" style="86" customWidth="1"/>
    <col min="5384" max="5385" width="15.5703125" style="86" bestFit="1" customWidth="1"/>
    <col min="5386" max="5386" width="15" style="86" customWidth="1"/>
    <col min="5387" max="5634" width="9.140625" style="86"/>
    <col min="5635" max="5635" width="15" style="86" bestFit="1" customWidth="1"/>
    <col min="5636" max="5636" width="35" style="86" customWidth="1"/>
    <col min="5637" max="5637" width="43.42578125" style="86" customWidth="1"/>
    <col min="5638" max="5638" width="27.28515625" style="86" customWidth="1"/>
    <col min="5639" max="5639" width="30.140625" style="86" customWidth="1"/>
    <col min="5640" max="5641" width="15.5703125" style="86" bestFit="1" customWidth="1"/>
    <col min="5642" max="5642" width="15" style="86" customWidth="1"/>
    <col min="5643" max="5890" width="9.140625" style="86"/>
    <col min="5891" max="5891" width="15" style="86" bestFit="1" customWidth="1"/>
    <col min="5892" max="5892" width="35" style="86" customWidth="1"/>
    <col min="5893" max="5893" width="43.42578125" style="86" customWidth="1"/>
    <col min="5894" max="5894" width="27.28515625" style="86" customWidth="1"/>
    <col min="5895" max="5895" width="30.140625" style="86" customWidth="1"/>
    <col min="5896" max="5897" width="15.5703125" style="86" bestFit="1" customWidth="1"/>
    <col min="5898" max="5898" width="15" style="86" customWidth="1"/>
    <col min="5899" max="6146" width="9.140625" style="86"/>
    <col min="6147" max="6147" width="15" style="86" bestFit="1" customWidth="1"/>
    <col min="6148" max="6148" width="35" style="86" customWidth="1"/>
    <col min="6149" max="6149" width="43.42578125" style="86" customWidth="1"/>
    <col min="6150" max="6150" width="27.28515625" style="86" customWidth="1"/>
    <col min="6151" max="6151" width="30.140625" style="86" customWidth="1"/>
    <col min="6152" max="6153" width="15.5703125" style="86" bestFit="1" customWidth="1"/>
    <col min="6154" max="6154" width="15" style="86" customWidth="1"/>
    <col min="6155" max="6402" width="9.140625" style="86"/>
    <col min="6403" max="6403" width="15" style="86" bestFit="1" customWidth="1"/>
    <col min="6404" max="6404" width="35" style="86" customWidth="1"/>
    <col min="6405" max="6405" width="43.42578125" style="86" customWidth="1"/>
    <col min="6406" max="6406" width="27.28515625" style="86" customWidth="1"/>
    <col min="6407" max="6407" width="30.140625" style="86" customWidth="1"/>
    <col min="6408" max="6409" width="15.5703125" style="86" bestFit="1" customWidth="1"/>
    <col min="6410" max="6410" width="15" style="86" customWidth="1"/>
    <col min="6411" max="6658" width="9.140625" style="86"/>
    <col min="6659" max="6659" width="15" style="86" bestFit="1" customWidth="1"/>
    <col min="6660" max="6660" width="35" style="86" customWidth="1"/>
    <col min="6661" max="6661" width="43.42578125" style="86" customWidth="1"/>
    <col min="6662" max="6662" width="27.28515625" style="86" customWidth="1"/>
    <col min="6663" max="6663" width="30.140625" style="86" customWidth="1"/>
    <col min="6664" max="6665" width="15.5703125" style="86" bestFit="1" customWidth="1"/>
    <col min="6666" max="6666" width="15" style="86" customWidth="1"/>
    <col min="6667" max="6914" width="9.140625" style="86"/>
    <col min="6915" max="6915" width="15" style="86" bestFit="1" customWidth="1"/>
    <col min="6916" max="6916" width="35" style="86" customWidth="1"/>
    <col min="6917" max="6917" width="43.42578125" style="86" customWidth="1"/>
    <col min="6918" max="6918" width="27.28515625" style="86" customWidth="1"/>
    <col min="6919" max="6919" width="30.140625" style="86" customWidth="1"/>
    <col min="6920" max="6921" width="15.5703125" style="86" bestFit="1" customWidth="1"/>
    <col min="6922" max="6922" width="15" style="86" customWidth="1"/>
    <col min="6923" max="7170" width="9.140625" style="86"/>
    <col min="7171" max="7171" width="15" style="86" bestFit="1" customWidth="1"/>
    <col min="7172" max="7172" width="35" style="86" customWidth="1"/>
    <col min="7173" max="7173" width="43.42578125" style="86" customWidth="1"/>
    <col min="7174" max="7174" width="27.28515625" style="86" customWidth="1"/>
    <col min="7175" max="7175" width="30.140625" style="86" customWidth="1"/>
    <col min="7176" max="7177" width="15.5703125" style="86" bestFit="1" customWidth="1"/>
    <col min="7178" max="7178" width="15" style="86" customWidth="1"/>
    <col min="7179" max="7426" width="9.140625" style="86"/>
    <col min="7427" max="7427" width="15" style="86" bestFit="1" customWidth="1"/>
    <col min="7428" max="7428" width="35" style="86" customWidth="1"/>
    <col min="7429" max="7429" width="43.42578125" style="86" customWidth="1"/>
    <col min="7430" max="7430" width="27.28515625" style="86" customWidth="1"/>
    <col min="7431" max="7431" width="30.140625" style="86" customWidth="1"/>
    <col min="7432" max="7433" width="15.5703125" style="86" bestFit="1" customWidth="1"/>
    <col min="7434" max="7434" width="15" style="86" customWidth="1"/>
    <col min="7435" max="7682" width="9.140625" style="86"/>
    <col min="7683" max="7683" width="15" style="86" bestFit="1" customWidth="1"/>
    <col min="7684" max="7684" width="35" style="86" customWidth="1"/>
    <col min="7685" max="7685" width="43.42578125" style="86" customWidth="1"/>
    <col min="7686" max="7686" width="27.28515625" style="86" customWidth="1"/>
    <col min="7687" max="7687" width="30.140625" style="86" customWidth="1"/>
    <col min="7688" max="7689" width="15.5703125" style="86" bestFit="1" customWidth="1"/>
    <col min="7690" max="7690" width="15" style="86" customWidth="1"/>
    <col min="7691" max="7938" width="9.140625" style="86"/>
    <col min="7939" max="7939" width="15" style="86" bestFit="1" customWidth="1"/>
    <col min="7940" max="7940" width="35" style="86" customWidth="1"/>
    <col min="7941" max="7941" width="43.42578125" style="86" customWidth="1"/>
    <col min="7942" max="7942" width="27.28515625" style="86" customWidth="1"/>
    <col min="7943" max="7943" width="30.140625" style="86" customWidth="1"/>
    <col min="7944" max="7945" width="15.5703125" style="86" bestFit="1" customWidth="1"/>
    <col min="7946" max="7946" width="15" style="86" customWidth="1"/>
    <col min="7947" max="8194" width="9.140625" style="86"/>
    <col min="8195" max="8195" width="15" style="86" bestFit="1" customWidth="1"/>
    <col min="8196" max="8196" width="35" style="86" customWidth="1"/>
    <col min="8197" max="8197" width="43.42578125" style="86" customWidth="1"/>
    <col min="8198" max="8198" width="27.28515625" style="86" customWidth="1"/>
    <col min="8199" max="8199" width="30.140625" style="86" customWidth="1"/>
    <col min="8200" max="8201" width="15.5703125" style="86" bestFit="1" customWidth="1"/>
    <col min="8202" max="8202" width="15" style="86" customWidth="1"/>
    <col min="8203" max="8450" width="9.140625" style="86"/>
    <col min="8451" max="8451" width="15" style="86" bestFit="1" customWidth="1"/>
    <col min="8452" max="8452" width="35" style="86" customWidth="1"/>
    <col min="8453" max="8453" width="43.42578125" style="86" customWidth="1"/>
    <col min="8454" max="8454" width="27.28515625" style="86" customWidth="1"/>
    <col min="8455" max="8455" width="30.140625" style="86" customWidth="1"/>
    <col min="8456" max="8457" width="15.5703125" style="86" bestFit="1" customWidth="1"/>
    <col min="8458" max="8458" width="15" style="86" customWidth="1"/>
    <col min="8459" max="8706" width="9.140625" style="86"/>
    <col min="8707" max="8707" width="15" style="86" bestFit="1" customWidth="1"/>
    <col min="8708" max="8708" width="35" style="86" customWidth="1"/>
    <col min="8709" max="8709" width="43.42578125" style="86" customWidth="1"/>
    <col min="8710" max="8710" width="27.28515625" style="86" customWidth="1"/>
    <col min="8711" max="8711" width="30.140625" style="86" customWidth="1"/>
    <col min="8712" max="8713" width="15.5703125" style="86" bestFit="1" customWidth="1"/>
    <col min="8714" max="8714" width="15" style="86" customWidth="1"/>
    <col min="8715" max="8962" width="9.140625" style="86"/>
    <col min="8963" max="8963" width="15" style="86" bestFit="1" customWidth="1"/>
    <col min="8964" max="8964" width="35" style="86" customWidth="1"/>
    <col min="8965" max="8965" width="43.42578125" style="86" customWidth="1"/>
    <col min="8966" max="8966" width="27.28515625" style="86" customWidth="1"/>
    <col min="8967" max="8967" width="30.140625" style="86" customWidth="1"/>
    <col min="8968" max="8969" width="15.5703125" style="86" bestFit="1" customWidth="1"/>
    <col min="8970" max="8970" width="15" style="86" customWidth="1"/>
    <col min="8971" max="9218" width="9.140625" style="86"/>
    <col min="9219" max="9219" width="15" style="86" bestFit="1" customWidth="1"/>
    <col min="9220" max="9220" width="35" style="86" customWidth="1"/>
    <col min="9221" max="9221" width="43.42578125" style="86" customWidth="1"/>
    <col min="9222" max="9222" width="27.28515625" style="86" customWidth="1"/>
    <col min="9223" max="9223" width="30.140625" style="86" customWidth="1"/>
    <col min="9224" max="9225" width="15.5703125" style="86" bestFit="1" customWidth="1"/>
    <col min="9226" max="9226" width="15" style="86" customWidth="1"/>
    <col min="9227" max="9474" width="9.140625" style="86"/>
    <col min="9475" max="9475" width="15" style="86" bestFit="1" customWidth="1"/>
    <col min="9476" max="9476" width="35" style="86" customWidth="1"/>
    <col min="9477" max="9477" width="43.42578125" style="86" customWidth="1"/>
    <col min="9478" max="9478" width="27.28515625" style="86" customWidth="1"/>
    <col min="9479" max="9479" width="30.140625" style="86" customWidth="1"/>
    <col min="9480" max="9481" width="15.5703125" style="86" bestFit="1" customWidth="1"/>
    <col min="9482" max="9482" width="15" style="86" customWidth="1"/>
    <col min="9483" max="9730" width="9.140625" style="86"/>
    <col min="9731" max="9731" width="15" style="86" bestFit="1" customWidth="1"/>
    <col min="9732" max="9732" width="35" style="86" customWidth="1"/>
    <col min="9733" max="9733" width="43.42578125" style="86" customWidth="1"/>
    <col min="9734" max="9734" width="27.28515625" style="86" customWidth="1"/>
    <col min="9735" max="9735" width="30.140625" style="86" customWidth="1"/>
    <col min="9736" max="9737" width="15.5703125" style="86" bestFit="1" customWidth="1"/>
    <col min="9738" max="9738" width="15" style="86" customWidth="1"/>
    <col min="9739" max="9986" width="9.140625" style="86"/>
    <col min="9987" max="9987" width="15" style="86" bestFit="1" customWidth="1"/>
    <col min="9988" max="9988" width="35" style="86" customWidth="1"/>
    <col min="9989" max="9989" width="43.42578125" style="86" customWidth="1"/>
    <col min="9990" max="9990" width="27.28515625" style="86" customWidth="1"/>
    <col min="9991" max="9991" width="30.140625" style="86" customWidth="1"/>
    <col min="9992" max="9993" width="15.5703125" style="86" bestFit="1" customWidth="1"/>
    <col min="9994" max="9994" width="15" style="86" customWidth="1"/>
    <col min="9995" max="10242" width="9.140625" style="86"/>
    <col min="10243" max="10243" width="15" style="86" bestFit="1" customWidth="1"/>
    <col min="10244" max="10244" width="35" style="86" customWidth="1"/>
    <col min="10245" max="10245" width="43.42578125" style="86" customWidth="1"/>
    <col min="10246" max="10246" width="27.28515625" style="86" customWidth="1"/>
    <col min="10247" max="10247" width="30.140625" style="86" customWidth="1"/>
    <col min="10248" max="10249" width="15.5703125" style="86" bestFit="1" customWidth="1"/>
    <col min="10250" max="10250" width="15" style="86" customWidth="1"/>
    <col min="10251" max="10498" width="9.140625" style="86"/>
    <col min="10499" max="10499" width="15" style="86" bestFit="1" customWidth="1"/>
    <col min="10500" max="10500" width="35" style="86" customWidth="1"/>
    <col min="10501" max="10501" width="43.42578125" style="86" customWidth="1"/>
    <col min="10502" max="10502" width="27.28515625" style="86" customWidth="1"/>
    <col min="10503" max="10503" width="30.140625" style="86" customWidth="1"/>
    <col min="10504" max="10505" width="15.5703125" style="86" bestFit="1" customWidth="1"/>
    <col min="10506" max="10506" width="15" style="86" customWidth="1"/>
    <col min="10507" max="10754" width="9.140625" style="86"/>
    <col min="10755" max="10755" width="15" style="86" bestFit="1" customWidth="1"/>
    <col min="10756" max="10756" width="35" style="86" customWidth="1"/>
    <col min="10757" max="10757" width="43.42578125" style="86" customWidth="1"/>
    <col min="10758" max="10758" width="27.28515625" style="86" customWidth="1"/>
    <col min="10759" max="10759" width="30.140625" style="86" customWidth="1"/>
    <col min="10760" max="10761" width="15.5703125" style="86" bestFit="1" customWidth="1"/>
    <col min="10762" max="10762" width="15" style="86" customWidth="1"/>
    <col min="10763" max="11010" width="9.140625" style="86"/>
    <col min="11011" max="11011" width="15" style="86" bestFit="1" customWidth="1"/>
    <col min="11012" max="11012" width="35" style="86" customWidth="1"/>
    <col min="11013" max="11013" width="43.42578125" style="86" customWidth="1"/>
    <col min="11014" max="11014" width="27.28515625" style="86" customWidth="1"/>
    <col min="11015" max="11015" width="30.140625" style="86" customWidth="1"/>
    <col min="11016" max="11017" width="15.5703125" style="86" bestFit="1" customWidth="1"/>
    <col min="11018" max="11018" width="15" style="86" customWidth="1"/>
    <col min="11019" max="11266" width="9.140625" style="86"/>
    <col min="11267" max="11267" width="15" style="86" bestFit="1" customWidth="1"/>
    <col min="11268" max="11268" width="35" style="86" customWidth="1"/>
    <col min="11269" max="11269" width="43.42578125" style="86" customWidth="1"/>
    <col min="11270" max="11270" width="27.28515625" style="86" customWidth="1"/>
    <col min="11271" max="11271" width="30.140625" style="86" customWidth="1"/>
    <col min="11272" max="11273" width="15.5703125" style="86" bestFit="1" customWidth="1"/>
    <col min="11274" max="11274" width="15" style="86" customWidth="1"/>
    <col min="11275" max="11522" width="9.140625" style="86"/>
    <col min="11523" max="11523" width="15" style="86" bestFit="1" customWidth="1"/>
    <col min="11524" max="11524" width="35" style="86" customWidth="1"/>
    <col min="11525" max="11525" width="43.42578125" style="86" customWidth="1"/>
    <col min="11526" max="11526" width="27.28515625" style="86" customWidth="1"/>
    <col min="11527" max="11527" width="30.140625" style="86" customWidth="1"/>
    <col min="11528" max="11529" width="15.5703125" style="86" bestFit="1" customWidth="1"/>
    <col min="11530" max="11530" width="15" style="86" customWidth="1"/>
    <col min="11531" max="11778" width="9.140625" style="86"/>
    <col min="11779" max="11779" width="15" style="86" bestFit="1" customWidth="1"/>
    <col min="11780" max="11780" width="35" style="86" customWidth="1"/>
    <col min="11781" max="11781" width="43.42578125" style="86" customWidth="1"/>
    <col min="11782" max="11782" width="27.28515625" style="86" customWidth="1"/>
    <col min="11783" max="11783" width="30.140625" style="86" customWidth="1"/>
    <col min="11784" max="11785" width="15.5703125" style="86" bestFit="1" customWidth="1"/>
    <col min="11786" max="11786" width="15" style="86" customWidth="1"/>
    <col min="11787" max="12034" width="9.140625" style="86"/>
    <col min="12035" max="12035" width="15" style="86" bestFit="1" customWidth="1"/>
    <col min="12036" max="12036" width="35" style="86" customWidth="1"/>
    <col min="12037" max="12037" width="43.42578125" style="86" customWidth="1"/>
    <col min="12038" max="12038" width="27.28515625" style="86" customWidth="1"/>
    <col min="12039" max="12039" width="30.140625" style="86" customWidth="1"/>
    <col min="12040" max="12041" width="15.5703125" style="86" bestFit="1" customWidth="1"/>
    <col min="12042" max="12042" width="15" style="86" customWidth="1"/>
    <col min="12043" max="12290" width="9.140625" style="86"/>
    <col min="12291" max="12291" width="15" style="86" bestFit="1" customWidth="1"/>
    <col min="12292" max="12292" width="35" style="86" customWidth="1"/>
    <col min="12293" max="12293" width="43.42578125" style="86" customWidth="1"/>
    <col min="12294" max="12294" width="27.28515625" style="86" customWidth="1"/>
    <col min="12295" max="12295" width="30.140625" style="86" customWidth="1"/>
    <col min="12296" max="12297" width="15.5703125" style="86" bestFit="1" customWidth="1"/>
    <col min="12298" max="12298" width="15" style="86" customWidth="1"/>
    <col min="12299" max="12546" width="9.140625" style="86"/>
    <col min="12547" max="12547" width="15" style="86" bestFit="1" customWidth="1"/>
    <col min="12548" max="12548" width="35" style="86" customWidth="1"/>
    <col min="12549" max="12549" width="43.42578125" style="86" customWidth="1"/>
    <col min="12550" max="12550" width="27.28515625" style="86" customWidth="1"/>
    <col min="12551" max="12551" width="30.140625" style="86" customWidth="1"/>
    <col min="12552" max="12553" width="15.5703125" style="86" bestFit="1" customWidth="1"/>
    <col min="12554" max="12554" width="15" style="86" customWidth="1"/>
    <col min="12555" max="12802" width="9.140625" style="86"/>
    <col min="12803" max="12803" width="15" style="86" bestFit="1" customWidth="1"/>
    <col min="12804" max="12804" width="35" style="86" customWidth="1"/>
    <col min="12805" max="12805" width="43.42578125" style="86" customWidth="1"/>
    <col min="12806" max="12806" width="27.28515625" style="86" customWidth="1"/>
    <col min="12807" max="12807" width="30.140625" style="86" customWidth="1"/>
    <col min="12808" max="12809" width="15.5703125" style="86" bestFit="1" customWidth="1"/>
    <col min="12810" max="12810" width="15" style="86" customWidth="1"/>
    <col min="12811" max="13058" width="9.140625" style="86"/>
    <col min="13059" max="13059" width="15" style="86" bestFit="1" customWidth="1"/>
    <col min="13060" max="13060" width="35" style="86" customWidth="1"/>
    <col min="13061" max="13061" width="43.42578125" style="86" customWidth="1"/>
    <col min="13062" max="13062" width="27.28515625" style="86" customWidth="1"/>
    <col min="13063" max="13063" width="30.140625" style="86" customWidth="1"/>
    <col min="13064" max="13065" width="15.5703125" style="86" bestFit="1" customWidth="1"/>
    <col min="13066" max="13066" width="15" style="86" customWidth="1"/>
    <col min="13067" max="13314" width="9.140625" style="86"/>
    <col min="13315" max="13315" width="15" style="86" bestFit="1" customWidth="1"/>
    <col min="13316" max="13316" width="35" style="86" customWidth="1"/>
    <col min="13317" max="13317" width="43.42578125" style="86" customWidth="1"/>
    <col min="13318" max="13318" width="27.28515625" style="86" customWidth="1"/>
    <col min="13319" max="13319" width="30.140625" style="86" customWidth="1"/>
    <col min="13320" max="13321" width="15.5703125" style="86" bestFit="1" customWidth="1"/>
    <col min="13322" max="13322" width="15" style="86" customWidth="1"/>
    <col min="13323" max="13570" width="9.140625" style="86"/>
    <col min="13571" max="13571" width="15" style="86" bestFit="1" customWidth="1"/>
    <col min="13572" max="13572" width="35" style="86" customWidth="1"/>
    <col min="13573" max="13573" width="43.42578125" style="86" customWidth="1"/>
    <col min="13574" max="13574" width="27.28515625" style="86" customWidth="1"/>
    <col min="13575" max="13575" width="30.140625" style="86" customWidth="1"/>
    <col min="13576" max="13577" width="15.5703125" style="86" bestFit="1" customWidth="1"/>
    <col min="13578" max="13578" width="15" style="86" customWidth="1"/>
    <col min="13579" max="13826" width="9.140625" style="86"/>
    <col min="13827" max="13827" width="15" style="86" bestFit="1" customWidth="1"/>
    <col min="13828" max="13828" width="35" style="86" customWidth="1"/>
    <col min="13829" max="13829" width="43.42578125" style="86" customWidth="1"/>
    <col min="13830" max="13830" width="27.28515625" style="86" customWidth="1"/>
    <col min="13831" max="13831" width="30.140625" style="86" customWidth="1"/>
    <col min="13832" max="13833" width="15.5703125" style="86" bestFit="1" customWidth="1"/>
    <col min="13834" max="13834" width="15" style="86" customWidth="1"/>
    <col min="13835" max="14082" width="9.140625" style="86"/>
    <col min="14083" max="14083" width="15" style="86" bestFit="1" customWidth="1"/>
    <col min="14084" max="14084" width="35" style="86" customWidth="1"/>
    <col min="14085" max="14085" width="43.42578125" style="86" customWidth="1"/>
    <col min="14086" max="14086" width="27.28515625" style="86" customWidth="1"/>
    <col min="14087" max="14087" width="30.140625" style="86" customWidth="1"/>
    <col min="14088" max="14089" width="15.5703125" style="86" bestFit="1" customWidth="1"/>
    <col min="14090" max="14090" width="15" style="86" customWidth="1"/>
    <col min="14091" max="14338" width="9.140625" style="86"/>
    <col min="14339" max="14339" width="15" style="86" bestFit="1" customWidth="1"/>
    <col min="14340" max="14340" width="35" style="86" customWidth="1"/>
    <col min="14341" max="14341" width="43.42578125" style="86" customWidth="1"/>
    <col min="14342" max="14342" width="27.28515625" style="86" customWidth="1"/>
    <col min="14343" max="14343" width="30.140625" style="86" customWidth="1"/>
    <col min="14344" max="14345" width="15.5703125" style="86" bestFit="1" customWidth="1"/>
    <col min="14346" max="14346" width="15" style="86" customWidth="1"/>
    <col min="14347" max="14594" width="9.140625" style="86"/>
    <col min="14595" max="14595" width="15" style="86" bestFit="1" customWidth="1"/>
    <col min="14596" max="14596" width="35" style="86" customWidth="1"/>
    <col min="14597" max="14597" width="43.42578125" style="86" customWidth="1"/>
    <col min="14598" max="14598" width="27.28515625" style="86" customWidth="1"/>
    <col min="14599" max="14599" width="30.140625" style="86" customWidth="1"/>
    <col min="14600" max="14601" width="15.5703125" style="86" bestFit="1" customWidth="1"/>
    <col min="14602" max="14602" width="15" style="86" customWidth="1"/>
    <col min="14603" max="14850" width="9.140625" style="86"/>
    <col min="14851" max="14851" width="15" style="86" bestFit="1" customWidth="1"/>
    <col min="14852" max="14852" width="35" style="86" customWidth="1"/>
    <col min="14853" max="14853" width="43.42578125" style="86" customWidth="1"/>
    <col min="14854" max="14854" width="27.28515625" style="86" customWidth="1"/>
    <col min="14855" max="14855" width="30.140625" style="86" customWidth="1"/>
    <col min="14856" max="14857" width="15.5703125" style="86" bestFit="1" customWidth="1"/>
    <col min="14858" max="14858" width="15" style="86" customWidth="1"/>
    <col min="14859" max="15106" width="9.140625" style="86"/>
    <col min="15107" max="15107" width="15" style="86" bestFit="1" customWidth="1"/>
    <col min="15108" max="15108" width="35" style="86" customWidth="1"/>
    <col min="15109" max="15109" width="43.42578125" style="86" customWidth="1"/>
    <col min="15110" max="15110" width="27.28515625" style="86" customWidth="1"/>
    <col min="15111" max="15111" width="30.140625" style="86" customWidth="1"/>
    <col min="15112" max="15113" width="15.5703125" style="86" bestFit="1" customWidth="1"/>
    <col min="15114" max="15114" width="15" style="86" customWidth="1"/>
    <col min="15115" max="15362" width="9.140625" style="86"/>
    <col min="15363" max="15363" width="15" style="86" bestFit="1" customWidth="1"/>
    <col min="15364" max="15364" width="35" style="86" customWidth="1"/>
    <col min="15365" max="15365" width="43.42578125" style="86" customWidth="1"/>
    <col min="15366" max="15366" width="27.28515625" style="86" customWidth="1"/>
    <col min="15367" max="15367" width="30.140625" style="86" customWidth="1"/>
    <col min="15368" max="15369" width="15.5703125" style="86" bestFit="1" customWidth="1"/>
    <col min="15370" max="15370" width="15" style="86" customWidth="1"/>
    <col min="15371" max="15618" width="9.140625" style="86"/>
    <col min="15619" max="15619" width="15" style="86" bestFit="1" customWidth="1"/>
    <col min="15620" max="15620" width="35" style="86" customWidth="1"/>
    <col min="15621" max="15621" width="43.42578125" style="86" customWidth="1"/>
    <col min="15622" max="15622" width="27.28515625" style="86" customWidth="1"/>
    <col min="15623" max="15623" width="30.140625" style="86" customWidth="1"/>
    <col min="15624" max="15625" width="15.5703125" style="86" bestFit="1" customWidth="1"/>
    <col min="15626" max="15626" width="15" style="86" customWidth="1"/>
    <col min="15627" max="15874" width="9.140625" style="86"/>
    <col min="15875" max="15875" width="15" style="86" bestFit="1" customWidth="1"/>
    <col min="15876" max="15876" width="35" style="86" customWidth="1"/>
    <col min="15877" max="15877" width="43.42578125" style="86" customWidth="1"/>
    <col min="15878" max="15878" width="27.28515625" style="86" customWidth="1"/>
    <col min="15879" max="15879" width="30.140625" style="86" customWidth="1"/>
    <col min="15880" max="15881" width="15.5703125" style="86" bestFit="1" customWidth="1"/>
    <col min="15882" max="15882" width="15" style="86" customWidth="1"/>
    <col min="15883" max="16130" width="9.140625" style="86"/>
    <col min="16131" max="16131" width="15" style="86" bestFit="1" customWidth="1"/>
    <col min="16132" max="16132" width="35" style="86" customWidth="1"/>
    <col min="16133" max="16133" width="43.42578125" style="86" customWidth="1"/>
    <col min="16134" max="16134" width="27.28515625" style="86" customWidth="1"/>
    <col min="16135" max="16135" width="30.140625" style="86" customWidth="1"/>
    <col min="16136" max="16137" width="15.5703125" style="86" bestFit="1" customWidth="1"/>
    <col min="16138" max="16138" width="15" style="86" customWidth="1"/>
    <col min="16139" max="16384" width="9.140625" style="86"/>
  </cols>
  <sheetData>
    <row r="1" spans="1:19" ht="34.5" customHeight="1" x14ac:dyDescent="0.25">
      <c r="A1" s="841" t="str">
        <f>"Missio and Mill Hill Red Box Parish Results 2020 - Archdiocese of Southwark"</f>
        <v>Missio and Mill Hill Red Box Parish Results 2020 - Archdiocese of Southwark</v>
      </c>
      <c r="B1" s="248"/>
      <c r="C1" s="248"/>
      <c r="D1" s="167"/>
      <c r="E1" s="248"/>
      <c r="K1" s="757">
        <v>2020</v>
      </c>
      <c r="L1" s="757">
        <v>2020</v>
      </c>
      <c r="M1" s="757">
        <v>2020</v>
      </c>
      <c r="O1" s="248"/>
      <c r="P1" s="248"/>
      <c r="Q1" s="483"/>
      <c r="R1" s="248"/>
      <c r="S1" s="248"/>
    </row>
    <row r="2" spans="1:19" ht="30" customHeight="1" x14ac:dyDescent="0.3">
      <c r="A2" s="622" t="s">
        <v>1</v>
      </c>
      <c r="B2" s="622" t="s">
        <v>7809</v>
      </c>
      <c r="C2" s="622" t="s">
        <v>3</v>
      </c>
      <c r="D2" s="622" t="s">
        <v>8214</v>
      </c>
      <c r="E2" s="622" t="s">
        <v>8165</v>
      </c>
      <c r="F2" s="622" t="s">
        <v>7809</v>
      </c>
      <c r="G2" s="622" t="s">
        <v>311</v>
      </c>
      <c r="H2" s="622" t="s">
        <v>312</v>
      </c>
      <c r="I2" s="622" t="s">
        <v>2</v>
      </c>
      <c r="J2" s="622" t="s">
        <v>10989</v>
      </c>
      <c r="K2" s="622" t="s">
        <v>308</v>
      </c>
      <c r="L2" s="622" t="s">
        <v>10990</v>
      </c>
      <c r="M2" s="622" t="s">
        <v>10991</v>
      </c>
      <c r="N2" s="622">
        <v>2020</v>
      </c>
      <c r="O2" s="622">
        <f>ARU!P2</f>
        <v>2019</v>
      </c>
      <c r="P2" s="622">
        <v>2019</v>
      </c>
      <c r="Q2" s="622">
        <v>2018</v>
      </c>
      <c r="R2" s="622">
        <v>2017</v>
      </c>
      <c r="S2" s="622">
        <v>2016</v>
      </c>
    </row>
    <row r="3" spans="1:19" ht="30" customHeight="1" x14ac:dyDescent="0.2">
      <c r="A3" s="291" t="str">
        <f t="shared" ref="A3:A67" si="0">D3&amp;" / "&amp;E3</f>
        <v>SOU001 / 1178</v>
      </c>
      <c r="B3" s="89" t="s">
        <v>5486</v>
      </c>
      <c r="C3" s="89" t="s">
        <v>7835</v>
      </c>
      <c r="D3" s="318" t="s">
        <v>5483</v>
      </c>
      <c r="E3" s="369" t="str">
        <f>VLOOKUP(D:D,'Master Table'!C:D,2,FALSE)</f>
        <v>1178</v>
      </c>
      <c r="F3" s="769" t="s">
        <v>5483</v>
      </c>
      <c r="G3" s="769" t="s">
        <v>5484</v>
      </c>
      <c r="H3" s="769" t="s">
        <v>5485</v>
      </c>
      <c r="I3" s="769" t="s">
        <v>5486</v>
      </c>
      <c r="J3" s="769" t="s">
        <v>324</v>
      </c>
      <c r="K3" s="790"/>
      <c r="L3" s="790">
        <v>170</v>
      </c>
      <c r="M3" s="790"/>
      <c r="N3" s="312">
        <f t="shared" ref="N3:N41" si="1">K3+L3+M3</f>
        <v>170</v>
      </c>
      <c r="O3" s="467">
        <f>VLOOKUP(D:D,'Master Table'!C:O,13,FALSE)</f>
        <v>210</v>
      </c>
      <c r="P3" s="657">
        <v>210</v>
      </c>
      <c r="Q3" s="476">
        <v>225</v>
      </c>
      <c r="R3" s="91">
        <v>320</v>
      </c>
      <c r="S3" s="619">
        <v>340</v>
      </c>
    </row>
    <row r="4" spans="1:19" ht="30" customHeight="1" x14ac:dyDescent="0.2">
      <c r="A4" s="291" t="str">
        <f t="shared" si="0"/>
        <v>SOU002 / 1179</v>
      </c>
      <c r="B4" s="89" t="s">
        <v>7836</v>
      </c>
      <c r="C4" s="89" t="s">
        <v>7837</v>
      </c>
      <c r="D4" s="318" t="s">
        <v>5487</v>
      </c>
      <c r="E4" s="369" t="str">
        <f>VLOOKUP(D:D,'Master Table'!C:D,2,FALSE)</f>
        <v>1179</v>
      </c>
      <c r="F4" s="769" t="s">
        <v>5487</v>
      </c>
      <c r="G4" s="769" t="s">
        <v>5488</v>
      </c>
      <c r="H4" s="769" t="s">
        <v>2754</v>
      </c>
      <c r="I4" s="769" t="s">
        <v>5489</v>
      </c>
      <c r="J4" s="769" t="s">
        <v>324</v>
      </c>
      <c r="K4" s="790"/>
      <c r="L4" s="790">
        <v>130</v>
      </c>
      <c r="M4" s="790"/>
      <c r="N4" s="312">
        <f t="shared" si="1"/>
        <v>130</v>
      </c>
      <c r="O4" s="467">
        <f>VLOOKUP(D:D,'Master Table'!C:O,13,FALSE)</f>
        <v>140</v>
      </c>
      <c r="P4" s="657">
        <v>140</v>
      </c>
      <c r="Q4" s="476">
        <v>130</v>
      </c>
      <c r="R4" s="91">
        <v>130</v>
      </c>
      <c r="S4" s="619">
        <v>130</v>
      </c>
    </row>
    <row r="5" spans="1:19" ht="30" customHeight="1" x14ac:dyDescent="0.2">
      <c r="A5" s="291" t="str">
        <f t="shared" si="0"/>
        <v>SOU002X / 1180</v>
      </c>
      <c r="B5" s="89" t="s">
        <v>5489</v>
      </c>
      <c r="C5" s="89" t="s">
        <v>7838</v>
      </c>
      <c r="D5" s="318" t="s">
        <v>5493</v>
      </c>
      <c r="E5" s="369" t="str">
        <f>VLOOKUP(D:D,'Master Table'!C:D,2,FALSE)</f>
        <v>1180</v>
      </c>
      <c r="F5" s="769" t="s">
        <v>5493</v>
      </c>
      <c r="G5" s="769" t="s">
        <v>5494</v>
      </c>
      <c r="H5" s="769" t="s">
        <v>3420</v>
      </c>
      <c r="I5" s="769" t="s">
        <v>5489</v>
      </c>
      <c r="J5" s="769" t="s">
        <v>324</v>
      </c>
      <c r="K5" s="790">
        <v>907.73</v>
      </c>
      <c r="L5" s="790">
        <v>240</v>
      </c>
      <c r="M5" s="790"/>
      <c r="N5" s="312">
        <f t="shared" si="1"/>
        <v>1147.73</v>
      </c>
      <c r="O5" s="467">
        <f>VLOOKUP(D:D,'Master Table'!C:O,13,FALSE)</f>
        <v>1533.85</v>
      </c>
      <c r="P5" s="657">
        <v>1533.85</v>
      </c>
      <c r="Q5" s="476">
        <v>1353.69</v>
      </c>
      <c r="R5" s="91">
        <v>1767.09</v>
      </c>
      <c r="S5" s="619">
        <v>1662.83</v>
      </c>
    </row>
    <row r="6" spans="1:19" ht="30" customHeight="1" x14ac:dyDescent="0.2">
      <c r="A6" s="291" t="str">
        <f t="shared" si="0"/>
        <v>SOU003 / 1181</v>
      </c>
      <c r="B6" s="89" t="s">
        <v>5497</v>
      </c>
      <c r="C6" s="89" t="s">
        <v>3215</v>
      </c>
      <c r="D6" s="318" t="s">
        <v>5495</v>
      </c>
      <c r="E6" s="369" t="str">
        <f>VLOOKUP(D:D,'Master Table'!C:D,2,FALSE)</f>
        <v>1181</v>
      </c>
      <c r="F6" s="769" t="s">
        <v>5495</v>
      </c>
      <c r="G6" s="769" t="s">
        <v>5496</v>
      </c>
      <c r="H6" s="769" t="s">
        <v>3215</v>
      </c>
      <c r="I6" s="769" t="s">
        <v>5497</v>
      </c>
      <c r="J6" s="769" t="s">
        <v>324</v>
      </c>
      <c r="K6" s="790"/>
      <c r="L6" s="790">
        <v>444.87</v>
      </c>
      <c r="M6" s="790">
        <v>142.93</v>
      </c>
      <c r="N6" s="312">
        <f t="shared" si="1"/>
        <v>587.79999999999995</v>
      </c>
      <c r="O6" s="467">
        <f>VLOOKUP(D:D,'Master Table'!C:O,13,FALSE)</f>
        <v>2211.48</v>
      </c>
      <c r="P6" s="657">
        <v>2211.48</v>
      </c>
      <c r="Q6" s="476">
        <v>2043.88</v>
      </c>
      <c r="R6" s="91">
        <v>2110.3199999999997</v>
      </c>
      <c r="S6" s="619">
        <v>2246.84</v>
      </c>
    </row>
    <row r="7" spans="1:19" ht="30" customHeight="1" x14ac:dyDescent="0.2">
      <c r="A7" s="291" t="str">
        <f t="shared" si="0"/>
        <v>SOU004 / 1182</v>
      </c>
      <c r="B7" s="89" t="s">
        <v>5501</v>
      </c>
      <c r="C7" s="89" t="s">
        <v>7660</v>
      </c>
      <c r="D7" s="318" t="s">
        <v>5499</v>
      </c>
      <c r="E7" s="369" t="str">
        <f>VLOOKUP(D:D,'Master Table'!C:D,2,FALSE)</f>
        <v>1182</v>
      </c>
      <c r="F7" s="769" t="s">
        <v>5499</v>
      </c>
      <c r="G7" s="769" t="s">
        <v>5500</v>
      </c>
      <c r="H7" s="769" t="s">
        <v>709</v>
      </c>
      <c r="I7" s="769" t="s">
        <v>5501</v>
      </c>
      <c r="J7" s="769" t="s">
        <v>324</v>
      </c>
      <c r="K7" s="790"/>
      <c r="L7" s="790"/>
      <c r="M7" s="790"/>
      <c r="N7" s="312">
        <f t="shared" si="1"/>
        <v>0</v>
      </c>
      <c r="O7" s="467">
        <f>VLOOKUP(D:D,'Master Table'!C:O,13,FALSE)</f>
        <v>2229.6000000000004</v>
      </c>
      <c r="P7" s="657">
        <v>2229.6000000000004</v>
      </c>
      <c r="Q7" s="476">
        <v>355.01</v>
      </c>
      <c r="R7" s="91">
        <v>506</v>
      </c>
      <c r="S7" s="619">
        <v>494.08</v>
      </c>
    </row>
    <row r="8" spans="1:19" ht="30" customHeight="1" x14ac:dyDescent="0.2">
      <c r="A8" s="291" t="str">
        <f t="shared" si="0"/>
        <v>SOU005 / 1183</v>
      </c>
      <c r="B8" s="89" t="s">
        <v>5505</v>
      </c>
      <c r="C8" s="89" t="s">
        <v>556</v>
      </c>
      <c r="D8" s="318" t="s">
        <v>5502</v>
      </c>
      <c r="E8" s="369" t="str">
        <f>VLOOKUP(D:D,'Master Table'!C:D,2,FALSE)</f>
        <v>1183</v>
      </c>
      <c r="F8" s="769" t="s">
        <v>5502</v>
      </c>
      <c r="G8" s="769" t="s">
        <v>5503</v>
      </c>
      <c r="H8" s="769" t="s">
        <v>5504</v>
      </c>
      <c r="I8" s="769" t="s">
        <v>5505</v>
      </c>
      <c r="J8" s="769" t="s">
        <v>324</v>
      </c>
      <c r="K8" s="790"/>
      <c r="L8" s="790">
        <v>435</v>
      </c>
      <c r="M8" s="790"/>
      <c r="N8" s="312">
        <f t="shared" si="1"/>
        <v>435</v>
      </c>
      <c r="O8" s="467">
        <f>VLOOKUP(D:D,'Master Table'!C:O,13,FALSE)</f>
        <v>1061.81</v>
      </c>
      <c r="P8" s="657">
        <v>1061.81</v>
      </c>
      <c r="Q8" s="476">
        <v>1552.49</v>
      </c>
      <c r="R8" s="91">
        <v>1605</v>
      </c>
      <c r="S8" s="619">
        <v>1940.52</v>
      </c>
    </row>
    <row r="9" spans="1:19" ht="30" customHeight="1" x14ac:dyDescent="0.2">
      <c r="A9" s="291" t="str">
        <f t="shared" si="0"/>
        <v>SOU005X / 1184</v>
      </c>
      <c r="B9" s="89" t="s">
        <v>5513</v>
      </c>
      <c r="C9" s="89" t="s">
        <v>5512</v>
      </c>
      <c r="D9" s="318" t="s">
        <v>5510</v>
      </c>
      <c r="E9" s="369" t="str">
        <f>VLOOKUP(D:D,'Master Table'!C:D,2,FALSE)</f>
        <v>1184</v>
      </c>
      <c r="F9" s="769" t="s">
        <v>5510</v>
      </c>
      <c r="G9" s="769" t="s">
        <v>5511</v>
      </c>
      <c r="H9" s="769" t="s">
        <v>5512</v>
      </c>
      <c r="I9" s="769" t="s">
        <v>5513</v>
      </c>
      <c r="J9" s="769" t="s">
        <v>324</v>
      </c>
      <c r="K9" s="790">
        <v>224.77</v>
      </c>
      <c r="L9" s="790">
        <v>20</v>
      </c>
      <c r="M9" s="790"/>
      <c r="N9" s="312">
        <f t="shared" si="1"/>
        <v>244.77</v>
      </c>
      <c r="O9" s="467">
        <f>VLOOKUP(D:D,'Master Table'!C:O,13,FALSE)</f>
        <v>530.62</v>
      </c>
      <c r="P9" s="657">
        <v>530.62</v>
      </c>
      <c r="Q9" s="476">
        <v>324.81</v>
      </c>
      <c r="R9" s="91">
        <v>318.67</v>
      </c>
      <c r="S9" s="619">
        <v>404.75</v>
      </c>
    </row>
    <row r="10" spans="1:19" ht="30" customHeight="1" x14ac:dyDescent="0.2">
      <c r="A10" s="291" t="str">
        <f t="shared" si="0"/>
        <v>SOU006 / 1185</v>
      </c>
      <c r="B10" s="89" t="s">
        <v>5518</v>
      </c>
      <c r="C10" s="89" t="s">
        <v>7839</v>
      </c>
      <c r="D10" s="318" t="s">
        <v>5515</v>
      </c>
      <c r="E10" s="369" t="str">
        <f>VLOOKUP(D:D,'Master Table'!C:D,2,FALSE)</f>
        <v>1185</v>
      </c>
      <c r="F10" s="769" t="s">
        <v>5515</v>
      </c>
      <c r="G10" s="769" t="s">
        <v>5516</v>
      </c>
      <c r="H10" s="769" t="s">
        <v>5517</v>
      </c>
      <c r="I10" s="769" t="s">
        <v>5518</v>
      </c>
      <c r="J10" s="769" t="s">
        <v>324</v>
      </c>
      <c r="K10" s="790"/>
      <c r="L10" s="790">
        <v>55</v>
      </c>
      <c r="M10" s="790"/>
      <c r="N10" s="312">
        <f t="shared" si="1"/>
        <v>55</v>
      </c>
      <c r="O10" s="467">
        <f>VLOOKUP(D:D,'Master Table'!C:O,13,FALSE)</f>
        <v>469.1</v>
      </c>
      <c r="P10" s="657">
        <v>469.1</v>
      </c>
      <c r="Q10" s="476">
        <v>61</v>
      </c>
      <c r="R10" s="91">
        <v>205</v>
      </c>
      <c r="S10" s="619">
        <v>215.87</v>
      </c>
    </row>
    <row r="11" spans="1:19" ht="30" customHeight="1" x14ac:dyDescent="0.2">
      <c r="A11" s="291" t="str">
        <f t="shared" si="0"/>
        <v>SOU007 / 1186</v>
      </c>
      <c r="B11" s="89" t="s">
        <v>5531</v>
      </c>
      <c r="C11" s="89" t="s">
        <v>5530</v>
      </c>
      <c r="D11" s="318" t="s">
        <v>5528</v>
      </c>
      <c r="E11" s="369" t="str">
        <f>VLOOKUP(D:D,'Master Table'!C:D,2,FALSE)</f>
        <v>1186</v>
      </c>
      <c r="F11" s="769" t="s">
        <v>5528</v>
      </c>
      <c r="G11" s="769" t="s">
        <v>5529</v>
      </c>
      <c r="H11" s="769" t="s">
        <v>5530</v>
      </c>
      <c r="I11" s="769" t="s">
        <v>5531</v>
      </c>
      <c r="J11" s="769" t="s">
        <v>324</v>
      </c>
      <c r="K11" s="790">
        <v>1111</v>
      </c>
      <c r="L11" s="790">
        <v>972.89</v>
      </c>
      <c r="M11" s="790"/>
      <c r="N11" s="312">
        <f t="shared" si="1"/>
        <v>2083.89</v>
      </c>
      <c r="O11" s="467">
        <f>VLOOKUP(D:D,'Master Table'!C:O,13,FALSE)</f>
        <v>3365</v>
      </c>
      <c r="P11" s="657">
        <v>3365</v>
      </c>
      <c r="Q11" s="476">
        <v>3604</v>
      </c>
      <c r="R11" s="91">
        <v>4262</v>
      </c>
      <c r="S11" s="619">
        <v>4304.63</v>
      </c>
    </row>
    <row r="12" spans="1:19" ht="30" customHeight="1" x14ac:dyDescent="0.2">
      <c r="A12" s="291" t="str">
        <f t="shared" si="0"/>
        <v>SOU008 / 1187</v>
      </c>
      <c r="B12" s="89" t="s">
        <v>5534</v>
      </c>
      <c r="C12" s="89" t="s">
        <v>2824</v>
      </c>
      <c r="D12" s="318" t="s">
        <v>5532</v>
      </c>
      <c r="E12" s="369" t="str">
        <f>VLOOKUP(D:D,'Master Table'!C:D,2,FALSE)</f>
        <v>1187</v>
      </c>
      <c r="F12" s="769" t="s">
        <v>5532</v>
      </c>
      <c r="G12" s="769" t="s">
        <v>5533</v>
      </c>
      <c r="H12" s="769" t="s">
        <v>2824</v>
      </c>
      <c r="I12" s="769" t="s">
        <v>5534</v>
      </c>
      <c r="J12" s="769" t="s">
        <v>324</v>
      </c>
      <c r="K12" s="790"/>
      <c r="L12" s="790">
        <v>1530</v>
      </c>
      <c r="M12" s="790">
        <v>150</v>
      </c>
      <c r="N12" s="312">
        <f t="shared" si="1"/>
        <v>1680</v>
      </c>
      <c r="O12" s="467">
        <f>VLOOKUP(D:D,'Master Table'!C:O,13,FALSE)</f>
        <v>1954.33</v>
      </c>
      <c r="P12" s="657">
        <v>1954.33</v>
      </c>
      <c r="Q12" s="476">
        <v>1451</v>
      </c>
      <c r="R12" s="91">
        <v>2717</v>
      </c>
      <c r="S12" s="619">
        <v>175</v>
      </c>
    </row>
    <row r="13" spans="1:19" ht="30" customHeight="1" x14ac:dyDescent="0.2">
      <c r="A13" s="291" t="str">
        <f t="shared" si="0"/>
        <v>SOU009 / 1188</v>
      </c>
      <c r="B13" s="89" t="s">
        <v>5538</v>
      </c>
      <c r="C13" s="89" t="s">
        <v>5537</v>
      </c>
      <c r="D13" s="318" t="s">
        <v>5535</v>
      </c>
      <c r="E13" s="369" t="str">
        <f>VLOOKUP(D:D,'Master Table'!C:D,2,FALSE)</f>
        <v>1188</v>
      </c>
      <c r="F13" s="769" t="s">
        <v>5535</v>
      </c>
      <c r="G13" s="769" t="s">
        <v>5536</v>
      </c>
      <c r="H13" s="769" t="s">
        <v>5537</v>
      </c>
      <c r="I13" s="769" t="s">
        <v>5538</v>
      </c>
      <c r="J13" s="769" t="s">
        <v>324</v>
      </c>
      <c r="K13" s="790"/>
      <c r="L13" s="790">
        <v>10</v>
      </c>
      <c r="M13" s="790"/>
      <c r="N13" s="312">
        <f t="shared" si="1"/>
        <v>10</v>
      </c>
      <c r="O13" s="467">
        <f>VLOOKUP(D:D,'Master Table'!C:O,13,FALSE)</f>
        <v>10</v>
      </c>
      <c r="P13" s="657">
        <v>10</v>
      </c>
      <c r="Q13" s="476">
        <v>470</v>
      </c>
      <c r="R13" s="91">
        <v>670</v>
      </c>
      <c r="S13" s="619">
        <v>670</v>
      </c>
    </row>
    <row r="14" spans="1:19" ht="30" customHeight="1" x14ac:dyDescent="0.2">
      <c r="A14" s="291" t="str">
        <f t="shared" si="0"/>
        <v>SOU010 / 1189</v>
      </c>
      <c r="B14" s="89" t="s">
        <v>5541</v>
      </c>
      <c r="C14" s="89" t="s">
        <v>1284</v>
      </c>
      <c r="D14" s="318" t="s">
        <v>5539</v>
      </c>
      <c r="E14" s="369" t="str">
        <f>VLOOKUP(D:D,'Master Table'!C:D,2,FALSE)</f>
        <v>1189</v>
      </c>
      <c r="F14" s="769" t="s">
        <v>5539</v>
      </c>
      <c r="G14" s="769" t="s">
        <v>5540</v>
      </c>
      <c r="H14" s="769" t="s">
        <v>47</v>
      </c>
      <c r="I14" s="769" t="s">
        <v>5541</v>
      </c>
      <c r="J14" s="769" t="s">
        <v>324</v>
      </c>
      <c r="K14" s="790"/>
      <c r="L14" s="790">
        <v>206</v>
      </c>
      <c r="M14" s="790"/>
      <c r="N14" s="312">
        <f t="shared" si="1"/>
        <v>206</v>
      </c>
      <c r="O14" s="467">
        <f>VLOOKUP(D:D,'Master Table'!C:O,13,FALSE)</f>
        <v>1245</v>
      </c>
      <c r="P14" s="657">
        <v>1245</v>
      </c>
      <c r="Q14" s="476">
        <v>1109</v>
      </c>
      <c r="R14" s="91">
        <v>1330</v>
      </c>
      <c r="S14" s="619">
        <v>1340</v>
      </c>
    </row>
    <row r="15" spans="1:19" ht="30" customHeight="1" x14ac:dyDescent="0.2">
      <c r="A15" s="291" t="str">
        <f t="shared" si="0"/>
        <v>SOU011 / 1190</v>
      </c>
      <c r="B15" s="89" t="s">
        <v>7840</v>
      </c>
      <c r="C15" s="89" t="s">
        <v>7841</v>
      </c>
      <c r="D15" s="318" t="s">
        <v>5543</v>
      </c>
      <c r="E15" s="369" t="str">
        <f>VLOOKUP(D:D,'Master Table'!C:D,2,FALSE)</f>
        <v>1190</v>
      </c>
      <c r="F15" s="769" t="s">
        <v>5543</v>
      </c>
      <c r="G15" s="769" t="s">
        <v>5544</v>
      </c>
      <c r="H15" s="769" t="s">
        <v>1065</v>
      </c>
      <c r="I15" s="769" t="s">
        <v>5545</v>
      </c>
      <c r="J15" s="769" t="s">
        <v>324</v>
      </c>
      <c r="K15" s="790"/>
      <c r="L15" s="790">
        <v>209</v>
      </c>
      <c r="M15" s="790"/>
      <c r="N15" s="312">
        <f t="shared" si="1"/>
        <v>209</v>
      </c>
      <c r="O15" s="467">
        <f>VLOOKUP(D:D,'Master Table'!C:O,13,FALSE)</f>
        <v>350.35</v>
      </c>
      <c r="P15" s="657">
        <v>350.35</v>
      </c>
      <c r="Q15" s="476">
        <v>408.9</v>
      </c>
      <c r="R15" s="91">
        <v>458.38</v>
      </c>
      <c r="S15" s="619">
        <v>380.38</v>
      </c>
    </row>
    <row r="16" spans="1:19" ht="30" customHeight="1" x14ac:dyDescent="0.2">
      <c r="A16" s="291" t="str">
        <f t="shared" si="0"/>
        <v>SOU012 / 1191</v>
      </c>
      <c r="B16" s="89" t="s">
        <v>5553</v>
      </c>
      <c r="C16" s="89" t="s">
        <v>5552</v>
      </c>
      <c r="D16" s="318" t="s">
        <v>5550</v>
      </c>
      <c r="E16" s="369" t="str">
        <f>VLOOKUP(D:D,'Master Table'!C:D,2,FALSE)</f>
        <v>1191</v>
      </c>
      <c r="F16" s="769" t="s">
        <v>5550</v>
      </c>
      <c r="G16" s="769" t="s">
        <v>5551</v>
      </c>
      <c r="H16" s="769" t="s">
        <v>5552</v>
      </c>
      <c r="I16" s="769" t="s">
        <v>5553</v>
      </c>
      <c r="J16" s="769" t="s">
        <v>324</v>
      </c>
      <c r="K16" s="790">
        <v>359.12</v>
      </c>
      <c r="L16" s="790">
        <v>430</v>
      </c>
      <c r="M16" s="790"/>
      <c r="N16" s="312">
        <f t="shared" si="1"/>
        <v>789.12</v>
      </c>
      <c r="O16" s="467">
        <f>VLOOKUP(D:D,'Master Table'!C:O,13,FALSE)</f>
        <v>1413.49</v>
      </c>
      <c r="P16" s="657">
        <v>1413.49</v>
      </c>
      <c r="Q16" s="476">
        <v>1967.31</v>
      </c>
      <c r="R16" s="91">
        <v>2405.65</v>
      </c>
      <c r="S16" s="619">
        <v>1844.69</v>
      </c>
    </row>
    <row r="17" spans="1:19" ht="30" customHeight="1" x14ac:dyDescent="0.2">
      <c r="A17" s="291" t="str">
        <f t="shared" si="0"/>
        <v>SOU013 / 1192</v>
      </c>
      <c r="B17" s="89" t="s">
        <v>5557</v>
      </c>
      <c r="C17" s="89" t="s">
        <v>7842</v>
      </c>
      <c r="D17" s="318" t="s">
        <v>5554</v>
      </c>
      <c r="E17" s="369" t="str">
        <f>VLOOKUP(D:D,'Master Table'!C:D,2,FALSE)</f>
        <v>1192</v>
      </c>
      <c r="F17" s="769" t="s">
        <v>5554</v>
      </c>
      <c r="G17" s="769" t="s">
        <v>5555</v>
      </c>
      <c r="H17" s="769" t="s">
        <v>5556</v>
      </c>
      <c r="I17" s="769" t="s">
        <v>5557</v>
      </c>
      <c r="J17" s="769" t="s">
        <v>324</v>
      </c>
      <c r="K17" s="790">
        <v>448.5</v>
      </c>
      <c r="L17" s="790">
        <v>55</v>
      </c>
      <c r="M17" s="790"/>
      <c r="N17" s="312">
        <f t="shared" si="1"/>
        <v>503.5</v>
      </c>
      <c r="O17" s="467">
        <f>VLOOKUP(D:D,'Master Table'!C:O,13,FALSE)</f>
        <v>1376.5</v>
      </c>
      <c r="P17" s="657">
        <v>1376.5</v>
      </c>
      <c r="Q17" s="476">
        <v>1414.76</v>
      </c>
      <c r="R17" s="91">
        <v>1348.5</v>
      </c>
      <c r="S17" s="619">
        <v>970.5</v>
      </c>
    </row>
    <row r="18" spans="1:19" ht="30" customHeight="1" x14ac:dyDescent="0.2">
      <c r="A18" s="291" t="str">
        <f t="shared" si="0"/>
        <v>SOU014 / 1193</v>
      </c>
      <c r="B18" s="89" t="s">
        <v>5560</v>
      </c>
      <c r="C18" s="89" t="s">
        <v>2347</v>
      </c>
      <c r="D18" s="318" t="s">
        <v>5558</v>
      </c>
      <c r="E18" s="369" t="str">
        <f>VLOOKUP(D:D,'Master Table'!C:D,2,FALSE)</f>
        <v>1193</v>
      </c>
      <c r="F18" s="769" t="s">
        <v>5558</v>
      </c>
      <c r="G18" s="769" t="s">
        <v>5559</v>
      </c>
      <c r="H18" s="769" t="s">
        <v>4567</v>
      </c>
      <c r="I18" s="769" t="s">
        <v>5560</v>
      </c>
      <c r="J18" s="769" t="s">
        <v>324</v>
      </c>
      <c r="K18" s="790"/>
      <c r="L18" s="790"/>
      <c r="M18" s="790"/>
      <c r="N18" s="312">
        <f t="shared" si="1"/>
        <v>0</v>
      </c>
      <c r="O18" s="467">
        <f>VLOOKUP(D:D,'Master Table'!C:O,13,FALSE)</f>
        <v>67.95</v>
      </c>
      <c r="P18" s="657">
        <v>67.95</v>
      </c>
      <c r="Q18" s="476">
        <v>0</v>
      </c>
      <c r="R18" s="91">
        <v>94</v>
      </c>
      <c r="S18" s="619">
        <v>0</v>
      </c>
    </row>
    <row r="19" spans="1:19" ht="30" customHeight="1" x14ac:dyDescent="0.2">
      <c r="A19" s="291" t="str">
        <f t="shared" si="0"/>
        <v>SOU015 / 1195</v>
      </c>
      <c r="B19" s="89" t="s">
        <v>7843</v>
      </c>
      <c r="C19" s="89" t="s">
        <v>5563</v>
      </c>
      <c r="D19" s="318" t="s">
        <v>5561</v>
      </c>
      <c r="E19" s="369" t="str">
        <f>VLOOKUP(D:D,'Master Table'!C:D,2,FALSE)</f>
        <v>1195</v>
      </c>
      <c r="F19" s="769" t="s">
        <v>5561</v>
      </c>
      <c r="G19" s="769" t="s">
        <v>5562</v>
      </c>
      <c r="H19" s="769" t="s">
        <v>5563</v>
      </c>
      <c r="I19" s="769" t="s">
        <v>5564</v>
      </c>
      <c r="J19" s="769" t="s">
        <v>324</v>
      </c>
      <c r="K19" s="790"/>
      <c r="L19" s="790">
        <v>150</v>
      </c>
      <c r="M19" s="790"/>
      <c r="N19" s="312">
        <f t="shared" si="1"/>
        <v>150</v>
      </c>
      <c r="O19" s="467">
        <f>VLOOKUP(D:D,'Master Table'!C:O,13,FALSE)</f>
        <v>1626.8600000000001</v>
      </c>
      <c r="P19" s="657">
        <v>1626.8600000000001</v>
      </c>
      <c r="Q19" s="476">
        <v>1475</v>
      </c>
      <c r="R19" s="91">
        <v>1470</v>
      </c>
      <c r="S19" s="619">
        <v>602</v>
      </c>
    </row>
    <row r="20" spans="1:19" ht="30" customHeight="1" x14ac:dyDescent="0.2">
      <c r="A20" s="291" t="str">
        <f t="shared" si="0"/>
        <v>SOU016 / 1196</v>
      </c>
      <c r="B20" s="89" t="s">
        <v>5560</v>
      </c>
      <c r="C20" s="89" t="s">
        <v>7844</v>
      </c>
      <c r="D20" s="318" t="s">
        <v>5566</v>
      </c>
      <c r="E20" s="369" t="str">
        <f>VLOOKUP(D:D,'Master Table'!C:D,2,FALSE)</f>
        <v>1196</v>
      </c>
      <c r="F20" s="769" t="s">
        <v>5566</v>
      </c>
      <c r="G20" s="769" t="s">
        <v>5567</v>
      </c>
      <c r="H20" s="769" t="s">
        <v>5568</v>
      </c>
      <c r="I20" s="769" t="s">
        <v>5560</v>
      </c>
      <c r="J20" s="769" t="s">
        <v>324</v>
      </c>
      <c r="K20" s="790"/>
      <c r="L20" s="790">
        <v>105</v>
      </c>
      <c r="M20" s="790"/>
      <c r="N20" s="312">
        <f t="shared" si="1"/>
        <v>105</v>
      </c>
      <c r="O20" s="467">
        <f>VLOOKUP(D:D,'Master Table'!C:O,13,FALSE)</f>
        <v>396.2</v>
      </c>
      <c r="P20" s="657">
        <v>396.2</v>
      </c>
      <c r="Q20" s="476">
        <v>100.18</v>
      </c>
      <c r="R20" s="91">
        <v>223</v>
      </c>
      <c r="S20" s="619">
        <v>106</v>
      </c>
    </row>
    <row r="21" spans="1:19" ht="30" customHeight="1" x14ac:dyDescent="0.2">
      <c r="A21" s="291" t="str">
        <f t="shared" si="0"/>
        <v>SOU017 / 1198</v>
      </c>
      <c r="B21" s="89" t="s">
        <v>5572</v>
      </c>
      <c r="C21" s="89" t="s">
        <v>2578</v>
      </c>
      <c r="D21" s="318" t="s">
        <v>5570</v>
      </c>
      <c r="E21" s="369" t="str">
        <f>VLOOKUP(D:D,'Master Table'!C:D,2,FALSE)</f>
        <v>1198</v>
      </c>
      <c r="F21" s="769" t="s">
        <v>5570</v>
      </c>
      <c r="G21" s="769" t="s">
        <v>5571</v>
      </c>
      <c r="H21" s="769" t="s">
        <v>989</v>
      </c>
      <c r="I21" s="769" t="s">
        <v>5572</v>
      </c>
      <c r="J21" s="769" t="s">
        <v>324</v>
      </c>
      <c r="K21" s="790"/>
      <c r="L21" s="790">
        <v>179</v>
      </c>
      <c r="M21" s="790"/>
      <c r="N21" s="312">
        <f t="shared" si="1"/>
        <v>179</v>
      </c>
      <c r="O21" s="467">
        <f>VLOOKUP(D:D,'Master Table'!C:O,13,FALSE)</f>
        <v>165</v>
      </c>
      <c r="P21" s="657">
        <v>165</v>
      </c>
      <c r="Q21" s="476">
        <v>255</v>
      </c>
      <c r="R21" s="91">
        <v>493</v>
      </c>
      <c r="S21" s="619">
        <v>978.58</v>
      </c>
    </row>
    <row r="22" spans="1:19" ht="30" customHeight="1" x14ac:dyDescent="0.2">
      <c r="A22" s="291" t="str">
        <f t="shared" si="0"/>
        <v>SOU018 / 1199</v>
      </c>
      <c r="B22" s="89" t="s">
        <v>5575</v>
      </c>
      <c r="C22" s="89" t="s">
        <v>270</v>
      </c>
      <c r="D22" s="318" t="s">
        <v>5573</v>
      </c>
      <c r="E22" s="369" t="str">
        <f>VLOOKUP(D:D,'Master Table'!C:D,2,FALSE)</f>
        <v>1199</v>
      </c>
      <c r="F22" s="769" t="s">
        <v>5573</v>
      </c>
      <c r="G22" s="769" t="s">
        <v>5574</v>
      </c>
      <c r="H22" s="769" t="s">
        <v>1180</v>
      </c>
      <c r="I22" s="769" t="s">
        <v>5575</v>
      </c>
      <c r="J22" s="769" t="s">
        <v>324</v>
      </c>
      <c r="K22" s="790"/>
      <c r="L22" s="790">
        <v>570</v>
      </c>
      <c r="M22" s="790"/>
      <c r="N22" s="312">
        <f t="shared" si="1"/>
        <v>570</v>
      </c>
      <c r="O22" s="467">
        <f>VLOOKUP(D:D,'Master Table'!C:O,13,FALSE)</f>
        <v>1523.2</v>
      </c>
      <c r="P22" s="657">
        <v>1523.2</v>
      </c>
      <c r="Q22" s="476">
        <v>1185.5700000000002</v>
      </c>
      <c r="R22" s="91">
        <v>1227.46</v>
      </c>
      <c r="S22" s="619">
        <v>1661.93</v>
      </c>
    </row>
    <row r="23" spans="1:19" ht="30" customHeight="1" x14ac:dyDescent="0.2">
      <c r="A23" s="291" t="str">
        <f t="shared" si="0"/>
        <v>SOU019 / 1200</v>
      </c>
      <c r="B23" s="89" t="s">
        <v>5578</v>
      </c>
      <c r="C23" s="89" t="s">
        <v>453</v>
      </c>
      <c r="D23" s="318" t="s">
        <v>5576</v>
      </c>
      <c r="E23" s="369" t="str">
        <f>VLOOKUP(D:D,'Master Table'!C:D,2,FALSE)</f>
        <v>1200</v>
      </c>
      <c r="F23" s="769" t="s">
        <v>5576</v>
      </c>
      <c r="G23" s="769" t="s">
        <v>5577</v>
      </c>
      <c r="H23" s="769" t="s">
        <v>56</v>
      </c>
      <c r="I23" s="769" t="s">
        <v>5578</v>
      </c>
      <c r="J23" s="769" t="s">
        <v>324</v>
      </c>
      <c r="K23" s="790">
        <v>336.78</v>
      </c>
      <c r="L23" s="790">
        <v>155</v>
      </c>
      <c r="M23" s="790">
        <v>25</v>
      </c>
      <c r="N23" s="312">
        <f t="shared" si="1"/>
        <v>516.78</v>
      </c>
      <c r="O23" s="467">
        <f>VLOOKUP(D:D,'Master Table'!C:O,13,FALSE)</f>
        <v>1262.1500000000001</v>
      </c>
      <c r="P23" s="657">
        <v>1262.1500000000001</v>
      </c>
      <c r="Q23" s="476">
        <v>970.37</v>
      </c>
      <c r="R23" s="91">
        <v>958.14</v>
      </c>
      <c r="S23" s="619">
        <v>788.9</v>
      </c>
    </row>
    <row r="24" spans="1:19" ht="30" customHeight="1" x14ac:dyDescent="0.2">
      <c r="A24" s="291" t="str">
        <f t="shared" si="0"/>
        <v>SOU020 / 1201</v>
      </c>
      <c r="B24" s="89" t="s">
        <v>5582</v>
      </c>
      <c r="C24" s="89" t="s">
        <v>5581</v>
      </c>
      <c r="D24" s="318" t="s">
        <v>5579</v>
      </c>
      <c r="E24" s="369" t="str">
        <f>VLOOKUP(D:D,'Master Table'!C:D,2,FALSE)</f>
        <v>1201</v>
      </c>
      <c r="F24" s="769" t="s">
        <v>5579</v>
      </c>
      <c r="G24" s="769" t="s">
        <v>5580</v>
      </c>
      <c r="H24" s="769" t="s">
        <v>5581</v>
      </c>
      <c r="I24" s="769" t="s">
        <v>5582</v>
      </c>
      <c r="J24" s="769" t="s">
        <v>324</v>
      </c>
      <c r="K24" s="790"/>
      <c r="L24" s="790">
        <v>50</v>
      </c>
      <c r="M24" s="790"/>
      <c r="N24" s="312">
        <f t="shared" si="1"/>
        <v>50</v>
      </c>
      <c r="O24" s="467">
        <f>VLOOKUP(D:D,'Master Table'!C:O,13,FALSE)</f>
        <v>430.72</v>
      </c>
      <c r="P24" s="657">
        <v>430.72</v>
      </c>
      <c r="Q24" s="476">
        <v>601.98</v>
      </c>
      <c r="R24" s="91">
        <v>1394.14</v>
      </c>
      <c r="S24" s="619">
        <v>1421.68</v>
      </c>
    </row>
    <row r="25" spans="1:19" ht="30" customHeight="1" x14ac:dyDescent="0.2">
      <c r="A25" s="291" t="str">
        <f t="shared" si="0"/>
        <v>SOU021 / 1202</v>
      </c>
      <c r="B25" s="89" t="s">
        <v>5586</v>
      </c>
      <c r="C25" s="89" t="s">
        <v>7845</v>
      </c>
      <c r="D25" s="318" t="s">
        <v>5583</v>
      </c>
      <c r="E25" s="369" t="str">
        <f>VLOOKUP(D:D,'Master Table'!C:D,2,FALSE)</f>
        <v>1202</v>
      </c>
      <c r="F25" s="769" t="s">
        <v>5583</v>
      </c>
      <c r="G25" s="769" t="s">
        <v>5584</v>
      </c>
      <c r="H25" s="769" t="s">
        <v>5585</v>
      </c>
      <c r="I25" s="769" t="s">
        <v>5586</v>
      </c>
      <c r="J25" s="769" t="s">
        <v>324</v>
      </c>
      <c r="K25" s="790"/>
      <c r="L25" s="790">
        <v>30</v>
      </c>
      <c r="M25" s="790"/>
      <c r="N25" s="312">
        <f t="shared" si="1"/>
        <v>30</v>
      </c>
      <c r="O25" s="467">
        <f>VLOOKUP(D:D,'Master Table'!C:O,13,FALSE)</f>
        <v>0</v>
      </c>
      <c r="P25" s="657">
        <v>0</v>
      </c>
      <c r="Q25" s="476">
        <v>1033.9100000000001</v>
      </c>
      <c r="R25" s="91">
        <v>1651.69</v>
      </c>
      <c r="S25" s="619">
        <v>847.71</v>
      </c>
    </row>
    <row r="26" spans="1:19" ht="30" customHeight="1" x14ac:dyDescent="0.2">
      <c r="A26" s="291" t="str">
        <f t="shared" si="0"/>
        <v>SOU022 / 1203</v>
      </c>
      <c r="B26" s="89" t="s">
        <v>5593</v>
      </c>
      <c r="C26" s="89" t="s">
        <v>198</v>
      </c>
      <c r="D26" s="318" t="s">
        <v>5591</v>
      </c>
      <c r="E26" s="369" t="str">
        <f>VLOOKUP(D:D,'Master Table'!C:D,2,FALSE)</f>
        <v>1203</v>
      </c>
      <c r="F26" s="769" t="s">
        <v>5591</v>
      </c>
      <c r="G26" s="769" t="s">
        <v>5592</v>
      </c>
      <c r="H26" s="769" t="s">
        <v>198</v>
      </c>
      <c r="I26" s="769" t="s">
        <v>5593</v>
      </c>
      <c r="J26" s="769" t="s">
        <v>324</v>
      </c>
      <c r="K26" s="790"/>
      <c r="L26" s="790">
        <v>460</v>
      </c>
      <c r="M26" s="790"/>
      <c r="N26" s="312">
        <f t="shared" si="1"/>
        <v>460</v>
      </c>
      <c r="O26" s="467">
        <f>VLOOKUP(D:D,'Master Table'!C:O,13,FALSE)</f>
        <v>1582.48</v>
      </c>
      <c r="P26" s="657">
        <v>1582.48</v>
      </c>
      <c r="Q26" s="476">
        <v>525</v>
      </c>
      <c r="R26" s="91">
        <v>513</v>
      </c>
      <c r="S26" s="619">
        <v>515</v>
      </c>
    </row>
    <row r="27" spans="1:19" ht="30" customHeight="1" x14ac:dyDescent="0.2">
      <c r="A27" s="291" t="str">
        <f t="shared" si="0"/>
        <v>SOU023 / 1204</v>
      </c>
      <c r="B27" s="89" t="s">
        <v>5596</v>
      </c>
      <c r="C27" s="89" t="s">
        <v>783</v>
      </c>
      <c r="D27" s="318" t="s">
        <v>5594</v>
      </c>
      <c r="E27" s="369" t="str">
        <f>VLOOKUP(D:D,'Master Table'!C:D,2,FALSE)</f>
        <v>1204</v>
      </c>
      <c r="F27" s="769" t="s">
        <v>5594</v>
      </c>
      <c r="G27" s="769" t="s">
        <v>5595</v>
      </c>
      <c r="H27" s="769" t="s">
        <v>783</v>
      </c>
      <c r="I27" s="769" t="s">
        <v>5596</v>
      </c>
      <c r="J27" s="769" t="s">
        <v>324</v>
      </c>
      <c r="K27" s="790"/>
      <c r="L27" s="790">
        <v>215</v>
      </c>
      <c r="M27" s="790"/>
      <c r="N27" s="312">
        <f t="shared" si="1"/>
        <v>215</v>
      </c>
      <c r="O27" s="467">
        <f>VLOOKUP(D:D,'Master Table'!C:O,13,FALSE)</f>
        <v>210</v>
      </c>
      <c r="P27" s="657">
        <v>210</v>
      </c>
      <c r="Q27" s="476">
        <v>405</v>
      </c>
      <c r="R27" s="91">
        <v>425</v>
      </c>
      <c r="S27" s="619">
        <v>762.69</v>
      </c>
    </row>
    <row r="28" spans="1:19" ht="30" customHeight="1" x14ac:dyDescent="0.2">
      <c r="A28" s="291" t="str">
        <f t="shared" si="0"/>
        <v>SOU024 / 1205</v>
      </c>
      <c r="B28" s="89" t="s">
        <v>5600</v>
      </c>
      <c r="C28" s="89" t="s">
        <v>7846</v>
      </c>
      <c r="D28" s="318" t="s">
        <v>5597</v>
      </c>
      <c r="E28" s="369" t="str">
        <f>VLOOKUP(D:D,'Master Table'!C:D,2,FALSE)</f>
        <v>1205</v>
      </c>
      <c r="F28" s="769" t="s">
        <v>5597</v>
      </c>
      <c r="G28" s="769" t="s">
        <v>5598</v>
      </c>
      <c r="H28" s="769" t="s">
        <v>5599</v>
      </c>
      <c r="I28" s="769" t="s">
        <v>5600</v>
      </c>
      <c r="J28" s="769" t="s">
        <v>324</v>
      </c>
      <c r="K28" s="790"/>
      <c r="L28" s="790">
        <v>30</v>
      </c>
      <c r="M28" s="790"/>
      <c r="N28" s="312">
        <f t="shared" si="1"/>
        <v>30</v>
      </c>
      <c r="O28" s="467">
        <f>VLOOKUP(D:D,'Master Table'!C:O,13,FALSE)</f>
        <v>26.91</v>
      </c>
      <c r="P28" s="657">
        <v>26.91</v>
      </c>
      <c r="Q28" s="476">
        <v>60</v>
      </c>
      <c r="R28" s="91">
        <v>60</v>
      </c>
      <c r="S28" s="619">
        <v>60</v>
      </c>
    </row>
    <row r="29" spans="1:19" ht="30" customHeight="1" x14ac:dyDescent="0.2">
      <c r="A29" s="291" t="str">
        <f t="shared" si="0"/>
        <v>SOU025 / 1206</v>
      </c>
      <c r="B29" s="89" t="s">
        <v>5603</v>
      </c>
      <c r="C29" s="89" t="s">
        <v>7216</v>
      </c>
      <c r="D29" s="318" t="s">
        <v>5601</v>
      </c>
      <c r="E29" s="369" t="str">
        <f>VLOOKUP(D:D,'Master Table'!C:D,2,FALSE)</f>
        <v>1206</v>
      </c>
      <c r="F29" s="769" t="s">
        <v>5601</v>
      </c>
      <c r="G29" s="769" t="s">
        <v>5602</v>
      </c>
      <c r="H29" s="769" t="s">
        <v>11</v>
      </c>
      <c r="I29" s="769" t="s">
        <v>5603</v>
      </c>
      <c r="J29" s="769" t="s">
        <v>324</v>
      </c>
      <c r="K29" s="790">
        <v>577.58000000000004</v>
      </c>
      <c r="L29" s="790">
        <v>419</v>
      </c>
      <c r="M29" s="790"/>
      <c r="N29" s="312">
        <f t="shared" si="1"/>
        <v>996.58</v>
      </c>
      <c r="O29" s="467">
        <f>VLOOKUP(D:D,'Master Table'!C:O,13,FALSE)</f>
        <v>1482.6</v>
      </c>
      <c r="P29" s="657">
        <v>1482.6</v>
      </c>
      <c r="Q29" s="476">
        <v>1042.9299999999998</v>
      </c>
      <c r="R29" s="91">
        <v>442.42</v>
      </c>
      <c r="S29" s="619">
        <v>339</v>
      </c>
    </row>
    <row r="30" spans="1:19" ht="30" customHeight="1" x14ac:dyDescent="0.2">
      <c r="A30" s="291" t="str">
        <f t="shared" si="0"/>
        <v>SOU026 / 1207</v>
      </c>
      <c r="B30" s="89" t="s">
        <v>5607</v>
      </c>
      <c r="C30" s="89" t="s">
        <v>119</v>
      </c>
      <c r="D30" s="318" t="s">
        <v>5605</v>
      </c>
      <c r="E30" s="369" t="str">
        <f>VLOOKUP(D:D,'Master Table'!C:D,2,FALSE)</f>
        <v>1207</v>
      </c>
      <c r="F30" s="769" t="s">
        <v>5605</v>
      </c>
      <c r="G30" s="769" t="s">
        <v>5606</v>
      </c>
      <c r="H30" s="769" t="s">
        <v>119</v>
      </c>
      <c r="I30" s="769" t="s">
        <v>5607</v>
      </c>
      <c r="J30" s="769" t="s">
        <v>324</v>
      </c>
      <c r="K30" s="790"/>
      <c r="L30" s="790">
        <v>50</v>
      </c>
      <c r="M30" s="790"/>
      <c r="N30" s="312">
        <f t="shared" si="1"/>
        <v>50</v>
      </c>
      <c r="O30" s="467">
        <f>VLOOKUP(D:D,'Master Table'!C:O,13,FALSE)</f>
        <v>207.77</v>
      </c>
      <c r="P30" s="657">
        <v>207.77</v>
      </c>
      <c r="Q30" s="476">
        <v>204.3</v>
      </c>
      <c r="R30" s="91">
        <v>114.88</v>
      </c>
      <c r="S30" s="619">
        <v>128.52000000000001</v>
      </c>
    </row>
    <row r="31" spans="1:19" ht="30" customHeight="1" x14ac:dyDescent="0.2">
      <c r="A31" s="291" t="str">
        <f t="shared" si="0"/>
        <v>SOU027 / 1208</v>
      </c>
      <c r="B31" s="89" t="s">
        <v>5611</v>
      </c>
      <c r="C31" s="89" t="s">
        <v>5610</v>
      </c>
      <c r="D31" s="318" t="s">
        <v>5608</v>
      </c>
      <c r="E31" s="369" t="str">
        <f>VLOOKUP(D:D,'Master Table'!C:D,2,FALSE)</f>
        <v>1208</v>
      </c>
      <c r="F31" s="769" t="s">
        <v>5608</v>
      </c>
      <c r="G31" s="769" t="s">
        <v>5609</v>
      </c>
      <c r="H31" s="769" t="s">
        <v>5610</v>
      </c>
      <c r="I31" s="769" t="s">
        <v>5611</v>
      </c>
      <c r="J31" s="769" t="s">
        <v>324</v>
      </c>
      <c r="K31" s="790"/>
      <c r="L31" s="790">
        <v>50</v>
      </c>
      <c r="M31" s="790"/>
      <c r="N31" s="312">
        <f t="shared" si="1"/>
        <v>50</v>
      </c>
      <c r="O31" s="467">
        <f>VLOOKUP(D:D,'Master Table'!C:O,13,FALSE)</f>
        <v>525.29</v>
      </c>
      <c r="P31" s="657">
        <v>525.29</v>
      </c>
      <c r="Q31" s="476">
        <v>522.22</v>
      </c>
      <c r="R31" s="91">
        <v>633</v>
      </c>
      <c r="S31" s="619">
        <v>1406.3500000000001</v>
      </c>
    </row>
    <row r="32" spans="1:19" ht="30" customHeight="1" x14ac:dyDescent="0.2">
      <c r="A32" s="291" t="str">
        <f t="shared" si="0"/>
        <v>SOU028 / 1209</v>
      </c>
      <c r="B32" s="89" t="s">
        <v>5614</v>
      </c>
      <c r="C32" s="89" t="s">
        <v>532</v>
      </c>
      <c r="D32" s="318" t="s">
        <v>5612</v>
      </c>
      <c r="E32" s="369" t="str">
        <f>VLOOKUP(D:D,'Master Table'!C:D,2,FALSE)</f>
        <v>1209</v>
      </c>
      <c r="F32" s="769" t="s">
        <v>5612</v>
      </c>
      <c r="G32" s="769" t="s">
        <v>5613</v>
      </c>
      <c r="H32" s="769" t="s">
        <v>61</v>
      </c>
      <c r="I32" s="769" t="s">
        <v>5614</v>
      </c>
      <c r="J32" s="769" t="s">
        <v>324</v>
      </c>
      <c r="K32" s="790"/>
      <c r="L32" s="790">
        <v>1470</v>
      </c>
      <c r="M32" s="790">
        <v>100.53</v>
      </c>
      <c r="N32" s="312">
        <f t="shared" si="1"/>
        <v>1570.53</v>
      </c>
      <c r="O32" s="467">
        <f>VLOOKUP(D:D,'Master Table'!C:O,13,FALSE)</f>
        <v>2821.76</v>
      </c>
      <c r="P32" s="657">
        <v>2821.76</v>
      </c>
      <c r="Q32" s="476">
        <v>2504.0699999999997</v>
      </c>
      <c r="R32" s="91">
        <v>2110.4299999999998</v>
      </c>
      <c r="S32" s="619">
        <v>2544.83</v>
      </c>
    </row>
    <row r="33" spans="1:19" ht="30" customHeight="1" x14ac:dyDescent="0.2">
      <c r="A33" s="291" t="str">
        <f t="shared" si="0"/>
        <v>SOU029 / 1210</v>
      </c>
      <c r="B33" s="89" t="s">
        <v>5618</v>
      </c>
      <c r="C33" s="89" t="s">
        <v>5617</v>
      </c>
      <c r="D33" s="318" t="s">
        <v>5615</v>
      </c>
      <c r="E33" s="369" t="str">
        <f>VLOOKUP(D:D,'Master Table'!C:D,2,FALSE)</f>
        <v>1210</v>
      </c>
      <c r="F33" s="769" t="s">
        <v>5615</v>
      </c>
      <c r="G33" s="769" t="s">
        <v>5616</v>
      </c>
      <c r="H33" s="769" t="s">
        <v>5617</v>
      </c>
      <c r="I33" s="769" t="s">
        <v>5618</v>
      </c>
      <c r="J33" s="769" t="s">
        <v>324</v>
      </c>
      <c r="K33" s="790"/>
      <c r="L33" s="790">
        <v>220</v>
      </c>
      <c r="M33" s="790"/>
      <c r="N33" s="312">
        <f t="shared" si="1"/>
        <v>220</v>
      </c>
      <c r="O33" s="467">
        <f>VLOOKUP(D:D,'Master Table'!C:O,13,FALSE)</f>
        <v>685.23</v>
      </c>
      <c r="P33" s="657">
        <v>685.23</v>
      </c>
      <c r="Q33" s="476">
        <v>677.33</v>
      </c>
      <c r="R33" s="91">
        <v>556.54</v>
      </c>
      <c r="S33" s="619">
        <v>628.57000000000005</v>
      </c>
    </row>
    <row r="34" spans="1:19" ht="30" customHeight="1" x14ac:dyDescent="0.2">
      <c r="A34" s="291" t="str">
        <f t="shared" si="0"/>
        <v>SOU030 / 1211</v>
      </c>
      <c r="B34" s="89" t="s">
        <v>5623</v>
      </c>
      <c r="C34" s="89" t="s">
        <v>5622</v>
      </c>
      <c r="D34" s="318" t="s">
        <v>5620</v>
      </c>
      <c r="E34" s="369" t="str">
        <f>VLOOKUP(D:D,'Master Table'!C:D,2,FALSE)</f>
        <v>1211</v>
      </c>
      <c r="F34" s="769" t="s">
        <v>5620</v>
      </c>
      <c r="G34" s="769" t="s">
        <v>5621</v>
      </c>
      <c r="H34" s="769" t="s">
        <v>5622</v>
      </c>
      <c r="I34" s="769" t="s">
        <v>5623</v>
      </c>
      <c r="J34" s="769" t="s">
        <v>324</v>
      </c>
      <c r="K34" s="790"/>
      <c r="L34" s="790">
        <v>152</v>
      </c>
      <c r="M34" s="790"/>
      <c r="N34" s="312">
        <f t="shared" si="1"/>
        <v>152</v>
      </c>
      <c r="O34" s="467">
        <f>VLOOKUP(D:D,'Master Table'!C:O,13,FALSE)</f>
        <v>634.9</v>
      </c>
      <c r="P34" s="657">
        <v>634.9</v>
      </c>
      <c r="Q34" s="476">
        <v>757.77</v>
      </c>
      <c r="R34" s="91">
        <v>814.19</v>
      </c>
      <c r="S34" s="619">
        <v>864.7</v>
      </c>
    </row>
    <row r="35" spans="1:19" ht="30" customHeight="1" x14ac:dyDescent="0.2">
      <c r="A35" s="291" t="str">
        <f t="shared" si="0"/>
        <v>SOU031 / 1212</v>
      </c>
      <c r="B35" s="89" t="s">
        <v>5631</v>
      </c>
      <c r="C35" s="89" t="s">
        <v>231</v>
      </c>
      <c r="D35" s="318" t="s">
        <v>5629</v>
      </c>
      <c r="E35" s="369" t="str">
        <f>VLOOKUP(D:D,'Master Table'!C:D,2,FALSE)</f>
        <v>1212</v>
      </c>
      <c r="F35" s="769" t="s">
        <v>5629</v>
      </c>
      <c r="G35" s="769" t="s">
        <v>5630</v>
      </c>
      <c r="H35" s="769" t="s">
        <v>428</v>
      </c>
      <c r="I35" s="769" t="s">
        <v>5631</v>
      </c>
      <c r="J35" s="769" t="s">
        <v>324</v>
      </c>
      <c r="K35" s="790"/>
      <c r="L35" s="790">
        <v>90</v>
      </c>
      <c r="M35" s="790">
        <v>116</v>
      </c>
      <c r="N35" s="312">
        <f t="shared" si="1"/>
        <v>206</v>
      </c>
      <c r="O35" s="467">
        <f>VLOOKUP(D:D,'Master Table'!C:O,13,FALSE)</f>
        <v>780</v>
      </c>
      <c r="P35" s="657">
        <v>780</v>
      </c>
      <c r="Q35" s="476">
        <v>185</v>
      </c>
      <c r="R35" s="91">
        <v>171</v>
      </c>
      <c r="S35" s="619">
        <v>1061.96</v>
      </c>
    </row>
    <row r="36" spans="1:19" ht="30" customHeight="1" x14ac:dyDescent="0.2">
      <c r="A36" s="291" t="str">
        <f t="shared" si="0"/>
        <v>SOU032 / 1213</v>
      </c>
      <c r="B36" s="89" t="s">
        <v>5634</v>
      </c>
      <c r="C36" s="89" t="s">
        <v>78</v>
      </c>
      <c r="D36" s="318" t="s">
        <v>5632</v>
      </c>
      <c r="E36" s="369" t="str">
        <f>VLOOKUP(D:D,'Master Table'!C:D,2,FALSE)</f>
        <v>1213</v>
      </c>
      <c r="F36" s="769" t="s">
        <v>5632</v>
      </c>
      <c r="G36" s="769" t="s">
        <v>5633</v>
      </c>
      <c r="H36" s="769" t="s">
        <v>78</v>
      </c>
      <c r="I36" s="769" t="s">
        <v>5634</v>
      </c>
      <c r="J36" s="769" t="s">
        <v>324</v>
      </c>
      <c r="K36" s="790">
        <v>1522.01</v>
      </c>
      <c r="L36" s="790">
        <v>1874</v>
      </c>
      <c r="M36" s="790"/>
      <c r="N36" s="312">
        <f t="shared" si="1"/>
        <v>3396.01</v>
      </c>
      <c r="O36" s="467">
        <f>VLOOKUP(D:D,'Master Table'!C:O,13,FALSE)</f>
        <v>4664.17</v>
      </c>
      <c r="P36" s="657">
        <v>4664.17</v>
      </c>
      <c r="Q36" s="476">
        <v>1379.13</v>
      </c>
      <c r="R36" s="91">
        <v>1762.5</v>
      </c>
      <c r="S36" s="619">
        <v>1195</v>
      </c>
    </row>
    <row r="37" spans="1:19" ht="30" customHeight="1" x14ac:dyDescent="0.2">
      <c r="A37" s="291" t="str">
        <f t="shared" si="0"/>
        <v>SOU033 / 1215</v>
      </c>
      <c r="B37" s="89" t="s">
        <v>5638</v>
      </c>
      <c r="C37" s="89" t="s">
        <v>1349</v>
      </c>
      <c r="D37" s="318" t="s">
        <v>5636</v>
      </c>
      <c r="E37" s="369" t="str">
        <f>VLOOKUP(D:D,'Master Table'!C:D,2,FALSE)</f>
        <v>1215</v>
      </c>
      <c r="F37" s="769" t="s">
        <v>5636</v>
      </c>
      <c r="G37" s="769" t="s">
        <v>5637</v>
      </c>
      <c r="H37" s="769" t="s">
        <v>94</v>
      </c>
      <c r="I37" s="769" t="s">
        <v>5638</v>
      </c>
      <c r="J37" s="769" t="s">
        <v>324</v>
      </c>
      <c r="K37" s="790">
        <v>1534.1100000000001</v>
      </c>
      <c r="L37" s="790">
        <v>470</v>
      </c>
      <c r="M37" s="790"/>
      <c r="N37" s="312">
        <f t="shared" si="1"/>
        <v>2004.1100000000001</v>
      </c>
      <c r="O37" s="467">
        <f>VLOOKUP(D:D,'Master Table'!C:O,13,FALSE)</f>
        <v>2302.91</v>
      </c>
      <c r="P37" s="657">
        <v>2302.91</v>
      </c>
      <c r="Q37" s="476">
        <v>2551.98</v>
      </c>
      <c r="R37" s="91">
        <v>1635.28</v>
      </c>
      <c r="S37" s="619">
        <v>1781.26</v>
      </c>
    </row>
    <row r="38" spans="1:19" ht="30" customHeight="1" x14ac:dyDescent="0.2">
      <c r="A38" s="291" t="str">
        <f t="shared" si="0"/>
        <v>SOU034 / 1216</v>
      </c>
      <c r="B38" s="89" t="s">
        <v>5643</v>
      </c>
      <c r="C38" s="89" t="s">
        <v>7847</v>
      </c>
      <c r="D38" s="318" t="s">
        <v>5640</v>
      </c>
      <c r="E38" s="369" t="str">
        <f>VLOOKUP(D:D,'Master Table'!C:D,2,FALSE)</f>
        <v>1216</v>
      </c>
      <c r="F38" s="769" t="s">
        <v>5640</v>
      </c>
      <c r="G38" s="769" t="s">
        <v>5641</v>
      </c>
      <c r="H38" s="769" t="s">
        <v>5642</v>
      </c>
      <c r="I38" s="769" t="s">
        <v>5643</v>
      </c>
      <c r="J38" s="769" t="s">
        <v>324</v>
      </c>
      <c r="K38" s="790">
        <v>213.28</v>
      </c>
      <c r="L38" s="790">
        <v>1270</v>
      </c>
      <c r="M38" s="790"/>
      <c r="N38" s="312">
        <f t="shared" si="1"/>
        <v>1483.28</v>
      </c>
      <c r="O38" s="467">
        <f>VLOOKUP(D:D,'Master Table'!C:O,13,FALSE)</f>
        <v>1599.49</v>
      </c>
      <c r="P38" s="657">
        <v>1599.49</v>
      </c>
      <c r="Q38" s="476">
        <v>1725.35</v>
      </c>
      <c r="R38" s="91">
        <v>1933.9</v>
      </c>
      <c r="S38" s="619">
        <v>1335</v>
      </c>
    </row>
    <row r="39" spans="1:19" ht="30" customHeight="1" x14ac:dyDescent="0.2">
      <c r="A39" s="291" t="str">
        <f t="shared" si="0"/>
        <v>SOU035 / 1217</v>
      </c>
      <c r="B39" s="89" t="s">
        <v>5646</v>
      </c>
      <c r="C39" s="89" t="s">
        <v>1349</v>
      </c>
      <c r="D39" s="318" t="s">
        <v>5644</v>
      </c>
      <c r="E39" s="369" t="str">
        <f>VLOOKUP(D:D,'Master Table'!C:D,2,FALSE)</f>
        <v>1217</v>
      </c>
      <c r="F39" s="769" t="s">
        <v>5644</v>
      </c>
      <c r="G39" s="769" t="s">
        <v>5645</v>
      </c>
      <c r="H39" s="769" t="s">
        <v>94</v>
      </c>
      <c r="I39" s="769" t="s">
        <v>5646</v>
      </c>
      <c r="J39" s="769" t="s">
        <v>324</v>
      </c>
      <c r="K39" s="790"/>
      <c r="L39" s="790">
        <v>115</v>
      </c>
      <c r="M39" s="790"/>
      <c r="N39" s="312">
        <f t="shared" si="1"/>
        <v>115</v>
      </c>
      <c r="O39" s="467">
        <f>VLOOKUP(D:D,'Master Table'!C:O,13,FALSE)</f>
        <v>168.16</v>
      </c>
      <c r="P39" s="657">
        <v>168.16</v>
      </c>
      <c r="Q39" s="476">
        <v>338.54</v>
      </c>
      <c r="R39" s="91">
        <v>551.35</v>
      </c>
      <c r="S39" s="619">
        <v>637</v>
      </c>
    </row>
    <row r="40" spans="1:19" ht="30" customHeight="1" x14ac:dyDescent="0.2">
      <c r="A40" s="291" t="str">
        <f t="shared" si="0"/>
        <v>SOU036 / 1218</v>
      </c>
      <c r="B40" s="89" t="s">
        <v>5649</v>
      </c>
      <c r="C40" s="89" t="s">
        <v>3974</v>
      </c>
      <c r="D40" s="318" t="s">
        <v>5647</v>
      </c>
      <c r="E40" s="369" t="str">
        <f>VLOOKUP(D:D,'Master Table'!C:D,2,FALSE)</f>
        <v>1218</v>
      </c>
      <c r="F40" s="769" t="s">
        <v>5647</v>
      </c>
      <c r="G40" s="769" t="s">
        <v>5648</v>
      </c>
      <c r="H40" s="769" t="s">
        <v>3974</v>
      </c>
      <c r="I40" s="769" t="s">
        <v>5649</v>
      </c>
      <c r="J40" s="769" t="s">
        <v>324</v>
      </c>
      <c r="K40" s="790"/>
      <c r="L40" s="790">
        <v>96</v>
      </c>
      <c r="M40" s="790"/>
      <c r="N40" s="312">
        <f t="shared" si="1"/>
        <v>96</v>
      </c>
      <c r="O40" s="467">
        <f>VLOOKUP(D:D,'Master Table'!C:O,13,FALSE)</f>
        <v>95</v>
      </c>
      <c r="P40" s="657">
        <v>95</v>
      </c>
      <c r="Q40" s="476">
        <v>75</v>
      </c>
      <c r="R40" s="91">
        <v>95</v>
      </c>
      <c r="S40" s="619">
        <v>117</v>
      </c>
    </row>
    <row r="41" spans="1:19" ht="30" customHeight="1" x14ac:dyDescent="0.2">
      <c r="A41" s="291" t="str">
        <f t="shared" si="0"/>
        <v>SOU037 / 1219</v>
      </c>
      <c r="B41" s="89" t="s">
        <v>5653</v>
      </c>
      <c r="C41" s="89" t="s">
        <v>5652</v>
      </c>
      <c r="D41" s="318" t="s">
        <v>5650</v>
      </c>
      <c r="E41" s="369" t="str">
        <f>VLOOKUP(D:D,'Master Table'!C:D,2,FALSE)</f>
        <v>1219</v>
      </c>
      <c r="F41" s="769" t="s">
        <v>5650</v>
      </c>
      <c r="G41" s="769" t="s">
        <v>5651</v>
      </c>
      <c r="H41" s="769" t="s">
        <v>5652</v>
      </c>
      <c r="I41" s="769" t="s">
        <v>5653</v>
      </c>
      <c r="J41" s="769" t="s">
        <v>324</v>
      </c>
      <c r="K41" s="790"/>
      <c r="L41" s="790">
        <v>25</v>
      </c>
      <c r="M41" s="790"/>
      <c r="N41" s="312">
        <f t="shared" si="1"/>
        <v>25</v>
      </c>
      <c r="O41" s="467">
        <f>VLOOKUP(D:D,'Master Table'!C:O,13,FALSE)</f>
        <v>65</v>
      </c>
      <c r="P41" s="657">
        <v>65</v>
      </c>
      <c r="Q41" s="476">
        <v>101</v>
      </c>
      <c r="R41" s="91">
        <v>85</v>
      </c>
      <c r="S41" s="619">
        <v>85</v>
      </c>
    </row>
    <row r="42" spans="1:19" ht="30" customHeight="1" x14ac:dyDescent="0.2">
      <c r="A42" s="291" t="str">
        <f t="shared" si="0"/>
        <v>SOU038 / 1220</v>
      </c>
      <c r="B42" s="89" t="s">
        <v>5663</v>
      </c>
      <c r="C42" s="89" t="s">
        <v>1762</v>
      </c>
      <c r="D42" s="318" t="s">
        <v>5660</v>
      </c>
      <c r="E42" s="369" t="str">
        <f>VLOOKUP(D:D,'Master Table'!C:D,2,FALSE)</f>
        <v>1220</v>
      </c>
      <c r="F42" s="769" t="s">
        <v>5660</v>
      </c>
      <c r="G42" s="769" t="s">
        <v>5661</v>
      </c>
      <c r="H42" s="769" t="s">
        <v>5662</v>
      </c>
      <c r="I42" s="769" t="s">
        <v>5663</v>
      </c>
      <c r="J42" s="769" t="s">
        <v>324</v>
      </c>
      <c r="K42" s="790">
        <v>281</v>
      </c>
      <c r="L42" s="790">
        <v>62</v>
      </c>
      <c r="M42" s="790"/>
      <c r="N42" s="312">
        <f>K42+L42+M42</f>
        <v>343</v>
      </c>
      <c r="O42" s="467">
        <f>VLOOKUP(D:D,'Master Table'!C:O,13,FALSE)</f>
        <v>198.36000000000004</v>
      </c>
      <c r="P42" s="657">
        <v>198.36000000000004</v>
      </c>
      <c r="Q42" s="476">
        <v>724.72</v>
      </c>
      <c r="R42" s="91">
        <v>1374.19</v>
      </c>
      <c r="S42" s="619">
        <v>1349.04</v>
      </c>
    </row>
    <row r="43" spans="1:19" ht="30" customHeight="1" x14ac:dyDescent="0.2">
      <c r="A43" s="291" t="str">
        <f t="shared" si="0"/>
        <v>SOU039 / 1221</v>
      </c>
      <c r="B43" s="89" t="s">
        <v>5668</v>
      </c>
      <c r="C43" s="89" t="s">
        <v>5667</v>
      </c>
      <c r="D43" s="318" t="s">
        <v>5665</v>
      </c>
      <c r="E43" s="369" t="str">
        <f>VLOOKUP(D:D,'Master Table'!C:D,2,FALSE)</f>
        <v>1221</v>
      </c>
      <c r="F43" s="769" t="s">
        <v>5665</v>
      </c>
      <c r="G43" s="769" t="s">
        <v>5666</v>
      </c>
      <c r="H43" s="769" t="s">
        <v>5667</v>
      </c>
      <c r="I43" s="769" t="s">
        <v>5668</v>
      </c>
      <c r="J43" s="769" t="s">
        <v>324</v>
      </c>
      <c r="K43" s="790"/>
      <c r="L43" s="790">
        <v>80</v>
      </c>
      <c r="M43" s="790">
        <v>54.15</v>
      </c>
      <c r="N43" s="312">
        <f t="shared" ref="N43:N98" si="2">K43+L43+M43</f>
        <v>134.15</v>
      </c>
      <c r="O43" s="467">
        <f>VLOOKUP(D:D,'Master Table'!C:O,13,FALSE)</f>
        <v>546.58999999999992</v>
      </c>
      <c r="P43" s="657">
        <v>546.58999999999992</v>
      </c>
      <c r="Q43" s="476">
        <v>130</v>
      </c>
      <c r="R43" s="91">
        <v>550</v>
      </c>
      <c r="S43" s="619">
        <v>533.72</v>
      </c>
    </row>
    <row r="44" spans="1:19" ht="30" customHeight="1" x14ac:dyDescent="0.2">
      <c r="A44" s="291" t="str">
        <f t="shared" si="0"/>
        <v>SOU040 / 1222</v>
      </c>
      <c r="B44" s="89" t="s">
        <v>5671</v>
      </c>
      <c r="C44" s="89" t="s">
        <v>226</v>
      </c>
      <c r="D44" s="318" t="s">
        <v>5669</v>
      </c>
      <c r="E44" s="369" t="str">
        <f>VLOOKUP(D:D,'Master Table'!C:D,2,FALSE)</f>
        <v>1222</v>
      </c>
      <c r="F44" s="769" t="s">
        <v>5669</v>
      </c>
      <c r="G44" s="769" t="s">
        <v>5670</v>
      </c>
      <c r="H44" s="769" t="s">
        <v>31</v>
      </c>
      <c r="I44" s="769" t="s">
        <v>5671</v>
      </c>
      <c r="J44" s="769" t="s">
        <v>324</v>
      </c>
      <c r="K44" s="790">
        <v>195</v>
      </c>
      <c r="L44" s="790">
        <v>605</v>
      </c>
      <c r="M44" s="790">
        <v>45</v>
      </c>
      <c r="N44" s="312">
        <f t="shared" si="2"/>
        <v>845</v>
      </c>
      <c r="O44" s="467">
        <f>VLOOKUP(D:D,'Master Table'!C:O,13,FALSE)</f>
        <v>1401.0500000000002</v>
      </c>
      <c r="P44" s="657">
        <v>1401.0500000000002</v>
      </c>
      <c r="Q44" s="476">
        <v>740.54</v>
      </c>
      <c r="R44" s="91">
        <v>856.96</v>
      </c>
      <c r="S44" s="619">
        <v>760.5</v>
      </c>
    </row>
    <row r="45" spans="1:19" ht="30" customHeight="1" x14ac:dyDescent="0.2">
      <c r="A45" s="291" t="str">
        <f t="shared" si="0"/>
        <v>SOU041 / 1223</v>
      </c>
      <c r="B45" s="89" t="s">
        <v>5675</v>
      </c>
      <c r="C45" s="89" t="s">
        <v>158</v>
      </c>
      <c r="D45" s="318" t="s">
        <v>5673</v>
      </c>
      <c r="E45" s="369" t="str">
        <f>VLOOKUP(D:D,'Master Table'!C:D,2,FALSE)</f>
        <v>1223</v>
      </c>
      <c r="F45" s="769" t="s">
        <v>5673</v>
      </c>
      <c r="G45" s="769" t="s">
        <v>5674</v>
      </c>
      <c r="H45" s="769" t="s">
        <v>124</v>
      </c>
      <c r="I45" s="769" t="s">
        <v>5675</v>
      </c>
      <c r="J45" s="769" t="s">
        <v>324</v>
      </c>
      <c r="K45" s="790">
        <v>357.81</v>
      </c>
      <c r="L45" s="790">
        <v>170</v>
      </c>
      <c r="M45" s="790"/>
      <c r="N45" s="312">
        <f t="shared" si="2"/>
        <v>527.80999999999995</v>
      </c>
      <c r="O45" s="467">
        <f>VLOOKUP(D:D,'Master Table'!C:O,13,FALSE)</f>
        <v>709.13000000000011</v>
      </c>
      <c r="P45" s="657">
        <v>709.13000000000011</v>
      </c>
      <c r="Q45" s="476">
        <v>711.49</v>
      </c>
      <c r="R45" s="91">
        <v>1154.6199999999999</v>
      </c>
      <c r="S45" s="619">
        <v>842.46</v>
      </c>
    </row>
    <row r="46" spans="1:19" ht="30" customHeight="1" x14ac:dyDescent="0.2">
      <c r="A46" s="291" t="str">
        <f t="shared" si="0"/>
        <v>SOU042 / 1224</v>
      </c>
      <c r="B46" s="89" t="s">
        <v>5680</v>
      </c>
      <c r="C46" s="89" t="s">
        <v>7848</v>
      </c>
      <c r="D46" s="318" t="s">
        <v>5677</v>
      </c>
      <c r="E46" s="369" t="str">
        <f>VLOOKUP(D:D,'Master Table'!C:D,2,FALSE)</f>
        <v>1224</v>
      </c>
      <c r="F46" s="769" t="s">
        <v>5677</v>
      </c>
      <c r="G46" s="769" t="s">
        <v>5678</v>
      </c>
      <c r="H46" s="769" t="s">
        <v>5679</v>
      </c>
      <c r="I46" s="769" t="s">
        <v>5680</v>
      </c>
      <c r="J46" s="769" t="s">
        <v>324</v>
      </c>
      <c r="K46" s="790"/>
      <c r="L46" s="790">
        <v>1085</v>
      </c>
      <c r="M46" s="790"/>
      <c r="N46" s="312">
        <f t="shared" si="2"/>
        <v>1085</v>
      </c>
      <c r="O46" s="467">
        <f>VLOOKUP(D:D,'Master Table'!C:O,13,FALSE)</f>
        <v>945</v>
      </c>
      <c r="P46" s="657">
        <v>945</v>
      </c>
      <c r="Q46" s="476">
        <v>1440</v>
      </c>
      <c r="R46" s="91">
        <v>1035</v>
      </c>
      <c r="S46" s="619">
        <v>1250</v>
      </c>
    </row>
    <row r="47" spans="1:19" ht="30" customHeight="1" x14ac:dyDescent="0.2">
      <c r="A47" s="291" t="str">
        <f t="shared" si="0"/>
        <v>SOU043 / 1225</v>
      </c>
      <c r="B47" s="89" t="s">
        <v>7849</v>
      </c>
      <c r="C47" s="89" t="s">
        <v>246</v>
      </c>
      <c r="D47" s="318" t="s">
        <v>5681</v>
      </c>
      <c r="E47" s="369" t="str">
        <f>VLOOKUP(D:D,'Master Table'!C:D,2,FALSE)</f>
        <v>1225</v>
      </c>
      <c r="F47" s="769" t="s">
        <v>5681</v>
      </c>
      <c r="G47" s="769" t="s">
        <v>5682</v>
      </c>
      <c r="H47" s="769" t="s">
        <v>5683</v>
      </c>
      <c r="I47" s="769" t="s">
        <v>5684</v>
      </c>
      <c r="J47" s="769" t="s">
        <v>324</v>
      </c>
      <c r="K47" s="790"/>
      <c r="L47" s="790">
        <v>165</v>
      </c>
      <c r="M47" s="790"/>
      <c r="N47" s="312">
        <f t="shared" si="2"/>
        <v>165</v>
      </c>
      <c r="O47" s="467">
        <f>VLOOKUP(D:D,'Master Table'!C:O,13,FALSE)</f>
        <v>78.5</v>
      </c>
      <c r="P47" s="657">
        <v>78.5</v>
      </c>
      <c r="Q47" s="476">
        <v>60</v>
      </c>
      <c r="R47" s="91">
        <v>67</v>
      </c>
      <c r="S47" s="619">
        <v>60</v>
      </c>
    </row>
    <row r="48" spans="1:19" ht="30" customHeight="1" x14ac:dyDescent="0.2">
      <c r="A48" s="291" t="str">
        <f t="shared" si="0"/>
        <v>SOU044 / 1226</v>
      </c>
      <c r="B48" s="89" t="s">
        <v>5690</v>
      </c>
      <c r="C48" s="89" t="s">
        <v>7850</v>
      </c>
      <c r="D48" s="318" t="s">
        <v>5688</v>
      </c>
      <c r="E48" s="369" t="str">
        <f>VLOOKUP(D:D,'Master Table'!C:D,2,FALSE)</f>
        <v>1226</v>
      </c>
      <c r="F48" s="769" t="s">
        <v>5688</v>
      </c>
      <c r="G48" s="769" t="s">
        <v>5689</v>
      </c>
      <c r="H48" s="769" t="s">
        <v>1843</v>
      </c>
      <c r="I48" s="769" t="s">
        <v>5690</v>
      </c>
      <c r="J48" s="769" t="s">
        <v>324</v>
      </c>
      <c r="K48" s="790"/>
      <c r="L48" s="790">
        <v>80</v>
      </c>
      <c r="M48" s="790"/>
      <c r="N48" s="312">
        <f t="shared" si="2"/>
        <v>80</v>
      </c>
      <c r="O48" s="467">
        <f>VLOOKUP(D:D,'Master Table'!C:O,13,FALSE)</f>
        <v>484.02</v>
      </c>
      <c r="P48" s="657">
        <v>484.02</v>
      </c>
      <c r="Q48" s="476">
        <v>930.9</v>
      </c>
      <c r="R48" s="91">
        <v>1014.14</v>
      </c>
      <c r="S48" s="619">
        <v>76</v>
      </c>
    </row>
    <row r="49" spans="1:19" ht="30" customHeight="1" x14ac:dyDescent="0.2">
      <c r="A49" s="291" t="str">
        <f t="shared" si="0"/>
        <v>SOU045 / 1227</v>
      </c>
      <c r="B49" s="89" t="s">
        <v>5694</v>
      </c>
      <c r="C49" s="89" t="s">
        <v>839</v>
      </c>
      <c r="D49" s="318" t="s">
        <v>5691</v>
      </c>
      <c r="E49" s="369" t="str">
        <f>VLOOKUP(D:D,'Master Table'!C:D,2,FALSE)</f>
        <v>1227</v>
      </c>
      <c r="F49" s="769" t="s">
        <v>5691</v>
      </c>
      <c r="G49" s="769" t="s">
        <v>5692</v>
      </c>
      <c r="H49" s="769" t="s">
        <v>5693</v>
      </c>
      <c r="I49" s="769" t="s">
        <v>5694</v>
      </c>
      <c r="J49" s="769" t="s">
        <v>324</v>
      </c>
      <c r="K49" s="790">
        <v>242.20999999999998</v>
      </c>
      <c r="L49" s="790">
        <v>60</v>
      </c>
      <c r="M49" s="790"/>
      <c r="N49" s="312">
        <f t="shared" si="2"/>
        <v>302.20999999999998</v>
      </c>
      <c r="O49" s="467">
        <f>VLOOKUP(D:D,'Master Table'!C:O,13,FALSE)</f>
        <v>325.82</v>
      </c>
      <c r="P49" s="657">
        <v>325.82</v>
      </c>
      <c r="Q49" s="476">
        <v>471.66</v>
      </c>
      <c r="R49" s="91">
        <v>701.44</v>
      </c>
      <c r="S49" s="619">
        <v>559.24</v>
      </c>
    </row>
    <row r="50" spans="1:19" ht="30" customHeight="1" x14ac:dyDescent="0.2">
      <c r="A50" s="291" t="str">
        <f t="shared" si="0"/>
        <v>SOU046 / 1228</v>
      </c>
      <c r="B50" s="89" t="s">
        <v>5697</v>
      </c>
      <c r="C50" s="89" t="s">
        <v>532</v>
      </c>
      <c r="D50" s="318" t="s">
        <v>5695</v>
      </c>
      <c r="E50" s="369" t="str">
        <f>VLOOKUP(D:D,'Master Table'!C:D,2,FALSE)</f>
        <v>1228</v>
      </c>
      <c r="F50" s="769" t="s">
        <v>5695</v>
      </c>
      <c r="G50" s="769" t="s">
        <v>5696</v>
      </c>
      <c r="H50" s="769" t="s">
        <v>61</v>
      </c>
      <c r="I50" s="769" t="s">
        <v>1832</v>
      </c>
      <c r="J50" s="769" t="s">
        <v>324</v>
      </c>
      <c r="K50" s="790">
        <v>380</v>
      </c>
      <c r="L50" s="790">
        <v>5</v>
      </c>
      <c r="M50" s="790">
        <v>100</v>
      </c>
      <c r="N50" s="312">
        <f t="shared" si="2"/>
        <v>485</v>
      </c>
      <c r="O50" s="467">
        <f>VLOOKUP(D:D,'Master Table'!C:O,13,FALSE)</f>
        <v>1130</v>
      </c>
      <c r="P50" s="657">
        <v>1130</v>
      </c>
      <c r="Q50" s="476">
        <v>1260</v>
      </c>
      <c r="R50" s="91">
        <v>1445</v>
      </c>
      <c r="S50" s="619">
        <v>1240</v>
      </c>
    </row>
    <row r="51" spans="1:19" ht="30" customHeight="1" x14ac:dyDescent="0.2">
      <c r="A51" s="291" t="str">
        <f t="shared" si="0"/>
        <v>SOU047 / 1229</v>
      </c>
      <c r="B51" s="89" t="s">
        <v>5701</v>
      </c>
      <c r="C51" s="89" t="s">
        <v>3715</v>
      </c>
      <c r="D51" s="318" t="s">
        <v>5698</v>
      </c>
      <c r="E51" s="369" t="str">
        <f>VLOOKUP(D:D,'Master Table'!C:D,2,FALSE)</f>
        <v>1229</v>
      </c>
      <c r="F51" s="769" t="s">
        <v>5698</v>
      </c>
      <c r="G51" s="769" t="s">
        <v>5699</v>
      </c>
      <c r="H51" s="769" t="s">
        <v>5700</v>
      </c>
      <c r="I51" s="769" t="s">
        <v>5701</v>
      </c>
      <c r="J51" s="769" t="s">
        <v>324</v>
      </c>
      <c r="K51" s="790"/>
      <c r="L51" s="790">
        <v>240</v>
      </c>
      <c r="M51" s="790">
        <v>0</v>
      </c>
      <c r="N51" s="312">
        <f t="shared" si="2"/>
        <v>240</v>
      </c>
      <c r="O51" s="467">
        <f>VLOOKUP(D:D,'Master Table'!C:O,13,FALSE)</f>
        <v>560.27</v>
      </c>
      <c r="P51" s="657">
        <v>560.27</v>
      </c>
      <c r="Q51" s="476">
        <v>715.69</v>
      </c>
      <c r="R51" s="91">
        <v>455</v>
      </c>
      <c r="S51" s="619">
        <v>523.46</v>
      </c>
    </row>
    <row r="52" spans="1:19" ht="30" customHeight="1" x14ac:dyDescent="0.2">
      <c r="A52" s="291" t="str">
        <f t="shared" si="0"/>
        <v>SOU048 / 1230</v>
      </c>
      <c r="B52" s="89" t="s">
        <v>5705</v>
      </c>
      <c r="C52" s="89" t="s">
        <v>7851</v>
      </c>
      <c r="D52" s="318" t="s">
        <v>5702</v>
      </c>
      <c r="E52" s="369" t="str">
        <f>VLOOKUP(D:D,'Master Table'!C:D,2,FALSE)</f>
        <v>1230</v>
      </c>
      <c r="F52" s="769" t="s">
        <v>5702</v>
      </c>
      <c r="G52" s="769" t="s">
        <v>5703</v>
      </c>
      <c r="H52" s="769" t="s">
        <v>5704</v>
      </c>
      <c r="I52" s="769" t="s">
        <v>5705</v>
      </c>
      <c r="J52" s="769" t="s">
        <v>324</v>
      </c>
      <c r="K52" s="790">
        <v>860.57</v>
      </c>
      <c r="L52" s="790">
        <v>310</v>
      </c>
      <c r="M52" s="790"/>
      <c r="N52" s="312">
        <f t="shared" si="2"/>
        <v>1170.5700000000002</v>
      </c>
      <c r="O52" s="467">
        <f>VLOOKUP(D:D,'Master Table'!C:O,13,FALSE)</f>
        <v>1173.4099999999999</v>
      </c>
      <c r="P52" s="657">
        <v>1173.4099999999999</v>
      </c>
      <c r="Q52" s="476">
        <v>1411.33</v>
      </c>
      <c r="R52" s="91">
        <v>1078.54</v>
      </c>
      <c r="S52" s="619">
        <v>870.92000000000007</v>
      </c>
    </row>
    <row r="53" spans="1:19" ht="30" customHeight="1" x14ac:dyDescent="0.2">
      <c r="A53" s="291" t="str">
        <f t="shared" si="0"/>
        <v>SOU049 / 1231</v>
      </c>
      <c r="B53" s="89" t="s">
        <v>5713</v>
      </c>
      <c r="C53" s="89" t="s">
        <v>7852</v>
      </c>
      <c r="D53" s="318" t="s">
        <v>5710</v>
      </c>
      <c r="E53" s="369" t="str">
        <f>VLOOKUP(D:D,'Master Table'!C:D,2,FALSE)</f>
        <v>1231</v>
      </c>
      <c r="F53" s="769" t="s">
        <v>5710</v>
      </c>
      <c r="G53" s="769" t="s">
        <v>5711</v>
      </c>
      <c r="H53" s="769" t="s">
        <v>5712</v>
      </c>
      <c r="I53" s="769" t="s">
        <v>5713</v>
      </c>
      <c r="J53" s="769" t="s">
        <v>324</v>
      </c>
      <c r="K53" s="790">
        <v>288.85000000000002</v>
      </c>
      <c r="L53" s="790">
        <v>55</v>
      </c>
      <c r="M53" s="790"/>
      <c r="N53" s="312">
        <f t="shared" si="2"/>
        <v>343.85</v>
      </c>
      <c r="O53" s="467">
        <f>VLOOKUP(D:D,'Master Table'!C:O,13,FALSE)</f>
        <v>1071.03</v>
      </c>
      <c r="P53" s="657">
        <v>1071.03</v>
      </c>
      <c r="Q53" s="476">
        <v>1044.31</v>
      </c>
      <c r="R53" s="91">
        <v>1330.01</v>
      </c>
      <c r="S53" s="619">
        <v>1040.8700000000001</v>
      </c>
    </row>
    <row r="54" spans="1:19" ht="30" customHeight="1" x14ac:dyDescent="0.2">
      <c r="A54" s="291" t="str">
        <f t="shared" si="0"/>
        <v>SOU050 / 1232</v>
      </c>
      <c r="B54" s="89" t="s">
        <v>5717</v>
      </c>
      <c r="C54" s="89" t="s">
        <v>5716</v>
      </c>
      <c r="D54" s="318" t="s">
        <v>5714</v>
      </c>
      <c r="E54" s="369" t="str">
        <f>VLOOKUP(D:D,'Master Table'!C:D,2,FALSE)</f>
        <v>1232</v>
      </c>
      <c r="F54" s="769" t="s">
        <v>5714</v>
      </c>
      <c r="G54" s="769" t="s">
        <v>5715</v>
      </c>
      <c r="H54" s="769" t="s">
        <v>5716</v>
      </c>
      <c r="I54" s="769" t="s">
        <v>5717</v>
      </c>
      <c r="J54" s="769" t="s">
        <v>324</v>
      </c>
      <c r="K54" s="790"/>
      <c r="L54" s="790">
        <v>800</v>
      </c>
      <c r="M54" s="790"/>
      <c r="N54" s="312">
        <f t="shared" si="2"/>
        <v>800</v>
      </c>
      <c r="O54" s="467">
        <f>VLOOKUP(D:D,'Master Table'!C:O,13,FALSE)</f>
        <v>910</v>
      </c>
      <c r="P54" s="657">
        <v>910</v>
      </c>
      <c r="Q54" s="476">
        <v>1602.53</v>
      </c>
      <c r="R54" s="91">
        <v>1215</v>
      </c>
      <c r="S54" s="619">
        <v>1310</v>
      </c>
    </row>
    <row r="55" spans="1:19" ht="30" customHeight="1" x14ac:dyDescent="0.2">
      <c r="A55" s="291" t="str">
        <f t="shared" si="0"/>
        <v>SOU051 / 1233</v>
      </c>
      <c r="B55" s="89" t="s">
        <v>7853</v>
      </c>
      <c r="C55" s="89" t="s">
        <v>5563</v>
      </c>
      <c r="D55" s="318" t="s">
        <v>5718</v>
      </c>
      <c r="E55" s="369" t="str">
        <f>VLOOKUP(D:D,'Master Table'!C:D,2,FALSE)</f>
        <v>1233</v>
      </c>
      <c r="F55" s="769" t="s">
        <v>5718</v>
      </c>
      <c r="G55" s="769" t="s">
        <v>5719</v>
      </c>
      <c r="H55" s="769" t="s">
        <v>5563</v>
      </c>
      <c r="I55" s="769" t="s">
        <v>5720</v>
      </c>
      <c r="J55" s="769" t="s">
        <v>324</v>
      </c>
      <c r="K55" s="790"/>
      <c r="L55" s="790">
        <v>251.05</v>
      </c>
      <c r="M55" s="790">
        <v>231.24</v>
      </c>
      <c r="N55" s="312">
        <f t="shared" si="2"/>
        <v>482.29</v>
      </c>
      <c r="O55" s="467">
        <f>VLOOKUP(D:D,'Master Table'!C:O,13,FALSE)</f>
        <v>851.69</v>
      </c>
      <c r="P55" s="657">
        <v>851.69</v>
      </c>
      <c r="Q55" s="476">
        <v>1016.6099999999999</v>
      </c>
      <c r="R55" s="91">
        <v>1228.98</v>
      </c>
      <c r="S55" s="619">
        <v>1401.03</v>
      </c>
    </row>
    <row r="56" spans="1:19" ht="30" customHeight="1" x14ac:dyDescent="0.2">
      <c r="A56" s="291" t="str">
        <f t="shared" si="0"/>
        <v>SOU052 / 1234</v>
      </c>
      <c r="B56" s="89" t="s">
        <v>5724</v>
      </c>
      <c r="C56" s="89" t="s">
        <v>3659</v>
      </c>
      <c r="D56" s="318" t="s">
        <v>5722</v>
      </c>
      <c r="E56" s="369" t="str">
        <f>VLOOKUP(D:D,'Master Table'!C:D,2,FALSE)</f>
        <v>1234</v>
      </c>
      <c r="F56" s="769" t="s">
        <v>5722</v>
      </c>
      <c r="G56" s="769" t="s">
        <v>5723</v>
      </c>
      <c r="H56" s="769" t="s">
        <v>3659</v>
      </c>
      <c r="I56" s="769" t="s">
        <v>5724</v>
      </c>
      <c r="J56" s="769" t="s">
        <v>324</v>
      </c>
      <c r="K56" s="790">
        <v>3480.98</v>
      </c>
      <c r="L56" s="790">
        <v>1295.83</v>
      </c>
      <c r="M56" s="790">
        <v>40</v>
      </c>
      <c r="N56" s="312">
        <f t="shared" si="2"/>
        <v>4816.8099999999995</v>
      </c>
      <c r="O56" s="467">
        <f>VLOOKUP(D:D,'Master Table'!C:O,13,FALSE)</f>
        <v>5187.2500000000009</v>
      </c>
      <c r="P56" s="657">
        <v>5187.2500000000009</v>
      </c>
      <c r="Q56" s="476">
        <v>5708.12</v>
      </c>
      <c r="R56" s="91">
        <v>5203.04</v>
      </c>
      <c r="S56" s="619">
        <v>5411.37</v>
      </c>
    </row>
    <row r="57" spans="1:19" ht="30" customHeight="1" x14ac:dyDescent="0.2">
      <c r="A57" s="291" t="s">
        <v>11403</v>
      </c>
      <c r="B57" s="89" t="s">
        <v>5724</v>
      </c>
      <c r="C57" s="89"/>
      <c r="D57" s="318"/>
      <c r="E57" s="369"/>
      <c r="F57" s="769" t="s">
        <v>5726</v>
      </c>
      <c r="G57" s="769">
        <v>444386</v>
      </c>
      <c r="H57" s="769" t="s">
        <v>2900</v>
      </c>
      <c r="I57" s="769" t="s">
        <v>5728</v>
      </c>
      <c r="J57" s="769" t="s">
        <v>324</v>
      </c>
      <c r="K57" s="790"/>
      <c r="L57" s="790">
        <v>30.94</v>
      </c>
      <c r="M57" s="790"/>
      <c r="N57" s="312">
        <f t="shared" si="2"/>
        <v>30.94</v>
      </c>
      <c r="O57" s="467"/>
      <c r="P57" s="657"/>
      <c r="Q57" s="476"/>
      <c r="R57" s="91"/>
      <c r="S57" s="619"/>
    </row>
    <row r="58" spans="1:19" ht="30" customHeight="1" x14ac:dyDescent="0.2">
      <c r="A58" s="291" t="str">
        <f t="shared" si="0"/>
        <v>SOU052X / 1235</v>
      </c>
      <c r="B58" s="89" t="s">
        <v>5724</v>
      </c>
      <c r="C58" s="89" t="s">
        <v>7854</v>
      </c>
      <c r="D58" s="318" t="s">
        <v>5729</v>
      </c>
      <c r="E58" s="369" t="str">
        <f>VLOOKUP(D:D,'Master Table'!C:D,2,FALSE)</f>
        <v>1235</v>
      </c>
      <c r="F58" s="769" t="s">
        <v>5729</v>
      </c>
      <c r="G58" s="769" t="s">
        <v>5730</v>
      </c>
      <c r="H58" s="769" t="s">
        <v>5731</v>
      </c>
      <c r="I58" s="769" t="s">
        <v>5724</v>
      </c>
      <c r="J58" s="769" t="s">
        <v>324</v>
      </c>
      <c r="K58" s="790">
        <v>442.36</v>
      </c>
      <c r="L58" s="790">
        <v>40</v>
      </c>
      <c r="M58" s="790"/>
      <c r="N58" s="312">
        <f t="shared" si="2"/>
        <v>482.36</v>
      </c>
      <c r="O58" s="467">
        <f>VLOOKUP(D:D,'Master Table'!C:O,13,FALSE)</f>
        <v>1028.31</v>
      </c>
      <c r="P58" s="657">
        <v>1028.31</v>
      </c>
      <c r="Q58" s="476">
        <v>750.4</v>
      </c>
      <c r="R58" s="91">
        <v>1167.97</v>
      </c>
      <c r="S58" s="619">
        <v>947.71</v>
      </c>
    </row>
    <row r="59" spans="1:19" ht="30" customHeight="1" x14ac:dyDescent="0.2">
      <c r="A59" s="291" t="str">
        <f t="shared" si="0"/>
        <v>SOU053 / 1236</v>
      </c>
      <c r="B59" s="89" t="s">
        <v>5735</v>
      </c>
      <c r="C59" s="89" t="s">
        <v>78</v>
      </c>
      <c r="D59" s="318" t="s">
        <v>5733</v>
      </c>
      <c r="E59" s="369" t="str">
        <f>VLOOKUP(D:D,'Master Table'!C:D,2,FALSE)</f>
        <v>1236</v>
      </c>
      <c r="F59" s="769" t="s">
        <v>5733</v>
      </c>
      <c r="G59" s="769" t="s">
        <v>5734</v>
      </c>
      <c r="H59" s="769" t="s">
        <v>78</v>
      </c>
      <c r="I59" s="769" t="s">
        <v>5735</v>
      </c>
      <c r="J59" s="769" t="s">
        <v>324</v>
      </c>
      <c r="K59" s="790">
        <v>662.7</v>
      </c>
      <c r="L59" s="790">
        <v>500</v>
      </c>
      <c r="M59" s="790"/>
      <c r="N59" s="312">
        <f t="shared" si="2"/>
        <v>1162.7</v>
      </c>
      <c r="O59" s="467">
        <f>VLOOKUP(D:D,'Master Table'!C:O,13,FALSE)</f>
        <v>2471.27</v>
      </c>
      <c r="P59" s="657">
        <v>2471.27</v>
      </c>
      <c r="Q59" s="476">
        <v>3427.96</v>
      </c>
      <c r="R59" s="91">
        <v>3614.81</v>
      </c>
      <c r="S59" s="619">
        <v>3496.9500000000003</v>
      </c>
    </row>
    <row r="60" spans="1:19" ht="30" customHeight="1" x14ac:dyDescent="0.2">
      <c r="A60" s="291" t="str">
        <f t="shared" si="0"/>
        <v>SOU054 / 1237</v>
      </c>
      <c r="B60" s="89" t="s">
        <v>5738</v>
      </c>
      <c r="C60" s="89" t="s">
        <v>7511</v>
      </c>
      <c r="D60" s="318" t="s">
        <v>5736</v>
      </c>
      <c r="E60" s="369" t="str">
        <f>VLOOKUP(D:D,'Master Table'!C:D,2,FALSE)</f>
        <v>1237</v>
      </c>
      <c r="F60" s="769" t="s">
        <v>5736</v>
      </c>
      <c r="G60" s="769" t="s">
        <v>5737</v>
      </c>
      <c r="H60" s="769" t="s">
        <v>1976</v>
      </c>
      <c r="I60" s="769" t="s">
        <v>5738</v>
      </c>
      <c r="J60" s="769" t="s">
        <v>324</v>
      </c>
      <c r="K60" s="790">
        <v>719.45</v>
      </c>
      <c r="L60" s="790">
        <v>290</v>
      </c>
      <c r="M60" s="790">
        <v>30</v>
      </c>
      <c r="N60" s="312">
        <f t="shared" si="2"/>
        <v>1039.45</v>
      </c>
      <c r="O60" s="467">
        <f>VLOOKUP(D:D,'Master Table'!C:O,13,FALSE)</f>
        <v>997.56999999999994</v>
      </c>
      <c r="P60" s="657">
        <v>997.56999999999994</v>
      </c>
      <c r="Q60" s="476">
        <v>935.53</v>
      </c>
      <c r="R60" s="91">
        <v>740.35</v>
      </c>
      <c r="S60" s="619">
        <v>836.38</v>
      </c>
    </row>
    <row r="61" spans="1:19" ht="30" customHeight="1" x14ac:dyDescent="0.2">
      <c r="A61" s="291" t="str">
        <f t="shared" si="0"/>
        <v>SOU055 / 1238</v>
      </c>
      <c r="B61" s="89" t="s">
        <v>5743</v>
      </c>
      <c r="C61" s="89" t="s">
        <v>2667</v>
      </c>
      <c r="D61" s="318" t="s">
        <v>5740</v>
      </c>
      <c r="E61" s="369" t="str">
        <f>VLOOKUP(D:D,'Master Table'!C:D,2,FALSE)</f>
        <v>1238</v>
      </c>
      <c r="F61" s="769" t="s">
        <v>5740</v>
      </c>
      <c r="G61" s="769" t="s">
        <v>5741</v>
      </c>
      <c r="H61" s="769" t="s">
        <v>5742</v>
      </c>
      <c r="I61" s="769" t="s">
        <v>5743</v>
      </c>
      <c r="J61" s="769" t="s">
        <v>324</v>
      </c>
      <c r="K61" s="790"/>
      <c r="L61" s="790">
        <v>20</v>
      </c>
      <c r="M61" s="790"/>
      <c r="N61" s="312">
        <f t="shared" si="2"/>
        <v>20</v>
      </c>
      <c r="O61" s="467">
        <f>VLOOKUP(D:D,'Master Table'!C:O,13,FALSE)</f>
        <v>1023.5699999999999</v>
      </c>
      <c r="P61" s="657">
        <v>1023.5699999999999</v>
      </c>
      <c r="Q61" s="476">
        <v>1142.72</v>
      </c>
      <c r="R61" s="91">
        <v>1161.21</v>
      </c>
      <c r="S61" s="619">
        <v>885</v>
      </c>
    </row>
    <row r="62" spans="1:19" ht="30" customHeight="1" x14ac:dyDescent="0.2">
      <c r="A62" s="291" t="str">
        <f t="shared" si="0"/>
        <v>SOU056 / 1239</v>
      </c>
      <c r="B62" s="89" t="s">
        <v>5748</v>
      </c>
      <c r="C62" s="89" t="s">
        <v>2530</v>
      </c>
      <c r="D62" s="318" t="s">
        <v>5745</v>
      </c>
      <c r="E62" s="369" t="str">
        <f>VLOOKUP(D:D,'Master Table'!C:D,2,FALSE)</f>
        <v>1239</v>
      </c>
      <c r="F62" s="769" t="s">
        <v>5745</v>
      </c>
      <c r="G62" s="769" t="s">
        <v>5746</v>
      </c>
      <c r="H62" s="769" t="s">
        <v>5747</v>
      </c>
      <c r="I62" s="769" t="s">
        <v>5748</v>
      </c>
      <c r="J62" s="769" t="s">
        <v>324</v>
      </c>
      <c r="K62" s="790"/>
      <c r="L62" s="790">
        <v>40</v>
      </c>
      <c r="M62" s="790"/>
      <c r="N62" s="312">
        <f t="shared" si="2"/>
        <v>40</v>
      </c>
      <c r="O62" s="467">
        <f>VLOOKUP(D:D,'Master Table'!C:O,13,FALSE)</f>
        <v>1448.79</v>
      </c>
      <c r="P62" s="657">
        <v>1448.79</v>
      </c>
      <c r="Q62" s="476">
        <v>946.93</v>
      </c>
      <c r="R62" s="91">
        <v>1318.54</v>
      </c>
      <c r="S62" s="619">
        <v>1217.95</v>
      </c>
    </row>
    <row r="63" spans="1:19" ht="30" customHeight="1" x14ac:dyDescent="0.2">
      <c r="A63" s="291" t="str">
        <f t="shared" si="0"/>
        <v>SOU057 / 1240</v>
      </c>
      <c r="B63" s="89" t="s">
        <v>7855</v>
      </c>
      <c r="C63" s="89" t="s">
        <v>453</v>
      </c>
      <c r="D63" s="318" t="s">
        <v>5750</v>
      </c>
      <c r="E63" s="369" t="str">
        <f>VLOOKUP(D:D,'Master Table'!C:D,2,FALSE)</f>
        <v>1240</v>
      </c>
      <c r="F63" s="769" t="s">
        <v>5750</v>
      </c>
      <c r="G63" s="769" t="s">
        <v>5751</v>
      </c>
      <c r="H63" s="769" t="s">
        <v>453</v>
      </c>
      <c r="I63" s="769" t="s">
        <v>5752</v>
      </c>
      <c r="J63" s="769" t="s">
        <v>324</v>
      </c>
      <c r="K63" s="790">
        <v>90</v>
      </c>
      <c r="L63" s="790">
        <v>166.91</v>
      </c>
      <c r="M63" s="790">
        <v>15</v>
      </c>
      <c r="N63" s="312">
        <f t="shared" si="2"/>
        <v>271.90999999999997</v>
      </c>
      <c r="O63" s="467">
        <f>VLOOKUP(D:D,'Master Table'!C:O,13,FALSE)</f>
        <v>518.30000000000007</v>
      </c>
      <c r="P63" s="657">
        <v>518.30000000000007</v>
      </c>
      <c r="Q63" s="476">
        <v>678</v>
      </c>
      <c r="R63" s="91">
        <v>1202</v>
      </c>
      <c r="S63" s="619">
        <v>824.47</v>
      </c>
    </row>
    <row r="64" spans="1:19" ht="30" customHeight="1" x14ac:dyDescent="0.2">
      <c r="A64" s="291" t="str">
        <f t="shared" si="0"/>
        <v>SOU058 / 1241</v>
      </c>
      <c r="B64" s="89" t="s">
        <v>5756</v>
      </c>
      <c r="C64" s="89" t="s">
        <v>7847</v>
      </c>
      <c r="D64" s="318" t="s">
        <v>5754</v>
      </c>
      <c r="E64" s="369" t="str">
        <f>VLOOKUP(D:D,'Master Table'!C:D,2,FALSE)</f>
        <v>1241</v>
      </c>
      <c r="F64" s="769" t="s">
        <v>5754</v>
      </c>
      <c r="G64" s="769" t="s">
        <v>5755</v>
      </c>
      <c r="H64" s="769" t="s">
        <v>63</v>
      </c>
      <c r="I64" s="769" t="s">
        <v>5756</v>
      </c>
      <c r="J64" s="769" t="s">
        <v>324</v>
      </c>
      <c r="K64" s="790"/>
      <c r="L64" s="790">
        <v>205</v>
      </c>
      <c r="M64" s="790">
        <v>788.56999999999994</v>
      </c>
      <c r="N64" s="312">
        <f t="shared" si="2"/>
        <v>993.56999999999994</v>
      </c>
      <c r="O64" s="467">
        <f>VLOOKUP(D:D,'Master Table'!C:O,13,FALSE)</f>
        <v>210</v>
      </c>
      <c r="P64" s="657">
        <v>210</v>
      </c>
      <c r="Q64" s="476">
        <v>190</v>
      </c>
      <c r="R64" s="91">
        <v>120</v>
      </c>
      <c r="S64" s="619">
        <v>65</v>
      </c>
    </row>
    <row r="65" spans="1:19" ht="30" customHeight="1" x14ac:dyDescent="0.2">
      <c r="A65" s="291" t="str">
        <f t="shared" si="0"/>
        <v>SOU059 / 1242</v>
      </c>
      <c r="B65" s="89" t="s">
        <v>5759</v>
      </c>
      <c r="C65" s="89" t="s">
        <v>476</v>
      </c>
      <c r="D65" s="318" t="s">
        <v>5757</v>
      </c>
      <c r="E65" s="369" t="str">
        <f>VLOOKUP(D:D,'Master Table'!C:D,2,FALSE)</f>
        <v>1242</v>
      </c>
      <c r="F65" s="769" t="s">
        <v>5757</v>
      </c>
      <c r="G65" s="769" t="s">
        <v>5758</v>
      </c>
      <c r="H65" s="769" t="s">
        <v>1543</v>
      </c>
      <c r="I65" s="769" t="s">
        <v>5759</v>
      </c>
      <c r="J65" s="769" t="s">
        <v>324</v>
      </c>
      <c r="K65" s="790">
        <v>408</v>
      </c>
      <c r="L65" s="790">
        <v>100</v>
      </c>
      <c r="M65" s="790"/>
      <c r="N65" s="312">
        <f t="shared" si="2"/>
        <v>508</v>
      </c>
      <c r="O65" s="467">
        <f>VLOOKUP(D:D,'Master Table'!C:O,13,FALSE)</f>
        <v>846</v>
      </c>
      <c r="P65" s="657">
        <v>846</v>
      </c>
      <c r="Q65" s="476">
        <v>957</v>
      </c>
      <c r="R65" s="91">
        <v>922</v>
      </c>
      <c r="S65" s="619">
        <v>1178</v>
      </c>
    </row>
    <row r="66" spans="1:19" ht="30" customHeight="1" x14ac:dyDescent="0.2">
      <c r="A66" s="291" t="str">
        <f t="shared" si="0"/>
        <v>SOU060 / 1243</v>
      </c>
      <c r="B66" s="89" t="s">
        <v>5762</v>
      </c>
      <c r="C66" s="89" t="s">
        <v>3436</v>
      </c>
      <c r="D66" s="318" t="s">
        <v>5760</v>
      </c>
      <c r="E66" s="369" t="str">
        <f>VLOOKUP(D:D,'Master Table'!C:D,2,FALSE)</f>
        <v>1243</v>
      </c>
      <c r="F66" s="769" t="s">
        <v>5760</v>
      </c>
      <c r="G66" s="769" t="s">
        <v>5761</v>
      </c>
      <c r="H66" s="769" t="s">
        <v>1823</v>
      </c>
      <c r="I66" s="769" t="s">
        <v>5762</v>
      </c>
      <c r="J66" s="769" t="s">
        <v>324</v>
      </c>
      <c r="K66" s="790"/>
      <c r="L66" s="790">
        <v>598</v>
      </c>
      <c r="M66" s="790"/>
      <c r="N66" s="312">
        <f t="shared" si="2"/>
        <v>598</v>
      </c>
      <c r="O66" s="467">
        <f>VLOOKUP(D:D,'Master Table'!C:O,13,FALSE)</f>
        <v>208</v>
      </c>
      <c r="P66" s="657">
        <v>208</v>
      </c>
      <c r="Q66" s="476">
        <v>88</v>
      </c>
      <c r="R66" s="91">
        <v>341</v>
      </c>
      <c r="S66" s="619">
        <v>143</v>
      </c>
    </row>
    <row r="67" spans="1:19" ht="30" customHeight="1" x14ac:dyDescent="0.2">
      <c r="A67" s="291" t="str">
        <f t="shared" si="0"/>
        <v>SOU061 / 1244</v>
      </c>
      <c r="B67" s="89" t="s">
        <v>5766</v>
      </c>
      <c r="C67" s="89" t="s">
        <v>2663</v>
      </c>
      <c r="D67" s="318" t="s">
        <v>5763</v>
      </c>
      <c r="E67" s="369" t="str">
        <f>VLOOKUP(D:D,'Master Table'!C:D,2,FALSE)</f>
        <v>1244</v>
      </c>
      <c r="F67" s="769" t="s">
        <v>5763</v>
      </c>
      <c r="G67" s="769" t="s">
        <v>5764</v>
      </c>
      <c r="H67" s="769" t="s">
        <v>5765</v>
      </c>
      <c r="I67" s="769" t="s">
        <v>5766</v>
      </c>
      <c r="J67" s="769" t="s">
        <v>324</v>
      </c>
      <c r="K67" s="790">
        <v>70</v>
      </c>
      <c r="L67" s="790">
        <v>40</v>
      </c>
      <c r="M67" s="790"/>
      <c r="N67" s="312">
        <f t="shared" si="2"/>
        <v>110</v>
      </c>
      <c r="O67" s="467">
        <f>VLOOKUP(D:D,'Master Table'!C:O,13,FALSE)</f>
        <v>305</v>
      </c>
      <c r="P67" s="657">
        <v>305</v>
      </c>
      <c r="Q67" s="476">
        <v>1440</v>
      </c>
      <c r="R67" s="91">
        <v>512.6</v>
      </c>
      <c r="S67" s="619">
        <v>295</v>
      </c>
    </row>
    <row r="68" spans="1:19" ht="30" customHeight="1" x14ac:dyDescent="0.2">
      <c r="A68" s="291" t="str">
        <f t="shared" ref="A68:A132" si="3">D68&amp;" / "&amp;E68</f>
        <v>SOU062 / 1245</v>
      </c>
      <c r="B68" s="89" t="s">
        <v>5770</v>
      </c>
      <c r="C68" s="89" t="s">
        <v>5133</v>
      </c>
      <c r="D68" s="318" t="s">
        <v>5767</v>
      </c>
      <c r="E68" s="369" t="str">
        <f>VLOOKUP(D:D,'Master Table'!C:D,2,FALSE)</f>
        <v>1245</v>
      </c>
      <c r="F68" s="769" t="s">
        <v>5767</v>
      </c>
      <c r="G68" s="769" t="s">
        <v>5768</v>
      </c>
      <c r="H68" s="769" t="s">
        <v>5769</v>
      </c>
      <c r="I68" s="769" t="s">
        <v>5770</v>
      </c>
      <c r="J68" s="769" t="s">
        <v>324</v>
      </c>
      <c r="K68" s="790"/>
      <c r="L68" s="790"/>
      <c r="M68" s="790"/>
      <c r="N68" s="312">
        <f t="shared" si="2"/>
        <v>0</v>
      </c>
      <c r="O68" s="467">
        <f>VLOOKUP(D:D,'Master Table'!C:O,13,FALSE)</f>
        <v>1010</v>
      </c>
      <c r="P68" s="657">
        <v>1010</v>
      </c>
      <c r="Q68" s="476">
        <v>480</v>
      </c>
      <c r="R68" s="91">
        <v>490</v>
      </c>
      <c r="S68" s="619">
        <v>210</v>
      </c>
    </row>
    <row r="69" spans="1:19" ht="30" customHeight="1" x14ac:dyDescent="0.2">
      <c r="A69" s="291" t="str">
        <f t="shared" si="3"/>
        <v>SOU063 / 1246</v>
      </c>
      <c r="B69" s="89" t="s">
        <v>5770</v>
      </c>
      <c r="C69" s="89" t="s">
        <v>1087</v>
      </c>
      <c r="D69" s="318" t="s">
        <v>5771</v>
      </c>
      <c r="E69" s="369" t="str">
        <f>VLOOKUP(D:D,'Master Table'!C:D,2,FALSE)</f>
        <v>1246</v>
      </c>
      <c r="F69" s="769" t="s">
        <v>5771</v>
      </c>
      <c r="G69" s="769" t="s">
        <v>5772</v>
      </c>
      <c r="H69" s="769" t="s">
        <v>1087</v>
      </c>
      <c r="I69" s="769" t="s">
        <v>5773</v>
      </c>
      <c r="J69" s="769" t="s">
        <v>324</v>
      </c>
      <c r="K69" s="790"/>
      <c r="L69" s="790">
        <v>35</v>
      </c>
      <c r="M69" s="790"/>
      <c r="N69" s="312">
        <f t="shared" si="2"/>
        <v>35</v>
      </c>
      <c r="O69" s="467">
        <f>VLOOKUP(D:D,'Master Table'!C:O,13,FALSE)</f>
        <v>193.52</v>
      </c>
      <c r="P69" s="657">
        <v>193.52</v>
      </c>
      <c r="Q69" s="476">
        <v>85</v>
      </c>
      <c r="R69" s="91">
        <v>45</v>
      </c>
      <c r="S69" s="619">
        <v>195</v>
      </c>
    </row>
    <row r="70" spans="1:19" ht="30" customHeight="1" x14ac:dyDescent="0.2">
      <c r="A70" s="291" t="str">
        <f t="shared" si="3"/>
        <v>SOU064 / 1247</v>
      </c>
      <c r="B70" s="89" t="s">
        <v>5492</v>
      </c>
      <c r="C70" s="89" t="s">
        <v>1376</v>
      </c>
      <c r="D70" s="318" t="s">
        <v>5774</v>
      </c>
      <c r="E70" s="369" t="str">
        <f>VLOOKUP(D:D,'Master Table'!C:D,2,FALSE)</f>
        <v>1247</v>
      </c>
      <c r="F70" s="769" t="s">
        <v>5774</v>
      </c>
      <c r="G70" s="769" t="s">
        <v>5775</v>
      </c>
      <c r="H70" s="769" t="s">
        <v>1376</v>
      </c>
      <c r="I70" s="769" t="s">
        <v>5492</v>
      </c>
      <c r="J70" s="769" t="s">
        <v>324</v>
      </c>
      <c r="K70" s="790"/>
      <c r="L70" s="790">
        <v>316</v>
      </c>
      <c r="M70" s="790"/>
      <c r="N70" s="312">
        <f t="shared" si="2"/>
        <v>316</v>
      </c>
      <c r="O70" s="467">
        <f>VLOOKUP(D:D,'Master Table'!C:O,13,FALSE)</f>
        <v>242</v>
      </c>
      <c r="P70" s="657">
        <v>242</v>
      </c>
      <c r="Q70" s="476">
        <v>310</v>
      </c>
      <c r="R70" s="91">
        <v>280</v>
      </c>
      <c r="S70" s="619">
        <v>575</v>
      </c>
    </row>
    <row r="71" spans="1:19" ht="30" customHeight="1" x14ac:dyDescent="0.2">
      <c r="A71" s="291" t="str">
        <f t="shared" si="3"/>
        <v>SOU065 / 1248</v>
      </c>
      <c r="B71" s="89" t="s">
        <v>99</v>
      </c>
      <c r="C71" s="89" t="s">
        <v>5108</v>
      </c>
      <c r="D71" s="318" t="s">
        <v>5776</v>
      </c>
      <c r="E71" s="369" t="str">
        <f>VLOOKUP(D:D,'Master Table'!C:D,2,FALSE)</f>
        <v>1248</v>
      </c>
      <c r="F71" s="769" t="s">
        <v>5776</v>
      </c>
      <c r="G71" s="769" t="s">
        <v>5777</v>
      </c>
      <c r="H71" s="769" t="s">
        <v>167</v>
      </c>
      <c r="I71" s="769" t="s">
        <v>99</v>
      </c>
      <c r="J71" s="769" t="s">
        <v>324</v>
      </c>
      <c r="K71" s="790">
        <v>463.9</v>
      </c>
      <c r="L71" s="790">
        <v>65</v>
      </c>
      <c r="M71" s="790"/>
      <c r="N71" s="312">
        <f t="shared" si="2"/>
        <v>528.9</v>
      </c>
      <c r="O71" s="467">
        <f>VLOOKUP(D:D,'Master Table'!C:O,13,FALSE)</f>
        <v>905.67000000000007</v>
      </c>
      <c r="P71" s="657">
        <v>905.67000000000007</v>
      </c>
      <c r="Q71" s="476">
        <v>856.64</v>
      </c>
      <c r="R71" s="91">
        <v>1010.5</v>
      </c>
      <c r="S71" s="619">
        <v>1188.8600000000001</v>
      </c>
    </row>
    <row r="72" spans="1:19" ht="30" customHeight="1" x14ac:dyDescent="0.2">
      <c r="A72" s="291" t="str">
        <f t="shared" si="3"/>
        <v>SOU066 / 1249</v>
      </c>
      <c r="B72" s="89" t="s">
        <v>5781</v>
      </c>
      <c r="C72" s="89" t="s">
        <v>3222</v>
      </c>
      <c r="D72" s="318" t="s">
        <v>5779</v>
      </c>
      <c r="E72" s="369" t="str">
        <f>VLOOKUP(D:D,'Master Table'!C:D,2,FALSE)</f>
        <v>1249</v>
      </c>
      <c r="F72" s="769" t="s">
        <v>5779</v>
      </c>
      <c r="G72" s="769" t="s">
        <v>5780</v>
      </c>
      <c r="H72" s="769" t="s">
        <v>3222</v>
      </c>
      <c r="I72" s="769" t="s">
        <v>5781</v>
      </c>
      <c r="J72" s="769" t="s">
        <v>324</v>
      </c>
      <c r="K72" s="790"/>
      <c r="L72" s="790">
        <v>95</v>
      </c>
      <c r="M72" s="790"/>
      <c r="N72" s="312">
        <f t="shared" si="2"/>
        <v>95</v>
      </c>
      <c r="O72" s="467">
        <f>VLOOKUP(D:D,'Master Table'!C:O,13,FALSE)</f>
        <v>85</v>
      </c>
      <c r="P72" s="657">
        <v>85</v>
      </c>
      <c r="Q72" s="476">
        <v>115</v>
      </c>
      <c r="R72" s="91">
        <v>105</v>
      </c>
      <c r="S72" s="619">
        <v>105</v>
      </c>
    </row>
    <row r="73" spans="1:19" ht="30" customHeight="1" x14ac:dyDescent="0.2">
      <c r="A73" s="291" t="str">
        <f t="shared" si="3"/>
        <v>SOU067 / 1250</v>
      </c>
      <c r="B73" s="89" t="s">
        <v>5789</v>
      </c>
      <c r="C73" s="89" t="s">
        <v>783</v>
      </c>
      <c r="D73" s="318" t="s">
        <v>5786</v>
      </c>
      <c r="E73" s="369" t="str">
        <f>VLOOKUP(D:D,'Master Table'!C:D,2,FALSE)</f>
        <v>1250</v>
      </c>
      <c r="F73" s="769" t="s">
        <v>5786</v>
      </c>
      <c r="G73" s="769" t="s">
        <v>5787</v>
      </c>
      <c r="H73" s="769" t="s">
        <v>5788</v>
      </c>
      <c r="I73" s="769" t="s">
        <v>5789</v>
      </c>
      <c r="J73" s="769" t="s">
        <v>324</v>
      </c>
      <c r="K73" s="790">
        <v>500</v>
      </c>
      <c r="L73" s="790"/>
      <c r="M73" s="790"/>
      <c r="N73" s="312">
        <f t="shared" si="2"/>
        <v>500</v>
      </c>
      <c r="O73" s="467">
        <f>VLOOKUP(D:D,'Master Table'!C:O,13,FALSE)</f>
        <v>730</v>
      </c>
      <c r="P73" s="657">
        <v>730</v>
      </c>
      <c r="Q73" s="476">
        <v>1110.0999999999999</v>
      </c>
      <c r="R73" s="91">
        <v>1085</v>
      </c>
      <c r="S73" s="619">
        <v>400.1</v>
      </c>
    </row>
    <row r="74" spans="1:19" ht="30" customHeight="1" x14ac:dyDescent="0.2">
      <c r="A74" s="291" t="str">
        <f t="shared" si="3"/>
        <v>SOU068 / 1251</v>
      </c>
      <c r="B74" s="89" t="s">
        <v>5793</v>
      </c>
      <c r="C74" s="89" t="s">
        <v>532</v>
      </c>
      <c r="D74" s="318" t="s">
        <v>5790</v>
      </c>
      <c r="E74" s="369" t="str">
        <f>VLOOKUP(D:D,'Master Table'!C:D,2,FALSE)</f>
        <v>1251</v>
      </c>
      <c r="F74" s="769" t="s">
        <v>5790</v>
      </c>
      <c r="G74" s="769" t="s">
        <v>5791</v>
      </c>
      <c r="H74" s="769" t="s">
        <v>5792</v>
      </c>
      <c r="I74" s="769" t="s">
        <v>5793</v>
      </c>
      <c r="J74" s="769" t="s">
        <v>324</v>
      </c>
      <c r="K74" s="790"/>
      <c r="L74" s="790">
        <v>985</v>
      </c>
      <c r="M74" s="790">
        <v>664.37</v>
      </c>
      <c r="N74" s="312">
        <f t="shared" si="2"/>
        <v>1649.37</v>
      </c>
      <c r="O74" s="467">
        <f>VLOOKUP(D:D,'Master Table'!C:O,13,FALSE)</f>
        <v>1873.1799999999998</v>
      </c>
      <c r="P74" s="657">
        <v>1873.1799999999998</v>
      </c>
      <c r="Q74" s="476">
        <v>1712.23</v>
      </c>
      <c r="R74" s="91">
        <v>1578.03</v>
      </c>
      <c r="S74" s="619">
        <v>1402.04</v>
      </c>
    </row>
    <row r="75" spans="1:19" ht="30" customHeight="1" x14ac:dyDescent="0.2">
      <c r="A75" s="291" t="str">
        <f t="shared" si="3"/>
        <v>SOU069 / 1252</v>
      </c>
      <c r="B75" s="89" t="s">
        <v>5797</v>
      </c>
      <c r="C75" s="89" t="s">
        <v>5796</v>
      </c>
      <c r="D75" s="318" t="s">
        <v>5794</v>
      </c>
      <c r="E75" s="369" t="str">
        <f>VLOOKUP(D:D,'Master Table'!C:D,2,FALSE)</f>
        <v>1252</v>
      </c>
      <c r="F75" s="769" t="s">
        <v>5794</v>
      </c>
      <c r="G75" s="769" t="s">
        <v>5795</v>
      </c>
      <c r="H75" s="769" t="s">
        <v>5796</v>
      </c>
      <c r="I75" s="769" t="s">
        <v>5797</v>
      </c>
      <c r="J75" s="769" t="s">
        <v>324</v>
      </c>
      <c r="K75" s="790"/>
      <c r="L75" s="790">
        <v>290</v>
      </c>
      <c r="M75" s="790"/>
      <c r="N75" s="312">
        <f t="shared" si="2"/>
        <v>290</v>
      </c>
      <c r="O75" s="467">
        <f>VLOOKUP(D:D,'Master Table'!C:O,13,FALSE)</f>
        <v>767.5</v>
      </c>
      <c r="P75" s="657">
        <v>767.5</v>
      </c>
      <c r="Q75" s="476">
        <v>1023.22</v>
      </c>
      <c r="R75" s="91">
        <v>1055</v>
      </c>
      <c r="S75" s="619">
        <v>1219</v>
      </c>
    </row>
    <row r="76" spans="1:19" ht="30" customHeight="1" x14ac:dyDescent="0.2">
      <c r="A76" s="291" t="str">
        <f t="shared" si="3"/>
        <v>SOU070 / 1253</v>
      </c>
      <c r="B76" s="89" t="s">
        <v>3000</v>
      </c>
      <c r="C76" s="89" t="s">
        <v>5800</v>
      </c>
      <c r="D76" s="318" t="s">
        <v>5798</v>
      </c>
      <c r="E76" s="369" t="str">
        <f>VLOOKUP(D:D,'Master Table'!C:D,2,FALSE)</f>
        <v>1253</v>
      </c>
      <c r="F76" s="769" t="s">
        <v>5798</v>
      </c>
      <c r="G76" s="769" t="s">
        <v>5799</v>
      </c>
      <c r="H76" s="769" t="s">
        <v>5800</v>
      </c>
      <c r="I76" s="769" t="s">
        <v>3000</v>
      </c>
      <c r="J76" s="769" t="s">
        <v>324</v>
      </c>
      <c r="K76" s="790">
        <v>787.65000000000009</v>
      </c>
      <c r="L76" s="790">
        <v>430</v>
      </c>
      <c r="M76" s="790"/>
      <c r="N76" s="312">
        <f t="shared" si="2"/>
        <v>1217.6500000000001</v>
      </c>
      <c r="O76" s="467">
        <f>VLOOKUP(D:D,'Master Table'!C:O,13,FALSE)</f>
        <v>2096.19</v>
      </c>
      <c r="P76" s="657">
        <v>2096.19</v>
      </c>
      <c r="Q76" s="476">
        <v>2615.41</v>
      </c>
      <c r="R76" s="91">
        <v>2262</v>
      </c>
      <c r="S76" s="619">
        <v>2502.91</v>
      </c>
    </row>
    <row r="77" spans="1:19" ht="30" customHeight="1" x14ac:dyDescent="0.2">
      <c r="A77" s="291" t="str">
        <f t="shared" si="3"/>
        <v>SOU071 / 1254</v>
      </c>
      <c r="B77" s="89" t="s">
        <v>5803</v>
      </c>
      <c r="C77" s="89" t="s">
        <v>231</v>
      </c>
      <c r="D77" s="318" t="s">
        <v>5801</v>
      </c>
      <c r="E77" s="369" t="str">
        <f>VLOOKUP(D:D,'Master Table'!C:D,2,FALSE)</f>
        <v>1254</v>
      </c>
      <c r="F77" s="769" t="s">
        <v>5801</v>
      </c>
      <c r="G77" s="769" t="s">
        <v>5802</v>
      </c>
      <c r="H77" s="769" t="s">
        <v>428</v>
      </c>
      <c r="I77" s="769" t="s">
        <v>5803</v>
      </c>
      <c r="J77" s="769" t="s">
        <v>324</v>
      </c>
      <c r="K77" s="790"/>
      <c r="L77" s="790">
        <v>250</v>
      </c>
      <c r="M77" s="790"/>
      <c r="N77" s="312">
        <f t="shared" si="2"/>
        <v>250</v>
      </c>
      <c r="O77" s="467">
        <f>VLOOKUP(D:D,'Master Table'!C:O,13,FALSE)</f>
        <v>1079.06</v>
      </c>
      <c r="P77" s="657">
        <v>1079.06</v>
      </c>
      <c r="Q77" s="476">
        <v>421.52</v>
      </c>
      <c r="R77" s="91">
        <v>851</v>
      </c>
      <c r="S77" s="619">
        <v>911.52</v>
      </c>
    </row>
    <row r="78" spans="1:19" ht="30" customHeight="1" x14ac:dyDescent="0.2">
      <c r="A78" s="291" t="str">
        <f t="shared" si="3"/>
        <v>SOU072 / 1255</v>
      </c>
      <c r="B78" s="89" t="s">
        <v>5810</v>
      </c>
      <c r="C78" s="89" t="s">
        <v>164</v>
      </c>
      <c r="D78" s="318" t="s">
        <v>5808</v>
      </c>
      <c r="E78" s="369" t="str">
        <f>VLOOKUP(D:D,'Master Table'!C:D,2,FALSE)</f>
        <v>1255</v>
      </c>
      <c r="F78" s="769" t="s">
        <v>5808</v>
      </c>
      <c r="G78" s="769" t="s">
        <v>5809</v>
      </c>
      <c r="H78" s="769" t="s">
        <v>164</v>
      </c>
      <c r="I78" s="769" t="s">
        <v>5810</v>
      </c>
      <c r="J78" s="769" t="s">
        <v>324</v>
      </c>
      <c r="K78" s="790"/>
      <c r="L78" s="790">
        <v>585.55999999999995</v>
      </c>
      <c r="M78" s="790"/>
      <c r="N78" s="312">
        <f t="shared" si="2"/>
        <v>585.55999999999995</v>
      </c>
      <c r="O78" s="467">
        <f>VLOOKUP(D:D,'Master Table'!C:O,13,FALSE)</f>
        <v>731.81999999999994</v>
      </c>
      <c r="P78" s="657">
        <v>731.81999999999994</v>
      </c>
      <c r="Q78" s="476">
        <v>742</v>
      </c>
      <c r="R78" s="91">
        <v>665</v>
      </c>
      <c r="S78" s="619">
        <v>1086</v>
      </c>
    </row>
    <row r="79" spans="1:19" ht="30" customHeight="1" x14ac:dyDescent="0.2">
      <c r="A79" s="291" t="str">
        <f t="shared" si="3"/>
        <v>SOU072A / 1256</v>
      </c>
      <c r="B79" s="89" t="s">
        <v>5813</v>
      </c>
      <c r="C79" s="89" t="s">
        <v>2667</v>
      </c>
      <c r="D79" s="318" t="s">
        <v>5811</v>
      </c>
      <c r="E79" s="369" t="str">
        <f>VLOOKUP(D:D,'Master Table'!C:D,2,FALSE)</f>
        <v>1256</v>
      </c>
      <c r="F79" s="769" t="s">
        <v>5811</v>
      </c>
      <c r="G79" s="769" t="s">
        <v>5812</v>
      </c>
      <c r="H79" s="769" t="s">
        <v>564</v>
      </c>
      <c r="I79" s="769" t="s">
        <v>5813</v>
      </c>
      <c r="J79" s="769" t="s">
        <v>324</v>
      </c>
      <c r="K79" s="790"/>
      <c r="L79" s="790">
        <v>1618.35</v>
      </c>
      <c r="M79" s="790">
        <v>1422</v>
      </c>
      <c r="N79" s="312">
        <f t="shared" si="2"/>
        <v>3040.35</v>
      </c>
      <c r="O79" s="467">
        <f>VLOOKUP(D:D,'Master Table'!C:O,13,FALSE)</f>
        <v>3285.68</v>
      </c>
      <c r="P79" s="657">
        <v>3285.68</v>
      </c>
      <c r="Q79" s="476">
        <v>3274.92</v>
      </c>
      <c r="R79" s="91">
        <v>3012</v>
      </c>
      <c r="S79" s="619">
        <v>2680.63</v>
      </c>
    </row>
    <row r="80" spans="1:19" ht="30" customHeight="1" x14ac:dyDescent="0.2">
      <c r="A80" s="291" t="str">
        <f t="shared" si="3"/>
        <v>SOU073 / 1257</v>
      </c>
      <c r="B80" s="89" t="s">
        <v>5819</v>
      </c>
      <c r="C80" s="89" t="s">
        <v>119</v>
      </c>
      <c r="D80" s="318" t="s">
        <v>5817</v>
      </c>
      <c r="E80" s="369" t="str">
        <f>VLOOKUP(D:D,'Master Table'!C:D,2,FALSE)</f>
        <v>1257</v>
      </c>
      <c r="F80" s="769" t="s">
        <v>5817</v>
      </c>
      <c r="G80" s="769" t="s">
        <v>5818</v>
      </c>
      <c r="H80" s="769" t="s">
        <v>119</v>
      </c>
      <c r="I80" s="769" t="s">
        <v>5819</v>
      </c>
      <c r="J80" s="769" t="s">
        <v>324</v>
      </c>
      <c r="K80" s="790"/>
      <c r="L80" s="790">
        <v>50</v>
      </c>
      <c r="M80" s="790"/>
      <c r="N80" s="312">
        <f t="shared" si="2"/>
        <v>50</v>
      </c>
      <c r="O80" s="467">
        <f>VLOOKUP(D:D,'Master Table'!C:O,13,FALSE)</f>
        <v>162.53</v>
      </c>
      <c r="P80" s="657">
        <v>162.53</v>
      </c>
      <c r="Q80" s="476">
        <v>86.26</v>
      </c>
      <c r="R80" s="91">
        <v>189</v>
      </c>
      <c r="S80" s="619">
        <v>150</v>
      </c>
    </row>
    <row r="81" spans="1:19" ht="30" customHeight="1" x14ac:dyDescent="0.2">
      <c r="A81" s="291" t="str">
        <f t="shared" si="3"/>
        <v>SOU074 / 1259</v>
      </c>
      <c r="B81" s="89" t="s">
        <v>5819</v>
      </c>
      <c r="C81" s="89" t="s">
        <v>532</v>
      </c>
      <c r="D81" s="318" t="s">
        <v>5820</v>
      </c>
      <c r="E81" s="369" t="str">
        <f>VLOOKUP(D:D,'Master Table'!C:D,2,FALSE)</f>
        <v>1259</v>
      </c>
      <c r="F81" s="769" t="s">
        <v>5820</v>
      </c>
      <c r="G81" s="769" t="s">
        <v>5821</v>
      </c>
      <c r="H81" s="769" t="s">
        <v>61</v>
      </c>
      <c r="I81" s="769" t="s">
        <v>5819</v>
      </c>
      <c r="J81" s="769" t="s">
        <v>324</v>
      </c>
      <c r="K81" s="790"/>
      <c r="L81" s="790">
        <v>100</v>
      </c>
      <c r="M81" s="790"/>
      <c r="N81" s="312">
        <f t="shared" si="2"/>
        <v>100</v>
      </c>
      <c r="O81" s="467">
        <f>VLOOKUP(D:D,'Master Table'!C:O,13,FALSE)</f>
        <v>155</v>
      </c>
      <c r="P81" s="657">
        <v>155</v>
      </c>
      <c r="Q81" s="476">
        <v>180</v>
      </c>
      <c r="R81" s="91">
        <v>200</v>
      </c>
      <c r="S81" s="619">
        <v>60</v>
      </c>
    </row>
    <row r="82" spans="1:19" ht="30" customHeight="1" x14ac:dyDescent="0.2">
      <c r="A82" s="291" t="str">
        <f t="shared" si="3"/>
        <v>SOU075 / 1260</v>
      </c>
      <c r="B82" s="89" t="s">
        <v>5825</v>
      </c>
      <c r="C82" s="89" t="s">
        <v>5824</v>
      </c>
      <c r="D82" s="318" t="s">
        <v>5822</v>
      </c>
      <c r="E82" s="369" t="str">
        <f>VLOOKUP(D:D,'Master Table'!C:D,2,FALSE)</f>
        <v>1260</v>
      </c>
      <c r="F82" s="769" t="s">
        <v>5822</v>
      </c>
      <c r="G82" s="769" t="s">
        <v>5823</v>
      </c>
      <c r="H82" s="769" t="s">
        <v>5824</v>
      </c>
      <c r="I82" s="769" t="s">
        <v>5825</v>
      </c>
      <c r="J82" s="769" t="s">
        <v>324</v>
      </c>
      <c r="K82" s="790"/>
      <c r="L82" s="790">
        <v>95</v>
      </c>
      <c r="M82" s="790"/>
      <c r="N82" s="312">
        <f t="shared" si="2"/>
        <v>95</v>
      </c>
      <c r="O82" s="467">
        <f>VLOOKUP(D:D,'Master Table'!C:O,13,FALSE)</f>
        <v>580.73</v>
      </c>
      <c r="P82" s="657">
        <v>580.73</v>
      </c>
      <c r="Q82" s="476">
        <v>809.25</v>
      </c>
      <c r="R82" s="91">
        <v>855.39</v>
      </c>
      <c r="S82" s="619">
        <v>906.82</v>
      </c>
    </row>
    <row r="83" spans="1:19" ht="30" customHeight="1" x14ac:dyDescent="0.2">
      <c r="A83" s="291" t="str">
        <f t="shared" si="3"/>
        <v>SOU076 / 1261</v>
      </c>
      <c r="B83" s="89" t="s">
        <v>5828</v>
      </c>
      <c r="C83" s="89" t="s">
        <v>198</v>
      </c>
      <c r="D83" s="318" t="s">
        <v>5826</v>
      </c>
      <c r="E83" s="369" t="str">
        <f>VLOOKUP(D:D,'Master Table'!C:D,2,FALSE)</f>
        <v>1261</v>
      </c>
      <c r="F83" s="769" t="s">
        <v>5826</v>
      </c>
      <c r="G83" s="769" t="s">
        <v>5827</v>
      </c>
      <c r="H83" s="769" t="s">
        <v>198</v>
      </c>
      <c r="I83" s="769" t="s">
        <v>5828</v>
      </c>
      <c r="J83" s="769" t="s">
        <v>324</v>
      </c>
      <c r="K83" s="790"/>
      <c r="L83" s="790">
        <v>243</v>
      </c>
      <c r="M83" s="790">
        <v>85.19</v>
      </c>
      <c r="N83" s="312">
        <f t="shared" si="2"/>
        <v>328.19</v>
      </c>
      <c r="O83" s="467">
        <f>VLOOKUP(D:D,'Master Table'!C:O,13,FALSE)</f>
        <v>835.51</v>
      </c>
      <c r="P83" s="657">
        <v>835.51</v>
      </c>
      <c r="Q83" s="476">
        <v>647.24</v>
      </c>
      <c r="R83" s="91">
        <v>716</v>
      </c>
      <c r="S83" s="619">
        <v>885.78</v>
      </c>
    </row>
    <row r="84" spans="1:19" ht="30" customHeight="1" x14ac:dyDescent="0.2">
      <c r="A84" s="291" t="str">
        <f t="shared" si="3"/>
        <v>SOU078 / 1263</v>
      </c>
      <c r="B84" s="89" t="s">
        <v>5831</v>
      </c>
      <c r="C84" s="89" t="s">
        <v>1696</v>
      </c>
      <c r="D84" s="318" t="s">
        <v>5829</v>
      </c>
      <c r="E84" s="369" t="str">
        <f>VLOOKUP(D:D,'Master Table'!C:D,2,FALSE)</f>
        <v>1263</v>
      </c>
      <c r="F84" s="769" t="s">
        <v>5829</v>
      </c>
      <c r="G84" s="769" t="s">
        <v>5830</v>
      </c>
      <c r="H84" s="769" t="s">
        <v>1696</v>
      </c>
      <c r="I84" s="769" t="s">
        <v>5831</v>
      </c>
      <c r="J84" s="769" t="s">
        <v>324</v>
      </c>
      <c r="K84" s="790">
        <v>1554.27</v>
      </c>
      <c r="L84" s="790">
        <v>965</v>
      </c>
      <c r="M84" s="790">
        <v>55</v>
      </c>
      <c r="N84" s="312">
        <f t="shared" si="2"/>
        <v>2574.27</v>
      </c>
      <c r="O84" s="467">
        <f>VLOOKUP(D:D,'Master Table'!C:O,13,FALSE)</f>
        <v>2373.0700000000002</v>
      </c>
      <c r="P84" s="657">
        <v>2373.0700000000002</v>
      </c>
      <c r="Q84" s="476">
        <v>2697.66</v>
      </c>
      <c r="R84" s="91">
        <v>2385.7600000000002</v>
      </c>
      <c r="S84" s="619">
        <v>2729.7400000000002</v>
      </c>
    </row>
    <row r="85" spans="1:19" ht="30" customHeight="1" x14ac:dyDescent="0.2">
      <c r="A85" s="291" t="str">
        <f t="shared" si="3"/>
        <v>SOU079 / 1264</v>
      </c>
      <c r="B85" s="89" t="s">
        <v>5835</v>
      </c>
      <c r="C85" s="89" t="s">
        <v>3574</v>
      </c>
      <c r="D85" s="318" t="s">
        <v>5833</v>
      </c>
      <c r="E85" s="369" t="str">
        <f>VLOOKUP(D:D,'Master Table'!C:D,2,FALSE)</f>
        <v>1264</v>
      </c>
      <c r="F85" s="769" t="s">
        <v>5833</v>
      </c>
      <c r="G85" s="769" t="s">
        <v>5834</v>
      </c>
      <c r="H85" s="769" t="s">
        <v>3574</v>
      </c>
      <c r="I85" s="769" t="s">
        <v>5835</v>
      </c>
      <c r="J85" s="769" t="s">
        <v>324</v>
      </c>
      <c r="K85" s="790"/>
      <c r="L85" s="790">
        <v>375</v>
      </c>
      <c r="M85" s="790">
        <v>550</v>
      </c>
      <c r="N85" s="312">
        <f t="shared" si="2"/>
        <v>925</v>
      </c>
      <c r="O85" s="467">
        <f>VLOOKUP(D:D,'Master Table'!C:O,13,FALSE)</f>
        <v>715</v>
      </c>
      <c r="P85" s="657">
        <v>715</v>
      </c>
      <c r="Q85" s="476">
        <v>1320</v>
      </c>
      <c r="R85" s="91">
        <v>520</v>
      </c>
      <c r="S85" s="619">
        <v>584.58000000000004</v>
      </c>
    </row>
    <row r="86" spans="1:19" ht="30" customHeight="1" x14ac:dyDescent="0.2">
      <c r="A86" s="291" t="str">
        <f t="shared" si="3"/>
        <v>SOU080 / 1265</v>
      </c>
      <c r="B86" s="89" t="s">
        <v>5838</v>
      </c>
      <c r="C86" s="89" t="s">
        <v>2759</v>
      </c>
      <c r="D86" s="318" t="s">
        <v>5836</v>
      </c>
      <c r="E86" s="369" t="str">
        <f>VLOOKUP(D:D,'Master Table'!C:D,2,FALSE)</f>
        <v>1265</v>
      </c>
      <c r="F86" s="769" t="s">
        <v>5836</v>
      </c>
      <c r="G86" s="769" t="s">
        <v>5837</v>
      </c>
      <c r="H86" s="769" t="s">
        <v>796</v>
      </c>
      <c r="I86" s="769" t="s">
        <v>5838</v>
      </c>
      <c r="J86" s="769" t="s">
        <v>324</v>
      </c>
      <c r="K86" s="790">
        <v>187.24</v>
      </c>
      <c r="L86" s="790">
        <v>320</v>
      </c>
      <c r="M86" s="790"/>
      <c r="N86" s="312">
        <f t="shared" si="2"/>
        <v>507.24</v>
      </c>
      <c r="O86" s="467">
        <f>VLOOKUP(D:D,'Master Table'!C:O,13,FALSE)</f>
        <v>431.82</v>
      </c>
      <c r="P86" s="657">
        <v>431.82</v>
      </c>
      <c r="Q86" s="476">
        <v>479.86</v>
      </c>
      <c r="R86" s="91">
        <v>504.26</v>
      </c>
      <c r="S86" s="619">
        <v>478.74</v>
      </c>
    </row>
    <row r="87" spans="1:19" ht="30" customHeight="1" x14ac:dyDescent="0.2">
      <c r="A87" s="291" t="str">
        <f t="shared" si="3"/>
        <v>SOU081 / 1266</v>
      </c>
      <c r="B87" s="89" t="s">
        <v>4863</v>
      </c>
      <c r="C87" s="89" t="s">
        <v>7856</v>
      </c>
      <c r="D87" s="318" t="s">
        <v>5839</v>
      </c>
      <c r="E87" s="369" t="str">
        <f>VLOOKUP(D:D,'Master Table'!C:D,2,FALSE)</f>
        <v>1266</v>
      </c>
      <c r="F87" s="769" t="s">
        <v>5839</v>
      </c>
      <c r="G87" s="769" t="s">
        <v>5840</v>
      </c>
      <c r="H87" s="769" t="s">
        <v>5841</v>
      </c>
      <c r="I87" s="769" t="s">
        <v>4863</v>
      </c>
      <c r="J87" s="769" t="s">
        <v>324</v>
      </c>
      <c r="K87" s="790"/>
      <c r="L87" s="790">
        <v>525</v>
      </c>
      <c r="M87" s="790"/>
      <c r="N87" s="312">
        <f t="shared" si="2"/>
        <v>525</v>
      </c>
      <c r="O87" s="467">
        <f>VLOOKUP(D:D,'Master Table'!C:O,13,FALSE)</f>
        <v>955.12</v>
      </c>
      <c r="P87" s="657">
        <v>955.12</v>
      </c>
      <c r="Q87" s="476">
        <v>1004.7</v>
      </c>
      <c r="R87" s="91">
        <v>1036.55</v>
      </c>
      <c r="S87" s="619">
        <v>1470.1000000000001</v>
      </c>
    </row>
    <row r="88" spans="1:19" ht="30" customHeight="1" x14ac:dyDescent="0.2">
      <c r="A88" s="291" t="s">
        <v>11404</v>
      </c>
      <c r="B88" s="89" t="s">
        <v>5844</v>
      </c>
      <c r="C88" s="89" t="s">
        <v>5382</v>
      </c>
      <c r="D88" s="318"/>
      <c r="E88" s="369"/>
      <c r="F88" s="769" t="s">
        <v>5842</v>
      </c>
      <c r="G88" s="769">
        <v>444630</v>
      </c>
      <c r="H88" s="769" t="s">
        <v>5382</v>
      </c>
      <c r="I88" s="769" t="s">
        <v>5844</v>
      </c>
      <c r="J88" s="769" t="s">
        <v>324</v>
      </c>
      <c r="K88" s="790"/>
      <c r="L88" s="790">
        <v>100</v>
      </c>
      <c r="M88" s="790"/>
      <c r="N88" s="312">
        <f t="shared" si="2"/>
        <v>100</v>
      </c>
      <c r="O88" s="467"/>
      <c r="P88" s="657"/>
      <c r="Q88" s="476"/>
      <c r="R88" s="91"/>
      <c r="S88" s="619"/>
    </row>
    <row r="89" spans="1:19" ht="30" customHeight="1" x14ac:dyDescent="0.2">
      <c r="A89" s="291" t="str">
        <f t="shared" si="3"/>
        <v>SOU082 / 1268</v>
      </c>
      <c r="B89" s="89" t="s">
        <v>5851</v>
      </c>
      <c r="C89" s="89" t="s">
        <v>7857</v>
      </c>
      <c r="D89" s="318" t="s">
        <v>5848</v>
      </c>
      <c r="E89" s="369" t="str">
        <f>VLOOKUP(D:D,'Master Table'!C:D,2,FALSE)</f>
        <v>1268</v>
      </c>
      <c r="F89" s="769" t="s">
        <v>5848</v>
      </c>
      <c r="G89" s="769" t="s">
        <v>5849</v>
      </c>
      <c r="H89" s="769" t="s">
        <v>5850</v>
      </c>
      <c r="I89" s="769" t="s">
        <v>5851</v>
      </c>
      <c r="J89" s="769" t="s">
        <v>324</v>
      </c>
      <c r="K89" s="790"/>
      <c r="L89" s="790">
        <v>245</v>
      </c>
      <c r="M89" s="790"/>
      <c r="N89" s="312">
        <f t="shared" si="2"/>
        <v>245</v>
      </c>
      <c r="O89" s="467">
        <f>VLOOKUP(D:D,'Master Table'!C:O,13,FALSE)</f>
        <v>542.38</v>
      </c>
      <c r="P89" s="657">
        <v>542.38</v>
      </c>
      <c r="Q89" s="476">
        <v>441.27</v>
      </c>
      <c r="R89" s="91">
        <v>572.52</v>
      </c>
      <c r="S89" s="619">
        <v>564.74</v>
      </c>
    </row>
    <row r="90" spans="1:19" ht="30" customHeight="1" x14ac:dyDescent="0.2">
      <c r="A90" s="291" t="str">
        <f t="shared" si="3"/>
        <v>SOU083 / 1269</v>
      </c>
      <c r="B90" s="89" t="s">
        <v>5854</v>
      </c>
      <c r="C90" s="89" t="s">
        <v>2578</v>
      </c>
      <c r="D90" s="318" t="s">
        <v>5852</v>
      </c>
      <c r="E90" s="369" t="str">
        <f>VLOOKUP(D:D,'Master Table'!C:D,2,FALSE)</f>
        <v>1269</v>
      </c>
      <c r="F90" s="769" t="s">
        <v>5852</v>
      </c>
      <c r="G90" s="769" t="s">
        <v>5853</v>
      </c>
      <c r="H90" s="769" t="s">
        <v>989</v>
      </c>
      <c r="I90" s="769" t="s">
        <v>5854</v>
      </c>
      <c r="J90" s="769" t="s">
        <v>324</v>
      </c>
      <c r="K90" s="790"/>
      <c r="L90" s="790">
        <v>50</v>
      </c>
      <c r="M90" s="790"/>
      <c r="N90" s="312">
        <f t="shared" si="2"/>
        <v>50</v>
      </c>
      <c r="O90" s="467">
        <f>VLOOKUP(D:D,'Master Table'!C:O,13,FALSE)</f>
        <v>514.72</v>
      </c>
      <c r="P90" s="657">
        <v>514.72</v>
      </c>
      <c r="Q90" s="476">
        <v>299.24</v>
      </c>
      <c r="R90" s="91">
        <v>583.05999999999995</v>
      </c>
      <c r="S90" s="619">
        <v>751.66</v>
      </c>
    </row>
    <row r="91" spans="1:19" ht="30" customHeight="1" x14ac:dyDescent="0.2">
      <c r="A91" s="291" t="str">
        <f t="shared" si="3"/>
        <v>SOU084 / 1270</v>
      </c>
      <c r="B91" s="89" t="s">
        <v>5857</v>
      </c>
      <c r="C91" s="89" t="s">
        <v>5138</v>
      </c>
      <c r="D91" s="318" t="s">
        <v>5855</v>
      </c>
      <c r="E91" s="369" t="str">
        <f>VLOOKUP(D:D,'Master Table'!C:D,2,FALSE)</f>
        <v>1270</v>
      </c>
      <c r="F91" s="769" t="s">
        <v>5855</v>
      </c>
      <c r="G91" s="769" t="s">
        <v>5856</v>
      </c>
      <c r="H91" s="769" t="s">
        <v>357</v>
      </c>
      <c r="I91" s="769" t="s">
        <v>5857</v>
      </c>
      <c r="J91" s="769" t="s">
        <v>324</v>
      </c>
      <c r="K91" s="790"/>
      <c r="L91" s="790">
        <v>119</v>
      </c>
      <c r="M91" s="790">
        <v>202.6</v>
      </c>
      <c r="N91" s="312">
        <f t="shared" si="2"/>
        <v>321.60000000000002</v>
      </c>
      <c r="O91" s="467">
        <f>VLOOKUP(D:D,'Master Table'!C:O,13,FALSE)</f>
        <v>295.91999999999996</v>
      </c>
      <c r="P91" s="657">
        <v>295.91999999999996</v>
      </c>
      <c r="Q91" s="476">
        <v>110</v>
      </c>
      <c r="R91" s="91">
        <v>337</v>
      </c>
      <c r="S91" s="619">
        <v>324.45</v>
      </c>
    </row>
    <row r="92" spans="1:19" ht="30" customHeight="1" x14ac:dyDescent="0.2">
      <c r="A92" s="291" t="str">
        <f t="shared" si="3"/>
        <v>SOU085 / 1271</v>
      </c>
      <c r="B92" s="89" t="s">
        <v>6115</v>
      </c>
      <c r="C92" s="89" t="s">
        <v>4476</v>
      </c>
      <c r="D92" s="318" t="s">
        <v>5858</v>
      </c>
      <c r="E92" s="369" t="str">
        <f>VLOOKUP(D:D,'Master Table'!C:D,2,FALSE)</f>
        <v>1271</v>
      </c>
      <c r="F92" s="769" t="s">
        <v>5858</v>
      </c>
      <c r="G92" s="769" t="s">
        <v>5859</v>
      </c>
      <c r="H92" s="769" t="s">
        <v>5860</v>
      </c>
      <c r="I92" s="769" t="s">
        <v>5861</v>
      </c>
      <c r="J92" s="769" t="s">
        <v>324</v>
      </c>
      <c r="K92" s="790"/>
      <c r="L92" s="790">
        <v>306</v>
      </c>
      <c r="M92" s="790"/>
      <c r="N92" s="312">
        <f t="shared" si="2"/>
        <v>306</v>
      </c>
      <c r="O92" s="467">
        <f>VLOOKUP(D:D,'Master Table'!C:O,13,FALSE)</f>
        <v>746.14</v>
      </c>
      <c r="P92" s="657">
        <v>746.14</v>
      </c>
      <c r="Q92" s="476">
        <v>1221.45</v>
      </c>
      <c r="R92" s="91">
        <v>1466.91</v>
      </c>
      <c r="S92" s="619">
        <v>1381.8600000000001</v>
      </c>
    </row>
    <row r="93" spans="1:19" ht="30" customHeight="1" x14ac:dyDescent="0.2">
      <c r="A93" s="291" t="str">
        <f t="shared" si="3"/>
        <v>SOU086 / 1272</v>
      </c>
      <c r="B93" s="89" t="s">
        <v>5865</v>
      </c>
      <c r="C93" s="89" t="s">
        <v>7858</v>
      </c>
      <c r="D93" s="318" t="s">
        <v>5862</v>
      </c>
      <c r="E93" s="369" t="str">
        <f>VLOOKUP(D:D,'Master Table'!C:D,2,FALSE)</f>
        <v>1272</v>
      </c>
      <c r="F93" s="769" t="s">
        <v>5862</v>
      </c>
      <c r="G93" s="769" t="s">
        <v>5863</v>
      </c>
      <c r="H93" s="769" t="s">
        <v>5864</v>
      </c>
      <c r="I93" s="769" t="s">
        <v>5865</v>
      </c>
      <c r="J93" s="769" t="s">
        <v>324</v>
      </c>
      <c r="K93" s="790"/>
      <c r="L93" s="790"/>
      <c r="M93" s="790"/>
      <c r="N93" s="312">
        <f t="shared" si="2"/>
        <v>0</v>
      </c>
      <c r="O93" s="467">
        <f>VLOOKUP(D:D,'Master Table'!C:O,13,FALSE)</f>
        <v>318.63</v>
      </c>
      <c r="P93" s="657">
        <v>318.63</v>
      </c>
      <c r="Q93" s="476">
        <v>397.77</v>
      </c>
      <c r="R93" s="91">
        <v>262.61</v>
      </c>
      <c r="S93" s="619">
        <v>785.11</v>
      </c>
    </row>
    <row r="94" spans="1:19" ht="30" customHeight="1" x14ac:dyDescent="0.2">
      <c r="A94" s="291" t="str">
        <f t="shared" si="3"/>
        <v>SOU087 / 1273</v>
      </c>
      <c r="B94" s="89" t="s">
        <v>5868</v>
      </c>
      <c r="C94" s="89" t="s">
        <v>1203</v>
      </c>
      <c r="D94" s="318" t="s">
        <v>5866</v>
      </c>
      <c r="E94" s="369" t="str">
        <f>VLOOKUP(D:D,'Master Table'!C:D,2,FALSE)</f>
        <v>1273</v>
      </c>
      <c r="F94" s="769" t="s">
        <v>5866</v>
      </c>
      <c r="G94" s="769" t="s">
        <v>5867</v>
      </c>
      <c r="H94" s="769" t="s">
        <v>1203</v>
      </c>
      <c r="I94" s="769" t="s">
        <v>5868</v>
      </c>
      <c r="J94" s="769" t="s">
        <v>324</v>
      </c>
      <c r="K94" s="790"/>
      <c r="L94" s="790">
        <v>270</v>
      </c>
      <c r="M94" s="790">
        <v>79.17</v>
      </c>
      <c r="N94" s="312">
        <f t="shared" si="2"/>
        <v>349.17</v>
      </c>
      <c r="O94" s="467">
        <f>VLOOKUP(D:D,'Master Table'!C:O,13,FALSE)</f>
        <v>2052.3999999999996</v>
      </c>
      <c r="P94" s="657">
        <v>2052.3999999999996</v>
      </c>
      <c r="Q94" s="476">
        <v>2241.91</v>
      </c>
      <c r="R94" s="91">
        <v>2148.1999999999998</v>
      </c>
      <c r="S94" s="619">
        <v>1941.03</v>
      </c>
    </row>
    <row r="95" spans="1:19" ht="30" customHeight="1" x14ac:dyDescent="0.2">
      <c r="A95" s="291" t="str">
        <f t="shared" si="3"/>
        <v>SOU088 / 1274</v>
      </c>
      <c r="B95" s="89" t="s">
        <v>5872</v>
      </c>
      <c r="C95" s="89" t="s">
        <v>5871</v>
      </c>
      <c r="D95" s="318" t="s">
        <v>5869</v>
      </c>
      <c r="E95" s="369" t="str">
        <f>VLOOKUP(D:D,'Master Table'!C:D,2,FALSE)</f>
        <v>1274</v>
      </c>
      <c r="F95" s="769" t="s">
        <v>5869</v>
      </c>
      <c r="G95" s="769" t="s">
        <v>5870</v>
      </c>
      <c r="H95" s="769" t="s">
        <v>5871</v>
      </c>
      <c r="I95" s="769" t="s">
        <v>5872</v>
      </c>
      <c r="J95" s="769" t="s">
        <v>324</v>
      </c>
      <c r="K95" s="790"/>
      <c r="L95" s="790">
        <v>281</v>
      </c>
      <c r="M95" s="790"/>
      <c r="N95" s="312">
        <f t="shared" si="2"/>
        <v>281</v>
      </c>
      <c r="O95" s="467">
        <f>VLOOKUP(D:D,'Master Table'!C:O,13,FALSE)</f>
        <v>407.36</v>
      </c>
      <c r="P95" s="657">
        <v>407.36</v>
      </c>
      <c r="Q95" s="476">
        <v>766.49</v>
      </c>
      <c r="R95" s="91">
        <v>1126.7</v>
      </c>
      <c r="S95" s="619">
        <v>780</v>
      </c>
    </row>
    <row r="96" spans="1:19" ht="30" customHeight="1" x14ac:dyDescent="0.2">
      <c r="A96" s="291" t="str">
        <f t="shared" si="3"/>
        <v>SOU089 / 1275</v>
      </c>
      <c r="B96" s="89" t="s">
        <v>5876</v>
      </c>
      <c r="C96" s="89" t="s">
        <v>5152</v>
      </c>
      <c r="D96" s="318" t="s">
        <v>5873</v>
      </c>
      <c r="E96" s="369" t="str">
        <f>VLOOKUP(D:D,'Master Table'!C:D,2,FALSE)</f>
        <v>1275</v>
      </c>
      <c r="F96" s="769" t="s">
        <v>5873</v>
      </c>
      <c r="G96" s="769" t="s">
        <v>5874</v>
      </c>
      <c r="H96" s="769" t="s">
        <v>5875</v>
      </c>
      <c r="I96" s="769" t="s">
        <v>5876</v>
      </c>
      <c r="J96" s="769" t="s">
        <v>324</v>
      </c>
      <c r="K96" s="790"/>
      <c r="L96" s="790">
        <v>802.4</v>
      </c>
      <c r="M96" s="790"/>
      <c r="N96" s="312">
        <f t="shared" si="2"/>
        <v>802.4</v>
      </c>
      <c r="O96" s="467">
        <f>VLOOKUP(D:D,'Master Table'!C:O,13,FALSE)</f>
        <v>792.98</v>
      </c>
      <c r="P96" s="657">
        <v>792.98</v>
      </c>
      <c r="Q96" s="476">
        <v>858.4</v>
      </c>
      <c r="R96" s="91">
        <v>1381.46</v>
      </c>
      <c r="S96" s="619">
        <v>1219.0899999999999</v>
      </c>
    </row>
    <row r="97" spans="1:19" ht="30" customHeight="1" x14ac:dyDescent="0.2">
      <c r="A97" s="291" t="str">
        <f t="shared" si="3"/>
        <v>SOU090 / 1277</v>
      </c>
      <c r="B97" s="89" t="s">
        <v>5892</v>
      </c>
      <c r="C97" s="89" t="s">
        <v>7859</v>
      </c>
      <c r="D97" s="318" t="s">
        <v>5889</v>
      </c>
      <c r="E97" s="369" t="str">
        <f>VLOOKUP(D:D,'Master Table'!C:D,2,FALSE)</f>
        <v>1277</v>
      </c>
      <c r="F97" s="769" t="s">
        <v>5889</v>
      </c>
      <c r="G97" s="769" t="s">
        <v>5890</v>
      </c>
      <c r="H97" s="769" t="s">
        <v>5891</v>
      </c>
      <c r="I97" s="769" t="s">
        <v>5892</v>
      </c>
      <c r="J97" s="769" t="s">
        <v>324</v>
      </c>
      <c r="K97" s="790">
        <v>541.13</v>
      </c>
      <c r="L97" s="790">
        <v>60</v>
      </c>
      <c r="M97" s="790"/>
      <c r="N97" s="312">
        <f t="shared" si="2"/>
        <v>601.13</v>
      </c>
      <c r="O97" s="467">
        <f>VLOOKUP(D:D,'Master Table'!C:O,13,FALSE)</f>
        <v>943.24</v>
      </c>
      <c r="P97" s="657">
        <v>943.24</v>
      </c>
      <c r="Q97" s="476">
        <v>1032.6599999999999</v>
      </c>
      <c r="R97" s="91">
        <v>1185.19</v>
      </c>
      <c r="S97" s="619">
        <v>1201.95</v>
      </c>
    </row>
    <row r="98" spans="1:19" ht="30" customHeight="1" x14ac:dyDescent="0.2">
      <c r="A98" s="291" t="str">
        <f t="shared" si="3"/>
        <v>SOU091 / 1278</v>
      </c>
      <c r="B98" s="89" t="s">
        <v>5895</v>
      </c>
      <c r="C98" s="89" t="s">
        <v>2578</v>
      </c>
      <c r="D98" s="318" t="s">
        <v>5893</v>
      </c>
      <c r="E98" s="369" t="str">
        <f>VLOOKUP(D:D,'Master Table'!C:D,2,FALSE)</f>
        <v>1278</v>
      </c>
      <c r="F98" s="769" t="s">
        <v>5893</v>
      </c>
      <c r="G98" s="769" t="s">
        <v>5894</v>
      </c>
      <c r="H98" s="769" t="s">
        <v>989</v>
      </c>
      <c r="I98" s="769" t="s">
        <v>5895</v>
      </c>
      <c r="J98" s="769" t="s">
        <v>324</v>
      </c>
      <c r="K98" s="790">
        <v>2682.95</v>
      </c>
      <c r="L98" s="790">
        <v>1625</v>
      </c>
      <c r="M98" s="790"/>
      <c r="N98" s="312">
        <f t="shared" si="2"/>
        <v>4307.95</v>
      </c>
      <c r="O98" s="467">
        <f>VLOOKUP(D:D,'Master Table'!C:O,13,FALSE)</f>
        <v>4115.3</v>
      </c>
      <c r="P98" s="657">
        <v>4115.3</v>
      </c>
      <c r="Q98" s="476">
        <v>3689.49</v>
      </c>
      <c r="R98" s="91">
        <v>3922.64</v>
      </c>
      <c r="S98" s="619">
        <v>4145.08</v>
      </c>
    </row>
    <row r="99" spans="1:19" ht="30" customHeight="1" x14ac:dyDescent="0.2">
      <c r="A99" s="291" t="str">
        <f t="shared" si="3"/>
        <v>SOU093 / 1280</v>
      </c>
      <c r="B99" s="89" t="s">
        <v>5898</v>
      </c>
      <c r="C99" s="89" t="s">
        <v>942</v>
      </c>
      <c r="D99" s="318" t="s">
        <v>5896</v>
      </c>
      <c r="E99" s="369" t="str">
        <f>VLOOKUP(D:D,'Master Table'!C:D,2,FALSE)</f>
        <v>1280</v>
      </c>
      <c r="F99" s="769" t="s">
        <v>5896</v>
      </c>
      <c r="G99" s="769" t="s">
        <v>5897</v>
      </c>
      <c r="H99" s="769" t="s">
        <v>942</v>
      </c>
      <c r="I99" s="769" t="s">
        <v>5898</v>
      </c>
      <c r="J99" s="769" t="s">
        <v>324</v>
      </c>
      <c r="K99" s="790"/>
      <c r="L99" s="790">
        <v>310</v>
      </c>
      <c r="M99" s="790">
        <v>30</v>
      </c>
      <c r="N99" s="312">
        <f t="shared" ref="N99:N152" si="4">K99+L99+M99</f>
        <v>340</v>
      </c>
      <c r="O99" s="467">
        <f>VLOOKUP(D:D,'Master Table'!C:O,13,FALSE)</f>
        <v>5</v>
      </c>
      <c r="P99" s="657">
        <v>5</v>
      </c>
      <c r="Q99" s="476">
        <v>5</v>
      </c>
      <c r="R99" s="91">
        <v>44.23</v>
      </c>
      <c r="S99" s="619">
        <v>524.33000000000004</v>
      </c>
    </row>
    <row r="100" spans="1:19" ht="30" customHeight="1" x14ac:dyDescent="0.2">
      <c r="A100" s="291" t="str">
        <f t="shared" si="3"/>
        <v>SOU095 / 1281</v>
      </c>
      <c r="B100" s="89" t="s">
        <v>5901</v>
      </c>
      <c r="C100" s="89" t="s">
        <v>7860</v>
      </c>
      <c r="D100" s="318" t="s">
        <v>5899</v>
      </c>
      <c r="E100" s="369" t="str">
        <f>VLOOKUP(D:D,'Master Table'!C:D,2,FALSE)</f>
        <v>1281</v>
      </c>
      <c r="F100" s="769" t="s">
        <v>5899</v>
      </c>
      <c r="G100" s="769" t="s">
        <v>5900</v>
      </c>
      <c r="H100" s="769" t="s">
        <v>164</v>
      </c>
      <c r="I100" s="769" t="s">
        <v>5901</v>
      </c>
      <c r="J100" s="769" t="s">
        <v>324</v>
      </c>
      <c r="K100" s="790"/>
      <c r="L100" s="790">
        <v>25</v>
      </c>
      <c r="M100" s="790"/>
      <c r="N100" s="312">
        <f t="shared" si="4"/>
        <v>25</v>
      </c>
      <c r="O100" s="467">
        <f>VLOOKUP(D:D,'Master Table'!C:O,13,FALSE)</f>
        <v>191.97</v>
      </c>
      <c r="P100" s="657">
        <v>191.97</v>
      </c>
      <c r="Q100" s="476">
        <v>242.26</v>
      </c>
      <c r="R100" s="91">
        <v>374</v>
      </c>
      <c r="S100" s="619">
        <v>270</v>
      </c>
    </row>
    <row r="101" spans="1:19" ht="30" customHeight="1" x14ac:dyDescent="0.2">
      <c r="A101" s="291" t="str">
        <f t="shared" si="3"/>
        <v>SOU096 / 1282</v>
      </c>
      <c r="B101" s="89" t="s">
        <v>5907</v>
      </c>
      <c r="C101" s="89" t="s">
        <v>934</v>
      </c>
      <c r="D101" s="318" t="s">
        <v>5905</v>
      </c>
      <c r="E101" s="369" t="str">
        <f>VLOOKUP(D:D,'Master Table'!C:D,2,FALSE)</f>
        <v>1282</v>
      </c>
      <c r="F101" s="769" t="s">
        <v>5905</v>
      </c>
      <c r="G101" s="769" t="s">
        <v>5906</v>
      </c>
      <c r="H101" s="769" t="s">
        <v>934</v>
      </c>
      <c r="I101" s="769" t="s">
        <v>5907</v>
      </c>
      <c r="J101" s="769" t="s">
        <v>324</v>
      </c>
      <c r="K101" s="790"/>
      <c r="L101" s="790">
        <v>480</v>
      </c>
      <c r="M101" s="790">
        <v>36.33</v>
      </c>
      <c r="N101" s="312">
        <f t="shared" si="4"/>
        <v>516.33000000000004</v>
      </c>
      <c r="O101" s="467">
        <f>VLOOKUP(D:D,'Master Table'!C:O,13,FALSE)</f>
        <v>1029.17</v>
      </c>
      <c r="P101" s="657">
        <v>1029.17</v>
      </c>
      <c r="Q101" s="476">
        <v>2189.17</v>
      </c>
      <c r="R101" s="91">
        <v>1121.68</v>
      </c>
      <c r="S101" s="619">
        <v>665.6</v>
      </c>
    </row>
    <row r="102" spans="1:19" ht="30" customHeight="1" x14ac:dyDescent="0.2">
      <c r="A102" s="291" t="str">
        <f t="shared" si="3"/>
        <v>SOU097 / 1283</v>
      </c>
      <c r="B102" s="89" t="s">
        <v>5911</v>
      </c>
      <c r="C102" s="89" t="s">
        <v>5610</v>
      </c>
      <c r="D102" s="318" t="s">
        <v>5909</v>
      </c>
      <c r="E102" s="369" t="str">
        <f>VLOOKUP(D:D,'Master Table'!C:D,2,FALSE)</f>
        <v>1283</v>
      </c>
      <c r="F102" s="769" t="s">
        <v>5909</v>
      </c>
      <c r="G102" s="769" t="s">
        <v>5910</v>
      </c>
      <c r="H102" s="769" t="s">
        <v>393</v>
      </c>
      <c r="I102" s="769" t="s">
        <v>5911</v>
      </c>
      <c r="J102" s="769" t="s">
        <v>324</v>
      </c>
      <c r="K102" s="790"/>
      <c r="L102" s="790">
        <v>270</v>
      </c>
      <c r="M102" s="790"/>
      <c r="N102" s="312">
        <f t="shared" si="4"/>
        <v>270</v>
      </c>
      <c r="O102" s="467">
        <f>VLOOKUP(D:D,'Master Table'!C:O,13,FALSE)</f>
        <v>1040.1600000000001</v>
      </c>
      <c r="P102" s="657">
        <v>1040.1600000000001</v>
      </c>
      <c r="Q102" s="476">
        <v>770.46</v>
      </c>
      <c r="R102" s="91">
        <v>845</v>
      </c>
      <c r="S102" s="619">
        <v>436</v>
      </c>
    </row>
    <row r="103" spans="1:19" ht="30" customHeight="1" x14ac:dyDescent="0.2">
      <c r="A103" s="291" t="str">
        <f t="shared" si="3"/>
        <v>SOU098 / 1284</v>
      </c>
      <c r="B103" s="89" t="s">
        <v>5915</v>
      </c>
      <c r="C103" s="89" t="s">
        <v>783</v>
      </c>
      <c r="D103" s="318" t="s">
        <v>5913</v>
      </c>
      <c r="E103" s="369" t="str">
        <f>VLOOKUP(D:D,'Master Table'!C:D,2,FALSE)</f>
        <v>1284</v>
      </c>
      <c r="F103" s="769" t="s">
        <v>5913</v>
      </c>
      <c r="G103" s="769" t="s">
        <v>5914</v>
      </c>
      <c r="H103" s="769" t="s">
        <v>977</v>
      </c>
      <c r="I103" s="769" t="s">
        <v>5915</v>
      </c>
      <c r="J103" s="769" t="s">
        <v>324</v>
      </c>
      <c r="K103" s="790"/>
      <c r="L103" s="790">
        <v>2105.88</v>
      </c>
      <c r="M103" s="790">
        <v>193.28</v>
      </c>
      <c r="N103" s="312">
        <f t="shared" si="4"/>
        <v>2299.1600000000003</v>
      </c>
      <c r="O103" s="467">
        <f>VLOOKUP(D:D,'Master Table'!C:O,13,FALSE)</f>
        <v>3581.9700000000003</v>
      </c>
      <c r="P103" s="657">
        <v>3581.9700000000003</v>
      </c>
      <c r="Q103" s="476">
        <v>5776.2</v>
      </c>
      <c r="R103" s="91">
        <v>1211</v>
      </c>
      <c r="S103" s="619">
        <v>1298.4000000000001</v>
      </c>
    </row>
    <row r="104" spans="1:19" ht="30" customHeight="1" x14ac:dyDescent="0.2">
      <c r="A104" s="291" t="str">
        <f t="shared" si="3"/>
        <v>SOU099 / 1285</v>
      </c>
      <c r="B104" s="89" t="s">
        <v>5922</v>
      </c>
      <c r="C104" s="89" t="s">
        <v>5548</v>
      </c>
      <c r="D104" s="318" t="s">
        <v>5919</v>
      </c>
      <c r="E104" s="369" t="str">
        <f>VLOOKUP(D:D,'Master Table'!C:D,2,FALSE)</f>
        <v>1285</v>
      </c>
      <c r="F104" s="769" t="s">
        <v>5919</v>
      </c>
      <c r="G104" s="769" t="s">
        <v>5920</v>
      </c>
      <c r="H104" s="769" t="s">
        <v>5921</v>
      </c>
      <c r="I104" s="769" t="s">
        <v>5922</v>
      </c>
      <c r="J104" s="769" t="s">
        <v>324</v>
      </c>
      <c r="K104" s="790">
        <v>472.57000000000005</v>
      </c>
      <c r="L104" s="790">
        <v>60</v>
      </c>
      <c r="M104" s="790"/>
      <c r="N104" s="312">
        <f t="shared" si="4"/>
        <v>532.57000000000005</v>
      </c>
      <c r="O104" s="467">
        <f>VLOOKUP(D:D,'Master Table'!C:O,13,FALSE)</f>
        <v>589.34</v>
      </c>
      <c r="P104" s="657">
        <v>589.34</v>
      </c>
      <c r="Q104" s="476">
        <v>817.9</v>
      </c>
      <c r="R104" s="91">
        <v>484.88</v>
      </c>
      <c r="S104" s="619">
        <v>757.64</v>
      </c>
    </row>
    <row r="105" spans="1:19" ht="30" customHeight="1" x14ac:dyDescent="0.2">
      <c r="A105" s="291" t="str">
        <f t="shared" si="3"/>
        <v>SOU100 / 1286</v>
      </c>
      <c r="B105" s="89" t="s">
        <v>5925</v>
      </c>
      <c r="C105" s="89" t="s">
        <v>7193</v>
      </c>
      <c r="D105" s="318" t="s">
        <v>5923</v>
      </c>
      <c r="E105" s="369" t="str">
        <f>VLOOKUP(D:D,'Master Table'!C:D,2,FALSE)</f>
        <v>1286</v>
      </c>
      <c r="F105" s="769" t="s">
        <v>5923</v>
      </c>
      <c r="G105" s="769" t="s">
        <v>5924</v>
      </c>
      <c r="H105" s="769" t="s">
        <v>412</v>
      </c>
      <c r="I105" s="769" t="s">
        <v>5925</v>
      </c>
      <c r="J105" s="769" t="s">
        <v>324</v>
      </c>
      <c r="K105" s="790">
        <v>372.03999999999996</v>
      </c>
      <c r="L105" s="790"/>
      <c r="M105" s="790"/>
      <c r="N105" s="312">
        <f t="shared" si="4"/>
        <v>372.03999999999996</v>
      </c>
      <c r="O105" s="467">
        <f>VLOOKUP(D:D,'Master Table'!C:O,13,FALSE)</f>
        <v>182.51000000000002</v>
      </c>
      <c r="P105" s="657">
        <v>182.51000000000002</v>
      </c>
      <c r="Q105" s="476">
        <v>375.57</v>
      </c>
      <c r="R105" s="91">
        <v>689.17</v>
      </c>
      <c r="S105" s="619">
        <v>151.54</v>
      </c>
    </row>
    <row r="106" spans="1:19" ht="30" customHeight="1" x14ac:dyDescent="0.2">
      <c r="A106" s="291" t="str">
        <f t="shared" si="3"/>
        <v>SOU101 / 1287</v>
      </c>
      <c r="B106" s="89" t="s">
        <v>5928</v>
      </c>
      <c r="C106" s="89" t="s">
        <v>532</v>
      </c>
      <c r="D106" s="318" t="s">
        <v>5926</v>
      </c>
      <c r="E106" s="369" t="str">
        <f>VLOOKUP(D:D,'Master Table'!C:D,2,FALSE)</f>
        <v>1287</v>
      </c>
      <c r="F106" s="769" t="s">
        <v>5926</v>
      </c>
      <c r="G106" s="769" t="s">
        <v>5927</v>
      </c>
      <c r="H106" s="769" t="s">
        <v>61</v>
      </c>
      <c r="I106" s="769" t="s">
        <v>5928</v>
      </c>
      <c r="J106" s="769" t="s">
        <v>324</v>
      </c>
      <c r="K106" s="790"/>
      <c r="L106" s="790">
        <v>465</v>
      </c>
      <c r="M106" s="790">
        <v>719.73</v>
      </c>
      <c r="N106" s="312">
        <f t="shared" si="4"/>
        <v>1184.73</v>
      </c>
      <c r="O106" s="467">
        <f>VLOOKUP(D:D,'Master Table'!C:O,13,FALSE)</f>
        <v>1385.51</v>
      </c>
      <c r="P106" s="657">
        <v>1385.51</v>
      </c>
      <c r="Q106" s="476">
        <v>1232.04</v>
      </c>
      <c r="R106" s="91">
        <v>1818</v>
      </c>
      <c r="S106" s="619">
        <v>1499.73</v>
      </c>
    </row>
    <row r="107" spans="1:19" ht="30" customHeight="1" x14ac:dyDescent="0.2">
      <c r="A107" s="291" t="str">
        <f t="shared" si="3"/>
        <v>SOU102 / 1288</v>
      </c>
      <c r="B107" s="89" t="s">
        <v>5931</v>
      </c>
      <c r="C107" s="89" t="s">
        <v>5069</v>
      </c>
      <c r="D107" s="318" t="s">
        <v>5929</v>
      </c>
      <c r="E107" s="369" t="str">
        <f>VLOOKUP(D:D,'Master Table'!C:D,2,FALSE)</f>
        <v>1288</v>
      </c>
      <c r="F107" s="769" t="s">
        <v>5929</v>
      </c>
      <c r="G107" s="769" t="s">
        <v>5930</v>
      </c>
      <c r="H107" s="769" t="s">
        <v>5069</v>
      </c>
      <c r="I107" s="769" t="s">
        <v>5931</v>
      </c>
      <c r="J107" s="769" t="s">
        <v>324</v>
      </c>
      <c r="K107" s="790"/>
      <c r="L107" s="790">
        <v>445</v>
      </c>
      <c r="M107" s="790"/>
      <c r="N107" s="312">
        <f t="shared" si="4"/>
        <v>445</v>
      </c>
      <c r="O107" s="467">
        <f>VLOOKUP(D:D,'Master Table'!C:O,13,FALSE)</f>
        <v>1103</v>
      </c>
      <c r="P107" s="657">
        <v>1103</v>
      </c>
      <c r="Q107" s="476">
        <v>1073.8499999999999</v>
      </c>
      <c r="R107" s="91">
        <v>1279.1199999999999</v>
      </c>
      <c r="S107" s="619">
        <v>945.17000000000007</v>
      </c>
    </row>
    <row r="108" spans="1:19" ht="30" customHeight="1" x14ac:dyDescent="0.2">
      <c r="A108" s="291" t="str">
        <f t="shared" si="3"/>
        <v>SOU103 / 1289</v>
      </c>
      <c r="B108" s="89" t="s">
        <v>5936</v>
      </c>
      <c r="C108" s="89" t="s">
        <v>7861</v>
      </c>
      <c r="D108" s="318" t="s">
        <v>5933</v>
      </c>
      <c r="E108" s="369" t="str">
        <f>VLOOKUP(D:D,'Master Table'!C:D,2,FALSE)</f>
        <v>1289</v>
      </c>
      <c r="F108" s="769" t="s">
        <v>5933</v>
      </c>
      <c r="G108" s="769" t="s">
        <v>5934</v>
      </c>
      <c r="H108" s="769" t="s">
        <v>5935</v>
      </c>
      <c r="I108" s="769" t="s">
        <v>1832</v>
      </c>
      <c r="J108" s="769" t="s">
        <v>324</v>
      </c>
      <c r="K108" s="790">
        <v>2310.61</v>
      </c>
      <c r="L108" s="790">
        <v>949.19</v>
      </c>
      <c r="M108" s="790">
        <v>330</v>
      </c>
      <c r="N108" s="312">
        <f t="shared" si="4"/>
        <v>3589.8</v>
      </c>
      <c r="O108" s="467">
        <f>VLOOKUP(D:D,'Master Table'!C:O,13,FALSE)</f>
        <v>5137.43</v>
      </c>
      <c r="P108" s="657">
        <v>5137.43</v>
      </c>
      <c r="Q108" s="476">
        <v>6032.22</v>
      </c>
      <c r="R108" s="91">
        <v>8504.92</v>
      </c>
      <c r="S108" s="619">
        <v>9361.66</v>
      </c>
    </row>
    <row r="109" spans="1:19" ht="30" customHeight="1" x14ac:dyDescent="0.2">
      <c r="A109" s="291" t="str">
        <f t="shared" si="3"/>
        <v>SOU104 / 1290</v>
      </c>
      <c r="B109" s="89" t="s">
        <v>5939</v>
      </c>
      <c r="C109" s="89" t="s">
        <v>7862</v>
      </c>
      <c r="D109" s="318" t="s">
        <v>5937</v>
      </c>
      <c r="E109" s="369" t="str">
        <f>VLOOKUP(D:D,'Master Table'!C:D,2,FALSE)</f>
        <v>1290</v>
      </c>
      <c r="F109" s="769" t="s">
        <v>5937</v>
      </c>
      <c r="G109" s="769" t="s">
        <v>5938</v>
      </c>
      <c r="H109" s="769" t="s">
        <v>3088</v>
      </c>
      <c r="I109" s="769" t="s">
        <v>5939</v>
      </c>
      <c r="J109" s="769" t="s">
        <v>324</v>
      </c>
      <c r="K109" s="790"/>
      <c r="L109" s="790">
        <v>195</v>
      </c>
      <c r="M109" s="790"/>
      <c r="N109" s="312">
        <f t="shared" si="4"/>
        <v>195</v>
      </c>
      <c r="O109" s="467">
        <f>VLOOKUP(D:D,'Master Table'!C:O,13,FALSE)</f>
        <v>627.20000000000005</v>
      </c>
      <c r="P109" s="657">
        <v>627.20000000000005</v>
      </c>
      <c r="Q109" s="476">
        <v>857.87</v>
      </c>
      <c r="R109" s="91">
        <v>533.39</v>
      </c>
      <c r="S109" s="619">
        <v>666.32</v>
      </c>
    </row>
    <row r="110" spans="1:19" ht="30" customHeight="1" x14ac:dyDescent="0.2">
      <c r="A110" s="291" t="str">
        <f t="shared" si="3"/>
        <v>SOU105 / 1291</v>
      </c>
      <c r="B110" s="89" t="s">
        <v>5943</v>
      </c>
      <c r="C110" s="89" t="s">
        <v>127</v>
      </c>
      <c r="D110" s="318" t="s">
        <v>5941</v>
      </c>
      <c r="E110" s="369" t="str">
        <f>VLOOKUP(D:D,'Master Table'!C:D,2,FALSE)</f>
        <v>1291</v>
      </c>
      <c r="F110" s="769" t="s">
        <v>5941</v>
      </c>
      <c r="G110" s="769" t="s">
        <v>5942</v>
      </c>
      <c r="H110" s="769" t="s">
        <v>127</v>
      </c>
      <c r="I110" s="769" t="s">
        <v>5943</v>
      </c>
      <c r="J110" s="769" t="s">
        <v>324</v>
      </c>
      <c r="K110" s="790"/>
      <c r="L110" s="790">
        <v>105</v>
      </c>
      <c r="M110" s="790">
        <v>133.13999999999999</v>
      </c>
      <c r="N110" s="312">
        <f t="shared" si="4"/>
        <v>238.14</v>
      </c>
      <c r="O110" s="467">
        <f>VLOOKUP(D:D,'Master Table'!C:O,13,FALSE)</f>
        <v>342.73</v>
      </c>
      <c r="P110" s="657">
        <v>342.73</v>
      </c>
      <c r="Q110" s="476">
        <v>544.34</v>
      </c>
      <c r="R110" s="91">
        <v>671</v>
      </c>
      <c r="S110" s="619">
        <v>504.12</v>
      </c>
    </row>
    <row r="111" spans="1:19" ht="30" customHeight="1" x14ac:dyDescent="0.2">
      <c r="A111" s="291" t="str">
        <f t="shared" si="3"/>
        <v>SOU106 / 1292</v>
      </c>
      <c r="B111" s="89" t="s">
        <v>5947</v>
      </c>
      <c r="C111" s="89" t="s">
        <v>7863</v>
      </c>
      <c r="D111" s="318" t="s">
        <v>5944</v>
      </c>
      <c r="E111" s="369" t="str">
        <f>VLOOKUP(D:D,'Master Table'!C:D,2,FALSE)</f>
        <v>1292</v>
      </c>
      <c r="F111" s="769" t="s">
        <v>5944</v>
      </c>
      <c r="G111" s="769" t="s">
        <v>5945</v>
      </c>
      <c r="H111" s="769" t="s">
        <v>5946</v>
      </c>
      <c r="I111" s="769" t="s">
        <v>5947</v>
      </c>
      <c r="J111" s="769" t="s">
        <v>324</v>
      </c>
      <c r="K111" s="790"/>
      <c r="L111" s="790">
        <v>628</v>
      </c>
      <c r="M111" s="790"/>
      <c r="N111" s="312">
        <f t="shared" si="4"/>
        <v>628</v>
      </c>
      <c r="O111" s="467">
        <f>VLOOKUP(D:D,'Master Table'!C:O,13,FALSE)</f>
        <v>360</v>
      </c>
      <c r="P111" s="657">
        <v>360</v>
      </c>
      <c r="Q111" s="476">
        <v>816.12</v>
      </c>
      <c r="R111" s="91">
        <v>933.2</v>
      </c>
      <c r="S111" s="619">
        <v>460.47</v>
      </c>
    </row>
    <row r="112" spans="1:19" ht="30" customHeight="1" x14ac:dyDescent="0.2">
      <c r="A112" s="291" t="str">
        <f t="shared" si="3"/>
        <v>SOU107 / 1293</v>
      </c>
      <c r="B112" s="89" t="s">
        <v>5951</v>
      </c>
      <c r="C112" s="89" t="s">
        <v>7864</v>
      </c>
      <c r="D112" s="318" t="s">
        <v>5948</v>
      </c>
      <c r="E112" s="369" t="str">
        <f>VLOOKUP(D:D,'Master Table'!C:D,2,FALSE)</f>
        <v>1293</v>
      </c>
      <c r="F112" s="769" t="s">
        <v>5948</v>
      </c>
      <c r="G112" s="769" t="s">
        <v>5949</v>
      </c>
      <c r="H112" s="769" t="s">
        <v>5950</v>
      </c>
      <c r="I112" s="769" t="s">
        <v>5951</v>
      </c>
      <c r="J112" s="769" t="s">
        <v>324</v>
      </c>
      <c r="K112" s="790"/>
      <c r="L112" s="790">
        <v>210</v>
      </c>
      <c r="M112" s="790">
        <v>247.08</v>
      </c>
      <c r="N112" s="312">
        <f t="shared" si="4"/>
        <v>457.08000000000004</v>
      </c>
      <c r="O112" s="467">
        <f>VLOOKUP(D:D,'Master Table'!C:O,13,FALSE)</f>
        <v>120</v>
      </c>
      <c r="P112" s="657">
        <v>120</v>
      </c>
      <c r="Q112" s="476">
        <v>242</v>
      </c>
      <c r="R112" s="91">
        <v>970</v>
      </c>
      <c r="S112" s="619">
        <v>195</v>
      </c>
    </row>
    <row r="113" spans="1:19" ht="30" customHeight="1" x14ac:dyDescent="0.2">
      <c r="A113" s="291" t="str">
        <f t="shared" si="3"/>
        <v>SOU108 / 1294</v>
      </c>
      <c r="B113" s="89" t="s">
        <v>5955</v>
      </c>
      <c r="C113" s="89" t="s">
        <v>155</v>
      </c>
      <c r="D113" s="318" t="s">
        <v>5952</v>
      </c>
      <c r="E113" s="369" t="str">
        <f>VLOOKUP(D:D,'Master Table'!C:D,2,FALSE)</f>
        <v>1294</v>
      </c>
      <c r="F113" s="769" t="s">
        <v>5952</v>
      </c>
      <c r="G113" s="769" t="s">
        <v>5953</v>
      </c>
      <c r="H113" s="769" t="s">
        <v>5954</v>
      </c>
      <c r="I113" s="769" t="s">
        <v>5955</v>
      </c>
      <c r="J113" s="769" t="s">
        <v>324</v>
      </c>
      <c r="K113" s="790"/>
      <c r="L113" s="790">
        <v>392</v>
      </c>
      <c r="M113" s="790"/>
      <c r="N113" s="312">
        <f t="shared" si="4"/>
        <v>392</v>
      </c>
      <c r="O113" s="467">
        <f>VLOOKUP(D:D,'Master Table'!C:O,13,FALSE)</f>
        <v>65</v>
      </c>
      <c r="P113" s="657">
        <v>65</v>
      </c>
      <c r="Q113" s="476">
        <v>399.82</v>
      </c>
      <c r="R113" s="91">
        <v>366</v>
      </c>
      <c r="S113" s="619">
        <v>1193.06</v>
      </c>
    </row>
    <row r="114" spans="1:19" ht="30" customHeight="1" x14ac:dyDescent="0.2">
      <c r="A114" s="291" t="str">
        <f t="shared" si="3"/>
        <v>SOU109 / 1295</v>
      </c>
      <c r="B114" s="89" t="s">
        <v>5959</v>
      </c>
      <c r="C114" s="89" t="s">
        <v>5958</v>
      </c>
      <c r="D114" s="318" t="s">
        <v>5956</v>
      </c>
      <c r="E114" s="369" t="str">
        <f>VLOOKUP(D:D,'Master Table'!C:D,2,FALSE)</f>
        <v>1295</v>
      </c>
      <c r="F114" s="769" t="s">
        <v>5956</v>
      </c>
      <c r="G114" s="769" t="s">
        <v>5957</v>
      </c>
      <c r="H114" s="769" t="s">
        <v>5958</v>
      </c>
      <c r="I114" s="769" t="s">
        <v>5959</v>
      </c>
      <c r="J114" s="769" t="s">
        <v>324</v>
      </c>
      <c r="K114" s="790"/>
      <c r="L114" s="790">
        <v>170</v>
      </c>
      <c r="M114" s="790"/>
      <c r="N114" s="312">
        <f t="shared" si="4"/>
        <v>170</v>
      </c>
      <c r="O114" s="467">
        <f>VLOOKUP(D:D,'Master Table'!C:O,13,FALSE)</f>
        <v>175</v>
      </c>
      <c r="P114" s="657">
        <v>175</v>
      </c>
      <c r="Q114" s="476">
        <v>190</v>
      </c>
      <c r="R114" s="91">
        <v>170</v>
      </c>
      <c r="S114" s="619">
        <v>270</v>
      </c>
    </row>
    <row r="115" spans="1:19" ht="30" customHeight="1" x14ac:dyDescent="0.2">
      <c r="A115" s="291" t="str">
        <f t="shared" si="3"/>
        <v>SOU110 / 1296</v>
      </c>
      <c r="B115" s="89" t="s">
        <v>5963</v>
      </c>
      <c r="C115" s="89" t="s">
        <v>7865</v>
      </c>
      <c r="D115" s="318" t="s">
        <v>5960</v>
      </c>
      <c r="E115" s="369" t="str">
        <f>VLOOKUP(D:D,'Master Table'!C:D,2,FALSE)</f>
        <v>1296</v>
      </c>
      <c r="F115" s="769" t="s">
        <v>5960</v>
      </c>
      <c r="G115" s="769" t="s">
        <v>5961</v>
      </c>
      <c r="H115" s="769" t="s">
        <v>5962</v>
      </c>
      <c r="I115" s="769" t="s">
        <v>5963</v>
      </c>
      <c r="J115" s="769" t="s">
        <v>324</v>
      </c>
      <c r="K115" s="790"/>
      <c r="L115" s="790">
        <v>605</v>
      </c>
      <c r="M115" s="790"/>
      <c r="N115" s="312">
        <f t="shared" si="4"/>
        <v>605</v>
      </c>
      <c r="O115" s="467">
        <f>VLOOKUP(D:D,'Master Table'!C:O,13,FALSE)</f>
        <v>277.62</v>
      </c>
      <c r="P115" s="657">
        <v>277.62</v>
      </c>
      <c r="Q115" s="476">
        <v>429.76</v>
      </c>
      <c r="R115" s="91">
        <v>436.21</v>
      </c>
      <c r="S115" s="619">
        <v>674.64</v>
      </c>
    </row>
    <row r="116" spans="1:19" ht="30" customHeight="1" x14ac:dyDescent="0.2">
      <c r="A116" s="291" t="str">
        <f t="shared" si="3"/>
        <v>SOU111 / 1297</v>
      </c>
      <c r="B116" s="89" t="s">
        <v>5967</v>
      </c>
      <c r="C116" s="89" t="s">
        <v>7866</v>
      </c>
      <c r="D116" s="318" t="s">
        <v>5964</v>
      </c>
      <c r="E116" s="369" t="str">
        <f>VLOOKUP(D:D,'Master Table'!C:D,2,FALSE)</f>
        <v>1297</v>
      </c>
      <c r="F116" s="769" t="s">
        <v>5964</v>
      </c>
      <c r="G116" s="769" t="s">
        <v>5965</v>
      </c>
      <c r="H116" s="769" t="s">
        <v>5966</v>
      </c>
      <c r="I116" s="769" t="s">
        <v>5967</v>
      </c>
      <c r="J116" s="769" t="s">
        <v>324</v>
      </c>
      <c r="K116" s="790">
        <v>195.76</v>
      </c>
      <c r="L116" s="790">
        <v>335</v>
      </c>
      <c r="M116" s="790"/>
      <c r="N116" s="312">
        <f t="shared" si="4"/>
        <v>530.76</v>
      </c>
      <c r="O116" s="467">
        <f>VLOOKUP(D:D,'Master Table'!C:O,13,FALSE)</f>
        <v>1516.73</v>
      </c>
      <c r="P116" s="657">
        <v>1516.73</v>
      </c>
      <c r="Q116" s="476">
        <v>761.93000000000006</v>
      </c>
      <c r="R116" s="91">
        <v>1468.27</v>
      </c>
      <c r="S116" s="619">
        <v>1717.48</v>
      </c>
    </row>
    <row r="117" spans="1:19" ht="30" customHeight="1" x14ac:dyDescent="0.2">
      <c r="A117" s="291" t="str">
        <f t="shared" si="3"/>
        <v>SOU112 / 1298</v>
      </c>
      <c r="B117" s="89" t="s">
        <v>5970</v>
      </c>
      <c r="C117" s="89" t="s">
        <v>1584</v>
      </c>
      <c r="D117" s="318" t="s">
        <v>5968</v>
      </c>
      <c r="E117" s="369" t="str">
        <f>VLOOKUP(D:D,'Master Table'!C:D,2,FALSE)</f>
        <v>1298</v>
      </c>
      <c r="F117" s="769" t="s">
        <v>5968</v>
      </c>
      <c r="G117" s="769" t="s">
        <v>5969</v>
      </c>
      <c r="H117" s="769" t="s">
        <v>1584</v>
      </c>
      <c r="I117" s="769" t="s">
        <v>5970</v>
      </c>
      <c r="J117" s="769" t="s">
        <v>324</v>
      </c>
      <c r="K117" s="790"/>
      <c r="L117" s="790">
        <v>127</v>
      </c>
      <c r="M117" s="790"/>
      <c r="N117" s="312">
        <f t="shared" si="4"/>
        <v>127</v>
      </c>
      <c r="O117" s="467">
        <f>VLOOKUP(D:D,'Master Table'!C:O,13,FALSE)</f>
        <v>529.21</v>
      </c>
      <c r="P117" s="657">
        <v>529.21</v>
      </c>
      <c r="Q117" s="476">
        <v>535.56999999999994</v>
      </c>
      <c r="R117" s="91">
        <v>835.25</v>
      </c>
      <c r="S117" s="619">
        <v>358.49</v>
      </c>
    </row>
    <row r="118" spans="1:19" ht="30" customHeight="1" x14ac:dyDescent="0.2">
      <c r="A118" s="291" t="str">
        <f t="shared" si="3"/>
        <v>SOU113 / 1299</v>
      </c>
      <c r="B118" s="89" t="s">
        <v>5977</v>
      </c>
      <c r="C118" s="89" t="s">
        <v>382</v>
      </c>
      <c r="D118" s="318" t="s">
        <v>5975</v>
      </c>
      <c r="E118" s="369" t="str">
        <f>VLOOKUP(D:D,'Master Table'!C:D,2,FALSE)</f>
        <v>1299</v>
      </c>
      <c r="F118" s="769" t="s">
        <v>5975</v>
      </c>
      <c r="G118" s="769" t="s">
        <v>5976</v>
      </c>
      <c r="H118" s="769" t="s">
        <v>488</v>
      </c>
      <c r="I118" s="769" t="s">
        <v>5977</v>
      </c>
      <c r="J118" s="769" t="s">
        <v>324</v>
      </c>
      <c r="K118" s="790"/>
      <c r="L118" s="790">
        <v>20</v>
      </c>
      <c r="M118" s="790"/>
      <c r="N118" s="312">
        <f t="shared" si="4"/>
        <v>20</v>
      </c>
      <c r="O118" s="467">
        <f>VLOOKUP(D:D,'Master Table'!C:O,13,FALSE)</f>
        <v>0</v>
      </c>
      <c r="P118" s="657">
        <v>0</v>
      </c>
      <c r="Q118" s="476">
        <v>882.24</v>
      </c>
      <c r="R118" s="91">
        <v>15</v>
      </c>
      <c r="S118" s="619">
        <v>30</v>
      </c>
    </row>
    <row r="119" spans="1:19" ht="30" customHeight="1" x14ac:dyDescent="0.2">
      <c r="A119" s="291" t="str">
        <f t="shared" si="3"/>
        <v>SOU114 / 1300</v>
      </c>
      <c r="B119" s="89" t="s">
        <v>5981</v>
      </c>
      <c r="C119" s="89" t="s">
        <v>5215</v>
      </c>
      <c r="D119" s="318" t="s">
        <v>5978</v>
      </c>
      <c r="E119" s="369" t="str">
        <f>VLOOKUP(D:D,'Master Table'!C:D,2,FALSE)</f>
        <v>1300</v>
      </c>
      <c r="F119" s="769" t="s">
        <v>5978</v>
      </c>
      <c r="G119" s="769" t="s">
        <v>5979</v>
      </c>
      <c r="H119" s="769" t="s">
        <v>5980</v>
      </c>
      <c r="I119" s="769" t="s">
        <v>5981</v>
      </c>
      <c r="J119" s="769" t="s">
        <v>324</v>
      </c>
      <c r="K119" s="790"/>
      <c r="L119" s="790">
        <v>200</v>
      </c>
      <c r="M119" s="790"/>
      <c r="N119" s="312">
        <f t="shared" si="4"/>
        <v>200</v>
      </c>
      <c r="O119" s="467">
        <f>VLOOKUP(D:D,'Master Table'!C:O,13,FALSE)</f>
        <v>1238.78</v>
      </c>
      <c r="P119" s="657">
        <v>1238.78</v>
      </c>
      <c r="Q119" s="476">
        <v>52</v>
      </c>
      <c r="R119" s="91">
        <v>0</v>
      </c>
      <c r="S119" s="619">
        <v>3000</v>
      </c>
    </row>
    <row r="120" spans="1:19" ht="30" customHeight="1" x14ac:dyDescent="0.2">
      <c r="A120" s="291" t="str">
        <f t="shared" si="3"/>
        <v>SOU115 / 1301</v>
      </c>
      <c r="B120" s="89" t="s">
        <v>5985</v>
      </c>
      <c r="C120" s="89" t="s">
        <v>5984</v>
      </c>
      <c r="D120" s="318" t="s">
        <v>5982</v>
      </c>
      <c r="E120" s="369" t="str">
        <f>VLOOKUP(D:D,'Master Table'!C:D,2,FALSE)</f>
        <v>1301</v>
      </c>
      <c r="F120" s="769" t="s">
        <v>5982</v>
      </c>
      <c r="G120" s="769" t="s">
        <v>5983</v>
      </c>
      <c r="H120" s="769" t="s">
        <v>5984</v>
      </c>
      <c r="I120" s="769" t="s">
        <v>5985</v>
      </c>
      <c r="J120" s="769" t="s">
        <v>324</v>
      </c>
      <c r="K120" s="790"/>
      <c r="L120" s="790">
        <v>461</v>
      </c>
      <c r="M120" s="790"/>
      <c r="N120" s="312">
        <f t="shared" si="4"/>
        <v>461</v>
      </c>
      <c r="O120" s="467">
        <f>VLOOKUP(D:D,'Master Table'!C:O,13,FALSE)</f>
        <v>270</v>
      </c>
      <c r="P120" s="657">
        <v>270</v>
      </c>
      <c r="Q120" s="476">
        <v>429</v>
      </c>
      <c r="R120" s="91">
        <v>610</v>
      </c>
      <c r="S120" s="619">
        <v>805</v>
      </c>
    </row>
    <row r="121" spans="1:19" ht="30" customHeight="1" x14ac:dyDescent="0.2">
      <c r="A121" s="291" t="str">
        <f t="shared" si="3"/>
        <v>SOU116 / 1302</v>
      </c>
      <c r="B121" s="89" t="s">
        <v>5989</v>
      </c>
      <c r="C121" s="89" t="s">
        <v>7867</v>
      </c>
      <c r="D121" s="318" t="s">
        <v>5986</v>
      </c>
      <c r="E121" s="369" t="str">
        <f>VLOOKUP(D:D,'Master Table'!C:D,2,FALSE)</f>
        <v>1302</v>
      </c>
      <c r="F121" s="769" t="s">
        <v>5986</v>
      </c>
      <c r="G121" s="769" t="s">
        <v>5987</v>
      </c>
      <c r="H121" s="769" t="s">
        <v>5988</v>
      </c>
      <c r="I121" s="769" t="s">
        <v>5989</v>
      </c>
      <c r="J121" s="769" t="s">
        <v>324</v>
      </c>
      <c r="K121" s="790">
        <v>769</v>
      </c>
      <c r="L121" s="790">
        <v>330</v>
      </c>
      <c r="M121" s="790"/>
      <c r="N121" s="312">
        <f t="shared" si="4"/>
        <v>1099</v>
      </c>
      <c r="O121" s="467">
        <f>VLOOKUP(D:D,'Master Table'!C:O,13,FALSE)</f>
        <v>1258.71</v>
      </c>
      <c r="P121" s="657">
        <v>1258.71</v>
      </c>
      <c r="Q121" s="476">
        <v>1405.84</v>
      </c>
      <c r="R121" s="91">
        <v>2105.0100000000002</v>
      </c>
      <c r="S121" s="619">
        <v>1528.72</v>
      </c>
    </row>
    <row r="122" spans="1:19" ht="30" customHeight="1" x14ac:dyDescent="0.2">
      <c r="A122" s="291" t="str">
        <f t="shared" si="3"/>
        <v>SOU117 / 1303</v>
      </c>
      <c r="B122" s="89" t="s">
        <v>5993</v>
      </c>
      <c r="C122" s="89" t="s">
        <v>158</v>
      </c>
      <c r="D122" s="318" t="s">
        <v>5990</v>
      </c>
      <c r="E122" s="369" t="str">
        <f>VLOOKUP(D:D,'Master Table'!C:D,2,FALSE)</f>
        <v>1303</v>
      </c>
      <c r="F122" s="769" t="s">
        <v>5990</v>
      </c>
      <c r="G122" s="769" t="s">
        <v>5991</v>
      </c>
      <c r="H122" s="769" t="s">
        <v>5992</v>
      </c>
      <c r="I122" s="769" t="s">
        <v>5993</v>
      </c>
      <c r="J122" s="769" t="s">
        <v>324</v>
      </c>
      <c r="K122" s="790">
        <v>803.68</v>
      </c>
      <c r="L122" s="790">
        <v>304</v>
      </c>
      <c r="M122" s="790"/>
      <c r="N122" s="312">
        <f t="shared" si="4"/>
        <v>1107.6799999999998</v>
      </c>
      <c r="O122" s="467">
        <f>VLOOKUP(D:D,'Master Table'!C:O,13,FALSE)</f>
        <v>1235.72</v>
      </c>
      <c r="P122" s="657">
        <v>1235.72</v>
      </c>
      <c r="Q122" s="476">
        <v>1449.88</v>
      </c>
      <c r="R122" s="91">
        <v>1422.46</v>
      </c>
      <c r="S122" s="619">
        <v>1198.9100000000001</v>
      </c>
    </row>
    <row r="123" spans="1:19" ht="30" customHeight="1" x14ac:dyDescent="0.2">
      <c r="A123" s="291" t="str">
        <f t="shared" si="3"/>
        <v>SOU118 / 1304</v>
      </c>
      <c r="B123" s="89" t="s">
        <v>5998</v>
      </c>
      <c r="C123" s="89" t="s">
        <v>7868</v>
      </c>
      <c r="D123" s="318" t="s">
        <v>5995</v>
      </c>
      <c r="E123" s="369" t="str">
        <f>VLOOKUP(D:D,'Master Table'!C:D,2,FALSE)</f>
        <v>1304</v>
      </c>
      <c r="F123" s="769" t="s">
        <v>5995</v>
      </c>
      <c r="G123" s="769" t="s">
        <v>5996</v>
      </c>
      <c r="H123" s="769" t="s">
        <v>5997</v>
      </c>
      <c r="I123" s="769" t="s">
        <v>5998</v>
      </c>
      <c r="J123" s="769" t="s">
        <v>324</v>
      </c>
      <c r="K123" s="790">
        <v>1306.8400000000001</v>
      </c>
      <c r="L123" s="790">
        <v>155</v>
      </c>
      <c r="M123" s="790"/>
      <c r="N123" s="312">
        <f t="shared" si="4"/>
        <v>1461.8400000000001</v>
      </c>
      <c r="O123" s="467">
        <f>VLOOKUP(D:D,'Master Table'!C:O,13,FALSE)</f>
        <v>1639.34</v>
      </c>
      <c r="P123" s="657">
        <v>1639.34</v>
      </c>
      <c r="Q123" s="476">
        <v>1609.43</v>
      </c>
      <c r="R123" s="91">
        <v>1991.27</v>
      </c>
      <c r="S123" s="619">
        <v>1793.05</v>
      </c>
    </row>
    <row r="124" spans="1:19" ht="30" customHeight="1" x14ac:dyDescent="0.2">
      <c r="A124" s="291" t="str">
        <f t="shared" si="3"/>
        <v>SOU118X / 1305</v>
      </c>
      <c r="B124" s="89" t="s">
        <v>6002</v>
      </c>
      <c r="C124" s="89" t="s">
        <v>1489</v>
      </c>
      <c r="D124" s="318" t="s">
        <v>6000</v>
      </c>
      <c r="E124" s="369" t="str">
        <f>VLOOKUP(D:D,'Master Table'!C:D,2,FALSE)</f>
        <v>1305</v>
      </c>
      <c r="F124" s="769" t="s">
        <v>6000</v>
      </c>
      <c r="G124" s="769" t="s">
        <v>6001</v>
      </c>
      <c r="H124" s="769" t="s">
        <v>252</v>
      </c>
      <c r="I124" s="769" t="s">
        <v>6002</v>
      </c>
      <c r="J124" s="769" t="s">
        <v>324</v>
      </c>
      <c r="K124" s="790"/>
      <c r="L124" s="790">
        <v>50</v>
      </c>
      <c r="M124" s="790">
        <v>400</v>
      </c>
      <c r="N124" s="312">
        <f t="shared" si="4"/>
        <v>450</v>
      </c>
      <c r="O124" s="467">
        <f>VLOOKUP(D:D,'Master Table'!C:O,13,FALSE)</f>
        <v>310</v>
      </c>
      <c r="P124" s="657">
        <v>310</v>
      </c>
      <c r="Q124" s="476">
        <v>340</v>
      </c>
      <c r="R124" s="91">
        <v>30</v>
      </c>
      <c r="S124" s="619">
        <v>394</v>
      </c>
    </row>
    <row r="125" spans="1:19" ht="30" customHeight="1" x14ac:dyDescent="0.2">
      <c r="A125" s="291" t="str">
        <f t="shared" si="3"/>
        <v>SOU119 / 1306</v>
      </c>
      <c r="B125" s="89" t="s">
        <v>6005</v>
      </c>
      <c r="C125" s="89" t="s">
        <v>1008</v>
      </c>
      <c r="D125" s="318" t="s">
        <v>6003</v>
      </c>
      <c r="E125" s="369" t="str">
        <f>VLOOKUP(D:D,'Master Table'!C:D,2,FALSE)</f>
        <v>1306</v>
      </c>
      <c r="F125" s="769" t="s">
        <v>6003</v>
      </c>
      <c r="G125" s="769" t="s">
        <v>6004</v>
      </c>
      <c r="H125" s="769" t="s">
        <v>1008</v>
      </c>
      <c r="I125" s="769" t="s">
        <v>6005</v>
      </c>
      <c r="J125" s="769" t="s">
        <v>324</v>
      </c>
      <c r="K125" s="790">
        <v>2818.1800000000003</v>
      </c>
      <c r="L125" s="790">
        <v>1799.1</v>
      </c>
      <c r="M125" s="790">
        <v>47.24</v>
      </c>
      <c r="N125" s="312">
        <f t="shared" si="4"/>
        <v>4664.5200000000004</v>
      </c>
      <c r="O125" s="467">
        <f>VLOOKUP(D:D,'Master Table'!C:O,13,FALSE)</f>
        <v>7461.26</v>
      </c>
      <c r="P125" s="657">
        <v>7461.26</v>
      </c>
      <c r="Q125" s="476">
        <v>8237.56</v>
      </c>
      <c r="R125" s="91">
        <v>10150.709999999999</v>
      </c>
      <c r="S125" s="619">
        <v>6514.14</v>
      </c>
    </row>
    <row r="126" spans="1:19" ht="30" customHeight="1" x14ac:dyDescent="0.2">
      <c r="A126" s="291" t="str">
        <f t="shared" si="3"/>
        <v>SOU120 / 1307</v>
      </c>
      <c r="B126" s="89" t="s">
        <v>6013</v>
      </c>
      <c r="C126" s="89" t="s">
        <v>7869</v>
      </c>
      <c r="D126" s="318" t="s">
        <v>6010</v>
      </c>
      <c r="E126" s="369" t="str">
        <f>VLOOKUP(D:D,'Master Table'!C:D,2,FALSE)</f>
        <v>1307</v>
      </c>
      <c r="F126" s="769" t="s">
        <v>6010</v>
      </c>
      <c r="G126" s="769" t="s">
        <v>6011</v>
      </c>
      <c r="H126" s="769" t="s">
        <v>6012</v>
      </c>
      <c r="I126" s="769" t="s">
        <v>6013</v>
      </c>
      <c r="J126" s="769" t="s">
        <v>324</v>
      </c>
      <c r="K126" s="790">
        <v>951.2600000000001</v>
      </c>
      <c r="L126" s="790">
        <v>1085</v>
      </c>
      <c r="M126" s="790"/>
      <c r="N126" s="312">
        <f t="shared" si="4"/>
        <v>2036.2600000000002</v>
      </c>
      <c r="O126" s="467">
        <f>VLOOKUP(D:D,'Master Table'!C:O,13,FALSE)</f>
        <v>3376.84</v>
      </c>
      <c r="P126" s="657">
        <v>3376.84</v>
      </c>
      <c r="Q126" s="476">
        <v>3926.92</v>
      </c>
      <c r="R126" s="91">
        <v>2731.88</v>
      </c>
      <c r="S126" s="619">
        <v>5647.97</v>
      </c>
    </row>
    <row r="127" spans="1:19" ht="30" customHeight="1" x14ac:dyDescent="0.2">
      <c r="A127" s="291" t="str">
        <f t="shared" si="3"/>
        <v>SOU121 / 1308</v>
      </c>
      <c r="B127" s="89" t="s">
        <v>2076</v>
      </c>
      <c r="C127" s="89" t="s">
        <v>78</v>
      </c>
      <c r="D127" s="318" t="s">
        <v>6018</v>
      </c>
      <c r="E127" s="369" t="str">
        <f>VLOOKUP(D:D,'Master Table'!C:D,2,FALSE)</f>
        <v>1308</v>
      </c>
      <c r="F127" s="769" t="s">
        <v>6018</v>
      </c>
      <c r="G127" s="769" t="s">
        <v>6019</v>
      </c>
      <c r="H127" s="769" t="s">
        <v>6020</v>
      </c>
      <c r="I127" s="769" t="s">
        <v>2076</v>
      </c>
      <c r="J127" s="769" t="s">
        <v>324</v>
      </c>
      <c r="K127" s="790"/>
      <c r="L127" s="790">
        <v>465</v>
      </c>
      <c r="M127" s="790">
        <v>216.51</v>
      </c>
      <c r="N127" s="312">
        <f t="shared" si="4"/>
        <v>681.51</v>
      </c>
      <c r="O127" s="467">
        <f>VLOOKUP(D:D,'Master Table'!C:O,13,FALSE)</f>
        <v>940.28</v>
      </c>
      <c r="P127" s="657">
        <v>940.28</v>
      </c>
      <c r="Q127" s="476">
        <v>1451.32</v>
      </c>
      <c r="R127" s="91">
        <v>1191</v>
      </c>
      <c r="S127" s="619">
        <v>1339.18</v>
      </c>
    </row>
    <row r="128" spans="1:19" ht="30" customHeight="1" x14ac:dyDescent="0.2">
      <c r="A128" s="291" t="str">
        <f t="shared" si="3"/>
        <v>SOU121X / 1309</v>
      </c>
      <c r="B128" s="89" t="s">
        <v>6023</v>
      </c>
      <c r="C128" s="89" t="s">
        <v>1546</v>
      </c>
      <c r="D128" s="318" t="s">
        <v>6021</v>
      </c>
      <c r="E128" s="369" t="str">
        <f>VLOOKUP(D:D,'Master Table'!C:D,2,FALSE)</f>
        <v>1309</v>
      </c>
      <c r="F128" s="769" t="s">
        <v>6021</v>
      </c>
      <c r="G128" s="769" t="s">
        <v>6022</v>
      </c>
      <c r="H128" s="769" t="s">
        <v>1546</v>
      </c>
      <c r="I128" s="769" t="s">
        <v>6023</v>
      </c>
      <c r="J128" s="769" t="s">
        <v>324</v>
      </c>
      <c r="K128" s="790">
        <v>1343.14</v>
      </c>
      <c r="L128" s="790">
        <v>545</v>
      </c>
      <c r="M128" s="790"/>
      <c r="N128" s="312">
        <f t="shared" si="4"/>
        <v>1888.14</v>
      </c>
      <c r="O128" s="467">
        <f>VLOOKUP(D:D,'Master Table'!C:O,13,FALSE)</f>
        <v>2961.17</v>
      </c>
      <c r="P128" s="657">
        <v>2961.17</v>
      </c>
      <c r="Q128" s="476">
        <v>3129.36</v>
      </c>
      <c r="R128" s="91">
        <v>2987.61</v>
      </c>
      <c r="S128" s="619">
        <v>2806.4</v>
      </c>
    </row>
    <row r="129" spans="1:19" ht="30" customHeight="1" x14ac:dyDescent="0.2">
      <c r="A129" s="291" t="str">
        <f t="shared" si="3"/>
        <v>SOU122 / 1310</v>
      </c>
      <c r="B129" s="89" t="s">
        <v>6027</v>
      </c>
      <c r="C129" s="89" t="s">
        <v>7870</v>
      </c>
      <c r="D129" s="318" t="s">
        <v>6024</v>
      </c>
      <c r="E129" s="369" t="str">
        <f>VLOOKUP(D:D,'Master Table'!C:D,2,FALSE)</f>
        <v>1310</v>
      </c>
      <c r="F129" s="769" t="s">
        <v>6024</v>
      </c>
      <c r="G129" s="769" t="s">
        <v>6025</v>
      </c>
      <c r="H129" s="769" t="s">
        <v>6026</v>
      </c>
      <c r="I129" s="769" t="s">
        <v>6027</v>
      </c>
      <c r="J129" s="769" t="s">
        <v>324</v>
      </c>
      <c r="K129" s="790">
        <v>498.21</v>
      </c>
      <c r="L129" s="790">
        <v>1300</v>
      </c>
      <c r="M129" s="790"/>
      <c r="N129" s="312">
        <f t="shared" si="4"/>
        <v>1798.21</v>
      </c>
      <c r="O129" s="467">
        <f>VLOOKUP(D:D,'Master Table'!C:O,13,FALSE)</f>
        <v>2837.19</v>
      </c>
      <c r="P129" s="657">
        <v>2837.19</v>
      </c>
      <c r="Q129" s="476">
        <v>2030.86</v>
      </c>
      <c r="R129" s="91">
        <v>2613.19</v>
      </c>
      <c r="S129" s="619">
        <v>2638.33</v>
      </c>
    </row>
    <row r="130" spans="1:19" ht="30" customHeight="1" x14ac:dyDescent="0.2">
      <c r="A130" s="291" t="str">
        <f t="shared" si="3"/>
        <v>SOU123 / 1313</v>
      </c>
      <c r="B130" s="89" t="s">
        <v>6032</v>
      </c>
      <c r="C130" s="89" t="s">
        <v>7871</v>
      </c>
      <c r="D130" s="318" t="s">
        <v>6029</v>
      </c>
      <c r="E130" s="369" t="str">
        <f>VLOOKUP(D:D,'Master Table'!C:D,2,FALSE)</f>
        <v>1313</v>
      </c>
      <c r="F130" s="769" t="s">
        <v>6029</v>
      </c>
      <c r="G130" s="769" t="s">
        <v>6030</v>
      </c>
      <c r="H130" s="769" t="s">
        <v>6031</v>
      </c>
      <c r="I130" s="769" t="s">
        <v>6032</v>
      </c>
      <c r="J130" s="769" t="s">
        <v>324</v>
      </c>
      <c r="K130" s="790">
        <v>1190.9099999999999</v>
      </c>
      <c r="L130" s="790">
        <v>935</v>
      </c>
      <c r="M130" s="790"/>
      <c r="N130" s="312">
        <f t="shared" si="4"/>
        <v>2125.91</v>
      </c>
      <c r="O130" s="467">
        <f>VLOOKUP(D:D,'Master Table'!C:O,13,FALSE)</f>
        <v>2651</v>
      </c>
      <c r="P130" s="657">
        <v>2651</v>
      </c>
      <c r="Q130" s="476">
        <v>2448.5</v>
      </c>
      <c r="R130" s="91">
        <v>2171.4</v>
      </c>
      <c r="S130" s="619">
        <v>1593.67</v>
      </c>
    </row>
    <row r="131" spans="1:19" ht="30" customHeight="1" x14ac:dyDescent="0.2">
      <c r="A131" s="291" t="str">
        <f t="shared" si="3"/>
        <v>SOU123A / 1314</v>
      </c>
      <c r="B131" s="89" t="s">
        <v>6037</v>
      </c>
      <c r="C131" s="89" t="s">
        <v>6036</v>
      </c>
      <c r="D131" s="318" t="s">
        <v>6034</v>
      </c>
      <c r="E131" s="369" t="str">
        <f>VLOOKUP(D:D,'Master Table'!C:D,2,FALSE)</f>
        <v>1314</v>
      </c>
      <c r="F131" s="769" t="s">
        <v>6034</v>
      </c>
      <c r="G131" s="769" t="s">
        <v>6035</v>
      </c>
      <c r="H131" s="769" t="s">
        <v>6036</v>
      </c>
      <c r="I131" s="769" t="s">
        <v>6037</v>
      </c>
      <c r="J131" s="769" t="s">
        <v>324</v>
      </c>
      <c r="K131" s="790"/>
      <c r="L131" s="790">
        <v>310</v>
      </c>
      <c r="M131" s="790"/>
      <c r="N131" s="312">
        <f t="shared" si="4"/>
        <v>310</v>
      </c>
      <c r="O131" s="467">
        <f>VLOOKUP(D:D,'Master Table'!C:O,13,FALSE)</f>
        <v>716.9</v>
      </c>
      <c r="P131" s="657">
        <v>716.9</v>
      </c>
      <c r="Q131" s="476">
        <v>574.54999999999995</v>
      </c>
      <c r="R131" s="91">
        <v>1289.1500000000001</v>
      </c>
      <c r="S131" s="619">
        <v>788.35</v>
      </c>
    </row>
    <row r="132" spans="1:19" ht="30" customHeight="1" x14ac:dyDescent="0.2">
      <c r="A132" s="291" t="str">
        <f t="shared" si="3"/>
        <v>SOU124 / 1315</v>
      </c>
      <c r="B132" s="89" t="s">
        <v>6040</v>
      </c>
      <c r="C132" s="89" t="s">
        <v>2578</v>
      </c>
      <c r="D132" s="318" t="s">
        <v>6038</v>
      </c>
      <c r="E132" s="369" t="str">
        <f>VLOOKUP(D:D,'Master Table'!C:D,2,FALSE)</f>
        <v>1315</v>
      </c>
      <c r="F132" s="769" t="s">
        <v>6038</v>
      </c>
      <c r="G132" s="769" t="s">
        <v>6039</v>
      </c>
      <c r="H132" s="769" t="s">
        <v>989</v>
      </c>
      <c r="I132" s="769" t="s">
        <v>6040</v>
      </c>
      <c r="J132" s="769" t="s">
        <v>324</v>
      </c>
      <c r="K132" s="790">
        <v>493.11</v>
      </c>
      <c r="L132" s="790">
        <v>115</v>
      </c>
      <c r="M132" s="790"/>
      <c r="N132" s="312">
        <f t="shared" si="4"/>
        <v>608.11</v>
      </c>
      <c r="O132" s="467">
        <f>VLOOKUP(D:D,'Master Table'!C:O,13,FALSE)</f>
        <v>1522.0499999999997</v>
      </c>
      <c r="P132" s="657">
        <v>1522.0499999999997</v>
      </c>
      <c r="Q132" s="476">
        <v>1119.7</v>
      </c>
      <c r="R132" s="91">
        <v>1123.0899999999999</v>
      </c>
      <c r="S132" s="619">
        <v>889.25</v>
      </c>
    </row>
    <row r="133" spans="1:19" ht="30" customHeight="1" x14ac:dyDescent="0.2">
      <c r="A133" s="291" t="str">
        <f t="shared" ref="A133:A187" si="5">D133&amp;" / "&amp;E133</f>
        <v>SOU125 / 1316</v>
      </c>
      <c r="B133" s="89" t="s">
        <v>6044</v>
      </c>
      <c r="C133" s="89" t="s">
        <v>532</v>
      </c>
      <c r="D133" s="318" t="s">
        <v>6042</v>
      </c>
      <c r="E133" s="369" t="str">
        <f>VLOOKUP(D:D,'Master Table'!C:D,2,FALSE)</f>
        <v>1316</v>
      </c>
      <c r="F133" s="769" t="s">
        <v>6042</v>
      </c>
      <c r="G133" s="769" t="s">
        <v>6043</v>
      </c>
      <c r="H133" s="769" t="s">
        <v>532</v>
      </c>
      <c r="I133" s="769" t="s">
        <v>6044</v>
      </c>
      <c r="J133" s="769" t="s">
        <v>324</v>
      </c>
      <c r="K133" s="790"/>
      <c r="L133" s="790">
        <v>100</v>
      </c>
      <c r="M133" s="790"/>
      <c r="N133" s="312">
        <f t="shared" si="4"/>
        <v>100</v>
      </c>
      <c r="O133" s="467">
        <f>VLOOKUP(D:D,'Master Table'!C:O,13,FALSE)</f>
        <v>506.38</v>
      </c>
      <c r="P133" s="657">
        <v>506.38</v>
      </c>
      <c r="Q133" s="476">
        <v>482.08</v>
      </c>
      <c r="R133" s="91">
        <v>728.05</v>
      </c>
      <c r="S133" s="619">
        <v>707.91</v>
      </c>
    </row>
    <row r="134" spans="1:19" ht="30" customHeight="1" x14ac:dyDescent="0.2">
      <c r="A134" s="291" t="str">
        <f t="shared" si="5"/>
        <v>SOU126 / 1318</v>
      </c>
      <c r="B134" s="89" t="s">
        <v>6048</v>
      </c>
      <c r="C134" s="89" t="s">
        <v>7872</v>
      </c>
      <c r="D134" s="318" t="s">
        <v>6045</v>
      </c>
      <c r="E134" s="369" t="str">
        <f>VLOOKUP(D:D,'Master Table'!C:D,2,FALSE)</f>
        <v>1318</v>
      </c>
      <c r="F134" s="769" t="s">
        <v>6045</v>
      </c>
      <c r="G134" s="769" t="s">
        <v>6046</v>
      </c>
      <c r="H134" s="769" t="s">
        <v>6047</v>
      </c>
      <c r="I134" s="769" t="s">
        <v>6048</v>
      </c>
      <c r="J134" s="769" t="s">
        <v>324</v>
      </c>
      <c r="K134" s="790"/>
      <c r="L134" s="790"/>
      <c r="M134" s="790"/>
      <c r="N134" s="312">
        <f t="shared" si="4"/>
        <v>0</v>
      </c>
      <c r="O134" s="467">
        <f>VLOOKUP(D:D,'Master Table'!C:O,13,FALSE)</f>
        <v>388.3</v>
      </c>
      <c r="P134" s="657">
        <v>388.3</v>
      </c>
      <c r="Q134" s="476">
        <v>533.32000000000005</v>
      </c>
      <c r="R134" s="91">
        <v>857</v>
      </c>
      <c r="S134" s="619">
        <v>487.91</v>
      </c>
    </row>
    <row r="135" spans="1:19" ht="30" customHeight="1" x14ac:dyDescent="0.2">
      <c r="A135" s="291" t="str">
        <f t="shared" si="5"/>
        <v>SOU127 / 1319</v>
      </c>
      <c r="B135" s="89" t="s">
        <v>6052</v>
      </c>
      <c r="C135" s="89" t="s">
        <v>6051</v>
      </c>
      <c r="D135" s="318" t="s">
        <v>6049</v>
      </c>
      <c r="E135" s="369" t="str">
        <f>VLOOKUP(D:D,'Master Table'!C:D,2,FALSE)</f>
        <v>1319</v>
      </c>
      <c r="F135" s="769" t="s">
        <v>6049</v>
      </c>
      <c r="G135" s="769" t="s">
        <v>6050</v>
      </c>
      <c r="H135" s="769" t="s">
        <v>6051</v>
      </c>
      <c r="I135" s="769" t="s">
        <v>6052</v>
      </c>
      <c r="J135" s="769" t="s">
        <v>324</v>
      </c>
      <c r="K135" s="790"/>
      <c r="L135" s="790">
        <v>525</v>
      </c>
      <c r="M135" s="790"/>
      <c r="N135" s="312">
        <f t="shared" si="4"/>
        <v>525</v>
      </c>
      <c r="O135" s="467">
        <f>VLOOKUP(D:D,'Master Table'!C:O,13,FALSE)</f>
        <v>612.96</v>
      </c>
      <c r="P135" s="657">
        <v>612.96</v>
      </c>
      <c r="Q135" s="476">
        <v>461.44</v>
      </c>
      <c r="R135" s="91">
        <v>735.8900000000001</v>
      </c>
      <c r="S135" s="619">
        <v>631.20000000000005</v>
      </c>
    </row>
    <row r="136" spans="1:19" ht="30" customHeight="1" x14ac:dyDescent="0.2">
      <c r="A136" s="291" t="str">
        <f t="shared" si="5"/>
        <v>SOU129 / 1321</v>
      </c>
      <c r="B136" s="89" t="s">
        <v>6055</v>
      </c>
      <c r="C136" s="89" t="s">
        <v>1584</v>
      </c>
      <c r="D136" s="318" t="s">
        <v>6053</v>
      </c>
      <c r="E136" s="369" t="str">
        <f>VLOOKUP(D:D,'Master Table'!C:D,2,FALSE)</f>
        <v>1321</v>
      </c>
      <c r="F136" s="769" t="s">
        <v>6053</v>
      </c>
      <c r="G136" s="769" t="s">
        <v>6054</v>
      </c>
      <c r="H136" s="769" t="s">
        <v>1584</v>
      </c>
      <c r="I136" s="769" t="s">
        <v>6055</v>
      </c>
      <c r="J136" s="769" t="s">
        <v>324</v>
      </c>
      <c r="K136" s="790"/>
      <c r="L136" s="790">
        <v>737</v>
      </c>
      <c r="M136" s="790"/>
      <c r="N136" s="312">
        <f t="shared" si="4"/>
        <v>737</v>
      </c>
      <c r="O136" s="467">
        <f>VLOOKUP(D:D,'Master Table'!C:O,13,FALSE)</f>
        <v>1327.6</v>
      </c>
      <c r="P136" s="657">
        <v>1327.6</v>
      </c>
      <c r="Q136" s="476">
        <v>2007.89</v>
      </c>
      <c r="R136" s="91">
        <v>2281.5699999999997</v>
      </c>
      <c r="S136" s="619">
        <v>2353.89</v>
      </c>
    </row>
    <row r="137" spans="1:19" ht="30" customHeight="1" x14ac:dyDescent="0.2">
      <c r="A137" s="291" t="str">
        <f t="shared" si="5"/>
        <v>SOU130 / 1322</v>
      </c>
      <c r="B137" s="89" t="s">
        <v>6059</v>
      </c>
      <c r="C137" s="89" t="s">
        <v>301</v>
      </c>
      <c r="D137" s="318" t="s">
        <v>6057</v>
      </c>
      <c r="E137" s="369" t="str">
        <f>VLOOKUP(D:D,'Master Table'!C:D,2,FALSE)</f>
        <v>1322</v>
      </c>
      <c r="F137" s="769" t="s">
        <v>6057</v>
      </c>
      <c r="G137" s="769" t="s">
        <v>6058</v>
      </c>
      <c r="H137" s="769" t="s">
        <v>3603</v>
      </c>
      <c r="I137" s="769" t="s">
        <v>5720</v>
      </c>
      <c r="J137" s="769" t="s">
        <v>324</v>
      </c>
      <c r="K137" s="790"/>
      <c r="L137" s="790"/>
      <c r="M137" s="790"/>
      <c r="N137" s="312">
        <f t="shared" si="4"/>
        <v>0</v>
      </c>
      <c r="O137" s="467">
        <f>VLOOKUP(D:D,'Master Table'!C:O,13,FALSE)</f>
        <v>1763.7600000000002</v>
      </c>
      <c r="P137" s="657">
        <v>1763.7600000000002</v>
      </c>
      <c r="Q137" s="476">
        <v>1263.77</v>
      </c>
      <c r="R137" s="91">
        <v>1618.02</v>
      </c>
      <c r="S137" s="619">
        <v>1802</v>
      </c>
    </row>
    <row r="138" spans="1:19" ht="30" customHeight="1" x14ac:dyDescent="0.2">
      <c r="A138" s="291" t="str">
        <f t="shared" si="5"/>
        <v>SOU131 / 1323</v>
      </c>
      <c r="B138" s="89" t="s">
        <v>6063</v>
      </c>
      <c r="C138" s="89" t="s">
        <v>78</v>
      </c>
      <c r="D138" s="318" t="s">
        <v>6061</v>
      </c>
      <c r="E138" s="369" t="str">
        <f>VLOOKUP(D:D,'Master Table'!C:D,2,FALSE)</f>
        <v>1323</v>
      </c>
      <c r="F138" s="769" t="s">
        <v>6061</v>
      </c>
      <c r="G138" s="769" t="s">
        <v>6062</v>
      </c>
      <c r="H138" s="769" t="s">
        <v>6020</v>
      </c>
      <c r="I138" s="769" t="s">
        <v>6063</v>
      </c>
      <c r="J138" s="769" t="s">
        <v>324</v>
      </c>
      <c r="K138" s="790">
        <v>630.47</v>
      </c>
      <c r="L138" s="790">
        <v>870</v>
      </c>
      <c r="M138" s="790"/>
      <c r="N138" s="312">
        <f t="shared" si="4"/>
        <v>1500.47</v>
      </c>
      <c r="O138" s="467">
        <f>VLOOKUP(D:D,'Master Table'!C:O,13,FALSE)</f>
        <v>3464.65</v>
      </c>
      <c r="P138" s="657">
        <v>3464.65</v>
      </c>
      <c r="Q138" s="476">
        <v>2609.9700000000003</v>
      </c>
      <c r="R138" s="91">
        <v>2537.0100000000002</v>
      </c>
      <c r="S138" s="619">
        <v>2149.1</v>
      </c>
    </row>
    <row r="139" spans="1:19" ht="30" customHeight="1" x14ac:dyDescent="0.2">
      <c r="A139" s="291" t="str">
        <f t="shared" si="5"/>
        <v>SOU131A / 0444629</v>
      </c>
      <c r="B139" s="89" t="s">
        <v>6066</v>
      </c>
      <c r="C139" s="89" t="s">
        <v>1371</v>
      </c>
      <c r="D139" s="318" t="s">
        <v>6064</v>
      </c>
      <c r="E139" s="369" t="str">
        <f>VLOOKUP(D:D,'Master Table'!C:D,2,FALSE)</f>
        <v>0444629</v>
      </c>
      <c r="F139" s="769" t="s">
        <v>6064</v>
      </c>
      <c r="G139" s="769" t="s">
        <v>6065</v>
      </c>
      <c r="H139" s="769" t="s">
        <v>1054</v>
      </c>
      <c r="I139" s="769" t="s">
        <v>6066</v>
      </c>
      <c r="J139" s="769" t="s">
        <v>324</v>
      </c>
      <c r="K139" s="790"/>
      <c r="L139" s="790"/>
      <c r="M139" s="790"/>
      <c r="N139" s="312">
        <f t="shared" si="4"/>
        <v>0</v>
      </c>
      <c r="O139" s="467">
        <f>VLOOKUP(D:D,'Master Table'!C:O,13,FALSE)</f>
        <v>0</v>
      </c>
      <c r="P139" s="657">
        <v>0</v>
      </c>
      <c r="Q139" s="476">
        <v>50</v>
      </c>
      <c r="R139" s="91">
        <v>80</v>
      </c>
      <c r="S139" s="619">
        <v>25</v>
      </c>
    </row>
    <row r="140" spans="1:19" ht="30" customHeight="1" x14ac:dyDescent="0.2">
      <c r="A140" s="291" t="str">
        <f t="shared" si="5"/>
        <v>SOU132 / 1324</v>
      </c>
      <c r="B140" s="89" t="s">
        <v>6077</v>
      </c>
      <c r="C140" s="89" t="s">
        <v>6076</v>
      </c>
      <c r="D140" s="318" t="s">
        <v>6074</v>
      </c>
      <c r="E140" s="369" t="str">
        <f>VLOOKUP(D:D,'Master Table'!C:D,2,FALSE)</f>
        <v>1324</v>
      </c>
      <c r="F140" s="769" t="s">
        <v>6074</v>
      </c>
      <c r="G140" s="769" t="s">
        <v>6075</v>
      </c>
      <c r="H140" s="769" t="s">
        <v>11301</v>
      </c>
      <c r="I140" s="769" t="s">
        <v>6077</v>
      </c>
      <c r="J140" s="769" t="s">
        <v>324</v>
      </c>
      <c r="K140" s="790">
        <v>187.99</v>
      </c>
      <c r="L140" s="790">
        <v>672</v>
      </c>
      <c r="M140" s="790"/>
      <c r="N140" s="312">
        <f t="shared" si="4"/>
        <v>859.99</v>
      </c>
      <c r="O140" s="467">
        <f>VLOOKUP(D:D,'Master Table'!C:O,13,FALSE)</f>
        <v>834.61</v>
      </c>
      <c r="P140" s="657">
        <v>834.61</v>
      </c>
      <c r="Q140" s="476">
        <v>874.3</v>
      </c>
      <c r="R140" s="91">
        <v>717.84</v>
      </c>
      <c r="S140" s="619">
        <v>785.35</v>
      </c>
    </row>
    <row r="141" spans="1:19" ht="30" customHeight="1" x14ac:dyDescent="0.2">
      <c r="A141" s="291" t="str">
        <f t="shared" si="5"/>
        <v>SOU133 / 1325</v>
      </c>
      <c r="B141" s="89" t="s">
        <v>6084</v>
      </c>
      <c r="C141" s="89" t="s">
        <v>532</v>
      </c>
      <c r="D141" s="318" t="s">
        <v>6082</v>
      </c>
      <c r="E141" s="369" t="str">
        <f>VLOOKUP(D:D,'Master Table'!C:D,2,FALSE)</f>
        <v>1325</v>
      </c>
      <c r="F141" s="769" t="s">
        <v>6082</v>
      </c>
      <c r="G141" s="769" t="s">
        <v>6083</v>
      </c>
      <c r="H141" s="769" t="s">
        <v>705</v>
      </c>
      <c r="I141" s="769" t="s">
        <v>6084</v>
      </c>
      <c r="J141" s="769" t="s">
        <v>324</v>
      </c>
      <c r="K141" s="790"/>
      <c r="L141" s="790">
        <v>50</v>
      </c>
      <c r="M141" s="790"/>
      <c r="N141" s="312">
        <f t="shared" si="4"/>
        <v>50</v>
      </c>
      <c r="O141" s="467">
        <f>VLOOKUP(D:D,'Master Table'!C:O,13,FALSE)</f>
        <v>329.97</v>
      </c>
      <c r="P141" s="657">
        <v>329.97</v>
      </c>
      <c r="Q141" s="476">
        <v>363.9</v>
      </c>
      <c r="R141" s="91">
        <v>864.87</v>
      </c>
      <c r="S141" s="619">
        <v>327.38</v>
      </c>
    </row>
    <row r="142" spans="1:19" ht="30" customHeight="1" x14ac:dyDescent="0.2">
      <c r="A142" s="291" t="str">
        <f t="shared" si="5"/>
        <v>SOU136 / 1326</v>
      </c>
      <c r="B142" s="89" t="s">
        <v>6088</v>
      </c>
      <c r="C142" s="89" t="s">
        <v>6087</v>
      </c>
      <c r="D142" s="318" t="s">
        <v>6085</v>
      </c>
      <c r="E142" s="369" t="str">
        <f>VLOOKUP(D:D,'Master Table'!C:D,2,FALSE)</f>
        <v>1326</v>
      </c>
      <c r="F142" s="769" t="s">
        <v>6085</v>
      </c>
      <c r="G142" s="769" t="s">
        <v>6086</v>
      </c>
      <c r="H142" s="769" t="s">
        <v>6087</v>
      </c>
      <c r="I142" s="769" t="s">
        <v>6088</v>
      </c>
      <c r="J142" s="769" t="s">
        <v>324</v>
      </c>
      <c r="K142" s="790">
        <v>1234.8500000000001</v>
      </c>
      <c r="L142" s="790">
        <v>675</v>
      </c>
      <c r="M142" s="790"/>
      <c r="N142" s="312">
        <f t="shared" si="4"/>
        <v>1909.8500000000001</v>
      </c>
      <c r="O142" s="467">
        <f>VLOOKUP(D:D,'Master Table'!C:O,13,FALSE)</f>
        <v>986.32</v>
      </c>
      <c r="P142" s="657">
        <v>986.32</v>
      </c>
      <c r="Q142" s="476">
        <v>1786.1100000000001</v>
      </c>
      <c r="R142" s="91">
        <v>2227.31</v>
      </c>
      <c r="S142" s="619">
        <v>1437.15</v>
      </c>
    </row>
    <row r="143" spans="1:19" ht="30" customHeight="1" x14ac:dyDescent="0.2">
      <c r="A143" s="291" t="str">
        <f t="shared" si="5"/>
        <v>SOU137 / 1327</v>
      </c>
      <c r="B143" s="89" t="s">
        <v>6091</v>
      </c>
      <c r="C143" s="89" t="s">
        <v>1284</v>
      </c>
      <c r="D143" s="318" t="s">
        <v>6089</v>
      </c>
      <c r="E143" s="369" t="str">
        <f>VLOOKUP(D:D,'Master Table'!C:D,2,FALSE)</f>
        <v>1327</v>
      </c>
      <c r="F143" s="769" t="s">
        <v>6089</v>
      </c>
      <c r="G143" s="769" t="s">
        <v>6090</v>
      </c>
      <c r="H143" s="769" t="s">
        <v>1284</v>
      </c>
      <c r="I143" s="769" t="s">
        <v>6091</v>
      </c>
      <c r="J143" s="769" t="s">
        <v>324</v>
      </c>
      <c r="K143" s="790">
        <v>833.29</v>
      </c>
      <c r="L143" s="790">
        <v>50</v>
      </c>
      <c r="M143" s="790"/>
      <c r="N143" s="312">
        <f t="shared" si="4"/>
        <v>883.29</v>
      </c>
      <c r="O143" s="467">
        <f>VLOOKUP(D:D,'Master Table'!C:O,13,FALSE)</f>
        <v>1669.9299999999998</v>
      </c>
      <c r="P143" s="657">
        <v>1669.9299999999998</v>
      </c>
      <c r="Q143" s="476">
        <v>2076.08</v>
      </c>
      <c r="R143" s="91">
        <v>1571.83</v>
      </c>
      <c r="S143" s="619">
        <v>1487.77</v>
      </c>
    </row>
    <row r="144" spans="1:19" ht="30" customHeight="1" x14ac:dyDescent="0.2">
      <c r="A144" s="291" t="str">
        <f t="shared" si="5"/>
        <v>SOU138 / 1328</v>
      </c>
      <c r="B144" s="89" t="s">
        <v>6095</v>
      </c>
      <c r="C144" s="89" t="s">
        <v>2759</v>
      </c>
      <c r="D144" s="318" t="s">
        <v>6092</v>
      </c>
      <c r="E144" s="369" t="str">
        <f>VLOOKUP(D:D,'Master Table'!C:D,2,FALSE)</f>
        <v>1328</v>
      </c>
      <c r="F144" s="769" t="s">
        <v>6092</v>
      </c>
      <c r="G144" s="769" t="s">
        <v>6093</v>
      </c>
      <c r="H144" s="769" t="s">
        <v>6094</v>
      </c>
      <c r="I144" s="769" t="s">
        <v>6095</v>
      </c>
      <c r="J144" s="769" t="s">
        <v>324</v>
      </c>
      <c r="K144" s="790">
        <v>108.93</v>
      </c>
      <c r="L144" s="790">
        <v>120</v>
      </c>
      <c r="M144" s="790"/>
      <c r="N144" s="312">
        <f t="shared" si="4"/>
        <v>228.93</v>
      </c>
      <c r="O144" s="467">
        <f>VLOOKUP(D:D,'Master Table'!C:O,13,FALSE)</f>
        <v>726.33999999999992</v>
      </c>
      <c r="P144" s="657">
        <v>726.33999999999992</v>
      </c>
      <c r="Q144" s="476">
        <v>523.36</v>
      </c>
      <c r="R144" s="91">
        <v>879.78</v>
      </c>
      <c r="S144" s="619">
        <v>878.87</v>
      </c>
    </row>
    <row r="145" spans="1:19" ht="30" customHeight="1" x14ac:dyDescent="0.2">
      <c r="A145" s="291" t="str">
        <f t="shared" si="5"/>
        <v>SOU139 / 1329</v>
      </c>
      <c r="B145" s="89" t="s">
        <v>6099</v>
      </c>
      <c r="C145" s="89" t="s">
        <v>2554</v>
      </c>
      <c r="D145" s="318" t="s">
        <v>6097</v>
      </c>
      <c r="E145" s="369" t="str">
        <f>VLOOKUP(D:D,'Master Table'!C:D,2,FALSE)</f>
        <v>1329</v>
      </c>
      <c r="F145" s="769" t="s">
        <v>6097</v>
      </c>
      <c r="G145" s="769" t="s">
        <v>6098</v>
      </c>
      <c r="H145" s="769" t="s">
        <v>198</v>
      </c>
      <c r="I145" s="769" t="s">
        <v>1832</v>
      </c>
      <c r="J145" s="769" t="s">
        <v>324</v>
      </c>
      <c r="K145" s="790"/>
      <c r="L145" s="790">
        <v>50</v>
      </c>
      <c r="M145" s="790"/>
      <c r="N145" s="312">
        <f t="shared" si="4"/>
        <v>50</v>
      </c>
      <c r="O145" s="467">
        <f>VLOOKUP(D:D,'Master Table'!C:O,13,FALSE)</f>
        <v>0</v>
      </c>
      <c r="P145" s="657">
        <v>0</v>
      </c>
      <c r="Q145" s="476">
        <v>330</v>
      </c>
      <c r="R145" s="91">
        <v>15</v>
      </c>
      <c r="S145" s="619">
        <v>110</v>
      </c>
    </row>
    <row r="146" spans="1:19" ht="30" customHeight="1" x14ac:dyDescent="0.2">
      <c r="A146" s="291" t="str">
        <f t="shared" si="5"/>
        <v>SOU140 / 1330</v>
      </c>
      <c r="B146" s="89" t="s">
        <v>6102</v>
      </c>
      <c r="C146" s="89" t="s">
        <v>1047</v>
      </c>
      <c r="D146" s="318" t="s">
        <v>6100</v>
      </c>
      <c r="E146" s="369" t="str">
        <f>VLOOKUP(D:D,'Master Table'!C:D,2,FALSE)</f>
        <v>1330</v>
      </c>
      <c r="F146" s="769" t="s">
        <v>6100</v>
      </c>
      <c r="G146" s="769" t="s">
        <v>6101</v>
      </c>
      <c r="H146" s="769" t="s">
        <v>83</v>
      </c>
      <c r="I146" s="769" t="s">
        <v>6102</v>
      </c>
      <c r="J146" s="769" t="s">
        <v>324</v>
      </c>
      <c r="K146" s="790">
        <v>2087.9499999999998</v>
      </c>
      <c r="L146" s="790">
        <v>125</v>
      </c>
      <c r="M146" s="790"/>
      <c r="N146" s="312">
        <f t="shared" si="4"/>
        <v>2212.9499999999998</v>
      </c>
      <c r="O146" s="467">
        <f>VLOOKUP(D:D,'Master Table'!C:O,13,FALSE)</f>
        <v>2954.21</v>
      </c>
      <c r="P146" s="657">
        <v>2954.21</v>
      </c>
      <c r="Q146" s="476">
        <v>2523.39</v>
      </c>
      <c r="R146" s="91">
        <v>2467.1999999999998</v>
      </c>
      <c r="S146" s="619">
        <v>2991</v>
      </c>
    </row>
    <row r="147" spans="1:19" ht="30" customHeight="1" x14ac:dyDescent="0.2">
      <c r="A147" s="291" t="str">
        <f t="shared" si="5"/>
        <v>SOU141 / 1331</v>
      </c>
      <c r="B147" s="89" t="s">
        <v>6106</v>
      </c>
      <c r="C147" s="89" t="s">
        <v>6105</v>
      </c>
      <c r="D147" s="318" t="s">
        <v>6103</v>
      </c>
      <c r="E147" s="369" t="str">
        <f>VLOOKUP(D:D,'Master Table'!C:D,2,FALSE)</f>
        <v>1331</v>
      </c>
      <c r="F147" s="769" t="s">
        <v>6103</v>
      </c>
      <c r="G147" s="769" t="s">
        <v>6104</v>
      </c>
      <c r="H147" s="769" t="s">
        <v>6105</v>
      </c>
      <c r="I147" s="769" t="s">
        <v>6106</v>
      </c>
      <c r="J147" s="769" t="s">
        <v>324</v>
      </c>
      <c r="K147" s="790"/>
      <c r="L147" s="790">
        <v>150</v>
      </c>
      <c r="M147" s="790">
        <v>125.63</v>
      </c>
      <c r="N147" s="312">
        <f t="shared" si="4"/>
        <v>275.63</v>
      </c>
      <c r="O147" s="467">
        <f>VLOOKUP(D:D,'Master Table'!C:O,13,FALSE)</f>
        <v>906.11999999999989</v>
      </c>
      <c r="P147" s="657">
        <v>906.11999999999989</v>
      </c>
      <c r="Q147" s="476">
        <v>958.03000000000009</v>
      </c>
      <c r="R147" s="91">
        <v>1155.9299999999998</v>
      </c>
      <c r="S147" s="619">
        <v>903.19</v>
      </c>
    </row>
    <row r="148" spans="1:19" ht="30" customHeight="1" x14ac:dyDescent="0.2">
      <c r="A148" s="291" t="str">
        <f t="shared" si="5"/>
        <v>SOU142 / 1332</v>
      </c>
      <c r="B148" s="89" t="s">
        <v>6109</v>
      </c>
      <c r="C148" s="89" t="s">
        <v>1047</v>
      </c>
      <c r="D148" s="318" t="s">
        <v>6107</v>
      </c>
      <c r="E148" s="369" t="str">
        <f>VLOOKUP(D:D,'Master Table'!C:D,2,FALSE)</f>
        <v>1332</v>
      </c>
      <c r="F148" s="769" t="s">
        <v>6107</v>
      </c>
      <c r="G148" s="769" t="s">
        <v>6108</v>
      </c>
      <c r="H148" s="769" t="s">
        <v>83</v>
      </c>
      <c r="I148" s="769" t="s">
        <v>6109</v>
      </c>
      <c r="J148" s="769" t="s">
        <v>324</v>
      </c>
      <c r="K148" s="790"/>
      <c r="L148" s="790">
        <v>80</v>
      </c>
      <c r="M148" s="790">
        <v>370.47</v>
      </c>
      <c r="N148" s="312">
        <f t="shared" si="4"/>
        <v>450.47</v>
      </c>
      <c r="O148" s="467">
        <f>VLOOKUP(D:D,'Master Table'!C:O,13,FALSE)</f>
        <v>75</v>
      </c>
      <c r="P148" s="657">
        <v>75</v>
      </c>
      <c r="Q148" s="476">
        <v>70</v>
      </c>
      <c r="R148" s="91">
        <v>60</v>
      </c>
      <c r="S148" s="619">
        <v>432.42</v>
      </c>
    </row>
    <row r="149" spans="1:19" ht="30" customHeight="1" x14ac:dyDescent="0.2">
      <c r="A149" s="291" t="str">
        <f t="shared" si="5"/>
        <v>SOU143 / 1333</v>
      </c>
      <c r="B149" s="89" t="s">
        <v>7873</v>
      </c>
      <c r="C149" s="89" t="s">
        <v>7874</v>
      </c>
      <c r="D149" s="318" t="s">
        <v>6112</v>
      </c>
      <c r="E149" s="369" t="str">
        <f>VLOOKUP(D:D,'Master Table'!C:D,2,FALSE)</f>
        <v>1333</v>
      </c>
      <c r="F149" s="769" t="s">
        <v>6112</v>
      </c>
      <c r="G149" s="769" t="s">
        <v>6113</v>
      </c>
      <c r="H149" s="769" t="s">
        <v>6114</v>
      </c>
      <c r="I149" s="769" t="s">
        <v>6115</v>
      </c>
      <c r="J149" s="769" t="s">
        <v>324</v>
      </c>
      <c r="K149" s="790"/>
      <c r="L149" s="790">
        <v>96</v>
      </c>
      <c r="M149" s="790">
        <v>88.9</v>
      </c>
      <c r="N149" s="312">
        <f t="shared" si="4"/>
        <v>184.9</v>
      </c>
      <c r="O149" s="467">
        <f>VLOOKUP(D:D,'Master Table'!C:O,13,FALSE)</f>
        <v>240.31</v>
      </c>
      <c r="P149" s="657">
        <v>240.31</v>
      </c>
      <c r="Q149" s="476">
        <v>231.3</v>
      </c>
      <c r="R149" s="91">
        <v>214</v>
      </c>
      <c r="S149" s="619">
        <v>407.75</v>
      </c>
    </row>
    <row r="150" spans="1:19" ht="30" customHeight="1" x14ac:dyDescent="0.2">
      <c r="A150" s="291" t="str">
        <f t="shared" si="5"/>
        <v>SOU144 / 1336</v>
      </c>
      <c r="B150" s="89" t="s">
        <v>6122</v>
      </c>
      <c r="C150" s="89" t="s">
        <v>198</v>
      </c>
      <c r="D150" s="318" t="s">
        <v>6120</v>
      </c>
      <c r="E150" s="369" t="str">
        <f>VLOOKUP(D:D,'Master Table'!C:D,2,FALSE)</f>
        <v>1336</v>
      </c>
      <c r="F150" s="769" t="s">
        <v>6120</v>
      </c>
      <c r="G150" s="769" t="s">
        <v>6121</v>
      </c>
      <c r="H150" s="769" t="s">
        <v>198</v>
      </c>
      <c r="I150" s="769" t="s">
        <v>6122</v>
      </c>
      <c r="J150" s="769" t="s">
        <v>324</v>
      </c>
      <c r="K150" s="790">
        <v>488.78</v>
      </c>
      <c r="L150" s="790">
        <v>594.79999999999995</v>
      </c>
      <c r="M150" s="790"/>
      <c r="N150" s="312">
        <f t="shared" si="4"/>
        <v>1083.58</v>
      </c>
      <c r="O150" s="467">
        <f>VLOOKUP(D:D,'Master Table'!C:O,13,FALSE)</f>
        <v>1197.05</v>
      </c>
      <c r="P150" s="657">
        <v>1197.05</v>
      </c>
      <c r="Q150" s="476">
        <v>1267.01</v>
      </c>
      <c r="R150" s="91">
        <v>1345.54</v>
      </c>
      <c r="S150" s="619">
        <v>1040.23</v>
      </c>
    </row>
    <row r="151" spans="1:19" ht="30" customHeight="1" x14ac:dyDescent="0.2">
      <c r="A151" s="291" t="str">
        <f t="shared" si="5"/>
        <v>SOU144X / 1337</v>
      </c>
      <c r="B151" s="89" t="s">
        <v>6126</v>
      </c>
      <c r="C151" s="89" t="s">
        <v>1165</v>
      </c>
      <c r="D151" s="318" t="s">
        <v>6124</v>
      </c>
      <c r="E151" s="369" t="str">
        <f>VLOOKUP(D:D,'Master Table'!C:D,2,FALSE)</f>
        <v>1337</v>
      </c>
      <c r="F151" s="769" t="s">
        <v>6124</v>
      </c>
      <c r="G151" s="769" t="s">
        <v>6125</v>
      </c>
      <c r="H151" s="769" t="s">
        <v>238</v>
      </c>
      <c r="I151" s="769" t="s">
        <v>6126</v>
      </c>
      <c r="J151" s="769" t="s">
        <v>324</v>
      </c>
      <c r="K151" s="790"/>
      <c r="L151" s="790">
        <v>280</v>
      </c>
      <c r="M151" s="790"/>
      <c r="N151" s="312">
        <f t="shared" si="4"/>
        <v>280</v>
      </c>
      <c r="O151" s="467">
        <f>VLOOKUP(D:D,'Master Table'!C:O,13,FALSE)</f>
        <v>240</v>
      </c>
      <c r="P151" s="657">
        <v>240</v>
      </c>
      <c r="Q151" s="476">
        <v>597.03</v>
      </c>
      <c r="R151" s="91">
        <v>485</v>
      </c>
      <c r="S151" s="619">
        <v>1017.9300000000001</v>
      </c>
    </row>
    <row r="152" spans="1:19" ht="30" customHeight="1" x14ac:dyDescent="0.2">
      <c r="A152" s="291" t="str">
        <f t="shared" si="5"/>
        <v>SOU145 / 1338</v>
      </c>
      <c r="B152" s="89" t="s">
        <v>6130</v>
      </c>
      <c r="C152" s="89" t="s">
        <v>6129</v>
      </c>
      <c r="D152" s="318" t="s">
        <v>6127</v>
      </c>
      <c r="E152" s="369" t="str">
        <f>VLOOKUP(D:D,'Master Table'!C:D,2,FALSE)</f>
        <v>1338</v>
      </c>
      <c r="F152" s="769" t="s">
        <v>6127</v>
      </c>
      <c r="G152" s="769" t="s">
        <v>6128</v>
      </c>
      <c r="H152" s="769" t="s">
        <v>6129</v>
      </c>
      <c r="I152" s="769" t="s">
        <v>6130</v>
      </c>
      <c r="J152" s="769" t="s">
        <v>324</v>
      </c>
      <c r="K152" s="790"/>
      <c r="L152" s="790">
        <v>315</v>
      </c>
      <c r="M152" s="790"/>
      <c r="N152" s="312">
        <f t="shared" si="4"/>
        <v>315</v>
      </c>
      <c r="O152" s="467">
        <f>VLOOKUP(D:D,'Master Table'!C:O,13,FALSE)</f>
        <v>1426.23</v>
      </c>
      <c r="P152" s="657">
        <v>1426.23</v>
      </c>
      <c r="Q152" s="476">
        <v>1460.33</v>
      </c>
      <c r="R152" s="91">
        <v>1464.14</v>
      </c>
      <c r="S152" s="619">
        <v>1569.82</v>
      </c>
    </row>
    <row r="153" spans="1:19" ht="30" customHeight="1" x14ac:dyDescent="0.2">
      <c r="A153" s="291" t="str">
        <f t="shared" si="5"/>
        <v>SOU146 / 1339</v>
      </c>
      <c r="B153" s="89" t="s">
        <v>6133</v>
      </c>
      <c r="C153" s="89" t="s">
        <v>7875</v>
      </c>
      <c r="D153" s="318" t="s">
        <v>6131</v>
      </c>
      <c r="E153" s="369" t="str">
        <f>VLOOKUP(D:D,'Master Table'!C:D,2,FALSE)</f>
        <v>1339</v>
      </c>
      <c r="F153" s="769" t="s">
        <v>6131</v>
      </c>
      <c r="G153" s="769" t="s">
        <v>6132</v>
      </c>
      <c r="H153" s="769" t="s">
        <v>3161</v>
      </c>
      <c r="I153" s="769" t="s">
        <v>6133</v>
      </c>
      <c r="J153" s="769" t="s">
        <v>324</v>
      </c>
      <c r="K153" s="790"/>
      <c r="L153" s="790">
        <v>554</v>
      </c>
      <c r="M153" s="790"/>
      <c r="N153" s="312">
        <f t="shared" ref="N153:N188" si="6">K153+L153+M153</f>
        <v>554</v>
      </c>
      <c r="O153" s="467">
        <f>VLOOKUP(D:D,'Master Table'!C:O,13,FALSE)</f>
        <v>551</v>
      </c>
      <c r="P153" s="657">
        <v>551</v>
      </c>
      <c r="Q153" s="476">
        <v>728.23</v>
      </c>
      <c r="R153" s="91">
        <v>704</v>
      </c>
      <c r="S153" s="619">
        <v>436</v>
      </c>
    </row>
    <row r="154" spans="1:19" ht="30" customHeight="1" x14ac:dyDescent="0.2">
      <c r="A154" s="291" t="str">
        <f t="shared" si="5"/>
        <v>SOU146A / 0444622</v>
      </c>
      <c r="B154" s="89" t="s">
        <v>6136</v>
      </c>
      <c r="C154" s="89" t="s">
        <v>5984</v>
      </c>
      <c r="D154" s="318" t="s">
        <v>6134</v>
      </c>
      <c r="E154" s="369" t="str">
        <f>VLOOKUP(D:D,'Master Table'!C:D,2,FALSE)</f>
        <v>0444622</v>
      </c>
      <c r="F154" s="769" t="s">
        <v>6134</v>
      </c>
      <c r="G154" s="769" t="s">
        <v>6135</v>
      </c>
      <c r="H154" s="769" t="s">
        <v>5984</v>
      </c>
      <c r="I154" s="769" t="s">
        <v>6136</v>
      </c>
      <c r="J154" s="769" t="s">
        <v>324</v>
      </c>
      <c r="K154" s="790"/>
      <c r="L154" s="790"/>
      <c r="M154" s="790"/>
      <c r="N154" s="312">
        <f t="shared" si="6"/>
        <v>0</v>
      </c>
      <c r="O154" s="467">
        <f>VLOOKUP(D:D,'Master Table'!C:O,13,FALSE)</f>
        <v>0</v>
      </c>
      <c r="P154" s="657">
        <v>0</v>
      </c>
      <c r="Q154" s="476">
        <v>0</v>
      </c>
      <c r="R154" s="91">
        <v>0</v>
      </c>
      <c r="S154" s="619">
        <v>37.96</v>
      </c>
    </row>
    <row r="155" spans="1:19" ht="30" customHeight="1" x14ac:dyDescent="0.2">
      <c r="A155" s="291" t="str">
        <f t="shared" si="5"/>
        <v>SOU146X / 1340</v>
      </c>
      <c r="B155" s="89" t="s">
        <v>6140</v>
      </c>
      <c r="C155" s="89" t="s">
        <v>6139</v>
      </c>
      <c r="D155" s="318" t="s">
        <v>6137</v>
      </c>
      <c r="E155" s="369" t="str">
        <f>VLOOKUP(D:D,'Master Table'!C:D,2,FALSE)</f>
        <v>1340</v>
      </c>
      <c r="F155" s="769" t="s">
        <v>6137</v>
      </c>
      <c r="G155" s="769" t="s">
        <v>6138</v>
      </c>
      <c r="H155" s="769" t="s">
        <v>6139</v>
      </c>
      <c r="I155" s="769" t="s">
        <v>6140</v>
      </c>
      <c r="J155" s="769" t="s">
        <v>324</v>
      </c>
      <c r="K155" s="790"/>
      <c r="L155" s="790">
        <v>10</v>
      </c>
      <c r="M155" s="790"/>
      <c r="N155" s="312">
        <f t="shared" si="6"/>
        <v>10</v>
      </c>
      <c r="O155" s="467">
        <f>VLOOKUP(D:D,'Master Table'!C:O,13,FALSE)</f>
        <v>70</v>
      </c>
      <c r="P155" s="657">
        <v>70</v>
      </c>
      <c r="Q155" s="476">
        <v>10</v>
      </c>
      <c r="R155" s="91">
        <v>70</v>
      </c>
      <c r="S155" s="619">
        <v>147.45000000000002</v>
      </c>
    </row>
    <row r="156" spans="1:19" ht="30" customHeight="1" x14ac:dyDescent="0.2">
      <c r="A156" s="291" t="str">
        <f t="shared" si="5"/>
        <v>SOU147 / 1341</v>
      </c>
      <c r="B156" s="89" t="s">
        <v>6143</v>
      </c>
      <c r="C156" s="89" t="s">
        <v>5904</v>
      </c>
      <c r="D156" s="318" t="s">
        <v>6141</v>
      </c>
      <c r="E156" s="369" t="str">
        <f>VLOOKUP(D:D,'Master Table'!C:D,2,FALSE)</f>
        <v>1341</v>
      </c>
      <c r="F156" s="769" t="s">
        <v>6141</v>
      </c>
      <c r="G156" s="769" t="s">
        <v>6142</v>
      </c>
      <c r="H156" s="769" t="s">
        <v>5904</v>
      </c>
      <c r="I156" s="769" t="s">
        <v>6143</v>
      </c>
      <c r="J156" s="769" t="s">
        <v>324</v>
      </c>
      <c r="K156" s="790"/>
      <c r="L156" s="790">
        <v>220</v>
      </c>
      <c r="M156" s="790"/>
      <c r="N156" s="312">
        <f t="shared" si="6"/>
        <v>220</v>
      </c>
      <c r="O156" s="467">
        <f>VLOOKUP(D:D,'Master Table'!C:O,13,FALSE)</f>
        <v>45</v>
      </c>
      <c r="P156" s="657">
        <v>45</v>
      </c>
      <c r="Q156" s="476">
        <v>40</v>
      </c>
      <c r="R156" s="91">
        <v>85</v>
      </c>
      <c r="S156" s="619">
        <v>25</v>
      </c>
    </row>
    <row r="157" spans="1:19" ht="30" customHeight="1" x14ac:dyDescent="0.2">
      <c r="A157" s="291" t="str">
        <f t="shared" si="5"/>
        <v>SOU147X / 1342</v>
      </c>
      <c r="B157" s="89" t="s">
        <v>6146</v>
      </c>
      <c r="C157" s="89" t="s">
        <v>2667</v>
      </c>
      <c r="D157" s="318" t="s">
        <v>6144</v>
      </c>
      <c r="E157" s="369" t="str">
        <f>VLOOKUP(D:D,'Master Table'!C:D,2,FALSE)</f>
        <v>1342</v>
      </c>
      <c r="F157" s="769" t="s">
        <v>6144</v>
      </c>
      <c r="G157" s="769" t="s">
        <v>6145</v>
      </c>
      <c r="H157" s="769" t="s">
        <v>564</v>
      </c>
      <c r="I157" s="769" t="s">
        <v>6146</v>
      </c>
      <c r="J157" s="769" t="s">
        <v>324</v>
      </c>
      <c r="K157" s="790">
        <v>281.7</v>
      </c>
      <c r="L157" s="790">
        <v>180</v>
      </c>
      <c r="M157" s="790"/>
      <c r="N157" s="312">
        <f t="shared" si="6"/>
        <v>461.7</v>
      </c>
      <c r="O157" s="467">
        <f>VLOOKUP(D:D,'Master Table'!C:O,13,FALSE)</f>
        <v>700.29</v>
      </c>
      <c r="P157" s="657">
        <v>700.29</v>
      </c>
      <c r="Q157" s="476">
        <v>540</v>
      </c>
      <c r="R157" s="91">
        <v>256</v>
      </c>
      <c r="S157" s="619">
        <v>259.10000000000002</v>
      </c>
    </row>
    <row r="158" spans="1:19" ht="30" customHeight="1" x14ac:dyDescent="0.2">
      <c r="A158" s="291" t="str">
        <f t="shared" si="5"/>
        <v>SOU148 / 1344</v>
      </c>
      <c r="B158" s="89" t="s">
        <v>6150</v>
      </c>
      <c r="C158" s="89" t="s">
        <v>7876</v>
      </c>
      <c r="D158" s="318" t="s">
        <v>6147</v>
      </c>
      <c r="E158" s="369" t="str">
        <f>VLOOKUP(D:D,'Master Table'!C:D,2,FALSE)</f>
        <v>1344</v>
      </c>
      <c r="F158" s="769" t="s">
        <v>6147</v>
      </c>
      <c r="G158" s="769" t="s">
        <v>6148</v>
      </c>
      <c r="H158" s="769" t="s">
        <v>6149</v>
      </c>
      <c r="I158" s="769" t="s">
        <v>6150</v>
      </c>
      <c r="J158" s="769" t="s">
        <v>324</v>
      </c>
      <c r="K158" s="790"/>
      <c r="L158" s="790">
        <v>387</v>
      </c>
      <c r="M158" s="790"/>
      <c r="N158" s="312">
        <f t="shared" si="6"/>
        <v>387</v>
      </c>
      <c r="O158" s="467">
        <f>VLOOKUP(D:D,'Master Table'!C:O,13,FALSE)</f>
        <v>1940.06</v>
      </c>
      <c r="P158" s="657">
        <v>1940.06</v>
      </c>
      <c r="Q158" s="476">
        <v>531.46</v>
      </c>
      <c r="R158" s="91">
        <v>904.48</v>
      </c>
      <c r="S158" s="619">
        <v>921.91</v>
      </c>
    </row>
    <row r="159" spans="1:19" ht="30" customHeight="1" x14ac:dyDescent="0.2">
      <c r="A159" s="291" t="str">
        <f t="shared" si="5"/>
        <v>SOU149 / 1345</v>
      </c>
      <c r="B159" s="89" t="s">
        <v>6153</v>
      </c>
      <c r="C159" s="89" t="s">
        <v>4774</v>
      </c>
      <c r="D159" s="318" t="s">
        <v>6151</v>
      </c>
      <c r="E159" s="369" t="str">
        <f>VLOOKUP(D:D,'Master Table'!C:D,2,FALSE)</f>
        <v>1345</v>
      </c>
      <c r="F159" s="769" t="s">
        <v>6151</v>
      </c>
      <c r="G159" s="769" t="s">
        <v>6152</v>
      </c>
      <c r="H159" s="769" t="s">
        <v>4774</v>
      </c>
      <c r="I159" s="769" t="s">
        <v>6153</v>
      </c>
      <c r="J159" s="769" t="s">
        <v>324</v>
      </c>
      <c r="K159" s="790">
        <v>952.31</v>
      </c>
      <c r="L159" s="790">
        <v>355</v>
      </c>
      <c r="M159" s="790"/>
      <c r="N159" s="312">
        <f t="shared" si="6"/>
        <v>1307.31</v>
      </c>
      <c r="O159" s="467">
        <f>VLOOKUP(D:D,'Master Table'!C:O,13,FALSE)</f>
        <v>1493.8899999999999</v>
      </c>
      <c r="P159" s="657">
        <v>1493.8899999999999</v>
      </c>
      <c r="Q159" s="476">
        <v>924.37</v>
      </c>
      <c r="R159" s="91">
        <v>1434.65</v>
      </c>
      <c r="S159" s="619">
        <v>1368.17</v>
      </c>
    </row>
    <row r="160" spans="1:19" ht="30" customHeight="1" x14ac:dyDescent="0.2">
      <c r="A160" s="291" t="str">
        <f t="shared" si="5"/>
        <v>SOU150 / 1346</v>
      </c>
      <c r="B160" s="89" t="s">
        <v>6156</v>
      </c>
      <c r="C160" s="89" t="s">
        <v>7216</v>
      </c>
      <c r="D160" s="318" t="s">
        <v>6154</v>
      </c>
      <c r="E160" s="369" t="str">
        <f>VLOOKUP(D:D,'Master Table'!C:D,2,FALSE)</f>
        <v>1346</v>
      </c>
      <c r="F160" s="769" t="s">
        <v>6154</v>
      </c>
      <c r="G160" s="769" t="s">
        <v>6155</v>
      </c>
      <c r="H160" s="769" t="s">
        <v>11</v>
      </c>
      <c r="I160" s="769" t="s">
        <v>6156</v>
      </c>
      <c r="J160" s="769" t="s">
        <v>324</v>
      </c>
      <c r="K160" s="790"/>
      <c r="L160" s="790">
        <v>455</v>
      </c>
      <c r="M160" s="790"/>
      <c r="N160" s="312">
        <f t="shared" si="6"/>
        <v>455</v>
      </c>
      <c r="O160" s="467">
        <f>VLOOKUP(D:D,'Master Table'!C:O,13,FALSE)</f>
        <v>1164.0800000000002</v>
      </c>
      <c r="P160" s="657">
        <v>1164.0800000000002</v>
      </c>
      <c r="Q160" s="476">
        <v>1162.3899999999999</v>
      </c>
      <c r="R160" s="91">
        <v>1207.94</v>
      </c>
      <c r="S160" s="619">
        <v>1401.99</v>
      </c>
    </row>
    <row r="161" spans="1:19" ht="30" customHeight="1" x14ac:dyDescent="0.2">
      <c r="A161" s="291" t="str">
        <f t="shared" si="5"/>
        <v>SOU151 / 1347</v>
      </c>
      <c r="B161" s="89" t="s">
        <v>6163</v>
      </c>
      <c r="C161" s="89" t="s">
        <v>2981</v>
      </c>
      <c r="D161" s="318" t="s">
        <v>6161</v>
      </c>
      <c r="E161" s="369" t="str">
        <f>VLOOKUP(D:D,'Master Table'!C:D,2,FALSE)</f>
        <v>1347</v>
      </c>
      <c r="F161" s="769" t="s">
        <v>6161</v>
      </c>
      <c r="G161" s="769" t="s">
        <v>6162</v>
      </c>
      <c r="H161" s="769" t="s">
        <v>242</v>
      </c>
      <c r="I161" s="769" t="s">
        <v>6163</v>
      </c>
      <c r="J161" s="769" t="s">
        <v>324</v>
      </c>
      <c r="K161" s="790">
        <v>339.83000000000004</v>
      </c>
      <c r="L161" s="790">
        <v>15</v>
      </c>
      <c r="M161" s="790"/>
      <c r="N161" s="312">
        <f t="shared" si="6"/>
        <v>354.83000000000004</v>
      </c>
      <c r="O161" s="467">
        <f>VLOOKUP(D:D,'Master Table'!C:O,13,FALSE)</f>
        <v>1210.8699999999999</v>
      </c>
      <c r="P161" s="657">
        <v>1210.8699999999999</v>
      </c>
      <c r="Q161" s="476">
        <v>513.71</v>
      </c>
      <c r="R161" s="91">
        <v>988.1</v>
      </c>
      <c r="S161" s="619">
        <v>1254.8900000000001</v>
      </c>
    </row>
    <row r="162" spans="1:19" ht="30" customHeight="1" x14ac:dyDescent="0.2">
      <c r="A162" s="291" t="str">
        <f t="shared" si="5"/>
        <v>SOU152 / 1348</v>
      </c>
      <c r="B162" s="89" t="s">
        <v>6163</v>
      </c>
      <c r="C162" s="89" t="s">
        <v>127</v>
      </c>
      <c r="D162" s="318" t="s">
        <v>6164</v>
      </c>
      <c r="E162" s="369" t="str">
        <f>VLOOKUP(D:D,'Master Table'!C:D,2,FALSE)</f>
        <v>1348</v>
      </c>
      <c r="F162" s="769" t="s">
        <v>6164</v>
      </c>
      <c r="G162" s="769" t="s">
        <v>6165</v>
      </c>
      <c r="H162" s="769" t="s">
        <v>6166</v>
      </c>
      <c r="I162" s="769" t="s">
        <v>6163</v>
      </c>
      <c r="J162" s="769" t="s">
        <v>324</v>
      </c>
      <c r="K162" s="790"/>
      <c r="L162" s="790">
        <v>157</v>
      </c>
      <c r="M162" s="790"/>
      <c r="N162" s="312">
        <f t="shared" si="6"/>
        <v>157</v>
      </c>
      <c r="O162" s="467">
        <f>VLOOKUP(D:D,'Master Table'!C:O,13,FALSE)</f>
        <v>263.66000000000003</v>
      </c>
      <c r="P162" s="657">
        <v>263.66000000000003</v>
      </c>
      <c r="Q162" s="476">
        <v>212</v>
      </c>
      <c r="R162" s="91">
        <v>410</v>
      </c>
      <c r="S162" s="619">
        <v>0</v>
      </c>
    </row>
    <row r="163" spans="1:19" ht="30" customHeight="1" x14ac:dyDescent="0.2">
      <c r="A163" s="291" t="str">
        <f t="shared" si="5"/>
        <v>SOU153 / 1349</v>
      </c>
      <c r="B163" s="89" t="s">
        <v>6169</v>
      </c>
      <c r="C163" s="89" t="s">
        <v>3659</v>
      </c>
      <c r="D163" s="318" t="s">
        <v>6167</v>
      </c>
      <c r="E163" s="369" t="str">
        <f>VLOOKUP(D:D,'Master Table'!C:D,2,FALSE)</f>
        <v>1349</v>
      </c>
      <c r="F163" s="769" t="s">
        <v>6167</v>
      </c>
      <c r="G163" s="769" t="s">
        <v>6168</v>
      </c>
      <c r="H163" s="769" t="s">
        <v>583</v>
      </c>
      <c r="I163" s="769" t="s">
        <v>6169</v>
      </c>
      <c r="J163" s="769" t="s">
        <v>324</v>
      </c>
      <c r="K163" s="790"/>
      <c r="L163" s="790">
        <v>188.89</v>
      </c>
      <c r="M163" s="790"/>
      <c r="N163" s="312">
        <f t="shared" si="6"/>
        <v>188.89</v>
      </c>
      <c r="O163" s="467">
        <f>VLOOKUP(D:D,'Master Table'!C:O,13,FALSE)</f>
        <v>121</v>
      </c>
      <c r="P163" s="657">
        <v>121</v>
      </c>
      <c r="Q163" s="476">
        <v>559.01</v>
      </c>
      <c r="R163" s="91">
        <v>171</v>
      </c>
      <c r="S163" s="619">
        <v>580</v>
      </c>
    </row>
    <row r="164" spans="1:19" ht="30" customHeight="1" x14ac:dyDescent="0.2">
      <c r="A164" s="291" t="str">
        <f t="shared" si="5"/>
        <v>SOU154 / 1350</v>
      </c>
      <c r="B164" s="89" t="s">
        <v>6172</v>
      </c>
      <c r="C164" s="89" t="s">
        <v>1160</v>
      </c>
      <c r="D164" s="318" t="s">
        <v>6170</v>
      </c>
      <c r="E164" s="369" t="str">
        <f>VLOOKUP(D:D,'Master Table'!C:D,2,FALSE)</f>
        <v>1350</v>
      </c>
      <c r="F164" s="769" t="s">
        <v>6170</v>
      </c>
      <c r="G164" s="769" t="s">
        <v>6171</v>
      </c>
      <c r="H164" s="769" t="s">
        <v>2176</v>
      </c>
      <c r="I164" s="769" t="s">
        <v>6172</v>
      </c>
      <c r="J164" s="769" t="s">
        <v>324</v>
      </c>
      <c r="K164" s="790"/>
      <c r="L164" s="790">
        <v>737.7</v>
      </c>
      <c r="M164" s="790"/>
      <c r="N164" s="312">
        <f t="shared" si="6"/>
        <v>737.7</v>
      </c>
      <c r="O164" s="467">
        <f>VLOOKUP(D:D,'Master Table'!C:O,13,FALSE)</f>
        <v>445</v>
      </c>
      <c r="P164" s="657">
        <v>445</v>
      </c>
      <c r="Q164" s="476">
        <v>1277.27</v>
      </c>
      <c r="R164" s="91">
        <v>1681</v>
      </c>
      <c r="S164" s="619">
        <v>2272.88</v>
      </c>
    </row>
    <row r="165" spans="1:19" ht="30" customHeight="1" x14ac:dyDescent="0.2">
      <c r="A165" s="291" t="str">
        <f t="shared" si="5"/>
        <v>SOU155 / 1351</v>
      </c>
      <c r="B165" s="89" t="s">
        <v>6175</v>
      </c>
      <c r="C165" s="89" t="s">
        <v>839</v>
      </c>
      <c r="D165" s="318" t="s">
        <v>6173</v>
      </c>
      <c r="E165" s="369" t="str">
        <f>VLOOKUP(D:D,'Master Table'!C:D,2,FALSE)</f>
        <v>1351</v>
      </c>
      <c r="F165" s="769" t="s">
        <v>6173</v>
      </c>
      <c r="G165" s="769" t="s">
        <v>6174</v>
      </c>
      <c r="H165" s="769" t="s">
        <v>66</v>
      </c>
      <c r="I165" s="769" t="s">
        <v>6175</v>
      </c>
      <c r="J165" s="769" t="s">
        <v>324</v>
      </c>
      <c r="K165" s="790"/>
      <c r="L165" s="790">
        <v>85</v>
      </c>
      <c r="M165" s="790"/>
      <c r="N165" s="312">
        <f t="shared" si="6"/>
        <v>85</v>
      </c>
      <c r="O165" s="467">
        <f>VLOOKUP(D:D,'Master Table'!C:O,13,FALSE)</f>
        <v>1127</v>
      </c>
      <c r="P165" s="657">
        <v>1127</v>
      </c>
      <c r="Q165" s="476">
        <v>799.1</v>
      </c>
      <c r="R165" s="91">
        <v>727</v>
      </c>
      <c r="S165" s="619">
        <v>783.4</v>
      </c>
    </row>
    <row r="166" spans="1:19" ht="30" customHeight="1" x14ac:dyDescent="0.2">
      <c r="A166" s="291" t="str">
        <f t="shared" si="5"/>
        <v>SOU156 / 1352</v>
      </c>
      <c r="B166" s="89" t="s">
        <v>6179</v>
      </c>
      <c r="C166" s="89" t="s">
        <v>7516</v>
      </c>
      <c r="D166" s="318" t="s">
        <v>6177</v>
      </c>
      <c r="E166" s="369" t="str">
        <f>VLOOKUP(D:D,'Master Table'!C:D,2,FALSE)</f>
        <v>1352</v>
      </c>
      <c r="F166" s="769" t="s">
        <v>6177</v>
      </c>
      <c r="G166" s="769" t="s">
        <v>6178</v>
      </c>
      <c r="H166" s="769" t="s">
        <v>2720</v>
      </c>
      <c r="I166" s="769" t="s">
        <v>6179</v>
      </c>
      <c r="J166" s="769" t="s">
        <v>324</v>
      </c>
      <c r="K166" s="790">
        <v>187</v>
      </c>
      <c r="L166" s="790">
        <v>132</v>
      </c>
      <c r="M166" s="790"/>
      <c r="N166" s="312">
        <f t="shared" si="6"/>
        <v>319</v>
      </c>
      <c r="O166" s="467">
        <f>VLOOKUP(D:D,'Master Table'!C:O,13,FALSE)</f>
        <v>2181</v>
      </c>
      <c r="P166" s="657">
        <v>2181</v>
      </c>
      <c r="Q166" s="476">
        <v>1240</v>
      </c>
      <c r="R166" s="91">
        <v>1497</v>
      </c>
      <c r="S166" s="619">
        <v>1183</v>
      </c>
    </row>
    <row r="167" spans="1:19" ht="30" customHeight="1" x14ac:dyDescent="0.2">
      <c r="A167" s="291" t="str">
        <f t="shared" si="5"/>
        <v>SOU157 / 1353</v>
      </c>
      <c r="B167" s="89" t="s">
        <v>6183</v>
      </c>
      <c r="C167" s="89" t="s">
        <v>5512</v>
      </c>
      <c r="D167" s="318" t="s">
        <v>6180</v>
      </c>
      <c r="E167" s="369" t="str">
        <f>VLOOKUP(D:D,'Master Table'!C:D,2,FALSE)</f>
        <v>1353</v>
      </c>
      <c r="F167" s="769" t="s">
        <v>6180</v>
      </c>
      <c r="G167" s="769" t="s">
        <v>6181</v>
      </c>
      <c r="H167" s="769" t="s">
        <v>6182</v>
      </c>
      <c r="I167" s="769" t="s">
        <v>6183</v>
      </c>
      <c r="J167" s="769" t="s">
        <v>324</v>
      </c>
      <c r="K167" s="790">
        <v>826.99</v>
      </c>
      <c r="L167" s="790">
        <v>215</v>
      </c>
      <c r="M167" s="790">
        <v>50</v>
      </c>
      <c r="N167" s="312">
        <f t="shared" si="6"/>
        <v>1091.99</v>
      </c>
      <c r="O167" s="467">
        <f>VLOOKUP(D:D,'Master Table'!C:O,13,FALSE)</f>
        <v>1908.0600000000002</v>
      </c>
      <c r="P167" s="657">
        <v>1908.0600000000002</v>
      </c>
      <c r="Q167" s="476">
        <v>1602.76</v>
      </c>
      <c r="R167" s="91">
        <v>1909.22</v>
      </c>
      <c r="S167" s="619">
        <v>1714.6200000000001</v>
      </c>
    </row>
    <row r="168" spans="1:19" ht="30" customHeight="1" x14ac:dyDescent="0.2">
      <c r="A168" s="291" t="str">
        <f t="shared" si="5"/>
        <v>SOU158 / 1354</v>
      </c>
      <c r="B168" s="89" t="s">
        <v>6187</v>
      </c>
      <c r="C168" s="89" t="s">
        <v>7877</v>
      </c>
      <c r="D168" s="318" t="s">
        <v>6184</v>
      </c>
      <c r="E168" s="369" t="str">
        <f>VLOOKUP(D:D,'Master Table'!C:D,2,FALSE)</f>
        <v>1354</v>
      </c>
      <c r="F168" s="769" t="s">
        <v>6184</v>
      </c>
      <c r="G168" s="769" t="s">
        <v>6185</v>
      </c>
      <c r="H168" s="769" t="s">
        <v>6186</v>
      </c>
      <c r="I168" s="769" t="s">
        <v>6187</v>
      </c>
      <c r="J168" s="769" t="s">
        <v>324</v>
      </c>
      <c r="K168" s="790"/>
      <c r="L168" s="790">
        <v>977.68000000000006</v>
      </c>
      <c r="M168" s="790">
        <v>67.95</v>
      </c>
      <c r="N168" s="312">
        <f t="shared" si="6"/>
        <v>1045.6300000000001</v>
      </c>
      <c r="O168" s="467">
        <f>VLOOKUP(D:D,'Master Table'!C:O,13,FALSE)</f>
        <v>2100.02</v>
      </c>
      <c r="P168" s="657">
        <v>2100.02</v>
      </c>
      <c r="Q168" s="476">
        <v>2285.19</v>
      </c>
      <c r="R168" s="91">
        <v>2332</v>
      </c>
      <c r="S168" s="619">
        <v>2349.65</v>
      </c>
    </row>
    <row r="169" spans="1:19" ht="30" customHeight="1" x14ac:dyDescent="0.2">
      <c r="A169" s="291" t="str">
        <f t="shared" si="5"/>
        <v>SOU159 / 1355</v>
      </c>
      <c r="B169" s="89" t="s">
        <v>6190</v>
      </c>
      <c r="C169" s="89" t="s">
        <v>1047</v>
      </c>
      <c r="D169" s="318" t="s">
        <v>6188</v>
      </c>
      <c r="E169" s="369" t="str">
        <f>VLOOKUP(D:D,'Master Table'!C:D,2,FALSE)</f>
        <v>1355</v>
      </c>
      <c r="F169" s="769" t="s">
        <v>6188</v>
      </c>
      <c r="G169" s="769" t="s">
        <v>6189</v>
      </c>
      <c r="H169" s="769" t="s">
        <v>83</v>
      </c>
      <c r="I169" s="769" t="s">
        <v>6190</v>
      </c>
      <c r="J169" s="769" t="s">
        <v>324</v>
      </c>
      <c r="K169" s="790"/>
      <c r="L169" s="790"/>
      <c r="M169" s="790"/>
      <c r="N169" s="312">
        <f t="shared" si="6"/>
        <v>0</v>
      </c>
      <c r="O169" s="467">
        <f>VLOOKUP(D:D,'Master Table'!C:O,13,FALSE)</f>
        <v>0</v>
      </c>
      <c r="P169" s="657">
        <v>0</v>
      </c>
      <c r="Q169" s="476">
        <v>0</v>
      </c>
      <c r="R169" s="91">
        <v>50</v>
      </c>
      <c r="S169" s="619">
        <v>50</v>
      </c>
    </row>
    <row r="170" spans="1:19" ht="30" customHeight="1" x14ac:dyDescent="0.2">
      <c r="A170" s="291" t="str">
        <f t="shared" si="5"/>
        <v>SOU160 / 1356</v>
      </c>
      <c r="B170" s="89" t="s">
        <v>6194</v>
      </c>
      <c r="C170" s="89" t="s">
        <v>6193</v>
      </c>
      <c r="D170" s="318" t="s">
        <v>6191</v>
      </c>
      <c r="E170" s="369" t="str">
        <f>VLOOKUP(D:D,'Master Table'!C:D,2,FALSE)</f>
        <v>1356</v>
      </c>
      <c r="F170" s="769" t="s">
        <v>6191</v>
      </c>
      <c r="G170" s="769" t="s">
        <v>6192</v>
      </c>
      <c r="H170" s="769" t="s">
        <v>6193</v>
      </c>
      <c r="I170" s="769" t="s">
        <v>6194</v>
      </c>
      <c r="J170" s="769" t="s">
        <v>324</v>
      </c>
      <c r="K170" s="790"/>
      <c r="L170" s="790">
        <v>15</v>
      </c>
      <c r="M170" s="790"/>
      <c r="N170" s="312">
        <f t="shared" si="6"/>
        <v>15</v>
      </c>
      <c r="O170" s="467">
        <f>VLOOKUP(D:D,'Master Table'!C:O,13,FALSE)</f>
        <v>669.15</v>
      </c>
      <c r="P170" s="657">
        <v>669.15</v>
      </c>
      <c r="Q170" s="476">
        <v>510.11</v>
      </c>
      <c r="R170" s="91">
        <v>874</v>
      </c>
      <c r="S170" s="619">
        <v>900.7</v>
      </c>
    </row>
    <row r="171" spans="1:19" ht="30" customHeight="1" x14ac:dyDescent="0.2">
      <c r="A171" s="291" t="str">
        <f t="shared" si="5"/>
        <v>SOU161 / 1357</v>
      </c>
      <c r="B171" s="89" t="s">
        <v>6197</v>
      </c>
      <c r="C171" s="89" t="s">
        <v>5610</v>
      </c>
      <c r="D171" s="318" t="s">
        <v>6195</v>
      </c>
      <c r="E171" s="369" t="str">
        <f>VLOOKUP(D:D,'Master Table'!C:D,2,FALSE)</f>
        <v>1357</v>
      </c>
      <c r="F171" s="769" t="s">
        <v>6195</v>
      </c>
      <c r="G171" s="769" t="s">
        <v>6196</v>
      </c>
      <c r="H171" s="769" t="s">
        <v>5610</v>
      </c>
      <c r="I171" s="769" t="s">
        <v>6197</v>
      </c>
      <c r="J171" s="769" t="s">
        <v>324</v>
      </c>
      <c r="K171" s="790"/>
      <c r="L171" s="790">
        <v>400</v>
      </c>
      <c r="M171" s="790"/>
      <c r="N171" s="312">
        <f t="shared" si="6"/>
        <v>400</v>
      </c>
      <c r="O171" s="467">
        <f>VLOOKUP(D:D,'Master Table'!C:O,13,FALSE)</f>
        <v>1573.58</v>
      </c>
      <c r="P171" s="657">
        <v>1573.58</v>
      </c>
      <c r="Q171" s="476">
        <v>1864.65</v>
      </c>
      <c r="R171" s="91">
        <v>2094</v>
      </c>
      <c r="S171" s="619">
        <v>1858.9</v>
      </c>
    </row>
    <row r="172" spans="1:19" ht="30" customHeight="1" x14ac:dyDescent="0.2">
      <c r="A172" s="291" t="str">
        <f t="shared" si="5"/>
        <v>SOU162 / 1358</v>
      </c>
      <c r="B172" s="89" t="s">
        <v>6201</v>
      </c>
      <c r="C172" s="89" t="s">
        <v>158</v>
      </c>
      <c r="D172" s="318" t="s">
        <v>6198</v>
      </c>
      <c r="E172" s="369" t="str">
        <f>VLOOKUP(D:D,'Master Table'!C:D,2,FALSE)</f>
        <v>1358</v>
      </c>
      <c r="F172" s="769" t="s">
        <v>6198</v>
      </c>
      <c r="G172" s="769" t="s">
        <v>6199</v>
      </c>
      <c r="H172" s="769" t="s">
        <v>6200</v>
      </c>
      <c r="I172" s="769" t="s">
        <v>6201</v>
      </c>
      <c r="J172" s="769" t="s">
        <v>324</v>
      </c>
      <c r="K172" s="790"/>
      <c r="L172" s="790">
        <v>5</v>
      </c>
      <c r="M172" s="790"/>
      <c r="N172" s="312">
        <f t="shared" si="6"/>
        <v>5</v>
      </c>
      <c r="O172" s="467">
        <f>VLOOKUP(D:D,'Master Table'!C:O,13,FALSE)</f>
        <v>5</v>
      </c>
      <c r="P172" s="657">
        <v>5</v>
      </c>
      <c r="Q172" s="476">
        <v>305</v>
      </c>
      <c r="R172" s="91">
        <v>180</v>
      </c>
      <c r="S172" s="619">
        <v>476</v>
      </c>
    </row>
    <row r="173" spans="1:19" ht="30" customHeight="1" x14ac:dyDescent="0.2">
      <c r="A173" s="291" t="str">
        <f t="shared" si="5"/>
        <v>SOU163 / 1359</v>
      </c>
      <c r="B173" s="89" t="s">
        <v>6204</v>
      </c>
      <c r="C173" s="89" t="s">
        <v>7535</v>
      </c>
      <c r="D173" s="318" t="s">
        <v>6202</v>
      </c>
      <c r="E173" s="369" t="str">
        <f>VLOOKUP(D:D,'Master Table'!C:D,2,FALSE)</f>
        <v>1359</v>
      </c>
      <c r="F173" s="769" t="s">
        <v>6202</v>
      </c>
      <c r="G173" s="769" t="s">
        <v>6203</v>
      </c>
      <c r="H173" s="769" t="s">
        <v>2061</v>
      </c>
      <c r="I173" s="769" t="s">
        <v>6204</v>
      </c>
      <c r="J173" s="769" t="s">
        <v>324</v>
      </c>
      <c r="K173" s="790"/>
      <c r="L173" s="790">
        <v>365</v>
      </c>
      <c r="M173" s="790">
        <v>178.34</v>
      </c>
      <c r="N173" s="312">
        <f t="shared" si="6"/>
        <v>543.34</v>
      </c>
      <c r="O173" s="467">
        <f>VLOOKUP(D:D,'Master Table'!C:O,13,FALSE)</f>
        <v>1991.67</v>
      </c>
      <c r="P173" s="657">
        <v>1991.67</v>
      </c>
      <c r="Q173" s="476">
        <v>2228.84</v>
      </c>
      <c r="R173" s="91">
        <v>2189.4499999999998</v>
      </c>
      <c r="S173" s="619">
        <v>1858.4</v>
      </c>
    </row>
    <row r="174" spans="1:19" ht="30" customHeight="1" x14ac:dyDescent="0.2">
      <c r="A174" s="291" t="str">
        <f t="shared" si="5"/>
        <v>SOU164 / 1360</v>
      </c>
      <c r="B174" s="89" t="s">
        <v>6207</v>
      </c>
      <c r="C174" s="89" t="s">
        <v>1008</v>
      </c>
      <c r="D174" s="318" t="s">
        <v>6205</v>
      </c>
      <c r="E174" s="369" t="str">
        <f>VLOOKUP(D:D,'Master Table'!C:D,2,FALSE)</f>
        <v>1360</v>
      </c>
      <c r="F174" s="769" t="s">
        <v>6205</v>
      </c>
      <c r="G174" s="769" t="s">
        <v>6206</v>
      </c>
      <c r="H174" s="769" t="s">
        <v>1008</v>
      </c>
      <c r="I174" s="769" t="s">
        <v>6207</v>
      </c>
      <c r="J174" s="769" t="s">
        <v>324</v>
      </c>
      <c r="K174" s="790"/>
      <c r="L174" s="790">
        <v>588</v>
      </c>
      <c r="M174" s="790"/>
      <c r="N174" s="312">
        <f t="shared" si="6"/>
        <v>588</v>
      </c>
      <c r="O174" s="467">
        <f>VLOOKUP(D:D,'Master Table'!C:O,13,FALSE)</f>
        <v>68</v>
      </c>
      <c r="P174" s="657">
        <v>68</v>
      </c>
      <c r="Q174" s="476">
        <v>63</v>
      </c>
      <c r="R174" s="91">
        <v>63</v>
      </c>
      <c r="S174" s="619">
        <v>63</v>
      </c>
    </row>
    <row r="175" spans="1:19" ht="30" customHeight="1" x14ac:dyDescent="0.2">
      <c r="A175" s="291" t="str">
        <f t="shared" si="5"/>
        <v>SOU165 / 1361</v>
      </c>
      <c r="B175" s="89" t="s">
        <v>5590</v>
      </c>
      <c r="C175" s="89" t="s">
        <v>7878</v>
      </c>
      <c r="D175" s="318" t="s">
        <v>6208</v>
      </c>
      <c r="E175" s="369" t="str">
        <f>VLOOKUP(D:D,'Master Table'!C:D,2,FALSE)</f>
        <v>1361</v>
      </c>
      <c r="F175" s="769" t="s">
        <v>6208</v>
      </c>
      <c r="G175" s="769" t="s">
        <v>6209</v>
      </c>
      <c r="H175" s="769" t="s">
        <v>6210</v>
      </c>
      <c r="I175" s="769" t="s">
        <v>5590</v>
      </c>
      <c r="J175" s="769" t="s">
        <v>324</v>
      </c>
      <c r="K175" s="790"/>
      <c r="L175" s="790">
        <v>170</v>
      </c>
      <c r="M175" s="790"/>
      <c r="N175" s="312">
        <f t="shared" si="6"/>
        <v>170</v>
      </c>
      <c r="O175" s="467">
        <f>VLOOKUP(D:D,'Master Table'!C:O,13,FALSE)</f>
        <v>70</v>
      </c>
      <c r="P175" s="657">
        <v>70</v>
      </c>
      <c r="Q175" s="476">
        <v>70</v>
      </c>
      <c r="R175" s="91">
        <v>70</v>
      </c>
      <c r="S175" s="619">
        <v>70</v>
      </c>
    </row>
    <row r="176" spans="1:19" ht="30" customHeight="1" x14ac:dyDescent="0.2">
      <c r="A176" s="291" t="str">
        <f t="shared" si="5"/>
        <v>SOU166 / 1362</v>
      </c>
      <c r="B176" s="89" t="s">
        <v>6214</v>
      </c>
      <c r="C176" s="89" t="s">
        <v>453</v>
      </c>
      <c r="D176" s="318" t="s">
        <v>6211</v>
      </c>
      <c r="E176" s="369" t="str">
        <f>VLOOKUP(D:D,'Master Table'!C:D,2,FALSE)</f>
        <v>1362</v>
      </c>
      <c r="F176" s="769" t="s">
        <v>6211</v>
      </c>
      <c r="G176" s="769" t="s">
        <v>6212</v>
      </c>
      <c r="H176" s="769" t="s">
        <v>6213</v>
      </c>
      <c r="I176" s="769" t="s">
        <v>6214</v>
      </c>
      <c r="J176" s="769" t="s">
        <v>324</v>
      </c>
      <c r="K176" s="790">
        <v>483.77</v>
      </c>
      <c r="L176" s="790">
        <v>435.53</v>
      </c>
      <c r="M176" s="790"/>
      <c r="N176" s="312">
        <f t="shared" si="6"/>
        <v>919.3</v>
      </c>
      <c r="O176" s="467">
        <f>VLOOKUP(D:D,'Master Table'!C:O,13,FALSE)</f>
        <v>2358.2399999999998</v>
      </c>
      <c r="P176" s="657">
        <v>2358.2399999999998</v>
      </c>
      <c r="Q176" s="476">
        <v>2246.12</v>
      </c>
      <c r="R176" s="91">
        <v>2254.33</v>
      </c>
      <c r="S176" s="619">
        <v>2137.65</v>
      </c>
    </row>
    <row r="177" spans="1:19" ht="30" customHeight="1" x14ac:dyDescent="0.2">
      <c r="A177" s="291" t="str">
        <f t="shared" si="5"/>
        <v>SOU167 / 1363</v>
      </c>
      <c r="B177" s="89" t="s">
        <v>6218</v>
      </c>
      <c r="C177" s="89" t="s">
        <v>7584</v>
      </c>
      <c r="D177" s="318" t="s">
        <v>6215</v>
      </c>
      <c r="E177" s="369" t="str">
        <f>VLOOKUP(D:D,'Master Table'!C:D,2,FALSE)</f>
        <v>1363</v>
      </c>
      <c r="F177" s="769" t="s">
        <v>6215</v>
      </c>
      <c r="G177" s="769" t="s">
        <v>6216</v>
      </c>
      <c r="H177" s="769" t="s">
        <v>6217</v>
      </c>
      <c r="I177" s="769" t="s">
        <v>6218</v>
      </c>
      <c r="J177" s="769" t="s">
        <v>324</v>
      </c>
      <c r="K177" s="790">
        <v>262.75</v>
      </c>
      <c r="L177" s="790">
        <v>666</v>
      </c>
      <c r="M177" s="790"/>
      <c r="N177" s="312">
        <f t="shared" si="6"/>
        <v>928.75</v>
      </c>
      <c r="O177" s="467">
        <f>VLOOKUP(D:D,'Master Table'!C:O,13,FALSE)</f>
        <v>1529.58</v>
      </c>
      <c r="P177" s="657">
        <v>1529.58</v>
      </c>
      <c r="Q177" s="476">
        <v>2679.4</v>
      </c>
      <c r="R177" s="91">
        <v>4098.54</v>
      </c>
      <c r="S177" s="619">
        <v>4534.7300000000005</v>
      </c>
    </row>
    <row r="178" spans="1:19" ht="30" customHeight="1" x14ac:dyDescent="0.2">
      <c r="A178" s="291" t="str">
        <f t="shared" si="5"/>
        <v>SOU168 / 1364</v>
      </c>
      <c r="B178" s="89" t="s">
        <v>6222</v>
      </c>
      <c r="C178" s="89" t="s">
        <v>4774</v>
      </c>
      <c r="D178" s="318" t="s">
        <v>6220</v>
      </c>
      <c r="E178" s="369" t="str">
        <f>VLOOKUP(D:D,'Master Table'!C:D,2,FALSE)</f>
        <v>1364</v>
      </c>
      <c r="F178" s="769" t="s">
        <v>6220</v>
      </c>
      <c r="G178" s="769" t="s">
        <v>6221</v>
      </c>
      <c r="H178" s="769" t="s">
        <v>4774</v>
      </c>
      <c r="I178" s="769" t="s">
        <v>6222</v>
      </c>
      <c r="J178" s="769" t="s">
        <v>324</v>
      </c>
      <c r="K178" s="790"/>
      <c r="L178" s="790">
        <v>10</v>
      </c>
      <c r="M178" s="790"/>
      <c r="N178" s="312">
        <f t="shared" si="6"/>
        <v>10</v>
      </c>
      <c r="O178" s="467">
        <f>VLOOKUP(D:D,'Master Table'!C:O,13,FALSE)</f>
        <v>96.66</v>
      </c>
      <c r="P178" s="657">
        <v>96.66</v>
      </c>
      <c r="Q178" s="476">
        <v>101.42</v>
      </c>
      <c r="R178" s="91">
        <v>10</v>
      </c>
      <c r="S178" s="619">
        <v>10</v>
      </c>
    </row>
    <row r="179" spans="1:19" ht="30" customHeight="1" x14ac:dyDescent="0.2">
      <c r="A179" s="291" t="str">
        <f t="shared" si="5"/>
        <v>SOU169 / 1365</v>
      </c>
      <c r="B179" s="89" t="s">
        <v>6228</v>
      </c>
      <c r="C179" s="89" t="s">
        <v>231</v>
      </c>
      <c r="D179" s="318" t="s">
        <v>6226</v>
      </c>
      <c r="E179" s="369" t="str">
        <f>VLOOKUP(D:D,'Master Table'!C:D,2,FALSE)</f>
        <v>1365</v>
      </c>
      <c r="F179" s="769" t="s">
        <v>6226</v>
      </c>
      <c r="G179" s="769" t="s">
        <v>6227</v>
      </c>
      <c r="H179" s="769" t="s">
        <v>1284</v>
      </c>
      <c r="I179" s="769" t="s">
        <v>6228</v>
      </c>
      <c r="J179" s="769" t="s">
        <v>324</v>
      </c>
      <c r="K179" s="790"/>
      <c r="L179" s="790">
        <v>1346</v>
      </c>
      <c r="M179" s="790"/>
      <c r="N179" s="312">
        <f t="shared" si="6"/>
        <v>1346</v>
      </c>
      <c r="O179" s="467">
        <f>VLOOKUP(D:D,'Master Table'!C:O,13,FALSE)</f>
        <v>857.61</v>
      </c>
      <c r="P179" s="657">
        <v>857.61</v>
      </c>
      <c r="Q179" s="476">
        <v>30</v>
      </c>
      <c r="R179" s="91">
        <v>40</v>
      </c>
      <c r="S179" s="619">
        <v>100</v>
      </c>
    </row>
    <row r="180" spans="1:19" ht="30" customHeight="1" x14ac:dyDescent="0.2">
      <c r="A180" s="291" t="str">
        <f t="shared" si="5"/>
        <v>SOU170 / 1366</v>
      </c>
      <c r="B180" s="89" t="s">
        <v>6235</v>
      </c>
      <c r="C180" s="89" t="s">
        <v>6234</v>
      </c>
      <c r="D180" s="318" t="s">
        <v>6232</v>
      </c>
      <c r="E180" s="369" t="str">
        <f>VLOOKUP(D:D,'Master Table'!C:D,2,FALSE)</f>
        <v>1366</v>
      </c>
      <c r="F180" s="769" t="s">
        <v>6232</v>
      </c>
      <c r="G180" s="769" t="s">
        <v>6233</v>
      </c>
      <c r="H180" s="769" t="s">
        <v>6234</v>
      </c>
      <c r="I180" s="769" t="s">
        <v>6235</v>
      </c>
      <c r="J180" s="769" t="s">
        <v>324</v>
      </c>
      <c r="K180" s="790">
        <v>96.22</v>
      </c>
      <c r="L180" s="790">
        <v>379</v>
      </c>
      <c r="M180" s="790">
        <v>193.99</v>
      </c>
      <c r="N180" s="312">
        <f t="shared" si="6"/>
        <v>669.21</v>
      </c>
      <c r="O180" s="467">
        <f>VLOOKUP(D:D,'Master Table'!C:O,13,FALSE)</f>
        <v>433.05</v>
      </c>
      <c r="P180" s="657">
        <v>433.05</v>
      </c>
      <c r="Q180" s="476">
        <v>466.29</v>
      </c>
      <c r="R180" s="91">
        <v>481.33000000000004</v>
      </c>
      <c r="S180" s="619">
        <v>589.47</v>
      </c>
    </row>
    <row r="181" spans="1:19" ht="30" customHeight="1" x14ac:dyDescent="0.2">
      <c r="A181" s="291" t="str">
        <f t="shared" si="5"/>
        <v>SOU171 / 1367</v>
      </c>
      <c r="B181" s="89" t="s">
        <v>6240</v>
      </c>
      <c r="C181" s="89" t="s">
        <v>5066</v>
      </c>
      <c r="D181" s="318" t="s">
        <v>6237</v>
      </c>
      <c r="E181" s="369" t="str">
        <f>VLOOKUP(D:D,'Master Table'!C:D,2,FALSE)</f>
        <v>1367</v>
      </c>
      <c r="F181" s="769" t="s">
        <v>6237</v>
      </c>
      <c r="G181" s="769" t="s">
        <v>6238</v>
      </c>
      <c r="H181" s="769" t="s">
        <v>6239</v>
      </c>
      <c r="I181" s="769" t="s">
        <v>6240</v>
      </c>
      <c r="J181" s="769" t="s">
        <v>324</v>
      </c>
      <c r="K181" s="790"/>
      <c r="L181" s="790">
        <v>1320</v>
      </c>
      <c r="M181" s="790"/>
      <c r="N181" s="312">
        <f t="shared" si="6"/>
        <v>1320</v>
      </c>
      <c r="O181" s="467">
        <f>VLOOKUP(D:D,'Master Table'!C:O,13,FALSE)</f>
        <v>1781.1299999999999</v>
      </c>
      <c r="P181" s="657">
        <v>1781.1299999999999</v>
      </c>
      <c r="Q181" s="476">
        <v>1700.38</v>
      </c>
      <c r="R181" s="91">
        <v>1814.41</v>
      </c>
      <c r="S181" s="619">
        <v>1663.63</v>
      </c>
    </row>
    <row r="182" spans="1:19" ht="30" customHeight="1" x14ac:dyDescent="0.2">
      <c r="A182" s="291" t="str">
        <f t="shared" si="5"/>
        <v>SOU172 / 1368</v>
      </c>
      <c r="B182" s="89" t="s">
        <v>6244</v>
      </c>
      <c r="C182" s="89" t="s">
        <v>916</v>
      </c>
      <c r="D182" s="318" t="s">
        <v>6242</v>
      </c>
      <c r="E182" s="369" t="str">
        <f>VLOOKUP(D:D,'Master Table'!C:D,2,FALSE)</f>
        <v>1368</v>
      </c>
      <c r="F182" s="769" t="s">
        <v>6242</v>
      </c>
      <c r="G182" s="769" t="s">
        <v>6243</v>
      </c>
      <c r="H182" s="769" t="s">
        <v>214</v>
      </c>
      <c r="I182" s="769" t="s">
        <v>6244</v>
      </c>
      <c r="J182" s="769" t="s">
        <v>324</v>
      </c>
      <c r="K182" s="790"/>
      <c r="L182" s="790">
        <v>1406</v>
      </c>
      <c r="M182" s="790">
        <v>87.11</v>
      </c>
      <c r="N182" s="312">
        <f t="shared" si="6"/>
        <v>1493.11</v>
      </c>
      <c r="O182" s="467">
        <f>VLOOKUP(D:D,'Master Table'!C:O,13,FALSE)</f>
        <v>1941.66</v>
      </c>
      <c r="P182" s="657">
        <v>1941.66</v>
      </c>
      <c r="Q182" s="476">
        <v>1694.88</v>
      </c>
      <c r="R182" s="91">
        <v>1542</v>
      </c>
      <c r="S182" s="619">
        <v>1446.64</v>
      </c>
    </row>
    <row r="183" spans="1:19" ht="30" customHeight="1" x14ac:dyDescent="0.2">
      <c r="A183" s="291" t="str">
        <f t="shared" si="5"/>
        <v>SOU173 / 1369</v>
      </c>
      <c r="B183" s="877" t="s">
        <v>6248</v>
      </c>
      <c r="C183" s="453" t="s">
        <v>8263</v>
      </c>
      <c r="D183" s="318" t="s">
        <v>6245</v>
      </c>
      <c r="E183" s="369" t="str">
        <f>VLOOKUP(D:D,'Master Table'!C:D,2,FALSE)</f>
        <v>1369</v>
      </c>
      <c r="F183" s="769" t="s">
        <v>6245</v>
      </c>
      <c r="G183" s="769" t="s">
        <v>6246</v>
      </c>
      <c r="H183" s="769" t="s">
        <v>6247</v>
      </c>
      <c r="I183" s="769" t="s">
        <v>6248</v>
      </c>
      <c r="J183" s="769" t="s">
        <v>324</v>
      </c>
      <c r="K183" s="790"/>
      <c r="L183" s="790">
        <v>80</v>
      </c>
      <c r="M183" s="790">
        <v>100.09</v>
      </c>
      <c r="N183" s="312">
        <f t="shared" si="6"/>
        <v>180.09</v>
      </c>
      <c r="O183" s="467">
        <f>VLOOKUP(D:D,'Master Table'!C:O,13,FALSE)</f>
        <v>245.34</v>
      </c>
      <c r="P183" s="869">
        <f>O183+O184</f>
        <v>245.34</v>
      </c>
      <c r="Q183" s="902">
        <v>276.32</v>
      </c>
      <c r="R183" s="91">
        <v>209</v>
      </c>
      <c r="S183" s="619">
        <v>524.74</v>
      </c>
    </row>
    <row r="184" spans="1:19" ht="30" customHeight="1" x14ac:dyDescent="0.2">
      <c r="A184" s="291" t="str">
        <f t="shared" ref="A184" si="7">D184&amp;" / "&amp;E184</f>
        <v>SOU174 / 0444375</v>
      </c>
      <c r="B184" s="878"/>
      <c r="C184" s="454" t="s">
        <v>8268</v>
      </c>
      <c r="D184" s="318" t="s">
        <v>6249</v>
      </c>
      <c r="E184" s="369" t="str">
        <f>VLOOKUP(D:D,'Master Table'!C:D,2,FALSE)</f>
        <v>0444375</v>
      </c>
      <c r="F184" s="769" t="s">
        <v>6249</v>
      </c>
      <c r="G184" s="769" t="s">
        <v>6250</v>
      </c>
      <c r="H184" s="769" t="s">
        <v>6251</v>
      </c>
      <c r="I184" s="769" t="s">
        <v>6248</v>
      </c>
      <c r="J184" s="769" t="s">
        <v>324</v>
      </c>
      <c r="K184" s="790"/>
      <c r="L184" s="790"/>
      <c r="M184" s="790"/>
      <c r="N184" s="312">
        <f t="shared" si="6"/>
        <v>0</v>
      </c>
      <c r="O184" s="467">
        <f>VLOOKUP(D:D,'Master Table'!C:O,13,FALSE)</f>
        <v>0</v>
      </c>
      <c r="P184" s="870"/>
      <c r="Q184" s="903"/>
      <c r="R184" s="91"/>
      <c r="S184" s="619"/>
    </row>
    <row r="185" spans="1:19" ht="30" customHeight="1" x14ac:dyDescent="0.2">
      <c r="A185" s="291" t="str">
        <f t="shared" si="5"/>
        <v>SOU175 / 1370</v>
      </c>
      <c r="B185" s="89" t="s">
        <v>6255</v>
      </c>
      <c r="C185" s="89" t="s">
        <v>6254</v>
      </c>
      <c r="D185" s="318" t="s">
        <v>6252</v>
      </c>
      <c r="E185" s="369" t="str">
        <f>VLOOKUP(D:D,'Master Table'!C:D,2,FALSE)</f>
        <v>1370</v>
      </c>
      <c r="F185" s="769" t="s">
        <v>6252</v>
      </c>
      <c r="G185" s="769" t="s">
        <v>6253</v>
      </c>
      <c r="H185" s="769" t="s">
        <v>6254</v>
      </c>
      <c r="I185" s="769" t="s">
        <v>6255</v>
      </c>
      <c r="J185" s="769" t="s">
        <v>324</v>
      </c>
      <c r="K185" s="790"/>
      <c r="L185" s="790">
        <v>85</v>
      </c>
      <c r="M185" s="790">
        <v>65</v>
      </c>
      <c r="N185" s="312">
        <f t="shared" si="6"/>
        <v>150</v>
      </c>
      <c r="O185" s="467">
        <f>VLOOKUP(D:D,'Master Table'!C:O,13,FALSE)</f>
        <v>1325</v>
      </c>
      <c r="P185" s="657">
        <v>1325</v>
      </c>
      <c r="Q185" s="476">
        <v>1198.31</v>
      </c>
      <c r="R185" s="91">
        <v>1308.77</v>
      </c>
      <c r="S185" s="619">
        <v>1347.04</v>
      </c>
    </row>
    <row r="186" spans="1:19" ht="15" x14ac:dyDescent="0.2">
      <c r="A186" s="291" t="str">
        <f t="shared" si="5"/>
        <v>SOU177 / 201867</v>
      </c>
      <c r="B186" s="89" t="s">
        <v>6172</v>
      </c>
      <c r="C186" s="89" t="s">
        <v>3659</v>
      </c>
      <c r="D186" s="318" t="s">
        <v>6258</v>
      </c>
      <c r="E186" s="369" t="str">
        <f>VLOOKUP(D:D,'Master Table'!C:D,2,FALSE)</f>
        <v>201867</v>
      </c>
      <c r="F186" s="769" t="s">
        <v>6258</v>
      </c>
      <c r="G186" s="769" t="s">
        <v>6259</v>
      </c>
      <c r="H186" s="769" t="s">
        <v>6260</v>
      </c>
      <c r="I186" s="769" t="s">
        <v>6261</v>
      </c>
      <c r="J186" s="769" t="s">
        <v>324</v>
      </c>
      <c r="K186" s="790"/>
      <c r="L186" s="790"/>
      <c r="M186" s="790"/>
      <c r="N186" s="312">
        <f t="shared" si="6"/>
        <v>0</v>
      </c>
      <c r="O186" s="467">
        <f>VLOOKUP(D:D,'Master Table'!C:O,13,FALSE)</f>
        <v>0</v>
      </c>
      <c r="P186" s="657">
        <v>0</v>
      </c>
      <c r="Q186" s="476">
        <v>15</v>
      </c>
      <c r="R186" s="91"/>
      <c r="S186" s="619"/>
    </row>
    <row r="187" spans="1:19" ht="43.5" thickBot="1" x14ac:dyDescent="0.25">
      <c r="A187" s="291" t="str">
        <f t="shared" si="5"/>
        <v>SOU999 / 1373</v>
      </c>
      <c r="B187" s="89" t="s">
        <v>7261</v>
      </c>
      <c r="C187" s="89" t="s">
        <v>7261</v>
      </c>
      <c r="D187" s="318" t="s">
        <v>6262</v>
      </c>
      <c r="E187" s="369" t="str">
        <f>VLOOKUP(D:D,'Master Table'!C:D,2,FALSE)</f>
        <v>1373</v>
      </c>
      <c r="F187" s="769" t="s">
        <v>6262</v>
      </c>
      <c r="G187" s="769" t="s">
        <v>6263</v>
      </c>
      <c r="H187" s="769" t="s">
        <v>6264</v>
      </c>
      <c r="I187" s="750"/>
      <c r="J187" s="769" t="s">
        <v>324</v>
      </c>
      <c r="K187" s="790">
        <v>5187.6899999999996</v>
      </c>
      <c r="L187" s="790">
        <v>14161.33</v>
      </c>
      <c r="M187" s="790">
        <v>873.6</v>
      </c>
      <c r="N187" s="312">
        <f t="shared" si="6"/>
        <v>20222.62</v>
      </c>
      <c r="O187" s="467">
        <f>VLOOKUP(D:D,'Master Table'!C:O,13,FALSE)</f>
        <v>1529.52</v>
      </c>
      <c r="P187" s="657">
        <v>1529.52</v>
      </c>
      <c r="Q187" s="476">
        <v>2556.56</v>
      </c>
      <c r="R187" s="91">
        <v>1203.7</v>
      </c>
      <c r="S187" s="619">
        <v>1095.51</v>
      </c>
    </row>
    <row r="188" spans="1:19" ht="53.25" hidden="1" customHeight="1" x14ac:dyDescent="0.2">
      <c r="F188" s="745"/>
      <c r="G188" s="745"/>
      <c r="H188" s="745"/>
      <c r="I188" s="745"/>
      <c r="J188" s="745"/>
      <c r="K188" s="803"/>
      <c r="L188" s="804"/>
      <c r="M188" s="804"/>
      <c r="N188" s="846">
        <f t="shared" si="6"/>
        <v>0</v>
      </c>
      <c r="O188" s="354"/>
      <c r="P188" s="354"/>
      <c r="Q188" s="477"/>
      <c r="R188" s="98"/>
    </row>
    <row r="189" spans="1:19" ht="18.75" hidden="1" thickBot="1" x14ac:dyDescent="0.3">
      <c r="E189" s="372" t="s">
        <v>8310</v>
      </c>
      <c r="F189" s="793" t="s">
        <v>7463</v>
      </c>
      <c r="G189" s="793"/>
      <c r="H189" s="793"/>
      <c r="I189" s="793"/>
      <c r="J189" s="805"/>
      <c r="K189" s="793">
        <f>SUM(K3:K188)</f>
        <v>50146.78</v>
      </c>
      <c r="L189" s="793">
        <f>SUM(L3:L188)</f>
        <v>79190.899999999994</v>
      </c>
      <c r="M189" s="793">
        <f>SUM(M3:M188)</f>
        <v>9451.1400000000012</v>
      </c>
      <c r="N189" s="846">
        <f t="shared" ref="N189" si="8">K187+L187+M187</f>
        <v>20222.62</v>
      </c>
      <c r="O189" s="356">
        <v>194115.93</v>
      </c>
      <c r="P189" s="354"/>
      <c r="Q189" s="477"/>
      <c r="R189" s="98"/>
    </row>
    <row r="190" spans="1:19" ht="13.5" hidden="1" thickBot="1" x14ac:dyDescent="0.25">
      <c r="E190" s="372" t="s">
        <v>8311</v>
      </c>
      <c r="N190" s="847"/>
      <c r="O190" s="531" t="e">
        <f>#REF!-O189</f>
        <v>#REF!</v>
      </c>
      <c r="P190" s="477"/>
      <c r="Q190" s="477"/>
      <c r="R190" s="98"/>
    </row>
    <row r="191" spans="1:19" ht="18.75" hidden="1" thickBot="1" x14ac:dyDescent="0.3">
      <c r="N191" s="848">
        <f>SUM(N3:N190)</f>
        <v>159011.44</v>
      </c>
      <c r="O191" s="354"/>
      <c r="P191" s="354"/>
      <c r="Q191" s="477"/>
      <c r="R191" s="98"/>
    </row>
    <row r="192" spans="1:19" ht="15" thickBot="1" x14ac:dyDescent="0.25">
      <c r="B192" s="835"/>
      <c r="O192" s="354"/>
      <c r="P192" s="354"/>
      <c r="Q192" s="477"/>
      <c r="R192" s="98"/>
    </row>
    <row r="193" spans="1:18" s="74" customFormat="1" ht="83.25" customHeight="1" thickBot="1" x14ac:dyDescent="0.25">
      <c r="A193" s="834" t="s">
        <v>10987</v>
      </c>
      <c r="B193" s="718"/>
      <c r="C193" s="835"/>
      <c r="D193" s="835"/>
      <c r="E193" s="835"/>
      <c r="F193" s="835"/>
      <c r="G193" s="835"/>
      <c r="H193" s="835"/>
      <c r="I193" s="835"/>
      <c r="J193" s="835"/>
      <c r="K193" s="835"/>
      <c r="L193" s="835"/>
      <c r="M193" s="835"/>
      <c r="N193" s="835"/>
      <c r="O193" s="835"/>
    </row>
    <row r="194" spans="1:18" s="74" customFormat="1" ht="30" x14ac:dyDescent="0.2">
      <c r="A194" s="718"/>
      <c r="B194" s="764" t="s">
        <v>11007</v>
      </c>
      <c r="C194" s="718"/>
      <c r="N194" s="283"/>
    </row>
    <row r="195" spans="1:18" s="74" customFormat="1" ht="60" x14ac:dyDescent="0.2">
      <c r="A195" s="763" t="s">
        <v>7422</v>
      </c>
      <c r="B195" s="764" t="s">
        <v>11008</v>
      </c>
      <c r="C195" s="715"/>
      <c r="N195" s="283"/>
    </row>
    <row r="196" spans="1:18" s="74" customFormat="1" ht="60" x14ac:dyDescent="0.2">
      <c r="A196" s="763" t="s">
        <v>10990</v>
      </c>
      <c r="B196" s="764" t="s">
        <v>11009</v>
      </c>
      <c r="C196" s="715"/>
      <c r="N196" s="283"/>
    </row>
    <row r="197" spans="1:18" s="74" customFormat="1" ht="15.75" x14ac:dyDescent="0.2">
      <c r="A197" s="763" t="s">
        <v>10991</v>
      </c>
      <c r="B197" s="86"/>
      <c r="C197" s="715"/>
      <c r="N197" s="283"/>
    </row>
    <row r="198" spans="1:18" x14ac:dyDescent="0.2">
      <c r="O198" s="354"/>
      <c r="P198" s="354"/>
      <c r="Q198" s="477"/>
      <c r="R198" s="98"/>
    </row>
    <row r="199" spans="1:18" x14ac:dyDescent="0.2">
      <c r="O199" s="354"/>
      <c r="P199" s="354"/>
      <c r="Q199" s="477"/>
      <c r="R199" s="98"/>
    </row>
    <row r="200" spans="1:18" x14ac:dyDescent="0.2">
      <c r="O200" s="354"/>
      <c r="P200" s="354"/>
      <c r="Q200" s="477"/>
      <c r="R200" s="98"/>
    </row>
    <row r="201" spans="1:18" x14ac:dyDescent="0.2">
      <c r="O201" s="354"/>
      <c r="P201" s="354"/>
      <c r="Q201" s="477"/>
      <c r="R201" s="98"/>
    </row>
    <row r="202" spans="1:18" x14ac:dyDescent="0.2">
      <c r="O202" s="354"/>
      <c r="P202" s="354"/>
      <c r="Q202" s="477"/>
      <c r="R202" s="98"/>
    </row>
    <row r="203" spans="1:18" x14ac:dyDescent="0.2">
      <c r="O203" s="354"/>
      <c r="P203" s="354"/>
      <c r="Q203" s="477"/>
      <c r="R203" s="98"/>
    </row>
    <row r="204" spans="1:18" x14ac:dyDescent="0.2">
      <c r="O204" s="354"/>
      <c r="P204" s="354"/>
      <c r="Q204" s="477"/>
      <c r="R204" s="98"/>
    </row>
    <row r="205" spans="1:18" x14ac:dyDescent="0.2">
      <c r="O205" s="354"/>
      <c r="P205" s="354"/>
      <c r="Q205" s="477"/>
      <c r="R205" s="98"/>
    </row>
    <row r="206" spans="1:18" x14ac:dyDescent="0.2">
      <c r="O206" s="354"/>
      <c r="P206" s="354"/>
      <c r="Q206" s="477"/>
      <c r="R206" s="98"/>
    </row>
    <row r="207" spans="1:18" x14ac:dyDescent="0.2">
      <c r="O207" s="354"/>
      <c r="P207" s="354"/>
      <c r="Q207" s="477"/>
      <c r="R207" s="98"/>
    </row>
    <row r="208" spans="1:18" x14ac:dyDescent="0.2">
      <c r="O208" s="354"/>
      <c r="P208" s="354"/>
      <c r="Q208" s="477"/>
      <c r="R208" s="98"/>
    </row>
    <row r="209" spans="15:18" x14ac:dyDescent="0.2">
      <c r="O209" s="354"/>
      <c r="P209" s="354"/>
      <c r="Q209" s="477"/>
      <c r="R209" s="98"/>
    </row>
    <row r="210" spans="15:18" x14ac:dyDescent="0.2">
      <c r="O210" s="354"/>
      <c r="P210" s="354"/>
      <c r="Q210" s="477"/>
      <c r="R210" s="98"/>
    </row>
    <row r="211" spans="15:18" x14ac:dyDescent="0.2">
      <c r="O211" s="354"/>
      <c r="P211" s="354"/>
      <c r="Q211" s="477"/>
      <c r="R211" s="98"/>
    </row>
    <row r="212" spans="15:18" x14ac:dyDescent="0.2">
      <c r="O212" s="354"/>
      <c r="P212" s="354"/>
      <c r="Q212" s="477"/>
      <c r="R212" s="98"/>
    </row>
    <row r="213" spans="15:18" x14ac:dyDescent="0.2">
      <c r="O213" s="354"/>
      <c r="P213" s="354"/>
      <c r="Q213" s="477"/>
      <c r="R213" s="98"/>
    </row>
    <row r="214" spans="15:18" x14ac:dyDescent="0.2">
      <c r="O214" s="354"/>
      <c r="P214" s="354"/>
      <c r="Q214" s="477"/>
      <c r="R214" s="98"/>
    </row>
    <row r="215" spans="15:18" x14ac:dyDescent="0.2">
      <c r="O215" s="354"/>
      <c r="P215" s="354"/>
      <c r="Q215" s="477"/>
      <c r="R215" s="98"/>
    </row>
  </sheetData>
  <mergeCells count="3">
    <mergeCell ref="B183:B184"/>
    <mergeCell ref="Q183:Q184"/>
    <mergeCell ref="P183:P184"/>
  </mergeCells>
  <conditionalFormatting sqref="E185:E187 E3:E183 F4:J158 N188">
    <cfRule type="cellIs" dxfId="3" priority="2" stopIfTrue="1" operator="equal">
      <formula>0</formula>
    </cfRule>
  </conditionalFormatting>
  <conditionalFormatting sqref="E184">
    <cfRule type="cellIs" dxfId="2" priority="1" stopIfTrue="1" operator="equal">
      <formula>0</formula>
    </cfRule>
  </conditionalFormatting>
  <printOptions horizontalCentered="1"/>
  <pageMargins left="0" right="0" top="0.74803149606299213" bottom="0.74803149606299213" header="0.31496062992125984" footer="0.31496062992125984"/>
  <pageSetup paperSize="9" scale="74" fitToHeight="0" orientation="portrait" r:id="rId1"/>
  <headerFooter>
    <oddFooter>&amp;RPage &amp;P / &amp;N</oddFooter>
  </headerFooter>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pageSetUpPr fitToPage="1"/>
  </sheetPr>
  <dimension ref="A1:W221"/>
  <sheetViews>
    <sheetView zoomScaleNormal="100" workbookViewId="0">
      <pane ySplit="2" topLeftCell="A3" activePane="bottomLeft" state="frozen"/>
      <selection pane="bottomLeft" activeCell="L1" sqref="L1:N1"/>
    </sheetView>
  </sheetViews>
  <sheetFormatPr defaultRowHeight="12.75" outlineLevelCol="1" x14ac:dyDescent="0.2"/>
  <cols>
    <col min="1" max="1" width="17" style="86" customWidth="1"/>
    <col min="2" max="2" width="39.28515625" style="86" customWidth="1"/>
    <col min="3" max="3" width="46.7109375" style="86" bestFit="1" customWidth="1"/>
    <col min="4" max="4" width="21.28515625" style="354" hidden="1" customWidth="1" outlineLevel="1"/>
    <col min="5" max="5" width="16.5703125" style="354" hidden="1" customWidth="1" outlineLevel="1"/>
    <col min="6" max="6" width="15.7109375" style="19" hidden="1" customWidth="1" outlineLevel="1"/>
    <col min="7" max="7" width="15.7109375" style="19" hidden="1" customWidth="1" collapsed="1"/>
    <col min="8" max="8" width="15.5703125" style="665" hidden="1" customWidth="1"/>
    <col min="9" max="9" width="19.7109375" style="643" hidden="1" customWidth="1"/>
    <col min="10" max="10" width="16.85546875" style="86" hidden="1" customWidth="1"/>
    <col min="11" max="11" width="0" style="86" hidden="1" customWidth="1"/>
    <col min="12" max="12" width="12.85546875" style="86" bestFit="1" customWidth="1"/>
    <col min="13" max="13" width="15.85546875" style="86" bestFit="1" customWidth="1"/>
    <col min="14" max="14" width="20.85546875" style="86" bestFit="1" customWidth="1"/>
    <col min="15" max="15" width="14.28515625" style="354" bestFit="1" customWidth="1"/>
    <col min="16" max="16" width="0" style="86" hidden="1" customWidth="1"/>
    <col min="17" max="18" width="12.85546875" style="86" bestFit="1" customWidth="1"/>
    <col min="19" max="19" width="14.28515625" style="86" bestFit="1" customWidth="1"/>
    <col min="20" max="20" width="0" style="86" hidden="1" customWidth="1"/>
    <col min="21" max="254" width="9.140625" style="86"/>
    <col min="255" max="255" width="15" style="86" bestFit="1" customWidth="1"/>
    <col min="256" max="256" width="39.28515625" style="86" customWidth="1"/>
    <col min="257" max="257" width="46.7109375" style="86" bestFit="1" customWidth="1"/>
    <col min="258" max="259" width="0" style="86" hidden="1" customWidth="1"/>
    <col min="260" max="260" width="15.7109375" style="86" bestFit="1" customWidth="1"/>
    <col min="261" max="261" width="15.5703125" style="86" bestFit="1" customWidth="1"/>
    <col min="262" max="262" width="0" style="86" hidden="1" customWidth="1"/>
    <col min="263" max="263" width="16.85546875" style="86" bestFit="1" customWidth="1"/>
    <col min="264" max="264" width="9.140625" style="86"/>
    <col min="265" max="265" width="10.28515625" style="86" bestFit="1" customWidth="1"/>
    <col min="266" max="510" width="9.140625" style="86"/>
    <col min="511" max="511" width="15" style="86" bestFit="1" customWidth="1"/>
    <col min="512" max="512" width="39.28515625" style="86" customWidth="1"/>
    <col min="513" max="513" width="46.7109375" style="86" bestFit="1" customWidth="1"/>
    <col min="514" max="515" width="0" style="86" hidden="1" customWidth="1"/>
    <col min="516" max="516" width="15.7109375" style="86" bestFit="1" customWidth="1"/>
    <col min="517" max="517" width="15.5703125" style="86" bestFit="1" customWidth="1"/>
    <col min="518" max="518" width="0" style="86" hidden="1" customWidth="1"/>
    <col min="519" max="519" width="16.85546875" style="86" bestFit="1" customWidth="1"/>
    <col min="520" max="520" width="9.140625" style="86"/>
    <col min="521" max="521" width="10.28515625" style="86" bestFit="1" customWidth="1"/>
    <col min="522" max="766" width="9.140625" style="86"/>
    <col min="767" max="767" width="15" style="86" bestFit="1" customWidth="1"/>
    <col min="768" max="768" width="39.28515625" style="86" customWidth="1"/>
    <col min="769" max="769" width="46.7109375" style="86" bestFit="1" customWidth="1"/>
    <col min="770" max="771" width="0" style="86" hidden="1" customWidth="1"/>
    <col min="772" max="772" width="15.7109375" style="86" bestFit="1" customWidth="1"/>
    <col min="773" max="773" width="15.5703125" style="86" bestFit="1" customWidth="1"/>
    <col min="774" max="774" width="0" style="86" hidden="1" customWidth="1"/>
    <col min="775" max="775" width="16.85546875" style="86" bestFit="1" customWidth="1"/>
    <col min="776" max="776" width="9.140625" style="86"/>
    <col min="777" max="777" width="10.28515625" style="86" bestFit="1" customWidth="1"/>
    <col min="778" max="1022" width="9.140625" style="86"/>
    <col min="1023" max="1023" width="15" style="86" bestFit="1" customWidth="1"/>
    <col min="1024" max="1024" width="39.28515625" style="86" customWidth="1"/>
    <col min="1025" max="1025" width="46.7109375" style="86" bestFit="1" customWidth="1"/>
    <col min="1026" max="1027" width="0" style="86" hidden="1" customWidth="1"/>
    <col min="1028" max="1028" width="15.7109375" style="86" bestFit="1" customWidth="1"/>
    <col min="1029" max="1029" width="15.5703125" style="86" bestFit="1" customWidth="1"/>
    <col min="1030" max="1030" width="0" style="86" hidden="1" customWidth="1"/>
    <col min="1031" max="1031" width="16.85546875" style="86" bestFit="1" customWidth="1"/>
    <col min="1032" max="1032" width="9.140625" style="86"/>
    <col min="1033" max="1033" width="10.28515625" style="86" bestFit="1" customWidth="1"/>
    <col min="1034" max="1278" width="9.140625" style="86"/>
    <col min="1279" max="1279" width="15" style="86" bestFit="1" customWidth="1"/>
    <col min="1280" max="1280" width="39.28515625" style="86" customWidth="1"/>
    <col min="1281" max="1281" width="46.7109375" style="86" bestFit="1" customWidth="1"/>
    <col min="1282" max="1283" width="0" style="86" hidden="1" customWidth="1"/>
    <col min="1284" max="1284" width="15.7109375" style="86" bestFit="1" customWidth="1"/>
    <col min="1285" max="1285" width="15.5703125" style="86" bestFit="1" customWidth="1"/>
    <col min="1286" max="1286" width="0" style="86" hidden="1" customWidth="1"/>
    <col min="1287" max="1287" width="16.85546875" style="86" bestFit="1" customWidth="1"/>
    <col min="1288" max="1288" width="9.140625" style="86"/>
    <col min="1289" max="1289" width="10.28515625" style="86" bestFit="1" customWidth="1"/>
    <col min="1290" max="1534" width="9.140625" style="86"/>
    <col min="1535" max="1535" width="15" style="86" bestFit="1" customWidth="1"/>
    <col min="1536" max="1536" width="39.28515625" style="86" customWidth="1"/>
    <col min="1537" max="1537" width="46.7109375" style="86" bestFit="1" customWidth="1"/>
    <col min="1538" max="1539" width="0" style="86" hidden="1" customWidth="1"/>
    <col min="1540" max="1540" width="15.7109375" style="86" bestFit="1" customWidth="1"/>
    <col min="1541" max="1541" width="15.5703125" style="86" bestFit="1" customWidth="1"/>
    <col min="1542" max="1542" width="0" style="86" hidden="1" customWidth="1"/>
    <col min="1543" max="1543" width="16.85546875" style="86" bestFit="1" customWidth="1"/>
    <col min="1544" max="1544" width="9.140625" style="86"/>
    <col min="1545" max="1545" width="10.28515625" style="86" bestFit="1" customWidth="1"/>
    <col min="1546" max="1790" width="9.140625" style="86"/>
    <col min="1791" max="1791" width="15" style="86" bestFit="1" customWidth="1"/>
    <col min="1792" max="1792" width="39.28515625" style="86" customWidth="1"/>
    <col min="1793" max="1793" width="46.7109375" style="86" bestFit="1" customWidth="1"/>
    <col min="1794" max="1795" width="0" style="86" hidden="1" customWidth="1"/>
    <col min="1796" max="1796" width="15.7109375" style="86" bestFit="1" customWidth="1"/>
    <col min="1797" max="1797" width="15.5703125" style="86" bestFit="1" customWidth="1"/>
    <col min="1798" max="1798" width="0" style="86" hidden="1" customWidth="1"/>
    <col min="1799" max="1799" width="16.85546875" style="86" bestFit="1" customWidth="1"/>
    <col min="1800" max="1800" width="9.140625" style="86"/>
    <col min="1801" max="1801" width="10.28515625" style="86" bestFit="1" customWidth="1"/>
    <col min="1802" max="2046" width="9.140625" style="86"/>
    <col min="2047" max="2047" width="15" style="86" bestFit="1" customWidth="1"/>
    <col min="2048" max="2048" width="39.28515625" style="86" customWidth="1"/>
    <col min="2049" max="2049" width="46.7109375" style="86" bestFit="1" customWidth="1"/>
    <col min="2050" max="2051" width="0" style="86" hidden="1" customWidth="1"/>
    <col min="2052" max="2052" width="15.7109375" style="86" bestFit="1" customWidth="1"/>
    <col min="2053" max="2053" width="15.5703125" style="86" bestFit="1" customWidth="1"/>
    <col min="2054" max="2054" width="0" style="86" hidden="1" customWidth="1"/>
    <col min="2055" max="2055" width="16.85546875" style="86" bestFit="1" customWidth="1"/>
    <col min="2056" max="2056" width="9.140625" style="86"/>
    <col min="2057" max="2057" width="10.28515625" style="86" bestFit="1" customWidth="1"/>
    <col min="2058" max="2302" width="9.140625" style="86"/>
    <col min="2303" max="2303" width="15" style="86" bestFit="1" customWidth="1"/>
    <col min="2304" max="2304" width="39.28515625" style="86" customWidth="1"/>
    <col min="2305" max="2305" width="46.7109375" style="86" bestFit="1" customWidth="1"/>
    <col min="2306" max="2307" width="0" style="86" hidden="1" customWidth="1"/>
    <col min="2308" max="2308" width="15.7109375" style="86" bestFit="1" customWidth="1"/>
    <col min="2309" max="2309" width="15.5703125" style="86" bestFit="1" customWidth="1"/>
    <col min="2310" max="2310" width="0" style="86" hidden="1" customWidth="1"/>
    <col min="2311" max="2311" width="16.85546875" style="86" bestFit="1" customWidth="1"/>
    <col min="2312" max="2312" width="9.140625" style="86"/>
    <col min="2313" max="2313" width="10.28515625" style="86" bestFit="1" customWidth="1"/>
    <col min="2314" max="2558" width="9.140625" style="86"/>
    <col min="2559" max="2559" width="15" style="86" bestFit="1" customWidth="1"/>
    <col min="2560" max="2560" width="39.28515625" style="86" customWidth="1"/>
    <col min="2561" max="2561" width="46.7109375" style="86" bestFit="1" customWidth="1"/>
    <col min="2562" max="2563" width="0" style="86" hidden="1" customWidth="1"/>
    <col min="2564" max="2564" width="15.7109375" style="86" bestFit="1" customWidth="1"/>
    <col min="2565" max="2565" width="15.5703125" style="86" bestFit="1" customWidth="1"/>
    <col min="2566" max="2566" width="0" style="86" hidden="1" customWidth="1"/>
    <col min="2567" max="2567" width="16.85546875" style="86" bestFit="1" customWidth="1"/>
    <col min="2568" max="2568" width="9.140625" style="86"/>
    <col min="2569" max="2569" width="10.28515625" style="86" bestFit="1" customWidth="1"/>
    <col min="2570" max="2814" width="9.140625" style="86"/>
    <col min="2815" max="2815" width="15" style="86" bestFit="1" customWidth="1"/>
    <col min="2816" max="2816" width="39.28515625" style="86" customWidth="1"/>
    <col min="2817" max="2817" width="46.7109375" style="86" bestFit="1" customWidth="1"/>
    <col min="2818" max="2819" width="0" style="86" hidden="1" customWidth="1"/>
    <col min="2820" max="2820" width="15.7109375" style="86" bestFit="1" customWidth="1"/>
    <col min="2821" max="2821" width="15.5703125" style="86" bestFit="1" customWidth="1"/>
    <col min="2822" max="2822" width="0" style="86" hidden="1" customWidth="1"/>
    <col min="2823" max="2823" width="16.85546875" style="86" bestFit="1" customWidth="1"/>
    <col min="2824" max="2824" width="9.140625" style="86"/>
    <col min="2825" max="2825" width="10.28515625" style="86" bestFit="1" customWidth="1"/>
    <col min="2826" max="3070" width="9.140625" style="86"/>
    <col min="3071" max="3071" width="15" style="86" bestFit="1" customWidth="1"/>
    <col min="3072" max="3072" width="39.28515625" style="86" customWidth="1"/>
    <col min="3073" max="3073" width="46.7109375" style="86" bestFit="1" customWidth="1"/>
    <col min="3074" max="3075" width="0" style="86" hidden="1" customWidth="1"/>
    <col min="3076" max="3076" width="15.7109375" style="86" bestFit="1" customWidth="1"/>
    <col min="3077" max="3077" width="15.5703125" style="86" bestFit="1" customWidth="1"/>
    <col min="3078" max="3078" width="0" style="86" hidden="1" customWidth="1"/>
    <col min="3079" max="3079" width="16.85546875" style="86" bestFit="1" customWidth="1"/>
    <col min="3080" max="3080" width="9.140625" style="86"/>
    <col min="3081" max="3081" width="10.28515625" style="86" bestFit="1" customWidth="1"/>
    <col min="3082" max="3326" width="9.140625" style="86"/>
    <col min="3327" max="3327" width="15" style="86" bestFit="1" customWidth="1"/>
    <col min="3328" max="3328" width="39.28515625" style="86" customWidth="1"/>
    <col min="3329" max="3329" width="46.7109375" style="86" bestFit="1" customWidth="1"/>
    <col min="3330" max="3331" width="0" style="86" hidden="1" customWidth="1"/>
    <col min="3332" max="3332" width="15.7109375" style="86" bestFit="1" customWidth="1"/>
    <col min="3333" max="3333" width="15.5703125" style="86" bestFit="1" customWidth="1"/>
    <col min="3334" max="3334" width="0" style="86" hidden="1" customWidth="1"/>
    <col min="3335" max="3335" width="16.85546875" style="86" bestFit="1" customWidth="1"/>
    <col min="3336" max="3336" width="9.140625" style="86"/>
    <col min="3337" max="3337" width="10.28515625" style="86" bestFit="1" customWidth="1"/>
    <col min="3338" max="3582" width="9.140625" style="86"/>
    <col min="3583" max="3583" width="15" style="86" bestFit="1" customWidth="1"/>
    <col min="3584" max="3584" width="39.28515625" style="86" customWidth="1"/>
    <col min="3585" max="3585" width="46.7109375" style="86" bestFit="1" customWidth="1"/>
    <col min="3586" max="3587" width="0" style="86" hidden="1" customWidth="1"/>
    <col min="3588" max="3588" width="15.7109375" style="86" bestFit="1" customWidth="1"/>
    <col min="3589" max="3589" width="15.5703125" style="86" bestFit="1" customWidth="1"/>
    <col min="3590" max="3590" width="0" style="86" hidden="1" customWidth="1"/>
    <col min="3591" max="3591" width="16.85546875" style="86" bestFit="1" customWidth="1"/>
    <col min="3592" max="3592" width="9.140625" style="86"/>
    <col min="3593" max="3593" width="10.28515625" style="86" bestFit="1" customWidth="1"/>
    <col min="3594" max="3838" width="9.140625" style="86"/>
    <col min="3839" max="3839" width="15" style="86" bestFit="1" customWidth="1"/>
    <col min="3840" max="3840" width="39.28515625" style="86" customWidth="1"/>
    <col min="3841" max="3841" width="46.7109375" style="86" bestFit="1" customWidth="1"/>
    <col min="3842" max="3843" width="0" style="86" hidden="1" customWidth="1"/>
    <col min="3844" max="3844" width="15.7109375" style="86" bestFit="1" customWidth="1"/>
    <col min="3845" max="3845" width="15.5703125" style="86" bestFit="1" customWidth="1"/>
    <col min="3846" max="3846" width="0" style="86" hidden="1" customWidth="1"/>
    <col min="3847" max="3847" width="16.85546875" style="86" bestFit="1" customWidth="1"/>
    <col min="3848" max="3848" width="9.140625" style="86"/>
    <col min="3849" max="3849" width="10.28515625" style="86" bestFit="1" customWidth="1"/>
    <col min="3850" max="4094" width="9.140625" style="86"/>
    <col min="4095" max="4095" width="15" style="86" bestFit="1" customWidth="1"/>
    <col min="4096" max="4096" width="39.28515625" style="86" customWidth="1"/>
    <col min="4097" max="4097" width="46.7109375" style="86" bestFit="1" customWidth="1"/>
    <col min="4098" max="4099" width="0" style="86" hidden="1" customWidth="1"/>
    <col min="4100" max="4100" width="15.7109375" style="86" bestFit="1" customWidth="1"/>
    <col min="4101" max="4101" width="15.5703125" style="86" bestFit="1" customWidth="1"/>
    <col min="4102" max="4102" width="0" style="86" hidden="1" customWidth="1"/>
    <col min="4103" max="4103" width="16.85546875" style="86" bestFit="1" customWidth="1"/>
    <col min="4104" max="4104" width="9.140625" style="86"/>
    <col min="4105" max="4105" width="10.28515625" style="86" bestFit="1" customWidth="1"/>
    <col min="4106" max="4350" width="9.140625" style="86"/>
    <col min="4351" max="4351" width="15" style="86" bestFit="1" customWidth="1"/>
    <col min="4352" max="4352" width="39.28515625" style="86" customWidth="1"/>
    <col min="4353" max="4353" width="46.7109375" style="86" bestFit="1" customWidth="1"/>
    <col min="4354" max="4355" width="0" style="86" hidden="1" customWidth="1"/>
    <col min="4356" max="4356" width="15.7109375" style="86" bestFit="1" customWidth="1"/>
    <col min="4357" max="4357" width="15.5703125" style="86" bestFit="1" customWidth="1"/>
    <col min="4358" max="4358" width="0" style="86" hidden="1" customWidth="1"/>
    <col min="4359" max="4359" width="16.85546875" style="86" bestFit="1" customWidth="1"/>
    <col min="4360" max="4360" width="9.140625" style="86"/>
    <col min="4361" max="4361" width="10.28515625" style="86" bestFit="1" customWidth="1"/>
    <col min="4362" max="4606" width="9.140625" style="86"/>
    <col min="4607" max="4607" width="15" style="86" bestFit="1" customWidth="1"/>
    <col min="4608" max="4608" width="39.28515625" style="86" customWidth="1"/>
    <col min="4609" max="4609" width="46.7109375" style="86" bestFit="1" customWidth="1"/>
    <col min="4610" max="4611" width="0" style="86" hidden="1" customWidth="1"/>
    <col min="4612" max="4612" width="15.7109375" style="86" bestFit="1" customWidth="1"/>
    <col min="4613" max="4613" width="15.5703125" style="86" bestFit="1" customWidth="1"/>
    <col min="4614" max="4614" width="0" style="86" hidden="1" customWidth="1"/>
    <col min="4615" max="4615" width="16.85546875" style="86" bestFit="1" customWidth="1"/>
    <col min="4616" max="4616" width="9.140625" style="86"/>
    <col min="4617" max="4617" width="10.28515625" style="86" bestFit="1" customWidth="1"/>
    <col min="4618" max="4862" width="9.140625" style="86"/>
    <col min="4863" max="4863" width="15" style="86" bestFit="1" customWidth="1"/>
    <col min="4864" max="4864" width="39.28515625" style="86" customWidth="1"/>
    <col min="4865" max="4865" width="46.7109375" style="86" bestFit="1" customWidth="1"/>
    <col min="4866" max="4867" width="0" style="86" hidden="1" customWidth="1"/>
    <col min="4868" max="4868" width="15.7109375" style="86" bestFit="1" customWidth="1"/>
    <col min="4869" max="4869" width="15.5703125" style="86" bestFit="1" customWidth="1"/>
    <col min="4870" max="4870" width="0" style="86" hidden="1" customWidth="1"/>
    <col min="4871" max="4871" width="16.85546875" style="86" bestFit="1" customWidth="1"/>
    <col min="4872" max="4872" width="9.140625" style="86"/>
    <col min="4873" max="4873" width="10.28515625" style="86" bestFit="1" customWidth="1"/>
    <col min="4874" max="5118" width="9.140625" style="86"/>
    <col min="5119" max="5119" width="15" style="86" bestFit="1" customWidth="1"/>
    <col min="5120" max="5120" width="39.28515625" style="86" customWidth="1"/>
    <col min="5121" max="5121" width="46.7109375" style="86" bestFit="1" customWidth="1"/>
    <col min="5122" max="5123" width="0" style="86" hidden="1" customWidth="1"/>
    <col min="5124" max="5124" width="15.7109375" style="86" bestFit="1" customWidth="1"/>
    <col min="5125" max="5125" width="15.5703125" style="86" bestFit="1" customWidth="1"/>
    <col min="5126" max="5126" width="0" style="86" hidden="1" customWidth="1"/>
    <col min="5127" max="5127" width="16.85546875" style="86" bestFit="1" customWidth="1"/>
    <col min="5128" max="5128" width="9.140625" style="86"/>
    <col min="5129" max="5129" width="10.28515625" style="86" bestFit="1" customWidth="1"/>
    <col min="5130" max="5374" width="9.140625" style="86"/>
    <col min="5375" max="5375" width="15" style="86" bestFit="1" customWidth="1"/>
    <col min="5376" max="5376" width="39.28515625" style="86" customWidth="1"/>
    <col min="5377" max="5377" width="46.7109375" style="86" bestFit="1" customWidth="1"/>
    <col min="5378" max="5379" width="0" style="86" hidden="1" customWidth="1"/>
    <col min="5380" max="5380" width="15.7109375" style="86" bestFit="1" customWidth="1"/>
    <col min="5381" max="5381" width="15.5703125" style="86" bestFit="1" customWidth="1"/>
    <col min="5382" max="5382" width="0" style="86" hidden="1" customWidth="1"/>
    <col min="5383" max="5383" width="16.85546875" style="86" bestFit="1" customWidth="1"/>
    <col min="5384" max="5384" width="9.140625" style="86"/>
    <col min="5385" max="5385" width="10.28515625" style="86" bestFit="1" customWidth="1"/>
    <col min="5386" max="5630" width="9.140625" style="86"/>
    <col min="5631" max="5631" width="15" style="86" bestFit="1" customWidth="1"/>
    <col min="5632" max="5632" width="39.28515625" style="86" customWidth="1"/>
    <col min="5633" max="5633" width="46.7109375" style="86" bestFit="1" customWidth="1"/>
    <col min="5634" max="5635" width="0" style="86" hidden="1" customWidth="1"/>
    <col min="5636" max="5636" width="15.7109375" style="86" bestFit="1" customWidth="1"/>
    <col min="5637" max="5637" width="15.5703125" style="86" bestFit="1" customWidth="1"/>
    <col min="5638" max="5638" width="0" style="86" hidden="1" customWidth="1"/>
    <col min="5639" max="5639" width="16.85546875" style="86" bestFit="1" customWidth="1"/>
    <col min="5640" max="5640" width="9.140625" style="86"/>
    <col min="5641" max="5641" width="10.28515625" style="86" bestFit="1" customWidth="1"/>
    <col min="5642" max="5886" width="9.140625" style="86"/>
    <col min="5887" max="5887" width="15" style="86" bestFit="1" customWidth="1"/>
    <col min="5888" max="5888" width="39.28515625" style="86" customWidth="1"/>
    <col min="5889" max="5889" width="46.7109375" style="86" bestFit="1" customWidth="1"/>
    <col min="5890" max="5891" width="0" style="86" hidden="1" customWidth="1"/>
    <col min="5892" max="5892" width="15.7109375" style="86" bestFit="1" customWidth="1"/>
    <col min="5893" max="5893" width="15.5703125" style="86" bestFit="1" customWidth="1"/>
    <col min="5894" max="5894" width="0" style="86" hidden="1" customWidth="1"/>
    <col min="5895" max="5895" width="16.85546875" style="86" bestFit="1" customWidth="1"/>
    <col min="5896" max="5896" width="9.140625" style="86"/>
    <col min="5897" max="5897" width="10.28515625" style="86" bestFit="1" customWidth="1"/>
    <col min="5898" max="6142" width="9.140625" style="86"/>
    <col min="6143" max="6143" width="15" style="86" bestFit="1" customWidth="1"/>
    <col min="6144" max="6144" width="39.28515625" style="86" customWidth="1"/>
    <col min="6145" max="6145" width="46.7109375" style="86" bestFit="1" customWidth="1"/>
    <col min="6146" max="6147" width="0" style="86" hidden="1" customWidth="1"/>
    <col min="6148" max="6148" width="15.7109375" style="86" bestFit="1" customWidth="1"/>
    <col min="6149" max="6149" width="15.5703125" style="86" bestFit="1" customWidth="1"/>
    <col min="6150" max="6150" width="0" style="86" hidden="1" customWidth="1"/>
    <col min="6151" max="6151" width="16.85546875" style="86" bestFit="1" customWidth="1"/>
    <col min="6152" max="6152" width="9.140625" style="86"/>
    <col min="6153" max="6153" width="10.28515625" style="86" bestFit="1" customWidth="1"/>
    <col min="6154" max="6398" width="9.140625" style="86"/>
    <col min="6399" max="6399" width="15" style="86" bestFit="1" customWidth="1"/>
    <col min="6400" max="6400" width="39.28515625" style="86" customWidth="1"/>
    <col min="6401" max="6401" width="46.7109375" style="86" bestFit="1" customWidth="1"/>
    <col min="6402" max="6403" width="0" style="86" hidden="1" customWidth="1"/>
    <col min="6404" max="6404" width="15.7109375" style="86" bestFit="1" customWidth="1"/>
    <col min="6405" max="6405" width="15.5703125" style="86" bestFit="1" customWidth="1"/>
    <col min="6406" max="6406" width="0" style="86" hidden="1" customWidth="1"/>
    <col min="6407" max="6407" width="16.85546875" style="86" bestFit="1" customWidth="1"/>
    <col min="6408" max="6408" width="9.140625" style="86"/>
    <col min="6409" max="6409" width="10.28515625" style="86" bestFit="1" customWidth="1"/>
    <col min="6410" max="6654" width="9.140625" style="86"/>
    <col min="6655" max="6655" width="15" style="86" bestFit="1" customWidth="1"/>
    <col min="6656" max="6656" width="39.28515625" style="86" customWidth="1"/>
    <col min="6657" max="6657" width="46.7109375" style="86" bestFit="1" customWidth="1"/>
    <col min="6658" max="6659" width="0" style="86" hidden="1" customWidth="1"/>
    <col min="6660" max="6660" width="15.7109375" style="86" bestFit="1" customWidth="1"/>
    <col min="6661" max="6661" width="15.5703125" style="86" bestFit="1" customWidth="1"/>
    <col min="6662" max="6662" width="0" style="86" hidden="1" customWidth="1"/>
    <col min="6663" max="6663" width="16.85546875" style="86" bestFit="1" customWidth="1"/>
    <col min="6664" max="6664" width="9.140625" style="86"/>
    <col min="6665" max="6665" width="10.28515625" style="86" bestFit="1" customWidth="1"/>
    <col min="6666" max="6910" width="9.140625" style="86"/>
    <col min="6911" max="6911" width="15" style="86" bestFit="1" customWidth="1"/>
    <col min="6912" max="6912" width="39.28515625" style="86" customWidth="1"/>
    <col min="6913" max="6913" width="46.7109375" style="86" bestFit="1" customWidth="1"/>
    <col min="6914" max="6915" width="0" style="86" hidden="1" customWidth="1"/>
    <col min="6916" max="6916" width="15.7109375" style="86" bestFit="1" customWidth="1"/>
    <col min="6917" max="6917" width="15.5703125" style="86" bestFit="1" customWidth="1"/>
    <col min="6918" max="6918" width="0" style="86" hidden="1" customWidth="1"/>
    <col min="6919" max="6919" width="16.85546875" style="86" bestFit="1" customWidth="1"/>
    <col min="6920" max="6920" width="9.140625" style="86"/>
    <col min="6921" max="6921" width="10.28515625" style="86" bestFit="1" customWidth="1"/>
    <col min="6922" max="7166" width="9.140625" style="86"/>
    <col min="7167" max="7167" width="15" style="86" bestFit="1" customWidth="1"/>
    <col min="7168" max="7168" width="39.28515625" style="86" customWidth="1"/>
    <col min="7169" max="7169" width="46.7109375" style="86" bestFit="1" customWidth="1"/>
    <col min="7170" max="7171" width="0" style="86" hidden="1" customWidth="1"/>
    <col min="7172" max="7172" width="15.7109375" style="86" bestFit="1" customWidth="1"/>
    <col min="7173" max="7173" width="15.5703125" style="86" bestFit="1" customWidth="1"/>
    <col min="7174" max="7174" width="0" style="86" hidden="1" customWidth="1"/>
    <col min="7175" max="7175" width="16.85546875" style="86" bestFit="1" customWidth="1"/>
    <col min="7176" max="7176" width="9.140625" style="86"/>
    <col min="7177" max="7177" width="10.28515625" style="86" bestFit="1" customWidth="1"/>
    <col min="7178" max="7422" width="9.140625" style="86"/>
    <col min="7423" max="7423" width="15" style="86" bestFit="1" customWidth="1"/>
    <col min="7424" max="7424" width="39.28515625" style="86" customWidth="1"/>
    <col min="7425" max="7425" width="46.7109375" style="86" bestFit="1" customWidth="1"/>
    <col min="7426" max="7427" width="0" style="86" hidden="1" customWidth="1"/>
    <col min="7428" max="7428" width="15.7109375" style="86" bestFit="1" customWidth="1"/>
    <col min="7429" max="7429" width="15.5703125" style="86" bestFit="1" customWidth="1"/>
    <col min="7430" max="7430" width="0" style="86" hidden="1" customWidth="1"/>
    <col min="7431" max="7431" width="16.85546875" style="86" bestFit="1" customWidth="1"/>
    <col min="7432" max="7432" width="9.140625" style="86"/>
    <col min="7433" max="7433" width="10.28515625" style="86" bestFit="1" customWidth="1"/>
    <col min="7434" max="7678" width="9.140625" style="86"/>
    <col min="7679" max="7679" width="15" style="86" bestFit="1" customWidth="1"/>
    <col min="7680" max="7680" width="39.28515625" style="86" customWidth="1"/>
    <col min="7681" max="7681" width="46.7109375" style="86" bestFit="1" customWidth="1"/>
    <col min="7682" max="7683" width="0" style="86" hidden="1" customWidth="1"/>
    <col min="7684" max="7684" width="15.7109375" style="86" bestFit="1" customWidth="1"/>
    <col min="7685" max="7685" width="15.5703125" style="86" bestFit="1" customWidth="1"/>
    <col min="7686" max="7686" width="0" style="86" hidden="1" customWidth="1"/>
    <col min="7687" max="7687" width="16.85546875" style="86" bestFit="1" customWidth="1"/>
    <col min="7688" max="7688" width="9.140625" style="86"/>
    <col min="7689" max="7689" width="10.28515625" style="86" bestFit="1" customWidth="1"/>
    <col min="7690" max="7934" width="9.140625" style="86"/>
    <col min="7935" max="7935" width="15" style="86" bestFit="1" customWidth="1"/>
    <col min="7936" max="7936" width="39.28515625" style="86" customWidth="1"/>
    <col min="7937" max="7937" width="46.7109375" style="86" bestFit="1" customWidth="1"/>
    <col min="7938" max="7939" width="0" style="86" hidden="1" customWidth="1"/>
    <col min="7940" max="7940" width="15.7109375" style="86" bestFit="1" customWidth="1"/>
    <col min="7941" max="7941" width="15.5703125" style="86" bestFit="1" customWidth="1"/>
    <col min="7942" max="7942" width="0" style="86" hidden="1" customWidth="1"/>
    <col min="7943" max="7943" width="16.85546875" style="86" bestFit="1" customWidth="1"/>
    <col min="7944" max="7944" width="9.140625" style="86"/>
    <col min="7945" max="7945" width="10.28515625" style="86" bestFit="1" customWidth="1"/>
    <col min="7946" max="8190" width="9.140625" style="86"/>
    <col min="8191" max="8191" width="15" style="86" bestFit="1" customWidth="1"/>
    <col min="8192" max="8192" width="39.28515625" style="86" customWidth="1"/>
    <col min="8193" max="8193" width="46.7109375" style="86" bestFit="1" customWidth="1"/>
    <col min="8194" max="8195" width="0" style="86" hidden="1" customWidth="1"/>
    <col min="8196" max="8196" width="15.7109375" style="86" bestFit="1" customWidth="1"/>
    <col min="8197" max="8197" width="15.5703125" style="86" bestFit="1" customWidth="1"/>
    <col min="8198" max="8198" width="0" style="86" hidden="1" customWidth="1"/>
    <col min="8199" max="8199" width="16.85546875" style="86" bestFit="1" customWidth="1"/>
    <col min="8200" max="8200" width="9.140625" style="86"/>
    <col min="8201" max="8201" width="10.28515625" style="86" bestFit="1" customWidth="1"/>
    <col min="8202" max="8446" width="9.140625" style="86"/>
    <col min="8447" max="8447" width="15" style="86" bestFit="1" customWidth="1"/>
    <col min="8448" max="8448" width="39.28515625" style="86" customWidth="1"/>
    <col min="8449" max="8449" width="46.7109375" style="86" bestFit="1" customWidth="1"/>
    <col min="8450" max="8451" width="0" style="86" hidden="1" customWidth="1"/>
    <col min="8452" max="8452" width="15.7109375" style="86" bestFit="1" customWidth="1"/>
    <col min="8453" max="8453" width="15.5703125" style="86" bestFit="1" customWidth="1"/>
    <col min="8454" max="8454" width="0" style="86" hidden="1" customWidth="1"/>
    <col min="8455" max="8455" width="16.85546875" style="86" bestFit="1" customWidth="1"/>
    <col min="8456" max="8456" width="9.140625" style="86"/>
    <col min="8457" max="8457" width="10.28515625" style="86" bestFit="1" customWidth="1"/>
    <col min="8458" max="8702" width="9.140625" style="86"/>
    <col min="8703" max="8703" width="15" style="86" bestFit="1" customWidth="1"/>
    <col min="8704" max="8704" width="39.28515625" style="86" customWidth="1"/>
    <col min="8705" max="8705" width="46.7109375" style="86" bestFit="1" customWidth="1"/>
    <col min="8706" max="8707" width="0" style="86" hidden="1" customWidth="1"/>
    <col min="8708" max="8708" width="15.7109375" style="86" bestFit="1" customWidth="1"/>
    <col min="8709" max="8709" width="15.5703125" style="86" bestFit="1" customWidth="1"/>
    <col min="8710" max="8710" width="0" style="86" hidden="1" customWidth="1"/>
    <col min="8711" max="8711" width="16.85546875" style="86" bestFit="1" customWidth="1"/>
    <col min="8712" max="8712" width="9.140625" style="86"/>
    <col min="8713" max="8713" width="10.28515625" style="86" bestFit="1" customWidth="1"/>
    <col min="8714" max="8958" width="9.140625" style="86"/>
    <col min="8959" max="8959" width="15" style="86" bestFit="1" customWidth="1"/>
    <col min="8960" max="8960" width="39.28515625" style="86" customWidth="1"/>
    <col min="8961" max="8961" width="46.7109375" style="86" bestFit="1" customWidth="1"/>
    <col min="8962" max="8963" width="0" style="86" hidden="1" customWidth="1"/>
    <col min="8964" max="8964" width="15.7109375" style="86" bestFit="1" customWidth="1"/>
    <col min="8965" max="8965" width="15.5703125" style="86" bestFit="1" customWidth="1"/>
    <col min="8966" max="8966" width="0" style="86" hidden="1" customWidth="1"/>
    <col min="8967" max="8967" width="16.85546875" style="86" bestFit="1" customWidth="1"/>
    <col min="8968" max="8968" width="9.140625" style="86"/>
    <col min="8969" max="8969" width="10.28515625" style="86" bestFit="1" customWidth="1"/>
    <col min="8970" max="9214" width="9.140625" style="86"/>
    <col min="9215" max="9215" width="15" style="86" bestFit="1" customWidth="1"/>
    <col min="9216" max="9216" width="39.28515625" style="86" customWidth="1"/>
    <col min="9217" max="9217" width="46.7109375" style="86" bestFit="1" customWidth="1"/>
    <col min="9218" max="9219" width="0" style="86" hidden="1" customWidth="1"/>
    <col min="9220" max="9220" width="15.7109375" style="86" bestFit="1" customWidth="1"/>
    <col min="9221" max="9221" width="15.5703125" style="86" bestFit="1" customWidth="1"/>
    <col min="9222" max="9222" width="0" style="86" hidden="1" customWidth="1"/>
    <col min="9223" max="9223" width="16.85546875" style="86" bestFit="1" customWidth="1"/>
    <col min="9224" max="9224" width="9.140625" style="86"/>
    <col min="9225" max="9225" width="10.28515625" style="86" bestFit="1" customWidth="1"/>
    <col min="9226" max="9470" width="9.140625" style="86"/>
    <col min="9471" max="9471" width="15" style="86" bestFit="1" customWidth="1"/>
    <col min="9472" max="9472" width="39.28515625" style="86" customWidth="1"/>
    <col min="9473" max="9473" width="46.7109375" style="86" bestFit="1" customWidth="1"/>
    <col min="9474" max="9475" width="0" style="86" hidden="1" customWidth="1"/>
    <col min="9476" max="9476" width="15.7109375" style="86" bestFit="1" customWidth="1"/>
    <col min="9477" max="9477" width="15.5703125" style="86" bestFit="1" customWidth="1"/>
    <col min="9478" max="9478" width="0" style="86" hidden="1" customWidth="1"/>
    <col min="9479" max="9479" width="16.85546875" style="86" bestFit="1" customWidth="1"/>
    <col min="9480" max="9480" width="9.140625" style="86"/>
    <col min="9481" max="9481" width="10.28515625" style="86" bestFit="1" customWidth="1"/>
    <col min="9482" max="9726" width="9.140625" style="86"/>
    <col min="9727" max="9727" width="15" style="86" bestFit="1" customWidth="1"/>
    <col min="9728" max="9728" width="39.28515625" style="86" customWidth="1"/>
    <col min="9729" max="9729" width="46.7109375" style="86" bestFit="1" customWidth="1"/>
    <col min="9730" max="9731" width="0" style="86" hidden="1" customWidth="1"/>
    <col min="9732" max="9732" width="15.7109375" style="86" bestFit="1" customWidth="1"/>
    <col min="9733" max="9733" width="15.5703125" style="86" bestFit="1" customWidth="1"/>
    <col min="9734" max="9734" width="0" style="86" hidden="1" customWidth="1"/>
    <col min="9735" max="9735" width="16.85546875" style="86" bestFit="1" customWidth="1"/>
    <col min="9736" max="9736" width="9.140625" style="86"/>
    <col min="9737" max="9737" width="10.28515625" style="86" bestFit="1" customWidth="1"/>
    <col min="9738" max="9982" width="9.140625" style="86"/>
    <col min="9983" max="9983" width="15" style="86" bestFit="1" customWidth="1"/>
    <col min="9984" max="9984" width="39.28515625" style="86" customWidth="1"/>
    <col min="9985" max="9985" width="46.7109375" style="86" bestFit="1" customWidth="1"/>
    <col min="9986" max="9987" width="0" style="86" hidden="1" customWidth="1"/>
    <col min="9988" max="9988" width="15.7109375" style="86" bestFit="1" customWidth="1"/>
    <col min="9989" max="9989" width="15.5703125" style="86" bestFit="1" customWidth="1"/>
    <col min="9990" max="9990" width="0" style="86" hidden="1" customWidth="1"/>
    <col min="9991" max="9991" width="16.85546875" style="86" bestFit="1" customWidth="1"/>
    <col min="9992" max="9992" width="9.140625" style="86"/>
    <col min="9993" max="9993" width="10.28515625" style="86" bestFit="1" customWidth="1"/>
    <col min="9994" max="10238" width="9.140625" style="86"/>
    <col min="10239" max="10239" width="15" style="86" bestFit="1" customWidth="1"/>
    <col min="10240" max="10240" width="39.28515625" style="86" customWidth="1"/>
    <col min="10241" max="10241" width="46.7109375" style="86" bestFit="1" customWidth="1"/>
    <col min="10242" max="10243" width="0" style="86" hidden="1" customWidth="1"/>
    <col min="10244" max="10244" width="15.7109375" style="86" bestFit="1" customWidth="1"/>
    <col min="10245" max="10245" width="15.5703125" style="86" bestFit="1" customWidth="1"/>
    <col min="10246" max="10246" width="0" style="86" hidden="1" customWidth="1"/>
    <col min="10247" max="10247" width="16.85546875" style="86" bestFit="1" customWidth="1"/>
    <col min="10248" max="10248" width="9.140625" style="86"/>
    <col min="10249" max="10249" width="10.28515625" style="86" bestFit="1" customWidth="1"/>
    <col min="10250" max="10494" width="9.140625" style="86"/>
    <col min="10495" max="10495" width="15" style="86" bestFit="1" customWidth="1"/>
    <col min="10496" max="10496" width="39.28515625" style="86" customWidth="1"/>
    <col min="10497" max="10497" width="46.7109375" style="86" bestFit="1" customWidth="1"/>
    <col min="10498" max="10499" width="0" style="86" hidden="1" customWidth="1"/>
    <col min="10500" max="10500" width="15.7109375" style="86" bestFit="1" customWidth="1"/>
    <col min="10501" max="10501" width="15.5703125" style="86" bestFit="1" customWidth="1"/>
    <col min="10502" max="10502" width="0" style="86" hidden="1" customWidth="1"/>
    <col min="10503" max="10503" width="16.85546875" style="86" bestFit="1" customWidth="1"/>
    <col min="10504" max="10504" width="9.140625" style="86"/>
    <col min="10505" max="10505" width="10.28515625" style="86" bestFit="1" customWidth="1"/>
    <col min="10506" max="10750" width="9.140625" style="86"/>
    <col min="10751" max="10751" width="15" style="86" bestFit="1" customWidth="1"/>
    <col min="10752" max="10752" width="39.28515625" style="86" customWidth="1"/>
    <col min="10753" max="10753" width="46.7109375" style="86" bestFit="1" customWidth="1"/>
    <col min="10754" max="10755" width="0" style="86" hidden="1" customWidth="1"/>
    <col min="10756" max="10756" width="15.7109375" style="86" bestFit="1" customWidth="1"/>
    <col min="10757" max="10757" width="15.5703125" style="86" bestFit="1" customWidth="1"/>
    <col min="10758" max="10758" width="0" style="86" hidden="1" customWidth="1"/>
    <col min="10759" max="10759" width="16.85546875" style="86" bestFit="1" customWidth="1"/>
    <col min="10760" max="10760" width="9.140625" style="86"/>
    <col min="10761" max="10761" width="10.28515625" style="86" bestFit="1" customWidth="1"/>
    <col min="10762" max="11006" width="9.140625" style="86"/>
    <col min="11007" max="11007" width="15" style="86" bestFit="1" customWidth="1"/>
    <col min="11008" max="11008" width="39.28515625" style="86" customWidth="1"/>
    <col min="11009" max="11009" width="46.7109375" style="86" bestFit="1" customWidth="1"/>
    <col min="11010" max="11011" width="0" style="86" hidden="1" customWidth="1"/>
    <col min="11012" max="11012" width="15.7109375" style="86" bestFit="1" customWidth="1"/>
    <col min="11013" max="11013" width="15.5703125" style="86" bestFit="1" customWidth="1"/>
    <col min="11014" max="11014" width="0" style="86" hidden="1" customWidth="1"/>
    <col min="11015" max="11015" width="16.85546875" style="86" bestFit="1" customWidth="1"/>
    <col min="11016" max="11016" width="9.140625" style="86"/>
    <col min="11017" max="11017" width="10.28515625" style="86" bestFit="1" customWidth="1"/>
    <col min="11018" max="11262" width="9.140625" style="86"/>
    <col min="11263" max="11263" width="15" style="86" bestFit="1" customWidth="1"/>
    <col min="11264" max="11264" width="39.28515625" style="86" customWidth="1"/>
    <col min="11265" max="11265" width="46.7109375" style="86" bestFit="1" customWidth="1"/>
    <col min="11266" max="11267" width="0" style="86" hidden="1" customWidth="1"/>
    <col min="11268" max="11268" width="15.7109375" style="86" bestFit="1" customWidth="1"/>
    <col min="11269" max="11269" width="15.5703125" style="86" bestFit="1" customWidth="1"/>
    <col min="11270" max="11270" width="0" style="86" hidden="1" customWidth="1"/>
    <col min="11271" max="11271" width="16.85546875" style="86" bestFit="1" customWidth="1"/>
    <col min="11272" max="11272" width="9.140625" style="86"/>
    <col min="11273" max="11273" width="10.28515625" style="86" bestFit="1" customWidth="1"/>
    <col min="11274" max="11518" width="9.140625" style="86"/>
    <col min="11519" max="11519" width="15" style="86" bestFit="1" customWidth="1"/>
    <col min="11520" max="11520" width="39.28515625" style="86" customWidth="1"/>
    <col min="11521" max="11521" width="46.7109375" style="86" bestFit="1" customWidth="1"/>
    <col min="11522" max="11523" width="0" style="86" hidden="1" customWidth="1"/>
    <col min="11524" max="11524" width="15.7109375" style="86" bestFit="1" customWidth="1"/>
    <col min="11525" max="11525" width="15.5703125" style="86" bestFit="1" customWidth="1"/>
    <col min="11526" max="11526" width="0" style="86" hidden="1" customWidth="1"/>
    <col min="11527" max="11527" width="16.85546875" style="86" bestFit="1" customWidth="1"/>
    <col min="11528" max="11528" width="9.140625" style="86"/>
    <col min="11529" max="11529" width="10.28515625" style="86" bestFit="1" customWidth="1"/>
    <col min="11530" max="11774" width="9.140625" style="86"/>
    <col min="11775" max="11775" width="15" style="86" bestFit="1" customWidth="1"/>
    <col min="11776" max="11776" width="39.28515625" style="86" customWidth="1"/>
    <col min="11777" max="11777" width="46.7109375" style="86" bestFit="1" customWidth="1"/>
    <col min="11778" max="11779" width="0" style="86" hidden="1" customWidth="1"/>
    <col min="11780" max="11780" width="15.7109375" style="86" bestFit="1" customWidth="1"/>
    <col min="11781" max="11781" width="15.5703125" style="86" bestFit="1" customWidth="1"/>
    <col min="11782" max="11782" width="0" style="86" hidden="1" customWidth="1"/>
    <col min="11783" max="11783" width="16.85546875" style="86" bestFit="1" customWidth="1"/>
    <col min="11784" max="11784" width="9.140625" style="86"/>
    <col min="11785" max="11785" width="10.28515625" style="86" bestFit="1" customWidth="1"/>
    <col min="11786" max="12030" width="9.140625" style="86"/>
    <col min="12031" max="12031" width="15" style="86" bestFit="1" customWidth="1"/>
    <col min="12032" max="12032" width="39.28515625" style="86" customWidth="1"/>
    <col min="12033" max="12033" width="46.7109375" style="86" bestFit="1" customWidth="1"/>
    <col min="12034" max="12035" width="0" style="86" hidden="1" customWidth="1"/>
    <col min="12036" max="12036" width="15.7109375" style="86" bestFit="1" customWidth="1"/>
    <col min="12037" max="12037" width="15.5703125" style="86" bestFit="1" customWidth="1"/>
    <col min="12038" max="12038" width="0" style="86" hidden="1" customWidth="1"/>
    <col min="12039" max="12039" width="16.85546875" style="86" bestFit="1" customWidth="1"/>
    <col min="12040" max="12040" width="9.140625" style="86"/>
    <col min="12041" max="12041" width="10.28515625" style="86" bestFit="1" customWidth="1"/>
    <col min="12042" max="12286" width="9.140625" style="86"/>
    <col min="12287" max="12287" width="15" style="86" bestFit="1" customWidth="1"/>
    <col min="12288" max="12288" width="39.28515625" style="86" customWidth="1"/>
    <col min="12289" max="12289" width="46.7109375" style="86" bestFit="1" customWidth="1"/>
    <col min="12290" max="12291" width="0" style="86" hidden="1" customWidth="1"/>
    <col min="12292" max="12292" width="15.7109375" style="86" bestFit="1" customWidth="1"/>
    <col min="12293" max="12293" width="15.5703125" style="86" bestFit="1" customWidth="1"/>
    <col min="12294" max="12294" width="0" style="86" hidden="1" customWidth="1"/>
    <col min="12295" max="12295" width="16.85546875" style="86" bestFit="1" customWidth="1"/>
    <col min="12296" max="12296" width="9.140625" style="86"/>
    <col min="12297" max="12297" width="10.28515625" style="86" bestFit="1" customWidth="1"/>
    <col min="12298" max="12542" width="9.140625" style="86"/>
    <col min="12543" max="12543" width="15" style="86" bestFit="1" customWidth="1"/>
    <col min="12544" max="12544" width="39.28515625" style="86" customWidth="1"/>
    <col min="12545" max="12545" width="46.7109375" style="86" bestFit="1" customWidth="1"/>
    <col min="12546" max="12547" width="0" style="86" hidden="1" customWidth="1"/>
    <col min="12548" max="12548" width="15.7109375" style="86" bestFit="1" customWidth="1"/>
    <col min="12549" max="12549" width="15.5703125" style="86" bestFit="1" customWidth="1"/>
    <col min="12550" max="12550" width="0" style="86" hidden="1" customWidth="1"/>
    <col min="12551" max="12551" width="16.85546875" style="86" bestFit="1" customWidth="1"/>
    <col min="12552" max="12552" width="9.140625" style="86"/>
    <col min="12553" max="12553" width="10.28515625" style="86" bestFit="1" customWidth="1"/>
    <col min="12554" max="12798" width="9.140625" style="86"/>
    <col min="12799" max="12799" width="15" style="86" bestFit="1" customWidth="1"/>
    <col min="12800" max="12800" width="39.28515625" style="86" customWidth="1"/>
    <col min="12801" max="12801" width="46.7109375" style="86" bestFit="1" customWidth="1"/>
    <col min="12802" max="12803" width="0" style="86" hidden="1" customWidth="1"/>
    <col min="12804" max="12804" width="15.7109375" style="86" bestFit="1" customWidth="1"/>
    <col min="12805" max="12805" width="15.5703125" style="86" bestFit="1" customWidth="1"/>
    <col min="12806" max="12806" width="0" style="86" hidden="1" customWidth="1"/>
    <col min="12807" max="12807" width="16.85546875" style="86" bestFit="1" customWidth="1"/>
    <col min="12808" max="12808" width="9.140625" style="86"/>
    <col min="12809" max="12809" width="10.28515625" style="86" bestFit="1" customWidth="1"/>
    <col min="12810" max="13054" width="9.140625" style="86"/>
    <col min="13055" max="13055" width="15" style="86" bestFit="1" customWidth="1"/>
    <col min="13056" max="13056" width="39.28515625" style="86" customWidth="1"/>
    <col min="13057" max="13057" width="46.7109375" style="86" bestFit="1" customWidth="1"/>
    <col min="13058" max="13059" width="0" style="86" hidden="1" customWidth="1"/>
    <col min="13060" max="13060" width="15.7109375" style="86" bestFit="1" customWidth="1"/>
    <col min="13061" max="13061" width="15.5703125" style="86" bestFit="1" customWidth="1"/>
    <col min="13062" max="13062" width="0" style="86" hidden="1" customWidth="1"/>
    <col min="13063" max="13063" width="16.85546875" style="86" bestFit="1" customWidth="1"/>
    <col min="13064" max="13064" width="9.140625" style="86"/>
    <col min="13065" max="13065" width="10.28515625" style="86" bestFit="1" customWidth="1"/>
    <col min="13066" max="13310" width="9.140625" style="86"/>
    <col min="13311" max="13311" width="15" style="86" bestFit="1" customWidth="1"/>
    <col min="13312" max="13312" width="39.28515625" style="86" customWidth="1"/>
    <col min="13313" max="13313" width="46.7109375" style="86" bestFit="1" customWidth="1"/>
    <col min="13314" max="13315" width="0" style="86" hidden="1" customWidth="1"/>
    <col min="13316" max="13316" width="15.7109375" style="86" bestFit="1" customWidth="1"/>
    <col min="13317" max="13317" width="15.5703125" style="86" bestFit="1" customWidth="1"/>
    <col min="13318" max="13318" width="0" style="86" hidden="1" customWidth="1"/>
    <col min="13319" max="13319" width="16.85546875" style="86" bestFit="1" customWidth="1"/>
    <col min="13320" max="13320" width="9.140625" style="86"/>
    <col min="13321" max="13321" width="10.28515625" style="86" bestFit="1" customWidth="1"/>
    <col min="13322" max="13566" width="9.140625" style="86"/>
    <col min="13567" max="13567" width="15" style="86" bestFit="1" customWidth="1"/>
    <col min="13568" max="13568" width="39.28515625" style="86" customWidth="1"/>
    <col min="13569" max="13569" width="46.7109375" style="86" bestFit="1" customWidth="1"/>
    <col min="13570" max="13571" width="0" style="86" hidden="1" customWidth="1"/>
    <col min="13572" max="13572" width="15.7109375" style="86" bestFit="1" customWidth="1"/>
    <col min="13573" max="13573" width="15.5703125" style="86" bestFit="1" customWidth="1"/>
    <col min="13574" max="13574" width="0" style="86" hidden="1" customWidth="1"/>
    <col min="13575" max="13575" width="16.85546875" style="86" bestFit="1" customWidth="1"/>
    <col min="13576" max="13576" width="9.140625" style="86"/>
    <col min="13577" max="13577" width="10.28515625" style="86" bestFit="1" customWidth="1"/>
    <col min="13578" max="13822" width="9.140625" style="86"/>
    <col min="13823" max="13823" width="15" style="86" bestFit="1" customWidth="1"/>
    <col min="13824" max="13824" width="39.28515625" style="86" customWidth="1"/>
    <col min="13825" max="13825" width="46.7109375" style="86" bestFit="1" customWidth="1"/>
    <col min="13826" max="13827" width="0" style="86" hidden="1" customWidth="1"/>
    <col min="13828" max="13828" width="15.7109375" style="86" bestFit="1" customWidth="1"/>
    <col min="13829" max="13829" width="15.5703125" style="86" bestFit="1" customWidth="1"/>
    <col min="13830" max="13830" width="0" style="86" hidden="1" customWidth="1"/>
    <col min="13831" max="13831" width="16.85546875" style="86" bestFit="1" customWidth="1"/>
    <col min="13832" max="13832" width="9.140625" style="86"/>
    <col min="13833" max="13833" width="10.28515625" style="86" bestFit="1" customWidth="1"/>
    <col min="13834" max="14078" width="9.140625" style="86"/>
    <col min="14079" max="14079" width="15" style="86" bestFit="1" customWidth="1"/>
    <col min="14080" max="14080" width="39.28515625" style="86" customWidth="1"/>
    <col min="14081" max="14081" width="46.7109375" style="86" bestFit="1" customWidth="1"/>
    <col min="14082" max="14083" width="0" style="86" hidden="1" customWidth="1"/>
    <col min="14084" max="14084" width="15.7109375" style="86" bestFit="1" customWidth="1"/>
    <col min="14085" max="14085" width="15.5703125" style="86" bestFit="1" customWidth="1"/>
    <col min="14086" max="14086" width="0" style="86" hidden="1" customWidth="1"/>
    <col min="14087" max="14087" width="16.85546875" style="86" bestFit="1" customWidth="1"/>
    <col min="14088" max="14088" width="9.140625" style="86"/>
    <col min="14089" max="14089" width="10.28515625" style="86" bestFit="1" customWidth="1"/>
    <col min="14090" max="14334" width="9.140625" style="86"/>
    <col min="14335" max="14335" width="15" style="86" bestFit="1" customWidth="1"/>
    <col min="14336" max="14336" width="39.28515625" style="86" customWidth="1"/>
    <col min="14337" max="14337" width="46.7109375" style="86" bestFit="1" customWidth="1"/>
    <col min="14338" max="14339" width="0" style="86" hidden="1" customWidth="1"/>
    <col min="14340" max="14340" width="15.7109375" style="86" bestFit="1" customWidth="1"/>
    <col min="14341" max="14341" width="15.5703125" style="86" bestFit="1" customWidth="1"/>
    <col min="14342" max="14342" width="0" style="86" hidden="1" customWidth="1"/>
    <col min="14343" max="14343" width="16.85546875" style="86" bestFit="1" customWidth="1"/>
    <col min="14344" max="14344" width="9.140625" style="86"/>
    <col min="14345" max="14345" width="10.28515625" style="86" bestFit="1" customWidth="1"/>
    <col min="14346" max="14590" width="9.140625" style="86"/>
    <col min="14591" max="14591" width="15" style="86" bestFit="1" customWidth="1"/>
    <col min="14592" max="14592" width="39.28515625" style="86" customWidth="1"/>
    <col min="14593" max="14593" width="46.7109375" style="86" bestFit="1" customWidth="1"/>
    <col min="14594" max="14595" width="0" style="86" hidden="1" customWidth="1"/>
    <col min="14596" max="14596" width="15.7109375" style="86" bestFit="1" customWidth="1"/>
    <col min="14597" max="14597" width="15.5703125" style="86" bestFit="1" customWidth="1"/>
    <col min="14598" max="14598" width="0" style="86" hidden="1" customWidth="1"/>
    <col min="14599" max="14599" width="16.85546875" style="86" bestFit="1" customWidth="1"/>
    <col min="14600" max="14600" width="9.140625" style="86"/>
    <col min="14601" max="14601" width="10.28515625" style="86" bestFit="1" customWidth="1"/>
    <col min="14602" max="14846" width="9.140625" style="86"/>
    <col min="14847" max="14847" width="15" style="86" bestFit="1" customWidth="1"/>
    <col min="14848" max="14848" width="39.28515625" style="86" customWidth="1"/>
    <col min="14849" max="14849" width="46.7109375" style="86" bestFit="1" customWidth="1"/>
    <col min="14850" max="14851" width="0" style="86" hidden="1" customWidth="1"/>
    <col min="14852" max="14852" width="15.7109375" style="86" bestFit="1" customWidth="1"/>
    <col min="14853" max="14853" width="15.5703125" style="86" bestFit="1" customWidth="1"/>
    <col min="14854" max="14854" width="0" style="86" hidden="1" customWidth="1"/>
    <col min="14855" max="14855" width="16.85546875" style="86" bestFit="1" customWidth="1"/>
    <col min="14856" max="14856" width="9.140625" style="86"/>
    <col min="14857" max="14857" width="10.28515625" style="86" bestFit="1" customWidth="1"/>
    <col min="14858" max="15102" width="9.140625" style="86"/>
    <col min="15103" max="15103" width="15" style="86" bestFit="1" customWidth="1"/>
    <col min="15104" max="15104" width="39.28515625" style="86" customWidth="1"/>
    <col min="15105" max="15105" width="46.7109375" style="86" bestFit="1" customWidth="1"/>
    <col min="15106" max="15107" width="0" style="86" hidden="1" customWidth="1"/>
    <col min="15108" max="15108" width="15.7109375" style="86" bestFit="1" customWidth="1"/>
    <col min="15109" max="15109" width="15.5703125" style="86" bestFit="1" customWidth="1"/>
    <col min="15110" max="15110" width="0" style="86" hidden="1" customWidth="1"/>
    <col min="15111" max="15111" width="16.85546875" style="86" bestFit="1" customWidth="1"/>
    <col min="15112" max="15112" width="9.140625" style="86"/>
    <col min="15113" max="15113" width="10.28515625" style="86" bestFit="1" customWidth="1"/>
    <col min="15114" max="15358" width="9.140625" style="86"/>
    <col min="15359" max="15359" width="15" style="86" bestFit="1" customWidth="1"/>
    <col min="15360" max="15360" width="39.28515625" style="86" customWidth="1"/>
    <col min="15361" max="15361" width="46.7109375" style="86" bestFit="1" customWidth="1"/>
    <col min="15362" max="15363" width="0" style="86" hidden="1" customWidth="1"/>
    <col min="15364" max="15364" width="15.7109375" style="86" bestFit="1" customWidth="1"/>
    <col min="15365" max="15365" width="15.5703125" style="86" bestFit="1" customWidth="1"/>
    <col min="15366" max="15366" width="0" style="86" hidden="1" customWidth="1"/>
    <col min="15367" max="15367" width="16.85546875" style="86" bestFit="1" customWidth="1"/>
    <col min="15368" max="15368" width="9.140625" style="86"/>
    <col min="15369" max="15369" width="10.28515625" style="86" bestFit="1" customWidth="1"/>
    <col min="15370" max="15614" width="9.140625" style="86"/>
    <col min="15615" max="15615" width="15" style="86" bestFit="1" customWidth="1"/>
    <col min="15616" max="15616" width="39.28515625" style="86" customWidth="1"/>
    <col min="15617" max="15617" width="46.7109375" style="86" bestFit="1" customWidth="1"/>
    <col min="15618" max="15619" width="0" style="86" hidden="1" customWidth="1"/>
    <col min="15620" max="15620" width="15.7109375" style="86" bestFit="1" customWidth="1"/>
    <col min="15621" max="15621" width="15.5703125" style="86" bestFit="1" customWidth="1"/>
    <col min="15622" max="15622" width="0" style="86" hidden="1" customWidth="1"/>
    <col min="15623" max="15623" width="16.85546875" style="86" bestFit="1" customWidth="1"/>
    <col min="15624" max="15624" width="9.140625" style="86"/>
    <col min="15625" max="15625" width="10.28515625" style="86" bestFit="1" customWidth="1"/>
    <col min="15626" max="15870" width="9.140625" style="86"/>
    <col min="15871" max="15871" width="15" style="86" bestFit="1" customWidth="1"/>
    <col min="15872" max="15872" width="39.28515625" style="86" customWidth="1"/>
    <col min="15873" max="15873" width="46.7109375" style="86" bestFit="1" customWidth="1"/>
    <col min="15874" max="15875" width="0" style="86" hidden="1" customWidth="1"/>
    <col min="15876" max="15876" width="15.7109375" style="86" bestFit="1" customWidth="1"/>
    <col min="15877" max="15877" width="15.5703125" style="86" bestFit="1" customWidth="1"/>
    <col min="15878" max="15878" width="0" style="86" hidden="1" customWidth="1"/>
    <col min="15879" max="15879" width="16.85546875" style="86" bestFit="1" customWidth="1"/>
    <col min="15880" max="15880" width="9.140625" style="86"/>
    <col min="15881" max="15881" width="10.28515625" style="86" bestFit="1" customWidth="1"/>
    <col min="15882" max="16126" width="9.140625" style="86"/>
    <col min="16127" max="16127" width="15" style="86" bestFit="1" customWidth="1"/>
    <col min="16128" max="16128" width="39.28515625" style="86" customWidth="1"/>
    <col min="16129" max="16129" width="46.7109375" style="86" bestFit="1" customWidth="1"/>
    <col min="16130" max="16131" width="0" style="86" hidden="1" customWidth="1"/>
    <col min="16132" max="16132" width="15.7109375" style="86" bestFit="1" customWidth="1"/>
    <col min="16133" max="16133" width="15.5703125" style="86" bestFit="1" customWidth="1"/>
    <col min="16134" max="16134" width="0" style="86" hidden="1" customWidth="1"/>
    <col min="16135" max="16135" width="16.85546875" style="86" bestFit="1" customWidth="1"/>
    <col min="16136" max="16136" width="9.140625" style="86"/>
    <col min="16137" max="16137" width="10.28515625" style="86" bestFit="1" customWidth="1"/>
    <col min="16138" max="16384" width="9.140625" style="86"/>
  </cols>
  <sheetData>
    <row r="1" spans="1:20" ht="45" customHeight="1" x14ac:dyDescent="0.25">
      <c r="A1" s="841" t="str">
        <f>"Missio and Mill Hill Red Box Parish Results 2020 - Westminster Diocese"</f>
        <v>Missio and Mill Hill Red Box Parish Results 2020 - Westminster Diocese</v>
      </c>
      <c r="B1" s="248"/>
      <c r="C1" s="248"/>
      <c r="D1" s="248"/>
      <c r="E1" s="248"/>
      <c r="L1" s="757">
        <v>2020</v>
      </c>
      <c r="M1" s="757">
        <v>2020</v>
      </c>
      <c r="N1" s="757">
        <v>2020</v>
      </c>
      <c r="P1" s="248"/>
      <c r="Q1" s="248"/>
      <c r="R1" s="248"/>
      <c r="S1" s="167"/>
    </row>
    <row r="2" spans="1:20" ht="30" customHeight="1" x14ac:dyDescent="0.3">
      <c r="A2" s="622" t="s">
        <v>1</v>
      </c>
      <c r="B2" s="622" t="s">
        <v>2</v>
      </c>
      <c r="C2" s="622" t="s">
        <v>7882</v>
      </c>
      <c r="D2" s="622" t="s">
        <v>8214</v>
      </c>
      <c r="E2" s="622" t="s">
        <v>8165</v>
      </c>
      <c r="F2" s="622" t="s">
        <v>7809</v>
      </c>
      <c r="G2" s="622" t="s">
        <v>311</v>
      </c>
      <c r="H2" s="622" t="s">
        <v>312</v>
      </c>
      <c r="I2" s="622" t="s">
        <v>2</v>
      </c>
      <c r="J2" s="622" t="s">
        <v>11021</v>
      </c>
      <c r="K2" s="622" t="s">
        <v>10989</v>
      </c>
      <c r="L2" s="622" t="s">
        <v>308</v>
      </c>
      <c r="M2" s="622" t="s">
        <v>10990</v>
      </c>
      <c r="N2" s="622" t="s">
        <v>10991</v>
      </c>
      <c r="O2" s="622">
        <v>2020</v>
      </c>
      <c r="P2" s="622">
        <f>ARU!P2</f>
        <v>2019</v>
      </c>
      <c r="Q2" s="622">
        <v>2019</v>
      </c>
      <c r="R2" s="622">
        <v>2018</v>
      </c>
      <c r="S2" s="622">
        <v>2017</v>
      </c>
      <c r="T2" s="86" t="s">
        <v>7884</v>
      </c>
    </row>
    <row r="3" spans="1:20" ht="30" customHeight="1" x14ac:dyDescent="0.2">
      <c r="A3" s="291" t="str">
        <f t="shared" ref="A3:A66" si="0">D3&amp;" / "&amp;E3</f>
        <v>WES001 / 1376</v>
      </c>
      <c r="B3" s="89" t="s">
        <v>7885</v>
      </c>
      <c r="C3" s="89" t="s">
        <v>7886</v>
      </c>
      <c r="D3" s="318" t="s">
        <v>6266</v>
      </c>
      <c r="E3" s="369" t="str">
        <f>VLOOKUP(D:D,'Master Table'!C:D,2,FALSE)</f>
        <v>1376</v>
      </c>
      <c r="F3" s="769" t="s">
        <v>6266</v>
      </c>
      <c r="G3" s="769" t="s">
        <v>6267</v>
      </c>
      <c r="H3" s="769" t="s">
        <v>6268</v>
      </c>
      <c r="I3" s="769" t="s">
        <v>1832</v>
      </c>
      <c r="J3" s="769" t="s">
        <v>7887</v>
      </c>
      <c r="K3" s="789" t="s">
        <v>324</v>
      </c>
      <c r="L3" s="790">
        <v>0</v>
      </c>
      <c r="M3" s="790">
        <v>4887.68</v>
      </c>
      <c r="N3" s="790"/>
      <c r="O3" s="312">
        <v>4887.68</v>
      </c>
      <c r="P3" s="467">
        <f>VLOOKUP(D:D,'Master Table'!C:O,13,FALSE)</f>
        <v>3473.1400000000003</v>
      </c>
      <c r="Q3" s="657">
        <v>3473.1400000000003</v>
      </c>
      <c r="R3" s="664">
        <v>3020.69</v>
      </c>
      <c r="S3" s="650">
        <v>3397.23</v>
      </c>
      <c r="T3" s="86" t="s">
        <v>7887</v>
      </c>
    </row>
    <row r="4" spans="1:20" ht="30" customHeight="1" x14ac:dyDescent="0.2">
      <c r="A4" s="291" t="str">
        <f t="shared" si="0"/>
        <v>WES002 / 1377</v>
      </c>
      <c r="B4" s="89" t="s">
        <v>6275</v>
      </c>
      <c r="C4" s="89" t="s">
        <v>7888</v>
      </c>
      <c r="D4" s="318" t="s">
        <v>6272</v>
      </c>
      <c r="E4" s="369" t="str">
        <f>VLOOKUP(D:D,'Master Table'!C:D,2,FALSE)</f>
        <v>1377</v>
      </c>
      <c r="F4" s="769" t="s">
        <v>6272</v>
      </c>
      <c r="G4" s="769" t="s">
        <v>6273</v>
      </c>
      <c r="H4" s="769" t="s">
        <v>6274</v>
      </c>
      <c r="I4" s="769" t="s">
        <v>6275</v>
      </c>
      <c r="J4" s="769" t="s">
        <v>7889</v>
      </c>
      <c r="K4" s="789" t="s">
        <v>324</v>
      </c>
      <c r="L4" s="790">
        <v>225.3</v>
      </c>
      <c r="M4" s="790">
        <v>624</v>
      </c>
      <c r="N4" s="790"/>
      <c r="O4" s="312">
        <v>849.3</v>
      </c>
      <c r="P4" s="467">
        <f>VLOOKUP(D:D,'Master Table'!C:O,13,FALSE)</f>
        <v>2686.68</v>
      </c>
      <c r="Q4" s="657">
        <v>2686.68</v>
      </c>
      <c r="R4" s="664">
        <v>1276.54</v>
      </c>
      <c r="S4" s="650">
        <v>2641.66</v>
      </c>
      <c r="T4" s="86" t="s">
        <v>7889</v>
      </c>
    </row>
    <row r="5" spans="1:20" ht="30" customHeight="1" x14ac:dyDescent="0.2">
      <c r="A5" s="291" t="str">
        <f t="shared" si="0"/>
        <v>WES003 / 1378</v>
      </c>
      <c r="B5" s="89" t="s">
        <v>7890</v>
      </c>
      <c r="C5" s="89" t="s">
        <v>1203</v>
      </c>
      <c r="D5" s="318" t="s">
        <v>6276</v>
      </c>
      <c r="E5" s="369" t="str">
        <f>VLOOKUP(D:D,'Master Table'!C:D,2,FALSE)</f>
        <v>1378</v>
      </c>
      <c r="F5" s="769" t="s">
        <v>6276</v>
      </c>
      <c r="G5" s="769" t="s">
        <v>6277</v>
      </c>
      <c r="H5" s="769" t="s">
        <v>193</v>
      </c>
      <c r="I5" s="769" t="s">
        <v>1832</v>
      </c>
      <c r="J5" s="769" t="s">
        <v>7891</v>
      </c>
      <c r="K5" s="789" t="s">
        <v>324</v>
      </c>
      <c r="L5" s="790">
        <v>291.51</v>
      </c>
      <c r="M5" s="790">
        <v>445</v>
      </c>
      <c r="N5" s="790"/>
      <c r="O5" s="312">
        <v>736.51</v>
      </c>
      <c r="P5" s="467">
        <f>VLOOKUP(D:D,'Master Table'!C:O,13,FALSE)</f>
        <v>781.74</v>
      </c>
      <c r="Q5" s="657">
        <v>781.74</v>
      </c>
      <c r="R5" s="664">
        <v>2148.48</v>
      </c>
      <c r="S5" s="650">
        <v>2514</v>
      </c>
      <c r="T5" s="86" t="s">
        <v>7891</v>
      </c>
    </row>
    <row r="6" spans="1:20" ht="30" customHeight="1" x14ac:dyDescent="0.2">
      <c r="A6" s="291" t="str">
        <f t="shared" si="0"/>
        <v>WES004 / 1379</v>
      </c>
      <c r="B6" s="89" t="s">
        <v>7892</v>
      </c>
      <c r="C6" s="89" t="s">
        <v>6280</v>
      </c>
      <c r="D6" s="318" t="s">
        <v>6278</v>
      </c>
      <c r="E6" s="369" t="str">
        <f>VLOOKUP(D:D,'Master Table'!C:D,2,FALSE)</f>
        <v>1379</v>
      </c>
      <c r="F6" s="769" t="s">
        <v>6278</v>
      </c>
      <c r="G6" s="769" t="s">
        <v>6279</v>
      </c>
      <c r="H6" s="769" t="s">
        <v>6280</v>
      </c>
      <c r="I6" s="769" t="s">
        <v>1832</v>
      </c>
      <c r="J6" s="769" t="s">
        <v>7891</v>
      </c>
      <c r="K6" s="789" t="s">
        <v>324</v>
      </c>
      <c r="L6" s="790">
        <v>0</v>
      </c>
      <c r="M6" s="790">
        <v>105</v>
      </c>
      <c r="N6" s="790"/>
      <c r="O6" s="312">
        <v>105</v>
      </c>
      <c r="P6" s="467">
        <f>VLOOKUP(D:D,'Master Table'!C:O,13,FALSE)</f>
        <v>757.84</v>
      </c>
      <c r="Q6" s="657">
        <v>757.84</v>
      </c>
      <c r="R6" s="664">
        <v>105</v>
      </c>
      <c r="S6" s="650">
        <v>1442.3400000000001</v>
      </c>
      <c r="T6" s="86" t="s">
        <v>7891</v>
      </c>
    </row>
    <row r="7" spans="1:20" ht="30" customHeight="1" x14ac:dyDescent="0.2">
      <c r="A7" s="291" t="str">
        <f t="shared" si="0"/>
        <v>WES005 / 1380</v>
      </c>
      <c r="B7" s="89" t="s">
        <v>7893</v>
      </c>
      <c r="C7" s="89" t="s">
        <v>1584</v>
      </c>
      <c r="D7" s="318" t="s">
        <v>6281</v>
      </c>
      <c r="E7" s="369" t="str">
        <f>VLOOKUP(D:D,'Master Table'!C:D,2,FALSE)</f>
        <v>1380</v>
      </c>
      <c r="F7" s="769" t="s">
        <v>6281</v>
      </c>
      <c r="G7" s="769" t="s">
        <v>6282</v>
      </c>
      <c r="H7" s="769" t="s">
        <v>335</v>
      </c>
      <c r="I7" s="769" t="s">
        <v>1832</v>
      </c>
      <c r="J7" s="769" t="s">
        <v>7891</v>
      </c>
      <c r="K7" s="789" t="s">
        <v>324</v>
      </c>
      <c r="L7" s="790">
        <v>0</v>
      </c>
      <c r="M7" s="790">
        <v>25</v>
      </c>
      <c r="N7" s="790"/>
      <c r="O7" s="312">
        <v>25</v>
      </c>
      <c r="P7" s="467">
        <f>VLOOKUP(D:D,'Master Table'!C:O,13,FALSE)</f>
        <v>500</v>
      </c>
      <c r="Q7" s="657">
        <v>500</v>
      </c>
      <c r="R7" s="664">
        <v>500</v>
      </c>
      <c r="S7" s="650">
        <v>283.77</v>
      </c>
      <c r="T7" s="86" t="s">
        <v>7891</v>
      </c>
    </row>
    <row r="8" spans="1:20" ht="30" customHeight="1" x14ac:dyDescent="0.2">
      <c r="A8" s="291" t="str">
        <f t="shared" si="0"/>
        <v>WES006 / 1381</v>
      </c>
      <c r="B8" s="89" t="s">
        <v>5505</v>
      </c>
      <c r="C8" s="89" t="s">
        <v>1489</v>
      </c>
      <c r="D8" s="318" t="s">
        <v>6283</v>
      </c>
      <c r="E8" s="369" t="str">
        <f>VLOOKUP(D:D,'Master Table'!C:D,2,FALSE)</f>
        <v>1381</v>
      </c>
      <c r="F8" s="769" t="s">
        <v>6283</v>
      </c>
      <c r="G8" s="769" t="s">
        <v>6284</v>
      </c>
      <c r="H8" s="769" t="s">
        <v>6285</v>
      </c>
      <c r="I8" s="769" t="s">
        <v>5505</v>
      </c>
      <c r="J8" s="769" t="s">
        <v>7894</v>
      </c>
      <c r="K8" s="789" t="s">
        <v>324</v>
      </c>
      <c r="L8" s="790">
        <v>927.94</v>
      </c>
      <c r="M8" s="790">
        <v>498.55</v>
      </c>
      <c r="N8" s="790">
        <v>27</v>
      </c>
      <c r="O8" s="312">
        <v>1453.49</v>
      </c>
      <c r="P8" s="467">
        <f>VLOOKUP(D:D,'Master Table'!C:O,13,FALSE)</f>
        <v>2204.44</v>
      </c>
      <c r="Q8" s="657">
        <v>2204.44</v>
      </c>
      <c r="R8" s="664">
        <v>2367.46</v>
      </c>
      <c r="S8" s="650">
        <v>2611.6</v>
      </c>
      <c r="T8" s="86" t="s">
        <v>7894</v>
      </c>
    </row>
    <row r="9" spans="1:20" ht="30" customHeight="1" x14ac:dyDescent="0.2">
      <c r="A9" s="291" t="str">
        <f t="shared" si="0"/>
        <v>WES007 / 1382</v>
      </c>
      <c r="B9" s="89" t="s">
        <v>7895</v>
      </c>
      <c r="C9" s="89" t="s">
        <v>6288</v>
      </c>
      <c r="D9" s="318" t="s">
        <v>6286</v>
      </c>
      <c r="E9" s="369" t="str">
        <f>VLOOKUP(D:D,'Master Table'!C:D,2,FALSE)</f>
        <v>1382</v>
      </c>
      <c r="F9" s="769" t="s">
        <v>6286</v>
      </c>
      <c r="G9" s="769" t="s">
        <v>6287</v>
      </c>
      <c r="H9" s="769" t="s">
        <v>6288</v>
      </c>
      <c r="I9" s="769" t="s">
        <v>6289</v>
      </c>
      <c r="J9" s="769" t="s">
        <v>7896</v>
      </c>
      <c r="K9" s="789" t="s">
        <v>324</v>
      </c>
      <c r="L9" s="790">
        <v>0</v>
      </c>
      <c r="M9" s="790">
        <v>110</v>
      </c>
      <c r="N9" s="790">
        <v>309.29999999999995</v>
      </c>
      <c r="O9" s="312">
        <v>419.29999999999995</v>
      </c>
      <c r="P9" s="467">
        <f>VLOOKUP(D:D,'Master Table'!C:O,13,FALSE)</f>
        <v>995.71</v>
      </c>
      <c r="Q9" s="657">
        <v>995.71</v>
      </c>
      <c r="R9" s="664">
        <v>882.66</v>
      </c>
      <c r="S9" s="650">
        <v>820</v>
      </c>
      <c r="T9" s="86" t="s">
        <v>7896</v>
      </c>
    </row>
    <row r="10" spans="1:20" ht="30" customHeight="1" x14ac:dyDescent="0.2">
      <c r="A10" s="291" t="str">
        <f t="shared" si="0"/>
        <v>WES008 / 1383</v>
      </c>
      <c r="B10" s="89" t="s">
        <v>6293</v>
      </c>
      <c r="C10" s="89" t="s">
        <v>6292</v>
      </c>
      <c r="D10" s="318" t="s">
        <v>6290</v>
      </c>
      <c r="E10" s="369" t="str">
        <f>VLOOKUP(D:D,'Master Table'!C:D,2,FALSE)</f>
        <v>1383</v>
      </c>
      <c r="F10" s="769" t="s">
        <v>6290</v>
      </c>
      <c r="G10" s="769" t="s">
        <v>6291</v>
      </c>
      <c r="H10" s="769" t="s">
        <v>6292</v>
      </c>
      <c r="I10" s="769" t="s">
        <v>6293</v>
      </c>
      <c r="J10" s="769" t="s">
        <v>7897</v>
      </c>
      <c r="K10" s="789" t="s">
        <v>324</v>
      </c>
      <c r="L10" s="790">
        <v>0</v>
      </c>
      <c r="M10" s="790">
        <v>402</v>
      </c>
      <c r="N10" s="790">
        <v>190.82</v>
      </c>
      <c r="O10" s="312">
        <v>592.81999999999994</v>
      </c>
      <c r="P10" s="467">
        <f>VLOOKUP(D:D,'Master Table'!C:O,13,FALSE)</f>
        <v>615.44999999999993</v>
      </c>
      <c r="Q10" s="657">
        <v>615.44999999999993</v>
      </c>
      <c r="R10" s="664">
        <v>759.52</v>
      </c>
      <c r="S10" s="650">
        <v>1051.57</v>
      </c>
      <c r="T10" s="86" t="s">
        <v>7897</v>
      </c>
    </row>
    <row r="11" spans="1:20" ht="30" customHeight="1" x14ac:dyDescent="0.2">
      <c r="A11" s="291" t="str">
        <f t="shared" si="0"/>
        <v>WES009 / 1384</v>
      </c>
      <c r="B11" s="89" t="s">
        <v>7898</v>
      </c>
      <c r="C11" s="89" t="s">
        <v>1004</v>
      </c>
      <c r="D11" s="318" t="s">
        <v>6294</v>
      </c>
      <c r="E11" s="369" t="str">
        <f>VLOOKUP(D:D,'Master Table'!C:D,2,FALSE)</f>
        <v>1384</v>
      </c>
      <c r="F11" s="769" t="s">
        <v>6294</v>
      </c>
      <c r="G11" s="769" t="s">
        <v>6295</v>
      </c>
      <c r="H11" s="769" t="s">
        <v>1004</v>
      </c>
      <c r="I11" s="769" t="s">
        <v>1832</v>
      </c>
      <c r="J11" s="769" t="s">
        <v>7899</v>
      </c>
      <c r="K11" s="789" t="s">
        <v>324</v>
      </c>
      <c r="L11" s="790">
        <v>0</v>
      </c>
      <c r="M11" s="790">
        <v>210</v>
      </c>
      <c r="N11" s="790"/>
      <c r="O11" s="312">
        <v>210</v>
      </c>
      <c r="P11" s="467">
        <f>VLOOKUP(D:D,'Master Table'!C:O,13,FALSE)</f>
        <v>517.53</v>
      </c>
      <c r="Q11" s="657">
        <v>517.53</v>
      </c>
      <c r="R11" s="664">
        <v>1271.6100000000001</v>
      </c>
      <c r="S11" s="650">
        <v>520.19000000000005</v>
      </c>
      <c r="T11" s="86" t="s">
        <v>7899</v>
      </c>
    </row>
    <row r="12" spans="1:20" ht="30" customHeight="1" x14ac:dyDescent="0.2">
      <c r="A12" s="291" t="str">
        <f t="shared" si="0"/>
        <v>WES010 / 1385</v>
      </c>
      <c r="B12" s="89" t="s">
        <v>7900</v>
      </c>
      <c r="C12" s="89" t="s">
        <v>231</v>
      </c>
      <c r="D12" s="318" t="s">
        <v>6296</v>
      </c>
      <c r="E12" s="369" t="str">
        <f>VLOOKUP(D:D,'Master Table'!C:D,2,FALSE)</f>
        <v>1385</v>
      </c>
      <c r="F12" s="769" t="s">
        <v>6296</v>
      </c>
      <c r="G12" s="769" t="s">
        <v>6297</v>
      </c>
      <c r="H12" s="769" t="s">
        <v>428</v>
      </c>
      <c r="I12" s="769" t="s">
        <v>6298</v>
      </c>
      <c r="J12" s="769" t="s">
        <v>11302</v>
      </c>
      <c r="K12" s="789" t="s">
        <v>351</v>
      </c>
      <c r="L12" s="790">
        <v>0</v>
      </c>
      <c r="M12" s="790">
        <v>289</v>
      </c>
      <c r="N12" s="790">
        <v>1028.04</v>
      </c>
      <c r="O12" s="312">
        <v>1317.04</v>
      </c>
      <c r="P12" s="467">
        <f>VLOOKUP(D:D,'Master Table'!C:O,13,FALSE)</f>
        <v>1094</v>
      </c>
      <c r="Q12" s="657">
        <v>1094</v>
      </c>
      <c r="R12" s="664">
        <v>1508.28</v>
      </c>
      <c r="S12" s="650">
        <v>1354</v>
      </c>
      <c r="T12" s="86" t="s">
        <v>7901</v>
      </c>
    </row>
    <row r="13" spans="1:20" ht="30" customHeight="1" x14ac:dyDescent="0.2">
      <c r="A13" s="291" t="str">
        <f t="shared" si="0"/>
        <v>WES011 / 1386</v>
      </c>
      <c r="B13" s="89" t="s">
        <v>7902</v>
      </c>
      <c r="C13" s="89" t="s">
        <v>127</v>
      </c>
      <c r="D13" s="318" t="s">
        <v>6299</v>
      </c>
      <c r="E13" s="369" t="str">
        <f>VLOOKUP(D:D,'Master Table'!C:D,2,FALSE)</f>
        <v>1386</v>
      </c>
      <c r="F13" s="769" t="s">
        <v>6299</v>
      </c>
      <c r="G13" s="769" t="s">
        <v>6300</v>
      </c>
      <c r="H13" s="769" t="s">
        <v>127</v>
      </c>
      <c r="I13" s="769" t="s">
        <v>1832</v>
      </c>
      <c r="J13" s="769" t="s">
        <v>7903</v>
      </c>
      <c r="K13" s="789" t="s">
        <v>324</v>
      </c>
      <c r="L13" s="790">
        <v>0</v>
      </c>
      <c r="M13" s="790">
        <v>360</v>
      </c>
      <c r="N13" s="790"/>
      <c r="O13" s="312">
        <v>360</v>
      </c>
      <c r="P13" s="467">
        <f>VLOOKUP(D:D,'Master Table'!C:O,13,FALSE)</f>
        <v>435</v>
      </c>
      <c r="Q13" s="657">
        <v>435</v>
      </c>
      <c r="R13" s="664">
        <v>360</v>
      </c>
      <c r="S13" s="650">
        <v>340</v>
      </c>
      <c r="T13" s="86" t="s">
        <v>7903</v>
      </c>
    </row>
    <row r="14" spans="1:20" ht="30" customHeight="1" x14ac:dyDescent="0.2">
      <c r="A14" s="291" t="str">
        <f t="shared" si="0"/>
        <v>WES012 / 1387</v>
      </c>
      <c r="B14" s="89" t="s">
        <v>7904</v>
      </c>
      <c r="C14" s="89" t="s">
        <v>6303</v>
      </c>
      <c r="D14" s="318" t="s">
        <v>6301</v>
      </c>
      <c r="E14" s="369" t="str">
        <f>VLOOKUP(D:D,'Master Table'!C:D,2,FALSE)</f>
        <v>1387</v>
      </c>
      <c r="F14" s="769" t="s">
        <v>6301</v>
      </c>
      <c r="G14" s="769" t="s">
        <v>6302</v>
      </c>
      <c r="H14" s="769" t="s">
        <v>6303</v>
      </c>
      <c r="I14" s="769" t="s">
        <v>6304</v>
      </c>
      <c r="J14" s="769" t="s">
        <v>7905</v>
      </c>
      <c r="K14" s="789" t="s">
        <v>324</v>
      </c>
      <c r="L14" s="790">
        <v>799.96</v>
      </c>
      <c r="M14" s="790">
        <v>1212</v>
      </c>
      <c r="N14" s="790"/>
      <c r="O14" s="312">
        <v>2011.96</v>
      </c>
      <c r="P14" s="467">
        <f>VLOOKUP(D:D,'Master Table'!C:O,13,FALSE)</f>
        <v>3162.8799999999997</v>
      </c>
      <c r="Q14" s="657">
        <v>3162.8799999999997</v>
      </c>
      <c r="R14" s="664">
        <v>3429.57</v>
      </c>
      <c r="S14" s="650">
        <v>3547.72</v>
      </c>
      <c r="T14" s="86" t="s">
        <v>7905</v>
      </c>
    </row>
    <row r="15" spans="1:20" ht="30" customHeight="1" x14ac:dyDescent="0.2">
      <c r="A15" s="291" t="str">
        <f t="shared" si="0"/>
        <v>WES013 / 1388</v>
      </c>
      <c r="B15" s="89" t="s">
        <v>6309</v>
      </c>
      <c r="C15" s="89" t="s">
        <v>934</v>
      </c>
      <c r="D15" s="318" t="s">
        <v>6306</v>
      </c>
      <c r="E15" s="369" t="str">
        <f>VLOOKUP(D:D,'Master Table'!C:D,2,FALSE)</f>
        <v>1388</v>
      </c>
      <c r="F15" s="769" t="s">
        <v>6306</v>
      </c>
      <c r="G15" s="769" t="s">
        <v>6307</v>
      </c>
      <c r="H15" s="769" t="s">
        <v>6308</v>
      </c>
      <c r="I15" s="769" t="s">
        <v>6309</v>
      </c>
      <c r="J15" s="769" t="s">
        <v>11302</v>
      </c>
      <c r="K15" s="789" t="s">
        <v>324</v>
      </c>
      <c r="L15" s="790">
        <v>1170</v>
      </c>
      <c r="M15" s="790">
        <v>290</v>
      </c>
      <c r="N15" s="790">
        <v>200</v>
      </c>
      <c r="O15" s="312">
        <v>1660</v>
      </c>
      <c r="P15" s="467">
        <f>VLOOKUP(D:D,'Master Table'!C:O,13,FALSE)</f>
        <v>1753</v>
      </c>
      <c r="Q15" s="657">
        <v>1753</v>
      </c>
      <c r="R15" s="664">
        <v>2210</v>
      </c>
      <c r="S15" s="650">
        <v>1422</v>
      </c>
      <c r="T15" s="86" t="s">
        <v>7901</v>
      </c>
    </row>
    <row r="16" spans="1:20" ht="30" customHeight="1" x14ac:dyDescent="0.2">
      <c r="A16" s="291" t="str">
        <f t="shared" si="0"/>
        <v>WES014 / 1389</v>
      </c>
      <c r="B16" s="89" t="s">
        <v>7906</v>
      </c>
      <c r="C16" s="89" t="s">
        <v>7907</v>
      </c>
      <c r="D16" s="318" t="s">
        <v>6311</v>
      </c>
      <c r="E16" s="369" t="str">
        <f>VLOOKUP(D:D,'Master Table'!C:D,2,FALSE)</f>
        <v>1389</v>
      </c>
      <c r="F16" s="769" t="s">
        <v>6311</v>
      </c>
      <c r="G16" s="769" t="s">
        <v>6312</v>
      </c>
      <c r="H16" s="769" t="s">
        <v>6313</v>
      </c>
      <c r="I16" s="769" t="s">
        <v>6309</v>
      </c>
      <c r="J16" s="769" t="s">
        <v>11302</v>
      </c>
      <c r="K16" s="789" t="s">
        <v>324</v>
      </c>
      <c r="L16" s="790">
        <v>431</v>
      </c>
      <c r="M16" s="790">
        <v>124</v>
      </c>
      <c r="N16" s="790"/>
      <c r="O16" s="312">
        <v>555</v>
      </c>
      <c r="P16" s="467">
        <f>VLOOKUP(D:D,'Master Table'!C:O,13,FALSE)</f>
        <v>870</v>
      </c>
      <c r="Q16" s="657">
        <v>870</v>
      </c>
      <c r="R16" s="664">
        <v>1080</v>
      </c>
      <c r="S16" s="650">
        <v>911</v>
      </c>
      <c r="T16" s="86" t="s">
        <v>7901</v>
      </c>
    </row>
    <row r="17" spans="1:20" ht="30" customHeight="1" x14ac:dyDescent="0.2">
      <c r="A17" s="291" t="str">
        <f t="shared" si="0"/>
        <v>WES015 / 1390</v>
      </c>
      <c r="B17" s="89" t="s">
        <v>7908</v>
      </c>
      <c r="C17" s="89" t="s">
        <v>6316</v>
      </c>
      <c r="D17" s="318" t="s">
        <v>6314</v>
      </c>
      <c r="E17" s="369" t="str">
        <f>VLOOKUP(D:D,'Master Table'!C:D,2,FALSE)</f>
        <v>1390</v>
      </c>
      <c r="F17" s="769" t="s">
        <v>6314</v>
      </c>
      <c r="G17" s="769" t="s">
        <v>6315</v>
      </c>
      <c r="H17" s="769" t="s">
        <v>6316</v>
      </c>
      <c r="I17" s="769" t="s">
        <v>6317</v>
      </c>
      <c r="J17" s="769" t="s">
        <v>7889</v>
      </c>
      <c r="K17" s="789" t="s">
        <v>324</v>
      </c>
      <c r="L17" s="790">
        <v>0</v>
      </c>
      <c r="M17" s="790">
        <v>25</v>
      </c>
      <c r="N17" s="790"/>
      <c r="O17" s="312">
        <v>25</v>
      </c>
      <c r="P17" s="467">
        <f>VLOOKUP(D:D,'Master Table'!C:O,13,FALSE)</f>
        <v>25</v>
      </c>
      <c r="Q17" s="657">
        <v>25</v>
      </c>
      <c r="R17" s="664">
        <v>25</v>
      </c>
      <c r="S17" s="650">
        <v>25</v>
      </c>
      <c r="T17" s="86" t="s">
        <v>7889</v>
      </c>
    </row>
    <row r="18" spans="1:20" ht="30" customHeight="1" x14ac:dyDescent="0.2">
      <c r="A18" s="291" t="str">
        <f t="shared" si="0"/>
        <v>WES016 / 1391</v>
      </c>
      <c r="B18" s="89" t="s">
        <v>7909</v>
      </c>
      <c r="C18" s="89" t="s">
        <v>6320</v>
      </c>
      <c r="D18" s="318" t="s">
        <v>6318</v>
      </c>
      <c r="E18" s="369" t="str">
        <f>VLOOKUP(D:D,'Master Table'!C:D,2,FALSE)</f>
        <v>1391</v>
      </c>
      <c r="F18" s="769" t="s">
        <v>6318</v>
      </c>
      <c r="G18" s="769" t="s">
        <v>6319</v>
      </c>
      <c r="H18" s="769" t="s">
        <v>6320</v>
      </c>
      <c r="I18" s="769" t="s">
        <v>1832</v>
      </c>
      <c r="J18" s="769" t="s">
        <v>11303</v>
      </c>
      <c r="K18" s="789" t="s">
        <v>324</v>
      </c>
      <c r="L18" s="790">
        <v>0</v>
      </c>
      <c r="M18" s="790">
        <v>350</v>
      </c>
      <c r="N18" s="790">
        <v>1025.24</v>
      </c>
      <c r="O18" s="312">
        <v>1375.24</v>
      </c>
      <c r="P18" s="467">
        <f>VLOOKUP(D:D,'Master Table'!C:O,13,FALSE)</f>
        <v>220</v>
      </c>
      <c r="Q18" s="657">
        <v>220</v>
      </c>
      <c r="R18" s="664">
        <v>1078.6199999999999</v>
      </c>
      <c r="S18" s="650">
        <v>3180.84</v>
      </c>
      <c r="T18" s="86" t="s">
        <v>7903</v>
      </c>
    </row>
    <row r="19" spans="1:20" ht="30" customHeight="1" x14ac:dyDescent="0.2">
      <c r="A19" s="291" t="str">
        <f t="shared" si="0"/>
        <v>WES017 / 1392</v>
      </c>
      <c r="B19" s="89" t="s">
        <v>7910</v>
      </c>
      <c r="C19" s="89" t="s">
        <v>7911</v>
      </c>
      <c r="D19" s="318" t="s">
        <v>6321</v>
      </c>
      <c r="E19" s="369" t="str">
        <f>VLOOKUP(D:D,'Master Table'!C:D,2,FALSE)</f>
        <v>1392</v>
      </c>
      <c r="F19" s="769" t="s">
        <v>6321</v>
      </c>
      <c r="G19" s="769" t="s">
        <v>6322</v>
      </c>
      <c r="H19" s="769" t="s">
        <v>6323</v>
      </c>
      <c r="I19" s="769" t="s">
        <v>1832</v>
      </c>
      <c r="J19" s="769" t="s">
        <v>7903</v>
      </c>
      <c r="K19" s="789" t="s">
        <v>324</v>
      </c>
      <c r="L19" s="790">
        <v>0</v>
      </c>
      <c r="M19" s="790"/>
      <c r="N19" s="790"/>
      <c r="O19" s="312">
        <v>0</v>
      </c>
      <c r="P19" s="467">
        <f>VLOOKUP(D:D,'Master Table'!C:O,13,FALSE)</f>
        <v>0</v>
      </c>
      <c r="Q19" s="657">
        <v>0</v>
      </c>
      <c r="R19" s="664">
        <v>333.45</v>
      </c>
      <c r="S19" s="650">
        <v>60</v>
      </c>
      <c r="T19" s="86" t="s">
        <v>7903</v>
      </c>
    </row>
    <row r="20" spans="1:20" ht="30" customHeight="1" x14ac:dyDescent="0.2">
      <c r="A20" s="291" t="str">
        <f t="shared" si="0"/>
        <v>WES018 / 1393</v>
      </c>
      <c r="B20" s="89" t="s">
        <v>6327</v>
      </c>
      <c r="C20" s="89" t="s">
        <v>164</v>
      </c>
      <c r="D20" s="318" t="s">
        <v>6324</v>
      </c>
      <c r="E20" s="369" t="str">
        <f>VLOOKUP(D:D,'Master Table'!C:D,2,FALSE)</f>
        <v>1393</v>
      </c>
      <c r="F20" s="769" t="s">
        <v>6324</v>
      </c>
      <c r="G20" s="769" t="s">
        <v>6325</v>
      </c>
      <c r="H20" s="769" t="s">
        <v>6326</v>
      </c>
      <c r="I20" s="769" t="s">
        <v>6327</v>
      </c>
      <c r="J20" s="769" t="s">
        <v>7912</v>
      </c>
      <c r="K20" s="789" t="s">
        <v>324</v>
      </c>
      <c r="L20" s="790">
        <v>14.06</v>
      </c>
      <c r="M20" s="790">
        <v>190</v>
      </c>
      <c r="N20" s="790"/>
      <c r="O20" s="312">
        <v>204.06</v>
      </c>
      <c r="P20" s="467">
        <f>VLOOKUP(D:D,'Master Table'!C:O,13,FALSE)</f>
        <v>397.05</v>
      </c>
      <c r="Q20" s="657">
        <v>397.05</v>
      </c>
      <c r="R20" s="664">
        <v>357.7</v>
      </c>
      <c r="S20" s="650">
        <v>821.28</v>
      </c>
      <c r="T20" s="86" t="s">
        <v>7912</v>
      </c>
    </row>
    <row r="21" spans="1:20" ht="30" customHeight="1" x14ac:dyDescent="0.2">
      <c r="A21" s="291" t="str">
        <f t="shared" si="0"/>
        <v>WES019 / 1394</v>
      </c>
      <c r="B21" s="89" t="s">
        <v>7913</v>
      </c>
      <c r="C21" s="89" t="s">
        <v>1371</v>
      </c>
      <c r="D21" s="318" t="s">
        <v>6328</v>
      </c>
      <c r="E21" s="369" t="str">
        <f>VLOOKUP(D:D,'Master Table'!C:D,2,FALSE)</f>
        <v>1394</v>
      </c>
      <c r="F21" s="769" t="s">
        <v>6328</v>
      </c>
      <c r="G21" s="769" t="s">
        <v>6329</v>
      </c>
      <c r="H21" s="769" t="s">
        <v>1054</v>
      </c>
      <c r="I21" s="769" t="s">
        <v>1832</v>
      </c>
      <c r="J21" s="769" t="s">
        <v>11304</v>
      </c>
      <c r="K21" s="789" t="s">
        <v>324</v>
      </c>
      <c r="L21" s="790">
        <v>0</v>
      </c>
      <c r="M21" s="790">
        <v>25</v>
      </c>
      <c r="N21" s="790"/>
      <c r="O21" s="312">
        <v>25</v>
      </c>
      <c r="P21" s="467">
        <f>VLOOKUP(D:D,'Master Table'!C:O,13,FALSE)</f>
        <v>115</v>
      </c>
      <c r="Q21" s="657">
        <v>115</v>
      </c>
      <c r="R21" s="664">
        <v>10</v>
      </c>
      <c r="S21" s="650">
        <v>639.55999999999995</v>
      </c>
      <c r="T21" s="86" t="s">
        <v>7914</v>
      </c>
    </row>
    <row r="22" spans="1:20" ht="30" customHeight="1" x14ac:dyDescent="0.2">
      <c r="A22" s="291" t="str">
        <f t="shared" si="0"/>
        <v>WES020 / 1395</v>
      </c>
      <c r="B22" s="89" t="s">
        <v>7915</v>
      </c>
      <c r="C22" s="89" t="s">
        <v>7916</v>
      </c>
      <c r="D22" s="318" t="s">
        <v>6330</v>
      </c>
      <c r="E22" s="369" t="str">
        <f>VLOOKUP(D:D,'Master Table'!C:D,2,FALSE)</f>
        <v>1395</v>
      </c>
      <c r="F22" s="769" t="s">
        <v>6330</v>
      </c>
      <c r="G22" s="769" t="s">
        <v>6331</v>
      </c>
      <c r="H22" s="769" t="s">
        <v>61</v>
      </c>
      <c r="I22" s="769" t="s">
        <v>1832</v>
      </c>
      <c r="J22" s="769" t="s">
        <v>7917</v>
      </c>
      <c r="K22" s="789" t="s">
        <v>324</v>
      </c>
      <c r="L22" s="790">
        <v>0</v>
      </c>
      <c r="M22" s="790">
        <v>120</v>
      </c>
      <c r="N22" s="790"/>
      <c r="O22" s="312">
        <v>120</v>
      </c>
      <c r="P22" s="467">
        <f>VLOOKUP(D:D,'Master Table'!C:O,13,FALSE)</f>
        <v>130</v>
      </c>
      <c r="Q22" s="657">
        <v>130</v>
      </c>
      <c r="R22" s="664">
        <v>50</v>
      </c>
      <c r="S22" s="650">
        <v>565.9</v>
      </c>
      <c r="T22" s="86" t="s">
        <v>7917</v>
      </c>
    </row>
    <row r="23" spans="1:20" ht="30" customHeight="1" x14ac:dyDescent="0.2">
      <c r="A23" s="291" t="str">
        <f t="shared" si="0"/>
        <v>WES021 / 1396</v>
      </c>
      <c r="B23" s="89" t="s">
        <v>6673</v>
      </c>
      <c r="C23" s="89" t="s">
        <v>2907</v>
      </c>
      <c r="D23" s="318" t="s">
        <v>6332</v>
      </c>
      <c r="E23" s="369" t="str">
        <f>VLOOKUP(D:D,'Master Table'!C:D,2,FALSE)</f>
        <v>1396</v>
      </c>
      <c r="F23" s="769" t="s">
        <v>6332</v>
      </c>
      <c r="G23" s="769" t="s">
        <v>6333</v>
      </c>
      <c r="H23" s="769" t="s">
        <v>2907</v>
      </c>
      <c r="I23" s="769" t="s">
        <v>6334</v>
      </c>
      <c r="J23" s="769" t="s">
        <v>11305</v>
      </c>
      <c r="K23" s="789" t="s">
        <v>324</v>
      </c>
      <c r="L23" s="790">
        <v>0</v>
      </c>
      <c r="M23" s="790">
        <v>20</v>
      </c>
      <c r="N23" s="790">
        <v>117.5</v>
      </c>
      <c r="O23" s="312">
        <v>137.5</v>
      </c>
      <c r="P23" s="467">
        <f>VLOOKUP(D:D,'Master Table'!C:O,13,FALSE)</f>
        <v>397.74</v>
      </c>
      <c r="Q23" s="657">
        <v>397.74</v>
      </c>
      <c r="R23" s="664">
        <v>305.11</v>
      </c>
      <c r="S23" s="650">
        <v>455</v>
      </c>
      <c r="T23" s="86" t="s">
        <v>7905</v>
      </c>
    </row>
    <row r="24" spans="1:20" ht="30" customHeight="1" x14ac:dyDescent="0.2">
      <c r="A24" s="291" t="str">
        <f t="shared" si="0"/>
        <v>WES022 / 1397</v>
      </c>
      <c r="B24" s="89" t="s">
        <v>7918</v>
      </c>
      <c r="C24" s="89" t="s">
        <v>186</v>
      </c>
      <c r="D24" s="318" t="s">
        <v>6335</v>
      </c>
      <c r="E24" s="369" t="str">
        <f>VLOOKUP(D:D,'Master Table'!C:D,2,FALSE)</f>
        <v>1397</v>
      </c>
      <c r="F24" s="769" t="s">
        <v>6335</v>
      </c>
      <c r="G24" s="769" t="s">
        <v>6336</v>
      </c>
      <c r="H24" s="769" t="s">
        <v>4917</v>
      </c>
      <c r="I24" s="769" t="s">
        <v>6337</v>
      </c>
      <c r="J24" s="769" t="s">
        <v>11306</v>
      </c>
      <c r="K24" s="789" t="s">
        <v>324</v>
      </c>
      <c r="L24" s="790">
        <v>332.41</v>
      </c>
      <c r="M24" s="790">
        <v>249</v>
      </c>
      <c r="N24" s="790"/>
      <c r="O24" s="312">
        <v>581.41000000000008</v>
      </c>
      <c r="P24" s="467">
        <f>VLOOKUP(D:D,'Master Table'!C:O,13,FALSE)</f>
        <v>791.71</v>
      </c>
      <c r="Q24" s="657">
        <v>791.71</v>
      </c>
      <c r="R24" s="664">
        <v>1279.69</v>
      </c>
      <c r="S24" s="650">
        <v>2202.42</v>
      </c>
      <c r="T24" s="86" t="s">
        <v>7897</v>
      </c>
    </row>
    <row r="25" spans="1:20" ht="30" customHeight="1" x14ac:dyDescent="0.2">
      <c r="A25" s="291" t="str">
        <f t="shared" si="0"/>
        <v>WES023 / 1398</v>
      </c>
      <c r="B25" s="89" t="s">
        <v>7919</v>
      </c>
      <c r="C25" s="89" t="s">
        <v>6340</v>
      </c>
      <c r="D25" s="318" t="s">
        <v>6338</v>
      </c>
      <c r="E25" s="369" t="str">
        <f>VLOOKUP(D:D,'Master Table'!C:D,2,FALSE)</f>
        <v>1398</v>
      </c>
      <c r="F25" s="769" t="s">
        <v>6338</v>
      </c>
      <c r="G25" s="769" t="s">
        <v>6339</v>
      </c>
      <c r="H25" s="769" t="s">
        <v>6340</v>
      </c>
      <c r="I25" s="769" t="s">
        <v>6341</v>
      </c>
      <c r="J25" s="769" t="s">
        <v>7889</v>
      </c>
      <c r="K25" s="789" t="s">
        <v>324</v>
      </c>
      <c r="L25" s="790">
        <v>153.68</v>
      </c>
      <c r="M25" s="790">
        <v>230</v>
      </c>
      <c r="N25" s="790"/>
      <c r="O25" s="312">
        <v>383.68</v>
      </c>
      <c r="P25" s="467">
        <f>VLOOKUP(D:D,'Master Table'!C:O,13,FALSE)</f>
        <v>1508.8</v>
      </c>
      <c r="Q25" s="657">
        <v>1508.8</v>
      </c>
      <c r="R25" s="664">
        <v>1105.53</v>
      </c>
      <c r="S25" s="650">
        <v>1970.09</v>
      </c>
      <c r="T25" s="86" t="s">
        <v>7889</v>
      </c>
    </row>
    <row r="26" spans="1:20" ht="30" customHeight="1" x14ac:dyDescent="0.2">
      <c r="A26" s="291" t="str">
        <f t="shared" si="0"/>
        <v>WES024 / 1399</v>
      </c>
      <c r="B26" s="89" t="s">
        <v>7920</v>
      </c>
      <c r="C26" s="89" t="s">
        <v>6344</v>
      </c>
      <c r="D26" s="318" t="s">
        <v>6342</v>
      </c>
      <c r="E26" s="369" t="str">
        <f>VLOOKUP(D:D,'Master Table'!C:D,2,FALSE)</f>
        <v>1399</v>
      </c>
      <c r="F26" s="769" t="s">
        <v>6342</v>
      </c>
      <c r="G26" s="769" t="s">
        <v>6343</v>
      </c>
      <c r="H26" s="769" t="s">
        <v>6344</v>
      </c>
      <c r="I26" s="769" t="s">
        <v>1832</v>
      </c>
      <c r="J26" s="769" t="s">
        <v>7921</v>
      </c>
      <c r="K26" s="789" t="s">
        <v>324</v>
      </c>
      <c r="L26" s="790">
        <v>0</v>
      </c>
      <c r="M26" s="790">
        <v>40.4</v>
      </c>
      <c r="N26" s="790"/>
      <c r="O26" s="312">
        <v>40.4</v>
      </c>
      <c r="P26" s="467">
        <f>VLOOKUP(D:D,'Master Table'!C:O,13,FALSE)</f>
        <v>117</v>
      </c>
      <c r="Q26" s="657">
        <v>117</v>
      </c>
      <c r="R26" s="664">
        <v>110</v>
      </c>
      <c r="S26" s="650">
        <v>56</v>
      </c>
      <c r="T26" s="86" t="s">
        <v>7921</v>
      </c>
    </row>
    <row r="27" spans="1:20" ht="30" customHeight="1" x14ac:dyDescent="0.2">
      <c r="A27" s="291" t="str">
        <f t="shared" si="0"/>
        <v>WES025 / 1400</v>
      </c>
      <c r="B27" s="89" t="s">
        <v>7922</v>
      </c>
      <c r="C27" s="89" t="s">
        <v>532</v>
      </c>
      <c r="D27" s="318" t="s">
        <v>6345</v>
      </c>
      <c r="E27" s="369" t="str">
        <f>VLOOKUP(D:D,'Master Table'!C:D,2,FALSE)</f>
        <v>1400</v>
      </c>
      <c r="F27" s="769" t="s">
        <v>6345</v>
      </c>
      <c r="G27" s="769" t="s">
        <v>6346</v>
      </c>
      <c r="H27" s="769" t="s">
        <v>61</v>
      </c>
      <c r="I27" s="769" t="s">
        <v>6341</v>
      </c>
      <c r="J27" s="769" t="s">
        <v>11307</v>
      </c>
      <c r="K27" s="789" t="s">
        <v>324</v>
      </c>
      <c r="L27" s="790">
        <v>0</v>
      </c>
      <c r="M27" s="790"/>
      <c r="N27" s="790"/>
      <c r="O27" s="312">
        <v>0</v>
      </c>
      <c r="P27" s="467">
        <f>VLOOKUP(D:D,'Master Table'!C:O,13,FALSE)</f>
        <v>60</v>
      </c>
      <c r="Q27" s="657">
        <v>60</v>
      </c>
      <c r="R27" s="664">
        <v>60</v>
      </c>
      <c r="S27" s="650">
        <v>60</v>
      </c>
      <c r="T27" s="86" t="s">
        <v>7889</v>
      </c>
    </row>
    <row r="28" spans="1:20" ht="30" customHeight="1" x14ac:dyDescent="0.2">
      <c r="A28" s="291" t="str">
        <f t="shared" si="0"/>
        <v>WES026 / 1401</v>
      </c>
      <c r="B28" s="89" t="s">
        <v>7923</v>
      </c>
      <c r="C28" s="89" t="s">
        <v>7924</v>
      </c>
      <c r="D28" s="318" t="s">
        <v>6347</v>
      </c>
      <c r="E28" s="369" t="str">
        <f>VLOOKUP(D:D,'Master Table'!C:D,2,FALSE)</f>
        <v>1401</v>
      </c>
      <c r="F28" s="769" t="s">
        <v>6347</v>
      </c>
      <c r="G28" s="769" t="s">
        <v>6348</v>
      </c>
      <c r="H28" s="769" t="s">
        <v>31</v>
      </c>
      <c r="I28" s="769" t="s">
        <v>1832</v>
      </c>
      <c r="J28" s="769" t="s">
        <v>11308</v>
      </c>
      <c r="K28" s="789" t="s">
        <v>324</v>
      </c>
      <c r="L28" s="790">
        <v>0</v>
      </c>
      <c r="M28" s="790">
        <v>805</v>
      </c>
      <c r="N28" s="790"/>
      <c r="O28" s="312">
        <v>805</v>
      </c>
      <c r="P28" s="467">
        <f>VLOOKUP(D:D,'Master Table'!C:O,13,FALSE)</f>
        <v>890</v>
      </c>
      <c r="Q28" s="657">
        <v>890</v>
      </c>
      <c r="R28" s="664">
        <v>940</v>
      </c>
      <c r="S28" s="650">
        <v>1246</v>
      </c>
      <c r="T28" s="86" t="s">
        <v>7925</v>
      </c>
    </row>
    <row r="29" spans="1:20" ht="30" customHeight="1" x14ac:dyDescent="0.2">
      <c r="A29" s="291" t="str">
        <f t="shared" si="0"/>
        <v>WES027 / 1402</v>
      </c>
      <c r="B29" s="89" t="s">
        <v>7923</v>
      </c>
      <c r="C29" s="89" t="s">
        <v>6351</v>
      </c>
      <c r="D29" s="318" t="s">
        <v>6349</v>
      </c>
      <c r="E29" s="369" t="str">
        <f>VLOOKUP(D:D,'Master Table'!C:D,2,FALSE)</f>
        <v>1402</v>
      </c>
      <c r="F29" s="769" t="s">
        <v>6349</v>
      </c>
      <c r="G29" s="769" t="s">
        <v>6350</v>
      </c>
      <c r="H29" s="769" t="s">
        <v>6351</v>
      </c>
      <c r="I29" s="769" t="s">
        <v>1832</v>
      </c>
      <c r="J29" s="769" t="s">
        <v>11308</v>
      </c>
      <c r="K29" s="789" t="s">
        <v>324</v>
      </c>
      <c r="L29" s="790">
        <v>273</v>
      </c>
      <c r="M29" s="790">
        <v>1420</v>
      </c>
      <c r="N29" s="790"/>
      <c r="O29" s="312">
        <v>1693</v>
      </c>
      <c r="P29" s="467">
        <f>VLOOKUP(D:D,'Master Table'!C:O,13,FALSE)</f>
        <v>2020.08</v>
      </c>
      <c r="Q29" s="657">
        <v>2020.08</v>
      </c>
      <c r="R29" s="664">
        <v>1533.8899999999999</v>
      </c>
      <c r="S29" s="650">
        <v>1079</v>
      </c>
      <c r="T29" s="86" t="s">
        <v>7925</v>
      </c>
    </row>
    <row r="30" spans="1:20" ht="30" customHeight="1" x14ac:dyDescent="0.2">
      <c r="A30" s="291" t="str">
        <f t="shared" si="0"/>
        <v>WES028A / 1404</v>
      </c>
      <c r="B30" s="89" t="s">
        <v>6355</v>
      </c>
      <c r="C30" s="89" t="s">
        <v>7926</v>
      </c>
      <c r="D30" s="318" t="s">
        <v>6353</v>
      </c>
      <c r="E30" s="369" t="str">
        <f>VLOOKUP(D:D,'Master Table'!C:D,2,FALSE)</f>
        <v>1404</v>
      </c>
      <c r="F30" s="769" t="s">
        <v>6353</v>
      </c>
      <c r="G30" s="769" t="s">
        <v>6354</v>
      </c>
      <c r="H30" s="769" t="s">
        <v>564</v>
      </c>
      <c r="I30" s="769" t="s">
        <v>6355</v>
      </c>
      <c r="J30" s="769" t="s">
        <v>7905</v>
      </c>
      <c r="K30" s="789" t="s">
        <v>324</v>
      </c>
      <c r="L30" s="790"/>
      <c r="M30" s="790">
        <v>50</v>
      </c>
      <c r="N30" s="790"/>
      <c r="O30" s="312">
        <v>50</v>
      </c>
      <c r="P30" s="467">
        <f>VLOOKUP(D:D,'Master Table'!C:O,13,FALSE)</f>
        <v>75</v>
      </c>
      <c r="Q30" s="657">
        <v>75</v>
      </c>
      <c r="R30" s="664">
        <v>45</v>
      </c>
      <c r="S30" s="650"/>
    </row>
    <row r="31" spans="1:20" ht="30" customHeight="1" x14ac:dyDescent="0.2">
      <c r="A31" s="291" t="str">
        <f t="shared" si="0"/>
        <v>WES029 / 1405</v>
      </c>
      <c r="B31" s="89" t="s">
        <v>7927</v>
      </c>
      <c r="C31" s="89" t="s">
        <v>6358</v>
      </c>
      <c r="D31" s="318" t="s">
        <v>6356</v>
      </c>
      <c r="E31" s="369" t="str">
        <f>VLOOKUP(D:D,'Master Table'!C:D,2,FALSE)</f>
        <v>1405</v>
      </c>
      <c r="F31" s="769" t="s">
        <v>6356</v>
      </c>
      <c r="G31" s="769" t="s">
        <v>6357</v>
      </c>
      <c r="H31" s="769" t="s">
        <v>6358</v>
      </c>
      <c r="I31" s="769" t="s">
        <v>1832</v>
      </c>
      <c r="J31" s="769" t="s">
        <v>7912</v>
      </c>
      <c r="K31" s="789" t="s">
        <v>351</v>
      </c>
      <c r="L31" s="790">
        <v>0</v>
      </c>
      <c r="M31" s="790">
        <v>1015</v>
      </c>
      <c r="N31" s="790">
        <v>26</v>
      </c>
      <c r="O31" s="312">
        <v>1041</v>
      </c>
      <c r="P31" s="467">
        <f>VLOOKUP(D:D,'Master Table'!C:O,13,FALSE)</f>
        <v>1055.3699999999999</v>
      </c>
      <c r="Q31" s="657">
        <v>1055.3699999999999</v>
      </c>
      <c r="R31" s="664">
        <v>2200</v>
      </c>
      <c r="S31" s="650">
        <v>1977</v>
      </c>
      <c r="T31" s="86" t="s">
        <v>7912</v>
      </c>
    </row>
    <row r="32" spans="1:20" ht="30" customHeight="1" x14ac:dyDescent="0.2">
      <c r="A32" s="291" t="str">
        <f t="shared" si="0"/>
        <v>WES030 / 1406</v>
      </c>
      <c r="B32" s="89" t="s">
        <v>7928</v>
      </c>
      <c r="C32" s="89" t="s">
        <v>2578</v>
      </c>
      <c r="D32" s="318" t="s">
        <v>6359</v>
      </c>
      <c r="E32" s="369" t="str">
        <f>VLOOKUP(D:D,'Master Table'!C:D,2,FALSE)</f>
        <v>1406</v>
      </c>
      <c r="F32" s="769" t="s">
        <v>6359</v>
      </c>
      <c r="G32" s="769" t="s">
        <v>6360</v>
      </c>
      <c r="H32" s="769" t="s">
        <v>989</v>
      </c>
      <c r="I32" s="769" t="s">
        <v>6361</v>
      </c>
      <c r="J32" s="769" t="s">
        <v>7889</v>
      </c>
      <c r="K32" s="789" t="s">
        <v>324</v>
      </c>
      <c r="L32" s="790">
        <v>566.25</v>
      </c>
      <c r="M32" s="790">
        <v>30</v>
      </c>
      <c r="N32" s="790"/>
      <c r="O32" s="312">
        <v>596.25</v>
      </c>
      <c r="P32" s="467">
        <f>VLOOKUP(D:D,'Master Table'!C:O,13,FALSE)</f>
        <v>572.69000000000005</v>
      </c>
      <c r="Q32" s="657">
        <v>572.69000000000005</v>
      </c>
      <c r="R32" s="664">
        <v>589.33000000000004</v>
      </c>
      <c r="S32" s="650">
        <v>725.45</v>
      </c>
      <c r="T32" s="86" t="s">
        <v>7889</v>
      </c>
    </row>
    <row r="33" spans="1:20" ht="30" customHeight="1" x14ac:dyDescent="0.2">
      <c r="A33" s="291" t="str">
        <f t="shared" si="0"/>
        <v>WES031 / 1407</v>
      </c>
      <c r="B33" s="89" t="s">
        <v>7929</v>
      </c>
      <c r="C33" s="89" t="s">
        <v>7930</v>
      </c>
      <c r="D33" s="318" t="s">
        <v>6363</v>
      </c>
      <c r="E33" s="369" t="str">
        <f>VLOOKUP(D:D,'Master Table'!C:D,2,FALSE)</f>
        <v>1407</v>
      </c>
      <c r="F33" s="769" t="s">
        <v>6363</v>
      </c>
      <c r="G33" s="769" t="s">
        <v>6364</v>
      </c>
      <c r="H33" s="769" t="s">
        <v>6365</v>
      </c>
      <c r="I33" s="769" t="s">
        <v>1832</v>
      </c>
      <c r="J33" s="769" t="s">
        <v>7931</v>
      </c>
      <c r="K33" s="789" t="s">
        <v>324</v>
      </c>
      <c r="L33" s="790">
        <v>0</v>
      </c>
      <c r="M33" s="790">
        <v>245</v>
      </c>
      <c r="N33" s="790">
        <v>182.94</v>
      </c>
      <c r="O33" s="312">
        <v>427.94</v>
      </c>
      <c r="P33" s="467">
        <f>VLOOKUP(D:D,'Master Table'!C:O,13,FALSE)</f>
        <v>1151.4099999999999</v>
      </c>
      <c r="Q33" s="657">
        <v>1151.4099999999999</v>
      </c>
      <c r="R33" s="664">
        <v>1015.47</v>
      </c>
      <c r="S33" s="650">
        <v>1900</v>
      </c>
      <c r="T33" s="86" t="s">
        <v>7931</v>
      </c>
    </row>
    <row r="34" spans="1:20" ht="30" customHeight="1" x14ac:dyDescent="0.2">
      <c r="A34" s="291" t="str">
        <f t="shared" si="0"/>
        <v>WES032 / 1408</v>
      </c>
      <c r="B34" s="89" t="s">
        <v>7932</v>
      </c>
      <c r="C34" s="89" t="s">
        <v>7283</v>
      </c>
      <c r="D34" s="318" t="s">
        <v>6366</v>
      </c>
      <c r="E34" s="369" t="str">
        <f>VLOOKUP(D:D,'Master Table'!C:D,2,FALSE)</f>
        <v>1408</v>
      </c>
      <c r="F34" s="769" t="s">
        <v>6366</v>
      </c>
      <c r="G34" s="769" t="s">
        <v>6367</v>
      </c>
      <c r="H34" s="769" t="s">
        <v>981</v>
      </c>
      <c r="I34" s="769" t="s">
        <v>1832</v>
      </c>
      <c r="J34" s="769" t="s">
        <v>7931</v>
      </c>
      <c r="K34" s="789" t="s">
        <v>324</v>
      </c>
      <c r="L34" s="790">
        <v>0</v>
      </c>
      <c r="M34" s="790"/>
      <c r="N34" s="790"/>
      <c r="O34" s="312">
        <v>0</v>
      </c>
      <c r="P34" s="467">
        <f>VLOOKUP(D:D,'Master Table'!C:O,13,FALSE)</f>
        <v>0</v>
      </c>
      <c r="Q34" s="657">
        <v>0</v>
      </c>
      <c r="R34" s="664">
        <v>30</v>
      </c>
      <c r="S34" s="650">
        <v>491.56</v>
      </c>
      <c r="T34" s="86" t="s">
        <v>7931</v>
      </c>
    </row>
    <row r="35" spans="1:20" ht="30" customHeight="1" x14ac:dyDescent="0.2">
      <c r="A35" s="291" t="str">
        <f t="shared" si="0"/>
        <v>WES033 / 1409</v>
      </c>
      <c r="B35" s="89" t="s">
        <v>7933</v>
      </c>
      <c r="C35" s="89" t="s">
        <v>7934</v>
      </c>
      <c r="D35" s="318" t="s">
        <v>6368</v>
      </c>
      <c r="E35" s="369" t="str">
        <f>VLOOKUP(D:D,'Master Table'!C:D,2,FALSE)</f>
        <v>1409</v>
      </c>
      <c r="F35" s="769" t="s">
        <v>6368</v>
      </c>
      <c r="G35" s="769" t="s">
        <v>6369</v>
      </c>
      <c r="H35" s="769" t="s">
        <v>1731</v>
      </c>
      <c r="I35" s="769" t="s">
        <v>1832</v>
      </c>
      <c r="J35" s="769" t="s">
        <v>7917</v>
      </c>
      <c r="K35" s="789" t="s">
        <v>324</v>
      </c>
      <c r="L35" s="790">
        <v>0</v>
      </c>
      <c r="M35" s="790">
        <v>30</v>
      </c>
      <c r="N35" s="790"/>
      <c r="O35" s="312">
        <v>30</v>
      </c>
      <c r="P35" s="467">
        <f>VLOOKUP(D:D,'Master Table'!C:O,13,FALSE)</f>
        <v>30</v>
      </c>
      <c r="Q35" s="657">
        <v>30</v>
      </c>
      <c r="R35" s="664">
        <v>30</v>
      </c>
      <c r="S35" s="650">
        <v>944.1</v>
      </c>
      <c r="T35" s="86" t="s">
        <v>7917</v>
      </c>
    </row>
    <row r="36" spans="1:20" ht="30" customHeight="1" x14ac:dyDescent="0.2">
      <c r="A36" s="291" t="str">
        <f t="shared" si="0"/>
        <v>WES034 / 1410</v>
      </c>
      <c r="B36" s="89" t="s">
        <v>7935</v>
      </c>
      <c r="C36" s="89" t="s">
        <v>7936</v>
      </c>
      <c r="D36" s="318" t="s">
        <v>6370</v>
      </c>
      <c r="E36" s="369" t="str">
        <f>VLOOKUP(D:D,'Master Table'!C:D,2,FALSE)</f>
        <v>1410</v>
      </c>
      <c r="F36" s="769" t="s">
        <v>6370</v>
      </c>
      <c r="G36" s="769" t="s">
        <v>6371</v>
      </c>
      <c r="H36" s="769" t="s">
        <v>6372</v>
      </c>
      <c r="I36" s="769" t="s">
        <v>1832</v>
      </c>
      <c r="J36" s="769" t="s">
        <v>7937</v>
      </c>
      <c r="K36" s="789" t="s">
        <v>324</v>
      </c>
      <c r="L36" s="790">
        <v>0</v>
      </c>
      <c r="M36" s="790">
        <v>515</v>
      </c>
      <c r="N36" s="790"/>
      <c r="O36" s="312">
        <v>515</v>
      </c>
      <c r="P36" s="467">
        <f>VLOOKUP(D:D,'Master Table'!C:O,13,FALSE)</f>
        <v>790</v>
      </c>
      <c r="Q36" s="657">
        <v>790</v>
      </c>
      <c r="R36" s="664">
        <v>701</v>
      </c>
      <c r="S36" s="650">
        <v>659</v>
      </c>
      <c r="T36" s="86" t="s">
        <v>7937</v>
      </c>
    </row>
    <row r="37" spans="1:20" ht="30" customHeight="1" x14ac:dyDescent="0.2">
      <c r="A37" s="291" t="str">
        <f t="shared" si="0"/>
        <v>WES035 / 1411</v>
      </c>
      <c r="B37" s="89" t="s">
        <v>7938</v>
      </c>
      <c r="C37" s="89" t="s">
        <v>6375</v>
      </c>
      <c r="D37" s="318" t="s">
        <v>6373</v>
      </c>
      <c r="E37" s="369" t="str">
        <f>VLOOKUP(D:D,'Master Table'!C:D,2,FALSE)</f>
        <v>1411</v>
      </c>
      <c r="F37" s="769" t="s">
        <v>6373</v>
      </c>
      <c r="G37" s="769" t="s">
        <v>6374</v>
      </c>
      <c r="H37" s="769" t="s">
        <v>6375</v>
      </c>
      <c r="I37" s="769" t="s">
        <v>1832</v>
      </c>
      <c r="J37" s="769" t="s">
        <v>7903</v>
      </c>
      <c r="K37" s="789" t="s">
        <v>324</v>
      </c>
      <c r="L37" s="790">
        <v>0</v>
      </c>
      <c r="M37" s="790">
        <v>70</v>
      </c>
      <c r="N37" s="790">
        <v>543</v>
      </c>
      <c r="O37" s="312">
        <v>613</v>
      </c>
      <c r="P37" s="467">
        <f>VLOOKUP(D:D,'Master Table'!C:O,13,FALSE)</f>
        <v>1474</v>
      </c>
      <c r="Q37" s="657">
        <v>1474</v>
      </c>
      <c r="R37" s="664">
        <v>1523</v>
      </c>
      <c r="S37" s="650">
        <v>2845</v>
      </c>
      <c r="T37" s="86" t="s">
        <v>7903</v>
      </c>
    </row>
    <row r="38" spans="1:20" ht="30" customHeight="1" x14ac:dyDescent="0.2">
      <c r="A38" s="291" t="str">
        <f t="shared" si="0"/>
        <v>WES037 / 1413</v>
      </c>
      <c r="B38" s="89" t="s">
        <v>7939</v>
      </c>
      <c r="C38" s="89" t="s">
        <v>5316</v>
      </c>
      <c r="D38" s="318" t="s">
        <v>6379</v>
      </c>
      <c r="E38" s="369" t="str">
        <f>VLOOKUP(D:D,'Master Table'!C:D,2,FALSE)</f>
        <v>1413</v>
      </c>
      <c r="F38" s="769" t="s">
        <v>6379</v>
      </c>
      <c r="G38" s="769" t="s">
        <v>6380</v>
      </c>
      <c r="H38" s="769" t="s">
        <v>6381</v>
      </c>
      <c r="I38" s="769" t="s">
        <v>6382</v>
      </c>
      <c r="J38" s="769" t="s">
        <v>7912</v>
      </c>
      <c r="K38" s="789" t="s">
        <v>324</v>
      </c>
      <c r="L38" s="790">
        <v>0</v>
      </c>
      <c r="M38" s="790">
        <v>70</v>
      </c>
      <c r="N38" s="790"/>
      <c r="O38" s="312">
        <v>70</v>
      </c>
      <c r="P38" s="467">
        <f>VLOOKUP(D:D,'Master Table'!C:O,13,FALSE)</f>
        <v>80</v>
      </c>
      <c r="Q38" s="657">
        <v>80</v>
      </c>
      <c r="R38" s="664">
        <v>81.98</v>
      </c>
      <c r="S38" s="650">
        <v>60</v>
      </c>
      <c r="T38" s="86" t="s">
        <v>7912</v>
      </c>
    </row>
    <row r="39" spans="1:20" ht="30" customHeight="1" x14ac:dyDescent="0.2">
      <c r="A39" s="291" t="str">
        <f t="shared" si="0"/>
        <v>WES038 / 1414</v>
      </c>
      <c r="B39" s="89" t="s">
        <v>7940</v>
      </c>
      <c r="C39" s="89" t="s">
        <v>5436</v>
      </c>
      <c r="D39" s="318" t="s">
        <v>6383</v>
      </c>
      <c r="E39" s="369" t="str">
        <f>VLOOKUP(D:D,'Master Table'!C:D,2,FALSE)</f>
        <v>1414</v>
      </c>
      <c r="F39" s="769" t="s">
        <v>6383</v>
      </c>
      <c r="G39" s="769" t="s">
        <v>6384</v>
      </c>
      <c r="H39" s="769" t="s">
        <v>479</v>
      </c>
      <c r="I39" s="769" t="s">
        <v>1832</v>
      </c>
      <c r="J39" s="769" t="s">
        <v>7897</v>
      </c>
      <c r="K39" s="789" t="s">
        <v>324</v>
      </c>
      <c r="L39" s="790">
        <v>372.71</v>
      </c>
      <c r="M39" s="790">
        <v>185</v>
      </c>
      <c r="N39" s="790"/>
      <c r="O39" s="312">
        <v>557.71</v>
      </c>
      <c r="P39" s="467">
        <f>VLOOKUP(D:D,'Master Table'!C:O,13,FALSE)</f>
        <v>970.15</v>
      </c>
      <c r="Q39" s="657">
        <v>970.15</v>
      </c>
      <c r="R39" s="664">
        <v>1233.0700000000002</v>
      </c>
      <c r="S39" s="650">
        <v>892.64</v>
      </c>
      <c r="T39" s="86" t="s">
        <v>7897</v>
      </c>
    </row>
    <row r="40" spans="1:20" ht="30" customHeight="1" x14ac:dyDescent="0.2">
      <c r="A40" s="291" t="str">
        <f t="shared" si="0"/>
        <v>WES039 / 1415</v>
      </c>
      <c r="B40" s="89" t="s">
        <v>7941</v>
      </c>
      <c r="C40" s="89" t="s">
        <v>3774</v>
      </c>
      <c r="D40" s="318" t="s">
        <v>6385</v>
      </c>
      <c r="E40" s="369" t="str">
        <f>VLOOKUP(D:D,'Master Table'!C:D,2,FALSE)</f>
        <v>1415</v>
      </c>
      <c r="F40" s="769" t="s">
        <v>6385</v>
      </c>
      <c r="G40" s="769" t="s">
        <v>6386</v>
      </c>
      <c r="H40" s="769" t="s">
        <v>1843</v>
      </c>
      <c r="I40" s="769" t="s">
        <v>6361</v>
      </c>
      <c r="J40" s="769" t="s">
        <v>7889</v>
      </c>
      <c r="K40" s="789" t="s">
        <v>324</v>
      </c>
      <c r="L40" s="790">
        <v>0</v>
      </c>
      <c r="M40" s="790">
        <v>135</v>
      </c>
      <c r="N40" s="790"/>
      <c r="O40" s="312">
        <v>135</v>
      </c>
      <c r="P40" s="467">
        <f>VLOOKUP(D:D,'Master Table'!C:O,13,FALSE)</f>
        <v>565.21</v>
      </c>
      <c r="Q40" s="657">
        <v>565.21</v>
      </c>
      <c r="R40" s="664">
        <v>754.07</v>
      </c>
      <c r="S40" s="650">
        <v>1132</v>
      </c>
      <c r="T40" s="86" t="s">
        <v>7889</v>
      </c>
    </row>
    <row r="41" spans="1:20" ht="30" customHeight="1" x14ac:dyDescent="0.2">
      <c r="A41" s="291" t="str">
        <f t="shared" si="0"/>
        <v>WES040 / 1416</v>
      </c>
      <c r="B41" s="89" t="s">
        <v>7942</v>
      </c>
      <c r="C41" s="89" t="s">
        <v>3742</v>
      </c>
      <c r="D41" s="318" t="s">
        <v>6387</v>
      </c>
      <c r="E41" s="369" t="str">
        <f>VLOOKUP(D:D,'Master Table'!C:D,2,FALSE)</f>
        <v>1416</v>
      </c>
      <c r="F41" s="769" t="s">
        <v>6387</v>
      </c>
      <c r="G41" s="769" t="s">
        <v>6388</v>
      </c>
      <c r="H41" s="769" t="s">
        <v>3742</v>
      </c>
      <c r="I41" s="769" t="s">
        <v>6389</v>
      </c>
      <c r="J41" s="769" t="s">
        <v>7937</v>
      </c>
      <c r="K41" s="789" t="s">
        <v>324</v>
      </c>
      <c r="L41" s="790">
        <v>0</v>
      </c>
      <c r="M41" s="790">
        <v>110</v>
      </c>
      <c r="N41" s="790"/>
      <c r="O41" s="312">
        <v>110</v>
      </c>
      <c r="P41" s="467">
        <f>VLOOKUP(D:D,'Master Table'!C:O,13,FALSE)</f>
        <v>130</v>
      </c>
      <c r="Q41" s="657">
        <v>130</v>
      </c>
      <c r="R41" s="664">
        <v>364.9</v>
      </c>
      <c r="S41" s="650">
        <v>70</v>
      </c>
      <c r="T41" s="86" t="s">
        <v>7937</v>
      </c>
    </row>
    <row r="42" spans="1:20" ht="30" customHeight="1" x14ac:dyDescent="0.2">
      <c r="A42" s="291" t="str">
        <f t="shared" si="0"/>
        <v>WES041 / 1417</v>
      </c>
      <c r="B42" s="89" t="s">
        <v>7943</v>
      </c>
      <c r="C42" s="89" t="s">
        <v>6392</v>
      </c>
      <c r="D42" s="318" t="s">
        <v>6390</v>
      </c>
      <c r="E42" s="369" t="str">
        <f>VLOOKUP(D:D,'Master Table'!C:D,2,FALSE)</f>
        <v>1417</v>
      </c>
      <c r="F42" s="769" t="s">
        <v>6390</v>
      </c>
      <c r="G42" s="769" t="s">
        <v>6391</v>
      </c>
      <c r="H42" s="769" t="s">
        <v>6392</v>
      </c>
      <c r="I42" s="769" t="s">
        <v>1832</v>
      </c>
      <c r="J42" s="769" t="s">
        <v>7944</v>
      </c>
      <c r="K42" s="789" t="s">
        <v>324</v>
      </c>
      <c r="L42" s="790">
        <v>0</v>
      </c>
      <c r="M42" s="790">
        <v>319</v>
      </c>
      <c r="N42" s="790"/>
      <c r="O42" s="312">
        <v>319</v>
      </c>
      <c r="P42" s="467">
        <f>VLOOKUP(D:D,'Master Table'!C:O,13,FALSE)</f>
        <v>343.14</v>
      </c>
      <c r="Q42" s="657">
        <v>343.14</v>
      </c>
      <c r="R42" s="664">
        <v>330.5</v>
      </c>
      <c r="S42" s="650">
        <v>542.59</v>
      </c>
      <c r="T42" s="86" t="s">
        <v>7944</v>
      </c>
    </row>
    <row r="43" spans="1:20" ht="30" customHeight="1" x14ac:dyDescent="0.2">
      <c r="A43" s="291" t="str">
        <f t="shared" si="0"/>
        <v>WES042 / 1418</v>
      </c>
      <c r="B43" s="89" t="s">
        <v>7945</v>
      </c>
      <c r="C43" s="89" t="s">
        <v>5211</v>
      </c>
      <c r="D43" s="318" t="s">
        <v>6393</v>
      </c>
      <c r="E43" s="369" t="str">
        <f>VLOOKUP(D:D,'Master Table'!C:D,2,FALSE)</f>
        <v>1418</v>
      </c>
      <c r="F43" s="769" t="s">
        <v>6393</v>
      </c>
      <c r="G43" s="769" t="s">
        <v>6394</v>
      </c>
      <c r="H43" s="769" t="s">
        <v>6395</v>
      </c>
      <c r="I43" s="769" t="s">
        <v>1832</v>
      </c>
      <c r="J43" s="769" t="s">
        <v>7891</v>
      </c>
      <c r="K43" s="789" t="s">
        <v>324</v>
      </c>
      <c r="L43" s="790">
        <v>12.09</v>
      </c>
      <c r="M43" s="790">
        <v>1525</v>
      </c>
      <c r="N43" s="790"/>
      <c r="O43" s="312">
        <v>1537.09</v>
      </c>
      <c r="P43" s="467">
        <f>VLOOKUP(D:D,'Master Table'!C:O,13,FALSE)</f>
        <v>5273.36</v>
      </c>
      <c r="Q43" s="657">
        <v>5273.36</v>
      </c>
      <c r="R43" s="664">
        <v>4180.2</v>
      </c>
      <c r="S43" s="650">
        <v>3188.84</v>
      </c>
      <c r="T43" s="86" t="s">
        <v>7891</v>
      </c>
    </row>
    <row r="44" spans="1:20" ht="30" customHeight="1" x14ac:dyDescent="0.2">
      <c r="A44" s="291" t="str">
        <f t="shared" si="0"/>
        <v>WES044 / 1420</v>
      </c>
      <c r="B44" s="89" t="s">
        <v>7946</v>
      </c>
      <c r="C44" s="89" t="s">
        <v>453</v>
      </c>
      <c r="D44" s="318" t="s">
        <v>6397</v>
      </c>
      <c r="E44" s="369" t="str">
        <f>VLOOKUP(D:D,'Master Table'!C:D,2,FALSE)</f>
        <v>1420</v>
      </c>
      <c r="F44" s="769" t="s">
        <v>6397</v>
      </c>
      <c r="G44" s="769" t="s">
        <v>6398</v>
      </c>
      <c r="H44" s="769" t="s">
        <v>56</v>
      </c>
      <c r="I44" s="769" t="s">
        <v>6399</v>
      </c>
      <c r="J44" s="769" t="s">
        <v>7947</v>
      </c>
      <c r="K44" s="789" t="s">
        <v>324</v>
      </c>
      <c r="L44" s="790">
        <v>714.43</v>
      </c>
      <c r="M44" s="790">
        <v>200</v>
      </c>
      <c r="N44" s="790"/>
      <c r="O44" s="312">
        <v>914.43</v>
      </c>
      <c r="P44" s="467">
        <f>VLOOKUP(D:D,'Master Table'!C:O,13,FALSE)</f>
        <v>886.98</v>
      </c>
      <c r="Q44" s="657">
        <v>886.98</v>
      </c>
      <c r="R44" s="664">
        <v>771.1</v>
      </c>
      <c r="S44" s="650">
        <v>964.2</v>
      </c>
      <c r="T44" s="86" t="s">
        <v>7947</v>
      </c>
    </row>
    <row r="45" spans="1:20" ht="30" customHeight="1" x14ac:dyDescent="0.2">
      <c r="A45" s="291" t="str">
        <f t="shared" si="0"/>
        <v>WES045 / 1421</v>
      </c>
      <c r="B45" s="89" t="s">
        <v>6337</v>
      </c>
      <c r="C45" s="89" t="s">
        <v>7429</v>
      </c>
      <c r="D45" s="318" t="s">
        <v>6400</v>
      </c>
      <c r="E45" s="369" t="str">
        <f>VLOOKUP(D:D,'Master Table'!C:D,2,FALSE)</f>
        <v>1421</v>
      </c>
      <c r="F45" s="769" t="s">
        <v>6400</v>
      </c>
      <c r="G45" s="769" t="s">
        <v>6401</v>
      </c>
      <c r="H45" s="769" t="s">
        <v>709</v>
      </c>
      <c r="I45" s="769" t="s">
        <v>6337</v>
      </c>
      <c r="J45" s="769" t="s">
        <v>7897</v>
      </c>
      <c r="K45" s="789" t="s">
        <v>324</v>
      </c>
      <c r="L45" s="790">
        <v>0</v>
      </c>
      <c r="M45" s="790">
        <v>754</v>
      </c>
      <c r="N45" s="790"/>
      <c r="O45" s="312">
        <v>754</v>
      </c>
      <c r="P45" s="467">
        <f>VLOOKUP(D:D,'Master Table'!C:O,13,FALSE)</f>
        <v>845</v>
      </c>
      <c r="Q45" s="657">
        <v>845</v>
      </c>
      <c r="R45" s="664">
        <v>902.37</v>
      </c>
      <c r="S45" s="650">
        <v>972.91</v>
      </c>
      <c r="T45" s="86" t="s">
        <v>7897</v>
      </c>
    </row>
    <row r="46" spans="1:20" ht="30" customHeight="1" x14ac:dyDescent="0.2">
      <c r="A46" s="291" t="str">
        <f t="shared" si="0"/>
        <v>WES046 / 1423</v>
      </c>
      <c r="B46" s="89" t="s">
        <v>7948</v>
      </c>
      <c r="C46" s="89" t="s">
        <v>6404</v>
      </c>
      <c r="D46" s="318" t="s">
        <v>6402</v>
      </c>
      <c r="E46" s="369" t="str">
        <f>VLOOKUP(D:D,'Master Table'!C:D,2,FALSE)</f>
        <v>1423</v>
      </c>
      <c r="F46" s="769" t="s">
        <v>6402</v>
      </c>
      <c r="G46" s="769" t="s">
        <v>6403</v>
      </c>
      <c r="H46" s="769" t="s">
        <v>6404</v>
      </c>
      <c r="I46" s="769" t="s">
        <v>1832</v>
      </c>
      <c r="J46" s="769" t="s">
        <v>7937</v>
      </c>
      <c r="K46" s="789" t="s">
        <v>324</v>
      </c>
      <c r="L46" s="790">
        <v>0</v>
      </c>
      <c r="M46" s="790">
        <v>1209</v>
      </c>
      <c r="N46" s="790"/>
      <c r="O46" s="312">
        <v>1209</v>
      </c>
      <c r="P46" s="467">
        <f>VLOOKUP(D:D,'Master Table'!C:O,13,FALSE)</f>
        <v>637.18000000000006</v>
      </c>
      <c r="Q46" s="657">
        <v>637.18000000000006</v>
      </c>
      <c r="R46" s="664">
        <v>690</v>
      </c>
      <c r="S46" s="650">
        <v>602</v>
      </c>
      <c r="T46" s="86" t="s">
        <v>7937</v>
      </c>
    </row>
    <row r="47" spans="1:20" ht="30" customHeight="1" x14ac:dyDescent="0.2">
      <c r="A47" s="291" t="str">
        <f t="shared" si="0"/>
        <v>WES047 / 1424</v>
      </c>
      <c r="B47" s="89" t="s">
        <v>7949</v>
      </c>
      <c r="C47" s="89" t="s">
        <v>7576</v>
      </c>
      <c r="D47" s="318" t="s">
        <v>6405</v>
      </c>
      <c r="E47" s="369" t="str">
        <f>VLOOKUP(D:D,'Master Table'!C:D,2,FALSE)</f>
        <v>1424</v>
      </c>
      <c r="F47" s="769" t="s">
        <v>6405</v>
      </c>
      <c r="G47" s="769" t="s">
        <v>6406</v>
      </c>
      <c r="H47" s="769" t="s">
        <v>6407</v>
      </c>
      <c r="I47" s="769" t="s">
        <v>1832</v>
      </c>
      <c r="J47" s="769" t="s">
        <v>7887</v>
      </c>
      <c r="K47" s="789" t="s">
        <v>324</v>
      </c>
      <c r="L47" s="790">
        <v>0</v>
      </c>
      <c r="M47" s="790">
        <v>101.25</v>
      </c>
      <c r="N47" s="790"/>
      <c r="O47" s="312">
        <v>101.25</v>
      </c>
      <c r="P47" s="467">
        <f>VLOOKUP(D:D,'Master Table'!C:O,13,FALSE)</f>
        <v>76.25</v>
      </c>
      <c r="Q47" s="657">
        <v>76.25</v>
      </c>
      <c r="R47" s="664">
        <v>1586.25</v>
      </c>
      <c r="S47" s="650">
        <v>191</v>
      </c>
      <c r="T47" s="86" t="s">
        <v>7887</v>
      </c>
    </row>
    <row r="48" spans="1:20" ht="30" customHeight="1" x14ac:dyDescent="0.2">
      <c r="A48" s="291" t="str">
        <f t="shared" si="0"/>
        <v>WES048 / 1425</v>
      </c>
      <c r="B48" s="89" t="s">
        <v>6415</v>
      </c>
      <c r="C48" s="89" t="s">
        <v>7950</v>
      </c>
      <c r="D48" s="318" t="s">
        <v>6408</v>
      </c>
      <c r="E48" s="369" t="str">
        <f>VLOOKUP(D:D,'Master Table'!C:D,2,FALSE)</f>
        <v>1425</v>
      </c>
      <c r="F48" s="769" t="s">
        <v>6408</v>
      </c>
      <c r="G48" s="769" t="s">
        <v>6409</v>
      </c>
      <c r="H48" s="769" t="s">
        <v>6410</v>
      </c>
      <c r="I48" s="769" t="s">
        <v>6411</v>
      </c>
      <c r="J48" s="769" t="s">
        <v>7937</v>
      </c>
      <c r="K48" s="789" t="s">
        <v>324</v>
      </c>
      <c r="L48" s="790">
        <v>149.16999999999999</v>
      </c>
      <c r="M48" s="790">
        <v>977</v>
      </c>
      <c r="N48" s="790"/>
      <c r="O48" s="312">
        <v>1126.17</v>
      </c>
      <c r="P48" s="467">
        <f>VLOOKUP(D:D,'Master Table'!C:O,13,FALSE)</f>
        <v>2627.83</v>
      </c>
      <c r="Q48" s="657">
        <v>2627.83</v>
      </c>
      <c r="R48" s="664">
        <v>2062.83</v>
      </c>
      <c r="S48" s="650">
        <v>3637.83</v>
      </c>
      <c r="T48" s="86" t="s">
        <v>7937</v>
      </c>
    </row>
    <row r="49" spans="1:20" ht="30" customHeight="1" x14ac:dyDescent="0.2">
      <c r="A49" s="291" t="str">
        <f t="shared" si="0"/>
        <v>WES051 / 1427</v>
      </c>
      <c r="B49" s="89" t="s">
        <v>7951</v>
      </c>
      <c r="C49" s="89" t="s">
        <v>297</v>
      </c>
      <c r="D49" s="318" t="s">
        <v>6416</v>
      </c>
      <c r="E49" s="369" t="str">
        <f>VLOOKUP(D:D,'Master Table'!C:D,2,FALSE)</f>
        <v>1427</v>
      </c>
      <c r="F49" s="769" t="s">
        <v>6416</v>
      </c>
      <c r="G49" s="769" t="s">
        <v>6417</v>
      </c>
      <c r="H49" s="769" t="s">
        <v>297</v>
      </c>
      <c r="I49" s="769" t="s">
        <v>1832</v>
      </c>
      <c r="J49" s="769" t="s">
        <v>7952</v>
      </c>
      <c r="K49" s="789" t="s">
        <v>324</v>
      </c>
      <c r="L49" s="790">
        <v>0</v>
      </c>
      <c r="M49" s="790"/>
      <c r="N49" s="790"/>
      <c r="O49" s="312">
        <v>0</v>
      </c>
      <c r="P49" s="467">
        <f>VLOOKUP(D:D,'Master Table'!C:O,13,FALSE)</f>
        <v>0</v>
      </c>
      <c r="Q49" s="657">
        <v>0</v>
      </c>
      <c r="R49" s="664">
        <v>0</v>
      </c>
      <c r="S49" s="650">
        <v>30</v>
      </c>
      <c r="T49" s="86" t="s">
        <v>7952</v>
      </c>
    </row>
    <row r="50" spans="1:20" ht="30" customHeight="1" x14ac:dyDescent="0.2">
      <c r="A50" s="291" t="str">
        <f t="shared" si="0"/>
        <v>WES052 / 1428</v>
      </c>
      <c r="B50" s="89" t="s">
        <v>7953</v>
      </c>
      <c r="C50" s="89" t="s">
        <v>2663</v>
      </c>
      <c r="D50" s="318" t="s">
        <v>6418</v>
      </c>
      <c r="E50" s="369" t="str">
        <f>VLOOKUP(D:D,'Master Table'!C:D,2,FALSE)</f>
        <v>1428</v>
      </c>
      <c r="F50" s="769" t="s">
        <v>6418</v>
      </c>
      <c r="G50" s="769" t="s">
        <v>6419</v>
      </c>
      <c r="H50" s="769" t="s">
        <v>5765</v>
      </c>
      <c r="I50" s="769" t="s">
        <v>6420</v>
      </c>
      <c r="J50" s="769" t="s">
        <v>7912</v>
      </c>
      <c r="K50" s="789" t="s">
        <v>324</v>
      </c>
      <c r="L50" s="790">
        <v>432.1</v>
      </c>
      <c r="M50" s="790">
        <v>80</v>
      </c>
      <c r="N50" s="790"/>
      <c r="O50" s="312">
        <v>512.1</v>
      </c>
      <c r="P50" s="467">
        <f>VLOOKUP(D:D,'Master Table'!C:O,13,FALSE)</f>
        <v>1408.54</v>
      </c>
      <c r="Q50" s="657">
        <v>1408.54</v>
      </c>
      <c r="R50" s="664">
        <v>1980.02</v>
      </c>
      <c r="S50" s="650">
        <v>1592.93</v>
      </c>
      <c r="T50" s="86" t="s">
        <v>7912</v>
      </c>
    </row>
    <row r="51" spans="1:20" ht="30" customHeight="1" x14ac:dyDescent="0.2">
      <c r="A51" s="291" t="str">
        <f t="shared" si="0"/>
        <v>WES053 / 1429</v>
      </c>
      <c r="B51" s="89" t="s">
        <v>7954</v>
      </c>
      <c r="C51" s="89" t="s">
        <v>5379</v>
      </c>
      <c r="D51" s="318" t="s">
        <v>6421</v>
      </c>
      <c r="E51" s="369" t="str">
        <f>VLOOKUP(D:D,'Master Table'!C:D,2,FALSE)</f>
        <v>1429</v>
      </c>
      <c r="F51" s="769" t="s">
        <v>6421</v>
      </c>
      <c r="G51" s="769" t="s">
        <v>6422</v>
      </c>
      <c r="H51" s="769" t="s">
        <v>5379</v>
      </c>
      <c r="I51" s="769" t="s">
        <v>1832</v>
      </c>
      <c r="J51" s="769" t="s">
        <v>7897</v>
      </c>
      <c r="K51" s="789" t="s">
        <v>324</v>
      </c>
      <c r="L51" s="790">
        <v>0</v>
      </c>
      <c r="M51" s="790">
        <v>1152.24</v>
      </c>
      <c r="N51" s="790"/>
      <c r="O51" s="312">
        <v>1152.24</v>
      </c>
      <c r="P51" s="467">
        <f>VLOOKUP(D:D,'Master Table'!C:O,13,FALSE)</f>
        <v>1210.4099999999999</v>
      </c>
      <c r="Q51" s="657">
        <v>1210.4099999999999</v>
      </c>
      <c r="R51" s="664">
        <v>1928.67</v>
      </c>
      <c r="S51" s="650">
        <v>2730.27</v>
      </c>
      <c r="T51" s="86" t="s">
        <v>7897</v>
      </c>
    </row>
    <row r="52" spans="1:20" ht="30" customHeight="1" x14ac:dyDescent="0.2">
      <c r="A52" s="291" t="str">
        <f t="shared" si="0"/>
        <v>WES054 / 1430</v>
      </c>
      <c r="B52" s="89" t="s">
        <v>7955</v>
      </c>
      <c r="C52" s="89" t="s">
        <v>226</v>
      </c>
      <c r="D52" s="318" t="s">
        <v>6423</v>
      </c>
      <c r="E52" s="369" t="str">
        <f>VLOOKUP(D:D,'Master Table'!C:D,2,FALSE)</f>
        <v>1430</v>
      </c>
      <c r="F52" s="769" t="s">
        <v>6423</v>
      </c>
      <c r="G52" s="769" t="s">
        <v>6424</v>
      </c>
      <c r="H52" s="769" t="s">
        <v>31</v>
      </c>
      <c r="I52" s="769" t="s">
        <v>1832</v>
      </c>
      <c r="J52" s="769" t="s">
        <v>7897</v>
      </c>
      <c r="K52" s="789" t="s">
        <v>324</v>
      </c>
      <c r="L52" s="790">
        <v>79.19</v>
      </c>
      <c r="M52" s="790">
        <v>286</v>
      </c>
      <c r="N52" s="790"/>
      <c r="O52" s="312">
        <v>365.19</v>
      </c>
      <c r="P52" s="467">
        <f>VLOOKUP(D:D,'Master Table'!C:O,13,FALSE)</f>
        <v>861.33999999999992</v>
      </c>
      <c r="Q52" s="657">
        <v>861.33999999999992</v>
      </c>
      <c r="R52" s="664">
        <v>870</v>
      </c>
      <c r="S52" s="650">
        <v>713.9</v>
      </c>
      <c r="T52" s="86" t="s">
        <v>7897</v>
      </c>
    </row>
    <row r="53" spans="1:20" ht="30" customHeight="1" x14ac:dyDescent="0.2">
      <c r="A53" s="291" t="str">
        <f t="shared" si="0"/>
        <v>WES055 / 1431</v>
      </c>
      <c r="B53" s="89" t="s">
        <v>7956</v>
      </c>
      <c r="C53" s="89" t="s">
        <v>5256</v>
      </c>
      <c r="D53" s="318" t="s">
        <v>6425</v>
      </c>
      <c r="E53" s="369" t="str">
        <f>VLOOKUP(D:D,'Master Table'!C:D,2,FALSE)</f>
        <v>1431</v>
      </c>
      <c r="F53" s="769" t="s">
        <v>6425</v>
      </c>
      <c r="G53" s="769" t="s">
        <v>6426</v>
      </c>
      <c r="H53" s="769" t="s">
        <v>1932</v>
      </c>
      <c r="I53" s="769" t="s">
        <v>1832</v>
      </c>
      <c r="J53" s="769" t="s">
        <v>7897</v>
      </c>
      <c r="K53" s="789" t="s">
        <v>324</v>
      </c>
      <c r="L53" s="790">
        <v>0</v>
      </c>
      <c r="M53" s="790">
        <v>170</v>
      </c>
      <c r="N53" s="790"/>
      <c r="O53" s="312">
        <v>170</v>
      </c>
      <c r="P53" s="467">
        <f>VLOOKUP(D:D,'Master Table'!C:O,13,FALSE)</f>
        <v>290</v>
      </c>
      <c r="Q53" s="657">
        <v>290</v>
      </c>
      <c r="R53" s="664">
        <v>295</v>
      </c>
      <c r="S53" s="650">
        <v>502.91</v>
      </c>
      <c r="T53" s="86" t="s">
        <v>7897</v>
      </c>
    </row>
    <row r="54" spans="1:20" ht="30" customHeight="1" x14ac:dyDescent="0.2">
      <c r="A54" s="291" t="str">
        <f t="shared" si="0"/>
        <v>WES056 / 1432</v>
      </c>
      <c r="B54" s="89" t="s">
        <v>7957</v>
      </c>
      <c r="C54" s="89" t="s">
        <v>7958</v>
      </c>
      <c r="D54" s="318" t="s">
        <v>6427</v>
      </c>
      <c r="E54" s="369" t="str">
        <f>VLOOKUP(D:D,'Master Table'!C:D,2,FALSE)</f>
        <v>1432</v>
      </c>
      <c r="F54" s="769" t="s">
        <v>6427</v>
      </c>
      <c r="G54" s="769" t="s">
        <v>6428</v>
      </c>
      <c r="H54" s="769" t="s">
        <v>6429</v>
      </c>
      <c r="I54" s="769" t="s">
        <v>1832</v>
      </c>
      <c r="J54" s="769" t="s">
        <v>7887</v>
      </c>
      <c r="K54" s="789" t="s">
        <v>324</v>
      </c>
      <c r="L54" s="790"/>
      <c r="M54" s="790">
        <v>50</v>
      </c>
      <c r="N54" s="790"/>
      <c r="O54" s="312">
        <v>50</v>
      </c>
      <c r="P54" s="467">
        <f>VLOOKUP(D:D,'Master Table'!C:O,13,FALSE)</f>
        <v>50</v>
      </c>
      <c r="Q54" s="657">
        <v>50</v>
      </c>
      <c r="R54" s="664">
        <v>50</v>
      </c>
      <c r="S54" s="650"/>
    </row>
    <row r="55" spans="1:20" ht="30" customHeight="1" x14ac:dyDescent="0.2">
      <c r="A55" s="291" t="str">
        <f t="shared" si="0"/>
        <v>WES057 / 1433</v>
      </c>
      <c r="B55" s="89" t="s">
        <v>7959</v>
      </c>
      <c r="C55" s="89" t="s">
        <v>78</v>
      </c>
      <c r="D55" s="318" t="s">
        <v>6433</v>
      </c>
      <c r="E55" s="369" t="str">
        <f>VLOOKUP(D:D,'Master Table'!C:D,2,FALSE)</f>
        <v>1433</v>
      </c>
      <c r="F55" s="769" t="s">
        <v>6433</v>
      </c>
      <c r="G55" s="769" t="s">
        <v>6434</v>
      </c>
      <c r="H55" s="769" t="s">
        <v>6020</v>
      </c>
      <c r="I55" s="769" t="s">
        <v>1832</v>
      </c>
      <c r="J55" s="769" t="s">
        <v>11304</v>
      </c>
      <c r="K55" s="789" t="s">
        <v>324</v>
      </c>
      <c r="L55" s="790">
        <v>0</v>
      </c>
      <c r="M55" s="790">
        <v>271.52999999999997</v>
      </c>
      <c r="N55" s="790"/>
      <c r="O55" s="312">
        <v>271.52999999999997</v>
      </c>
      <c r="P55" s="467">
        <f>VLOOKUP(D:D,'Master Table'!C:O,13,FALSE)</f>
        <v>395</v>
      </c>
      <c r="Q55" s="657">
        <v>395</v>
      </c>
      <c r="R55" s="664">
        <v>342</v>
      </c>
      <c r="S55" s="650">
        <v>505</v>
      </c>
      <c r="T55" s="86" t="s">
        <v>7914</v>
      </c>
    </row>
    <row r="56" spans="1:20" ht="30" customHeight="1" x14ac:dyDescent="0.2">
      <c r="A56" s="291" t="str">
        <f t="shared" si="0"/>
        <v>WES058 / 1434</v>
      </c>
      <c r="B56" s="89" t="s">
        <v>7960</v>
      </c>
      <c r="C56" s="89" t="s">
        <v>6530</v>
      </c>
      <c r="D56" s="318" t="s">
        <v>6435</v>
      </c>
      <c r="E56" s="369" t="str">
        <f>VLOOKUP(D:D,'Master Table'!C:D,2,FALSE)</f>
        <v>1434</v>
      </c>
      <c r="F56" s="769" t="s">
        <v>6435</v>
      </c>
      <c r="G56" s="769" t="s">
        <v>6436</v>
      </c>
      <c r="H56" s="769" t="s">
        <v>6437</v>
      </c>
      <c r="I56" s="769" t="s">
        <v>1832</v>
      </c>
      <c r="J56" s="769" t="s">
        <v>7925</v>
      </c>
      <c r="K56" s="789" t="s">
        <v>324</v>
      </c>
      <c r="L56" s="790">
        <v>0</v>
      </c>
      <c r="M56" s="790"/>
      <c r="N56" s="790"/>
      <c r="O56" s="312">
        <v>0</v>
      </c>
      <c r="P56" s="467">
        <f>VLOOKUP(D:D,'Master Table'!C:O,13,FALSE)</f>
        <v>80</v>
      </c>
      <c r="Q56" s="657">
        <v>80</v>
      </c>
      <c r="R56" s="664">
        <v>0</v>
      </c>
      <c r="S56" s="650">
        <v>400</v>
      </c>
      <c r="T56" s="86" t="s">
        <v>7925</v>
      </c>
    </row>
    <row r="57" spans="1:20" ht="30" customHeight="1" x14ac:dyDescent="0.2">
      <c r="A57" s="291" t="str">
        <f t="shared" si="0"/>
        <v>WES059 / 1435</v>
      </c>
      <c r="B57" s="89" t="s">
        <v>7961</v>
      </c>
      <c r="C57" s="89" t="s">
        <v>6440</v>
      </c>
      <c r="D57" s="318" t="s">
        <v>6438</v>
      </c>
      <c r="E57" s="369" t="str">
        <f>VLOOKUP(D:D,'Master Table'!C:D,2,FALSE)</f>
        <v>1435</v>
      </c>
      <c r="F57" s="769" t="s">
        <v>6438</v>
      </c>
      <c r="G57" s="769" t="s">
        <v>6439</v>
      </c>
      <c r="H57" s="769" t="s">
        <v>6440</v>
      </c>
      <c r="I57" s="769" t="s">
        <v>6341</v>
      </c>
      <c r="J57" s="769" t="s">
        <v>7889</v>
      </c>
      <c r="K57" s="789" t="s">
        <v>324</v>
      </c>
      <c r="L57" s="790">
        <v>332.82</v>
      </c>
      <c r="M57" s="790">
        <v>828.19</v>
      </c>
      <c r="N57" s="790">
        <v>125.07</v>
      </c>
      <c r="O57" s="312">
        <v>1286.08</v>
      </c>
      <c r="P57" s="467">
        <f>VLOOKUP(D:D,'Master Table'!C:O,13,FALSE)</f>
        <v>2057.06</v>
      </c>
      <c r="Q57" s="657">
        <v>2057.06</v>
      </c>
      <c r="R57" s="664">
        <v>1792.76</v>
      </c>
      <c r="S57" s="650">
        <v>2447.5100000000002</v>
      </c>
      <c r="T57" s="86" t="s">
        <v>7889</v>
      </c>
    </row>
    <row r="58" spans="1:20" ht="30" customHeight="1" x14ac:dyDescent="0.2">
      <c r="A58" s="291" t="str">
        <f t="shared" si="0"/>
        <v>WES061 / 1437</v>
      </c>
      <c r="B58" s="89" t="s">
        <v>7962</v>
      </c>
      <c r="C58" s="89" t="s">
        <v>72</v>
      </c>
      <c r="D58" s="318" t="s">
        <v>6444</v>
      </c>
      <c r="E58" s="369" t="str">
        <f>VLOOKUP(D:D,'Master Table'!C:D,2,FALSE)</f>
        <v>1437</v>
      </c>
      <c r="F58" s="769" t="s">
        <v>6444</v>
      </c>
      <c r="G58" s="769" t="s">
        <v>6445</v>
      </c>
      <c r="H58" s="769" t="s">
        <v>72</v>
      </c>
      <c r="I58" s="769" t="s">
        <v>1832</v>
      </c>
      <c r="J58" s="769" t="s">
        <v>7897</v>
      </c>
      <c r="K58" s="789" t="s">
        <v>324</v>
      </c>
      <c r="L58" s="790">
        <v>112.7</v>
      </c>
      <c r="M58" s="790">
        <v>305</v>
      </c>
      <c r="N58" s="790">
        <v>308.18</v>
      </c>
      <c r="O58" s="312">
        <v>725.88</v>
      </c>
      <c r="P58" s="467">
        <f>VLOOKUP(D:D,'Master Table'!C:O,13,FALSE)</f>
        <v>583.4</v>
      </c>
      <c r="Q58" s="657">
        <v>583.4</v>
      </c>
      <c r="R58" s="664">
        <v>642.20000000000005</v>
      </c>
      <c r="S58" s="650">
        <v>1543.2</v>
      </c>
      <c r="T58" s="86" t="s">
        <v>7897</v>
      </c>
    </row>
    <row r="59" spans="1:20" ht="30" customHeight="1" x14ac:dyDescent="0.2">
      <c r="A59" s="291" t="str">
        <f t="shared" si="0"/>
        <v>WES062 / 1438</v>
      </c>
      <c r="B59" s="89" t="s">
        <v>7963</v>
      </c>
      <c r="C59" s="89" t="s">
        <v>63</v>
      </c>
      <c r="D59" s="318" t="s">
        <v>6446</v>
      </c>
      <c r="E59" s="369" t="str">
        <f>VLOOKUP(D:D,'Master Table'!C:D,2,FALSE)</f>
        <v>1438</v>
      </c>
      <c r="F59" s="769" t="s">
        <v>6446</v>
      </c>
      <c r="G59" s="769" t="s">
        <v>6447</v>
      </c>
      <c r="H59" s="769" t="s">
        <v>63</v>
      </c>
      <c r="I59" s="769" t="s">
        <v>1832</v>
      </c>
      <c r="J59" s="769" t="s">
        <v>7897</v>
      </c>
      <c r="K59" s="789" t="s">
        <v>324</v>
      </c>
      <c r="L59" s="790">
        <v>0</v>
      </c>
      <c r="M59" s="790">
        <v>70</v>
      </c>
      <c r="N59" s="790"/>
      <c r="O59" s="312">
        <v>70</v>
      </c>
      <c r="P59" s="467">
        <f>VLOOKUP(D:D,'Master Table'!C:O,13,FALSE)</f>
        <v>135</v>
      </c>
      <c r="Q59" s="657">
        <v>135</v>
      </c>
      <c r="R59" s="664">
        <v>285</v>
      </c>
      <c r="S59" s="650">
        <v>360</v>
      </c>
      <c r="T59" s="86" t="s">
        <v>7897</v>
      </c>
    </row>
    <row r="60" spans="1:20" ht="30" customHeight="1" x14ac:dyDescent="0.2">
      <c r="A60" s="291" t="str">
        <f t="shared" si="0"/>
        <v>WES063 / 1439</v>
      </c>
      <c r="B60" s="89" t="s">
        <v>6451</v>
      </c>
      <c r="C60" s="89" t="s">
        <v>6450</v>
      </c>
      <c r="D60" s="318" t="s">
        <v>6448</v>
      </c>
      <c r="E60" s="369" t="str">
        <f>VLOOKUP(D:D,'Master Table'!C:D,2,FALSE)</f>
        <v>1439</v>
      </c>
      <c r="F60" s="769" t="s">
        <v>6448</v>
      </c>
      <c r="G60" s="769" t="s">
        <v>6449</v>
      </c>
      <c r="H60" s="769" t="s">
        <v>6450</v>
      </c>
      <c r="I60" s="769" t="s">
        <v>6451</v>
      </c>
      <c r="J60" s="769" t="s">
        <v>7891</v>
      </c>
      <c r="K60" s="789" t="s">
        <v>324</v>
      </c>
      <c r="L60" s="790">
        <v>0</v>
      </c>
      <c r="M60" s="790">
        <v>843.37</v>
      </c>
      <c r="N60" s="790">
        <v>602.07000000000005</v>
      </c>
      <c r="O60" s="312">
        <v>1445.44</v>
      </c>
      <c r="P60" s="467">
        <f>VLOOKUP(D:D,'Master Table'!C:O,13,FALSE)</f>
        <v>2689.06</v>
      </c>
      <c r="Q60" s="657">
        <v>2689.06</v>
      </c>
      <c r="R60" s="664">
        <v>2673.01</v>
      </c>
      <c r="S60" s="650">
        <v>2602.9899999999998</v>
      </c>
      <c r="T60" s="86" t="s">
        <v>7891</v>
      </c>
    </row>
    <row r="61" spans="1:20" ht="30" customHeight="1" x14ac:dyDescent="0.2">
      <c r="A61" s="291" t="str">
        <f t="shared" si="0"/>
        <v>WES064 / 1440</v>
      </c>
      <c r="B61" s="89" t="s">
        <v>7964</v>
      </c>
      <c r="C61" s="89" t="s">
        <v>532</v>
      </c>
      <c r="D61" s="318" t="s">
        <v>6452</v>
      </c>
      <c r="E61" s="369" t="str">
        <f>VLOOKUP(D:D,'Master Table'!C:D,2,FALSE)</f>
        <v>1440</v>
      </c>
      <c r="F61" s="769" t="s">
        <v>6452</v>
      </c>
      <c r="G61" s="769" t="s">
        <v>6453</v>
      </c>
      <c r="H61" s="769" t="s">
        <v>61</v>
      </c>
      <c r="I61" s="769" t="s">
        <v>1832</v>
      </c>
      <c r="J61" s="769" t="s">
        <v>7912</v>
      </c>
      <c r="K61" s="789" t="s">
        <v>324</v>
      </c>
      <c r="L61" s="790">
        <v>0</v>
      </c>
      <c r="M61" s="790"/>
      <c r="N61" s="790"/>
      <c r="O61" s="312">
        <v>0</v>
      </c>
      <c r="P61" s="467">
        <f>VLOOKUP(D:D,'Master Table'!C:O,13,FALSE)</f>
        <v>10</v>
      </c>
      <c r="Q61" s="657">
        <v>10</v>
      </c>
      <c r="R61" s="664">
        <v>0</v>
      </c>
      <c r="S61" s="650">
        <v>119</v>
      </c>
      <c r="T61" s="86" t="s">
        <v>7912</v>
      </c>
    </row>
    <row r="62" spans="1:20" ht="30" customHeight="1" x14ac:dyDescent="0.2">
      <c r="A62" s="291" t="str">
        <f t="shared" si="0"/>
        <v>WES065 / 1441</v>
      </c>
      <c r="B62" s="89" t="s">
        <v>7965</v>
      </c>
      <c r="C62" s="89" t="s">
        <v>2759</v>
      </c>
      <c r="D62" s="318" t="s">
        <v>6454</v>
      </c>
      <c r="E62" s="369" t="str">
        <f>VLOOKUP(D:D,'Master Table'!C:D,2,FALSE)</f>
        <v>1441</v>
      </c>
      <c r="F62" s="769" t="s">
        <v>6454</v>
      </c>
      <c r="G62" s="769" t="s">
        <v>6455</v>
      </c>
      <c r="H62" s="769" t="s">
        <v>796</v>
      </c>
      <c r="I62" s="769" t="s">
        <v>1832</v>
      </c>
      <c r="J62" s="769" t="s">
        <v>7912</v>
      </c>
      <c r="K62" s="789" t="s">
        <v>351</v>
      </c>
      <c r="L62" s="790">
        <v>0</v>
      </c>
      <c r="M62" s="790">
        <v>10</v>
      </c>
      <c r="N62" s="790"/>
      <c r="O62" s="312">
        <v>10</v>
      </c>
      <c r="P62" s="467">
        <f>VLOOKUP(D:D,'Master Table'!C:O,13,FALSE)</f>
        <v>588.35</v>
      </c>
      <c r="Q62" s="657">
        <v>588.35</v>
      </c>
      <c r="R62" s="664">
        <v>545.12</v>
      </c>
      <c r="S62" s="650">
        <v>189.11</v>
      </c>
      <c r="T62" s="86" t="s">
        <v>7912</v>
      </c>
    </row>
    <row r="63" spans="1:20" ht="30" customHeight="1" x14ac:dyDescent="0.2">
      <c r="A63" s="291" t="str">
        <f t="shared" si="0"/>
        <v>WES066 / 1443</v>
      </c>
      <c r="B63" s="89" t="s">
        <v>7966</v>
      </c>
      <c r="C63" s="89" t="s">
        <v>1008</v>
      </c>
      <c r="D63" s="318" t="s">
        <v>6456</v>
      </c>
      <c r="E63" s="369" t="str">
        <f>VLOOKUP(D:D,'Master Table'!C:D,2,FALSE)</f>
        <v>1443</v>
      </c>
      <c r="F63" s="769" t="s">
        <v>6456</v>
      </c>
      <c r="G63" s="769" t="s">
        <v>6457</v>
      </c>
      <c r="H63" s="769" t="s">
        <v>1008</v>
      </c>
      <c r="I63" s="769" t="s">
        <v>1832</v>
      </c>
      <c r="J63" s="769" t="s">
        <v>7931</v>
      </c>
      <c r="K63" s="789" t="s">
        <v>324</v>
      </c>
      <c r="L63" s="790">
        <v>0</v>
      </c>
      <c r="M63" s="790">
        <v>60</v>
      </c>
      <c r="N63" s="790"/>
      <c r="O63" s="312">
        <v>60</v>
      </c>
      <c r="P63" s="467">
        <f>VLOOKUP(D:D,'Master Table'!C:O,13,FALSE)</f>
        <v>80</v>
      </c>
      <c r="Q63" s="657">
        <v>80</v>
      </c>
      <c r="R63" s="664">
        <v>100</v>
      </c>
      <c r="S63" s="650">
        <v>90</v>
      </c>
      <c r="T63" s="86" t="s">
        <v>7931</v>
      </c>
    </row>
    <row r="64" spans="1:20" ht="30" customHeight="1" x14ac:dyDescent="0.2">
      <c r="A64" s="291" t="str">
        <f t="shared" si="0"/>
        <v>WES067 / 1444</v>
      </c>
      <c r="B64" s="89" t="s">
        <v>7967</v>
      </c>
      <c r="C64" s="89" t="s">
        <v>1160</v>
      </c>
      <c r="D64" s="318" t="s">
        <v>6458</v>
      </c>
      <c r="E64" s="369" t="str">
        <f>VLOOKUP(D:D,'Master Table'!C:D,2,FALSE)</f>
        <v>1444</v>
      </c>
      <c r="F64" s="769" t="s">
        <v>6458</v>
      </c>
      <c r="G64" s="769" t="s">
        <v>6459</v>
      </c>
      <c r="H64" s="769" t="s">
        <v>2176</v>
      </c>
      <c r="I64" s="769" t="s">
        <v>1832</v>
      </c>
      <c r="J64" s="769" t="s">
        <v>11304</v>
      </c>
      <c r="K64" s="789" t="s">
        <v>324</v>
      </c>
      <c r="L64" s="790">
        <v>0</v>
      </c>
      <c r="M64" s="790">
        <v>10</v>
      </c>
      <c r="N64" s="790">
        <v>500</v>
      </c>
      <c r="O64" s="312">
        <v>510</v>
      </c>
      <c r="P64" s="467">
        <f>VLOOKUP(D:D,'Master Table'!C:O,13,FALSE)</f>
        <v>10</v>
      </c>
      <c r="Q64" s="657">
        <v>10</v>
      </c>
      <c r="R64" s="664">
        <v>20.46</v>
      </c>
      <c r="S64" s="650">
        <v>40</v>
      </c>
      <c r="T64" s="86" t="s">
        <v>7914</v>
      </c>
    </row>
    <row r="65" spans="1:20" ht="30" customHeight="1" x14ac:dyDescent="0.2">
      <c r="A65" s="291" t="str">
        <f t="shared" si="0"/>
        <v>WES068 / 1445</v>
      </c>
      <c r="B65" s="89" t="s">
        <v>7968</v>
      </c>
      <c r="C65" s="89" t="s">
        <v>226</v>
      </c>
      <c r="D65" s="318" t="s">
        <v>6460</v>
      </c>
      <c r="E65" s="369" t="str">
        <f>VLOOKUP(D:D,'Master Table'!C:D,2,FALSE)</f>
        <v>1445</v>
      </c>
      <c r="F65" s="769" t="s">
        <v>6460</v>
      </c>
      <c r="G65" s="769" t="s">
        <v>6461</v>
      </c>
      <c r="H65" s="769" t="s">
        <v>31</v>
      </c>
      <c r="I65" s="769" t="s">
        <v>1832</v>
      </c>
      <c r="J65" s="769" t="s">
        <v>7921</v>
      </c>
      <c r="K65" s="789" t="s">
        <v>324</v>
      </c>
      <c r="L65" s="790">
        <v>0</v>
      </c>
      <c r="M65" s="790">
        <v>45</v>
      </c>
      <c r="N65" s="790"/>
      <c r="O65" s="312">
        <v>45</v>
      </c>
      <c r="P65" s="467">
        <f>VLOOKUP(D:D,'Master Table'!C:O,13,FALSE)</f>
        <v>25</v>
      </c>
      <c r="Q65" s="657">
        <v>25</v>
      </c>
      <c r="R65" s="664">
        <v>175</v>
      </c>
      <c r="S65" s="650">
        <v>125</v>
      </c>
      <c r="T65" s="86" t="s">
        <v>7921</v>
      </c>
    </row>
    <row r="66" spans="1:20" ht="30" customHeight="1" x14ac:dyDescent="0.2">
      <c r="A66" s="291" t="str">
        <f t="shared" si="0"/>
        <v>WES069 / 1446</v>
      </c>
      <c r="B66" s="89" t="s">
        <v>7969</v>
      </c>
      <c r="C66" s="89" t="s">
        <v>1770</v>
      </c>
      <c r="D66" s="318" t="s">
        <v>6462</v>
      </c>
      <c r="E66" s="369" t="str">
        <f>VLOOKUP(D:D,'Master Table'!C:D,2,FALSE)</f>
        <v>1446</v>
      </c>
      <c r="F66" s="769" t="s">
        <v>6462</v>
      </c>
      <c r="G66" s="769" t="s">
        <v>6463</v>
      </c>
      <c r="H66" s="769" t="s">
        <v>6464</v>
      </c>
      <c r="I66" s="769" t="s">
        <v>6465</v>
      </c>
      <c r="J66" s="769" t="s">
        <v>7894</v>
      </c>
      <c r="K66" s="789" t="s">
        <v>324</v>
      </c>
      <c r="L66" s="790">
        <v>216.5</v>
      </c>
      <c r="M66" s="790">
        <v>285</v>
      </c>
      <c r="N66" s="790"/>
      <c r="O66" s="312">
        <v>501.5</v>
      </c>
      <c r="P66" s="467">
        <f>VLOOKUP(D:D,'Master Table'!C:O,13,FALSE)</f>
        <v>255.07</v>
      </c>
      <c r="Q66" s="657">
        <v>255.07</v>
      </c>
      <c r="R66" s="664">
        <v>431.03</v>
      </c>
      <c r="S66" s="650">
        <v>390.8</v>
      </c>
      <c r="T66" s="86" t="s">
        <v>7894</v>
      </c>
    </row>
    <row r="67" spans="1:20" ht="30" customHeight="1" x14ac:dyDescent="0.2">
      <c r="A67" s="291" t="str">
        <f t="shared" ref="A67:A132" si="1">D67&amp;" / "&amp;E67</f>
        <v>WES070 / 1447</v>
      </c>
      <c r="B67" s="89" t="s">
        <v>6465</v>
      </c>
      <c r="C67" s="89" t="s">
        <v>460</v>
      </c>
      <c r="D67" s="318" t="s">
        <v>6466</v>
      </c>
      <c r="E67" s="369" t="str">
        <f>VLOOKUP(D:D,'Master Table'!C:D,2,FALSE)</f>
        <v>1447</v>
      </c>
      <c r="F67" s="769" t="s">
        <v>6466</v>
      </c>
      <c r="G67" s="769" t="s">
        <v>6467</v>
      </c>
      <c r="H67" s="769" t="s">
        <v>460</v>
      </c>
      <c r="I67" s="769" t="s">
        <v>6465</v>
      </c>
      <c r="J67" s="769" t="s">
        <v>7894</v>
      </c>
      <c r="K67" s="789" t="s">
        <v>324</v>
      </c>
      <c r="L67" s="790">
        <v>663.25</v>
      </c>
      <c r="M67" s="790">
        <v>959</v>
      </c>
      <c r="N67" s="790"/>
      <c r="O67" s="312">
        <v>1622.25</v>
      </c>
      <c r="P67" s="467">
        <f>VLOOKUP(D:D,'Master Table'!C:O,13,FALSE)</f>
        <v>2420.0500000000002</v>
      </c>
      <c r="Q67" s="657">
        <v>2420.0500000000002</v>
      </c>
      <c r="R67" s="664">
        <v>2711.79</v>
      </c>
      <c r="S67" s="650">
        <v>2906.71</v>
      </c>
      <c r="T67" s="86" t="s">
        <v>7894</v>
      </c>
    </row>
    <row r="68" spans="1:20" ht="30" customHeight="1" x14ac:dyDescent="0.2">
      <c r="A68" s="291" t="str">
        <f t="shared" si="1"/>
        <v>WES071 / 1448</v>
      </c>
      <c r="B68" s="89" t="s">
        <v>7970</v>
      </c>
      <c r="C68" s="89" t="s">
        <v>3238</v>
      </c>
      <c r="D68" s="318" t="s">
        <v>6468</v>
      </c>
      <c r="E68" s="369" t="str">
        <f>VLOOKUP(D:D,'Master Table'!C:D,2,FALSE)</f>
        <v>1448</v>
      </c>
      <c r="F68" s="769" t="s">
        <v>6468</v>
      </c>
      <c r="G68" s="769" t="s">
        <v>6469</v>
      </c>
      <c r="H68" s="769" t="s">
        <v>3238</v>
      </c>
      <c r="I68" s="769" t="s">
        <v>1832</v>
      </c>
      <c r="J68" s="769" t="s">
        <v>7891</v>
      </c>
      <c r="K68" s="789" t="s">
        <v>324</v>
      </c>
      <c r="L68" s="790">
        <v>541.21</v>
      </c>
      <c r="M68" s="790">
        <v>295</v>
      </c>
      <c r="N68" s="790"/>
      <c r="O68" s="312">
        <v>836.21</v>
      </c>
      <c r="P68" s="467">
        <f>VLOOKUP(D:D,'Master Table'!C:O,13,FALSE)</f>
        <v>2249.79</v>
      </c>
      <c r="Q68" s="657">
        <v>2249.79</v>
      </c>
      <c r="R68" s="664">
        <v>1445.73</v>
      </c>
      <c r="S68" s="650">
        <v>1921</v>
      </c>
      <c r="T68" s="86" t="s">
        <v>7891</v>
      </c>
    </row>
    <row r="69" spans="1:20" ht="30" customHeight="1" x14ac:dyDescent="0.2">
      <c r="A69" s="291" t="str">
        <f t="shared" si="1"/>
        <v>WES072 / 1449</v>
      </c>
      <c r="B69" s="89" t="s">
        <v>7971</v>
      </c>
      <c r="C69" s="89" t="s">
        <v>2667</v>
      </c>
      <c r="D69" s="318" t="s">
        <v>6470</v>
      </c>
      <c r="E69" s="369" t="str">
        <f>VLOOKUP(D:D,'Master Table'!C:D,2,FALSE)</f>
        <v>1449</v>
      </c>
      <c r="F69" s="769" t="s">
        <v>6470</v>
      </c>
      <c r="G69" s="769" t="s">
        <v>6471</v>
      </c>
      <c r="H69" s="769" t="s">
        <v>564</v>
      </c>
      <c r="I69" s="769" t="s">
        <v>6472</v>
      </c>
      <c r="J69" s="769" t="s">
        <v>7947</v>
      </c>
      <c r="K69" s="789" t="s">
        <v>324</v>
      </c>
      <c r="L69" s="790">
        <v>0</v>
      </c>
      <c r="M69" s="790">
        <v>50</v>
      </c>
      <c r="N69" s="790"/>
      <c r="O69" s="312">
        <v>50</v>
      </c>
      <c r="P69" s="467">
        <f>VLOOKUP(D:D,'Master Table'!C:O,13,FALSE)</f>
        <v>60</v>
      </c>
      <c r="Q69" s="657">
        <v>60</v>
      </c>
      <c r="R69" s="664">
        <v>209.49</v>
      </c>
      <c r="S69" s="650">
        <v>524.72</v>
      </c>
      <c r="T69" s="86" t="s">
        <v>7947</v>
      </c>
    </row>
    <row r="70" spans="1:20" ht="30" customHeight="1" x14ac:dyDescent="0.2">
      <c r="A70" s="291" t="str">
        <f t="shared" si="1"/>
        <v>WES073 / 1450</v>
      </c>
      <c r="B70" s="89" t="s">
        <v>6475</v>
      </c>
      <c r="C70" s="89" t="s">
        <v>1203</v>
      </c>
      <c r="D70" s="318" t="s">
        <v>6473</v>
      </c>
      <c r="E70" s="369" t="str">
        <f>VLOOKUP(D:D,'Master Table'!C:D,2,FALSE)</f>
        <v>1450</v>
      </c>
      <c r="F70" s="769" t="s">
        <v>6473</v>
      </c>
      <c r="G70" s="769" t="s">
        <v>6474</v>
      </c>
      <c r="H70" s="769" t="s">
        <v>1203</v>
      </c>
      <c r="I70" s="769" t="s">
        <v>6475</v>
      </c>
      <c r="J70" s="769" t="s">
        <v>11302</v>
      </c>
      <c r="K70" s="789" t="s">
        <v>324</v>
      </c>
      <c r="L70" s="790">
        <v>174.13</v>
      </c>
      <c r="M70" s="790">
        <v>800</v>
      </c>
      <c r="N70" s="790"/>
      <c r="O70" s="312">
        <v>974.13</v>
      </c>
      <c r="P70" s="467">
        <f>VLOOKUP(D:D,'Master Table'!C:O,13,FALSE)</f>
        <v>1194.2</v>
      </c>
      <c r="Q70" s="657">
        <v>1194.2</v>
      </c>
      <c r="R70" s="664">
        <v>1051</v>
      </c>
      <c r="S70" s="650">
        <v>1282.6199999999999</v>
      </c>
      <c r="T70" s="86" t="s">
        <v>7901</v>
      </c>
    </row>
    <row r="71" spans="1:20" ht="30" customHeight="1" x14ac:dyDescent="0.2">
      <c r="A71" s="291" t="str">
        <f t="shared" si="1"/>
        <v>WES075 / 1452</v>
      </c>
      <c r="B71" s="89" t="s">
        <v>7972</v>
      </c>
      <c r="C71" s="89" t="s">
        <v>3298</v>
      </c>
      <c r="D71" s="318" t="s">
        <v>6476</v>
      </c>
      <c r="E71" s="369" t="str">
        <f>VLOOKUP(D:D,'Master Table'!C:D,2,FALSE)</f>
        <v>1452</v>
      </c>
      <c r="F71" s="769" t="s">
        <v>6476</v>
      </c>
      <c r="G71" s="769" t="s">
        <v>6477</v>
      </c>
      <c r="H71" s="769" t="s">
        <v>6478</v>
      </c>
      <c r="I71" s="769" t="s">
        <v>6479</v>
      </c>
      <c r="J71" s="769" t="s">
        <v>7973</v>
      </c>
      <c r="K71" s="789" t="s">
        <v>324</v>
      </c>
      <c r="L71" s="790">
        <v>1344.27</v>
      </c>
      <c r="M71" s="790">
        <v>55</v>
      </c>
      <c r="N71" s="790"/>
      <c r="O71" s="312">
        <v>1399.27</v>
      </c>
      <c r="P71" s="467">
        <f>VLOOKUP(D:D,'Master Table'!C:O,13,FALSE)</f>
        <v>2541.56</v>
      </c>
      <c r="Q71" s="657">
        <v>2541.56</v>
      </c>
      <c r="R71" s="664">
        <v>2623.45</v>
      </c>
      <c r="S71" s="650">
        <v>2025.72</v>
      </c>
      <c r="T71" s="86" t="s">
        <v>7973</v>
      </c>
    </row>
    <row r="72" spans="1:20" ht="30" customHeight="1" x14ac:dyDescent="0.2">
      <c r="A72" s="291" t="str">
        <f t="shared" si="1"/>
        <v>WES076 / 1453</v>
      </c>
      <c r="B72" s="89" t="s">
        <v>7974</v>
      </c>
      <c r="C72" s="89" t="s">
        <v>2578</v>
      </c>
      <c r="D72" s="318" t="s">
        <v>6480</v>
      </c>
      <c r="E72" s="369" t="str">
        <f>VLOOKUP(D:D,'Master Table'!C:D,2,FALSE)</f>
        <v>1453</v>
      </c>
      <c r="F72" s="769" t="s">
        <v>6480</v>
      </c>
      <c r="G72" s="769" t="s">
        <v>6481</v>
      </c>
      <c r="H72" s="769" t="s">
        <v>2578</v>
      </c>
      <c r="I72" s="769" t="s">
        <v>11309</v>
      </c>
      <c r="J72" s="769" t="s">
        <v>7973</v>
      </c>
      <c r="K72" s="789" t="s">
        <v>324</v>
      </c>
      <c r="L72" s="790">
        <v>0</v>
      </c>
      <c r="M72" s="790">
        <v>160</v>
      </c>
      <c r="N72" s="790"/>
      <c r="O72" s="312">
        <v>160</v>
      </c>
      <c r="P72" s="467">
        <f>VLOOKUP(D:D,'Master Table'!C:O,13,FALSE)</f>
        <v>232.5</v>
      </c>
      <c r="Q72" s="657">
        <v>232.5</v>
      </c>
      <c r="R72" s="664">
        <v>290</v>
      </c>
      <c r="S72" s="650">
        <v>539.78</v>
      </c>
      <c r="T72" s="86" t="s">
        <v>7973</v>
      </c>
    </row>
    <row r="73" spans="1:20" ht="30" customHeight="1" x14ac:dyDescent="0.2">
      <c r="A73" s="291" t="str">
        <f t="shared" si="1"/>
        <v>WES077 / 1454</v>
      </c>
      <c r="B73" s="89" t="s">
        <v>7975</v>
      </c>
      <c r="C73" s="89" t="s">
        <v>7976</v>
      </c>
      <c r="D73" s="318" t="s">
        <v>6482</v>
      </c>
      <c r="E73" s="369" t="str">
        <f>VLOOKUP(D:D,'Master Table'!C:D,2,FALSE)</f>
        <v>1454</v>
      </c>
      <c r="F73" s="769" t="s">
        <v>6482</v>
      </c>
      <c r="G73" s="769" t="s">
        <v>6483</v>
      </c>
      <c r="H73" s="769" t="s">
        <v>6484</v>
      </c>
      <c r="I73" s="769" t="s">
        <v>6479</v>
      </c>
      <c r="J73" s="769" t="s">
        <v>7973</v>
      </c>
      <c r="K73" s="789" t="s">
        <v>324</v>
      </c>
      <c r="L73" s="790">
        <v>519.55999999999995</v>
      </c>
      <c r="M73" s="790">
        <v>630</v>
      </c>
      <c r="N73" s="790"/>
      <c r="O73" s="312">
        <v>1149.56</v>
      </c>
      <c r="P73" s="467">
        <f>VLOOKUP(D:D,'Master Table'!C:O,13,FALSE)</f>
        <v>1672.2800000000002</v>
      </c>
      <c r="Q73" s="657">
        <v>1672.2800000000002</v>
      </c>
      <c r="R73" s="664">
        <v>2564.9899999999998</v>
      </c>
      <c r="S73" s="650">
        <v>2396.8900000000003</v>
      </c>
      <c r="T73" s="86" t="s">
        <v>7973</v>
      </c>
    </row>
    <row r="74" spans="1:20" ht="30" customHeight="1" x14ac:dyDescent="0.2">
      <c r="A74" s="291" t="str">
        <f t="shared" si="1"/>
        <v>WES078 / 1455</v>
      </c>
      <c r="B74" s="89" t="s">
        <v>7977</v>
      </c>
      <c r="C74" s="89" t="s">
        <v>7978</v>
      </c>
      <c r="D74" s="318" t="s">
        <v>6489</v>
      </c>
      <c r="E74" s="369" t="str">
        <f>VLOOKUP(D:D,'Master Table'!C:D,2,FALSE)</f>
        <v>1455</v>
      </c>
      <c r="F74" s="769" t="s">
        <v>6489</v>
      </c>
      <c r="G74" s="769" t="s">
        <v>6490</v>
      </c>
      <c r="H74" s="769" t="s">
        <v>6491</v>
      </c>
      <c r="I74" s="769" t="s">
        <v>1832</v>
      </c>
      <c r="J74" s="769" t="s">
        <v>7899</v>
      </c>
      <c r="K74" s="789" t="s">
        <v>324</v>
      </c>
      <c r="L74" s="790">
        <v>0</v>
      </c>
      <c r="M74" s="790">
        <v>360</v>
      </c>
      <c r="N74" s="790">
        <v>152.66999999999999</v>
      </c>
      <c r="O74" s="312">
        <v>512.66999999999996</v>
      </c>
      <c r="P74" s="467">
        <f>VLOOKUP(D:D,'Master Table'!C:O,13,FALSE)</f>
        <v>550.5</v>
      </c>
      <c r="Q74" s="657">
        <v>550.5</v>
      </c>
      <c r="R74" s="664">
        <v>1106.3599999999999</v>
      </c>
      <c r="S74" s="650">
        <v>882.94</v>
      </c>
      <c r="T74" s="86" t="s">
        <v>7899</v>
      </c>
    </row>
    <row r="75" spans="1:20" ht="30" customHeight="1" x14ac:dyDescent="0.2">
      <c r="A75" s="291" t="str">
        <f t="shared" si="1"/>
        <v>WES079 / 1456</v>
      </c>
      <c r="B75" s="89" t="s">
        <v>6495</v>
      </c>
      <c r="C75" s="89" t="s">
        <v>6494</v>
      </c>
      <c r="D75" s="318" t="s">
        <v>6492</v>
      </c>
      <c r="E75" s="369" t="str">
        <f>VLOOKUP(D:D,'Master Table'!C:D,2,FALSE)</f>
        <v>1456</v>
      </c>
      <c r="F75" s="769" t="s">
        <v>6492</v>
      </c>
      <c r="G75" s="769" t="s">
        <v>6493</v>
      </c>
      <c r="H75" s="769" t="s">
        <v>6494</v>
      </c>
      <c r="I75" s="769" t="s">
        <v>6495</v>
      </c>
      <c r="J75" s="769" t="s">
        <v>7896</v>
      </c>
      <c r="K75" s="789" t="s">
        <v>324</v>
      </c>
      <c r="L75" s="790">
        <v>404.42</v>
      </c>
      <c r="M75" s="790">
        <v>620</v>
      </c>
      <c r="N75" s="790"/>
      <c r="O75" s="312">
        <v>1024.42</v>
      </c>
      <c r="P75" s="467">
        <f>VLOOKUP(D:D,'Master Table'!C:O,13,FALSE)</f>
        <v>1949.84</v>
      </c>
      <c r="Q75" s="657">
        <v>1949.84</v>
      </c>
      <c r="R75" s="664">
        <v>1987.74</v>
      </c>
      <c r="S75" s="650">
        <v>1606.08</v>
      </c>
      <c r="T75" s="86" t="s">
        <v>7896</v>
      </c>
    </row>
    <row r="76" spans="1:20" ht="30" customHeight="1" x14ac:dyDescent="0.2">
      <c r="A76" s="291" t="str">
        <f t="shared" si="1"/>
        <v>WES080 / 1457</v>
      </c>
      <c r="B76" s="89" t="s">
        <v>7979</v>
      </c>
      <c r="C76" s="89" t="s">
        <v>1065</v>
      </c>
      <c r="D76" s="318" t="s">
        <v>6499</v>
      </c>
      <c r="E76" s="369" t="str">
        <f>VLOOKUP(D:D,'Master Table'!C:D,2,FALSE)</f>
        <v>1457</v>
      </c>
      <c r="F76" s="769" t="s">
        <v>6499</v>
      </c>
      <c r="G76" s="769" t="s">
        <v>6500</v>
      </c>
      <c r="H76" s="769" t="s">
        <v>6501</v>
      </c>
      <c r="I76" s="769" t="s">
        <v>6502</v>
      </c>
      <c r="J76" s="769" t="s">
        <v>7896</v>
      </c>
      <c r="K76" s="789" t="s">
        <v>324</v>
      </c>
      <c r="L76" s="790">
        <v>0</v>
      </c>
      <c r="M76" s="790"/>
      <c r="N76" s="790"/>
      <c r="O76" s="312">
        <v>0</v>
      </c>
      <c r="P76" s="467">
        <f>VLOOKUP(D:D,'Master Table'!C:O,13,FALSE)</f>
        <v>0</v>
      </c>
      <c r="Q76" s="657">
        <v>0</v>
      </c>
      <c r="R76" s="664">
        <v>120</v>
      </c>
      <c r="S76" s="650">
        <v>137</v>
      </c>
      <c r="T76" s="86" t="s">
        <v>7896</v>
      </c>
    </row>
    <row r="77" spans="1:20" ht="30" customHeight="1" x14ac:dyDescent="0.2">
      <c r="A77" s="291" t="str">
        <f t="shared" si="1"/>
        <v>WES081 / 1458</v>
      </c>
      <c r="B77" s="89" t="s">
        <v>7980</v>
      </c>
      <c r="C77" s="89" t="s">
        <v>7516</v>
      </c>
      <c r="D77" s="318" t="s">
        <v>6503</v>
      </c>
      <c r="E77" s="369" t="str">
        <f>VLOOKUP(D:D,'Master Table'!C:D,2,FALSE)</f>
        <v>1458</v>
      </c>
      <c r="F77" s="769" t="s">
        <v>6503</v>
      </c>
      <c r="G77" s="769" t="s">
        <v>6504</v>
      </c>
      <c r="H77" s="769" t="s">
        <v>6505</v>
      </c>
      <c r="I77" s="769" t="s">
        <v>1832</v>
      </c>
      <c r="J77" s="769" t="s">
        <v>7921</v>
      </c>
      <c r="K77" s="789" t="s">
        <v>324</v>
      </c>
      <c r="L77" s="790">
        <v>0</v>
      </c>
      <c r="M77" s="790">
        <v>552</v>
      </c>
      <c r="N77" s="790"/>
      <c r="O77" s="312">
        <v>552</v>
      </c>
      <c r="P77" s="467">
        <f>VLOOKUP(D:D,'Master Table'!C:O,13,FALSE)</f>
        <v>636.04</v>
      </c>
      <c r="Q77" s="657">
        <v>636.04</v>
      </c>
      <c r="R77" s="664">
        <v>508</v>
      </c>
      <c r="S77" s="650">
        <v>826</v>
      </c>
      <c r="T77" s="86" t="s">
        <v>7921</v>
      </c>
    </row>
    <row r="78" spans="1:20" ht="30" customHeight="1" x14ac:dyDescent="0.2">
      <c r="A78" s="291" t="str">
        <f t="shared" si="1"/>
        <v>WES082 / 1459</v>
      </c>
      <c r="B78" s="89" t="s">
        <v>5828</v>
      </c>
      <c r="C78" s="89" t="s">
        <v>6508</v>
      </c>
      <c r="D78" s="318" t="s">
        <v>6506</v>
      </c>
      <c r="E78" s="369" t="str">
        <f>VLOOKUP(D:D,'Master Table'!C:D,2,FALSE)</f>
        <v>1459</v>
      </c>
      <c r="F78" s="769" t="s">
        <v>6506</v>
      </c>
      <c r="G78" s="769" t="s">
        <v>6507</v>
      </c>
      <c r="H78" s="769" t="s">
        <v>6508</v>
      </c>
      <c r="I78" s="769" t="s">
        <v>6509</v>
      </c>
      <c r="J78" s="769" t="s">
        <v>7947</v>
      </c>
      <c r="K78" s="789" t="s">
        <v>324</v>
      </c>
      <c r="L78" s="790">
        <v>0</v>
      </c>
      <c r="M78" s="790">
        <v>18</v>
      </c>
      <c r="N78" s="790"/>
      <c r="O78" s="312">
        <v>18</v>
      </c>
      <c r="P78" s="467">
        <f>VLOOKUP(D:D,'Master Table'!C:O,13,FALSE)</f>
        <v>148</v>
      </c>
      <c r="Q78" s="657">
        <v>148</v>
      </c>
      <c r="R78" s="664">
        <v>22</v>
      </c>
      <c r="S78" s="650">
        <v>12</v>
      </c>
      <c r="T78" s="86" t="s">
        <v>7947</v>
      </c>
    </row>
    <row r="79" spans="1:20" ht="30" customHeight="1" x14ac:dyDescent="0.2">
      <c r="A79" s="291" t="str">
        <f t="shared" si="1"/>
        <v>WES083 / 1460</v>
      </c>
      <c r="B79" s="89" t="s">
        <v>7981</v>
      </c>
      <c r="C79" s="89" t="s">
        <v>260</v>
      </c>
      <c r="D79" s="318" t="s">
        <v>6510</v>
      </c>
      <c r="E79" s="369" t="str">
        <f>VLOOKUP(D:D,'Master Table'!C:D,2,FALSE)</f>
        <v>1460</v>
      </c>
      <c r="F79" s="769" t="s">
        <v>6510</v>
      </c>
      <c r="G79" s="769" t="s">
        <v>6511</v>
      </c>
      <c r="H79" s="769" t="s">
        <v>260</v>
      </c>
      <c r="I79" s="769" t="s">
        <v>6512</v>
      </c>
      <c r="J79" s="769" t="s">
        <v>7973</v>
      </c>
      <c r="K79" s="789" t="s">
        <v>324</v>
      </c>
      <c r="L79" s="790">
        <v>0</v>
      </c>
      <c r="M79" s="790">
        <v>80</v>
      </c>
      <c r="N79" s="790"/>
      <c r="O79" s="312">
        <v>80</v>
      </c>
      <c r="P79" s="467">
        <f>VLOOKUP(D:D,'Master Table'!C:O,13,FALSE)</f>
        <v>217</v>
      </c>
      <c r="Q79" s="657">
        <v>217</v>
      </c>
      <c r="R79" s="664">
        <v>716.39</v>
      </c>
      <c r="S79" s="650">
        <v>745.57</v>
      </c>
      <c r="T79" s="86" t="s">
        <v>7973</v>
      </c>
    </row>
    <row r="80" spans="1:20" ht="30" customHeight="1" x14ac:dyDescent="0.2">
      <c r="A80" s="291" t="str">
        <f t="shared" si="1"/>
        <v>WES084 / 1461</v>
      </c>
      <c r="B80" s="89" t="s">
        <v>6520</v>
      </c>
      <c r="C80" s="89" t="s">
        <v>6706</v>
      </c>
      <c r="D80" s="318" t="s">
        <v>6513</v>
      </c>
      <c r="E80" s="369" t="str">
        <f>VLOOKUP(D:D,'Master Table'!C:D,2,FALSE)</f>
        <v>1461</v>
      </c>
      <c r="F80" s="769" t="s">
        <v>6513</v>
      </c>
      <c r="G80" s="769" t="s">
        <v>6514</v>
      </c>
      <c r="H80" s="769" t="s">
        <v>6515</v>
      </c>
      <c r="I80" s="769" t="s">
        <v>6516</v>
      </c>
      <c r="J80" s="769" t="s">
        <v>11302</v>
      </c>
      <c r="K80" s="789" t="s">
        <v>324</v>
      </c>
      <c r="L80" s="790">
        <v>343.48</v>
      </c>
      <c r="M80" s="790">
        <v>524.36</v>
      </c>
      <c r="N80" s="790"/>
      <c r="O80" s="312">
        <v>867.84</v>
      </c>
      <c r="P80" s="467">
        <f>VLOOKUP(D:D,'Master Table'!C:O,13,FALSE)</f>
        <v>397</v>
      </c>
      <c r="Q80" s="657">
        <v>397</v>
      </c>
      <c r="R80" s="664">
        <v>1018.16</v>
      </c>
      <c r="S80" s="650">
        <v>1927.25</v>
      </c>
      <c r="T80" s="86" t="s">
        <v>7901</v>
      </c>
    </row>
    <row r="81" spans="1:20" ht="30" customHeight="1" x14ac:dyDescent="0.2">
      <c r="A81" s="291" t="str">
        <f t="shared" si="1"/>
        <v>WES085 / 1462</v>
      </c>
      <c r="B81" s="89" t="s">
        <v>7982</v>
      </c>
      <c r="C81" s="89" t="s">
        <v>7584</v>
      </c>
      <c r="D81" s="318" t="s">
        <v>6517</v>
      </c>
      <c r="E81" s="369" t="str">
        <f>VLOOKUP(D:D,'Master Table'!C:D,2,FALSE)</f>
        <v>1462</v>
      </c>
      <c r="F81" s="769" t="s">
        <v>6517</v>
      </c>
      <c r="G81" s="769" t="s">
        <v>6518</v>
      </c>
      <c r="H81" s="769" t="s">
        <v>6519</v>
      </c>
      <c r="I81" s="769" t="s">
        <v>6520</v>
      </c>
      <c r="J81" s="769" t="s">
        <v>11302</v>
      </c>
      <c r="K81" s="789" t="s">
        <v>324</v>
      </c>
      <c r="L81" s="790">
        <v>0</v>
      </c>
      <c r="M81" s="790">
        <v>210</v>
      </c>
      <c r="N81" s="790"/>
      <c r="O81" s="312">
        <v>210</v>
      </c>
      <c r="P81" s="467">
        <f>VLOOKUP(D:D,'Master Table'!C:O,13,FALSE)</f>
        <v>305</v>
      </c>
      <c r="Q81" s="657">
        <v>305</v>
      </c>
      <c r="R81" s="664">
        <v>264.11</v>
      </c>
      <c r="S81" s="650">
        <v>512.71</v>
      </c>
      <c r="T81" s="86" t="s">
        <v>7901</v>
      </c>
    </row>
    <row r="82" spans="1:20" ht="30" customHeight="1" x14ac:dyDescent="0.2">
      <c r="A82" s="291" t="str">
        <f t="shared" si="1"/>
        <v>WES086 / 1463</v>
      </c>
      <c r="B82" s="89" t="s">
        <v>7983</v>
      </c>
      <c r="C82" s="89" t="s">
        <v>7984</v>
      </c>
      <c r="D82" s="318" t="s">
        <v>6521</v>
      </c>
      <c r="E82" s="369" t="str">
        <f>VLOOKUP(D:D,'Master Table'!C:D,2,FALSE)</f>
        <v>1463</v>
      </c>
      <c r="F82" s="769" t="s">
        <v>6521</v>
      </c>
      <c r="G82" s="769" t="s">
        <v>6522</v>
      </c>
      <c r="H82" s="769" t="s">
        <v>6523</v>
      </c>
      <c r="I82" s="769" t="s">
        <v>6520</v>
      </c>
      <c r="J82" s="769" t="s">
        <v>11302</v>
      </c>
      <c r="K82" s="789" t="s">
        <v>324</v>
      </c>
      <c r="L82" s="790">
        <v>332.74</v>
      </c>
      <c r="M82" s="790">
        <v>173</v>
      </c>
      <c r="N82" s="790"/>
      <c r="O82" s="312">
        <v>505.74</v>
      </c>
      <c r="P82" s="467">
        <f>VLOOKUP(D:D,'Master Table'!C:O,13,FALSE)</f>
        <v>781.6099999999999</v>
      </c>
      <c r="Q82" s="657">
        <v>781.6099999999999</v>
      </c>
      <c r="R82" s="664">
        <v>2551.56</v>
      </c>
      <c r="S82" s="650">
        <v>2573.0500000000002</v>
      </c>
      <c r="T82" s="86" t="s">
        <v>7901</v>
      </c>
    </row>
    <row r="83" spans="1:20" ht="30" customHeight="1" x14ac:dyDescent="0.2">
      <c r="A83" s="291" t="str">
        <f t="shared" si="1"/>
        <v>WES087 / 1464</v>
      </c>
      <c r="B83" s="89" t="s">
        <v>7985</v>
      </c>
      <c r="C83" s="89" t="s">
        <v>7986</v>
      </c>
      <c r="D83" s="318" t="s">
        <v>6525</v>
      </c>
      <c r="E83" s="369" t="str">
        <f>VLOOKUP(D:D,'Master Table'!C:D,2,FALSE)</f>
        <v>1464</v>
      </c>
      <c r="F83" s="769" t="s">
        <v>6525</v>
      </c>
      <c r="G83" s="769" t="s">
        <v>6526</v>
      </c>
      <c r="H83" s="769" t="s">
        <v>6527</v>
      </c>
      <c r="I83" s="769" t="s">
        <v>6520</v>
      </c>
      <c r="J83" s="769" t="s">
        <v>11302</v>
      </c>
      <c r="K83" s="789" t="s">
        <v>324</v>
      </c>
      <c r="L83" s="790">
        <v>0</v>
      </c>
      <c r="M83" s="790">
        <v>89</v>
      </c>
      <c r="N83" s="790"/>
      <c r="O83" s="312">
        <v>89</v>
      </c>
      <c r="P83" s="467">
        <f>VLOOKUP(D:D,'Master Table'!C:O,13,FALSE)</f>
        <v>101</v>
      </c>
      <c r="Q83" s="657">
        <v>101</v>
      </c>
      <c r="R83" s="664">
        <v>484.65</v>
      </c>
      <c r="S83" s="650">
        <v>501</v>
      </c>
      <c r="T83" s="86" t="s">
        <v>7901</v>
      </c>
    </row>
    <row r="84" spans="1:20" ht="30" customHeight="1" x14ac:dyDescent="0.2">
      <c r="A84" s="291" t="str">
        <f t="shared" si="1"/>
        <v>WES088 / 1465</v>
      </c>
      <c r="B84" s="89" t="s">
        <v>7987</v>
      </c>
      <c r="C84" s="89" t="s">
        <v>6530</v>
      </c>
      <c r="D84" s="318" t="s">
        <v>6528</v>
      </c>
      <c r="E84" s="369" t="str">
        <f>VLOOKUP(D:D,'Master Table'!C:D,2,FALSE)</f>
        <v>1465</v>
      </c>
      <c r="F84" s="769" t="s">
        <v>6528</v>
      </c>
      <c r="G84" s="769" t="s">
        <v>6529</v>
      </c>
      <c r="H84" s="769" t="s">
        <v>6530</v>
      </c>
      <c r="I84" s="769" t="s">
        <v>1832</v>
      </c>
      <c r="J84" s="769" t="s">
        <v>7897</v>
      </c>
      <c r="K84" s="789" t="s">
        <v>324</v>
      </c>
      <c r="L84" s="790">
        <v>0</v>
      </c>
      <c r="M84" s="790">
        <v>170</v>
      </c>
      <c r="N84" s="790"/>
      <c r="O84" s="312">
        <v>170</v>
      </c>
      <c r="P84" s="467">
        <f>VLOOKUP(D:D,'Master Table'!C:O,13,FALSE)</f>
        <v>510.57000000000005</v>
      </c>
      <c r="Q84" s="657">
        <v>510.57000000000005</v>
      </c>
      <c r="R84" s="664">
        <v>500.46</v>
      </c>
      <c r="S84" s="650">
        <v>582</v>
      </c>
      <c r="T84" s="86" t="s">
        <v>7897</v>
      </c>
    </row>
    <row r="85" spans="1:20" ht="30" customHeight="1" x14ac:dyDescent="0.2">
      <c r="A85" s="291" t="str">
        <f t="shared" si="1"/>
        <v>WES089 / 1466</v>
      </c>
      <c r="B85" s="89" t="s">
        <v>7988</v>
      </c>
      <c r="C85" s="89" t="s">
        <v>158</v>
      </c>
      <c r="D85" s="318" t="s">
        <v>6531</v>
      </c>
      <c r="E85" s="369" t="str">
        <f>VLOOKUP(D:D,'Master Table'!C:D,2,FALSE)</f>
        <v>1466</v>
      </c>
      <c r="F85" s="769" t="s">
        <v>6531</v>
      </c>
      <c r="G85" s="769" t="s">
        <v>6532</v>
      </c>
      <c r="H85" s="769" t="s">
        <v>124</v>
      </c>
      <c r="I85" s="769" t="s">
        <v>1832</v>
      </c>
      <c r="J85" s="769" t="s">
        <v>7897</v>
      </c>
      <c r="K85" s="789" t="s">
        <v>324</v>
      </c>
      <c r="L85" s="790">
        <v>0</v>
      </c>
      <c r="M85" s="790">
        <v>120</v>
      </c>
      <c r="N85" s="790"/>
      <c r="O85" s="312">
        <v>120</v>
      </c>
      <c r="P85" s="467">
        <f>VLOOKUP(D:D,'Master Table'!C:O,13,FALSE)</f>
        <v>110</v>
      </c>
      <c r="Q85" s="657">
        <v>110</v>
      </c>
      <c r="R85" s="664">
        <v>175</v>
      </c>
      <c r="S85" s="650">
        <v>212</v>
      </c>
      <c r="T85" s="86" t="s">
        <v>7897</v>
      </c>
    </row>
    <row r="86" spans="1:20" ht="30" customHeight="1" x14ac:dyDescent="0.2">
      <c r="A86" s="291" t="str">
        <f t="shared" si="1"/>
        <v>WES090 / 1467</v>
      </c>
      <c r="B86" s="89" t="s">
        <v>6536</v>
      </c>
      <c r="C86" s="89" t="s">
        <v>7989</v>
      </c>
      <c r="D86" s="318" t="s">
        <v>6533</v>
      </c>
      <c r="E86" s="369" t="str">
        <f>VLOOKUP(D:D,'Master Table'!C:D,2,FALSE)</f>
        <v>1467</v>
      </c>
      <c r="F86" s="769" t="s">
        <v>6533</v>
      </c>
      <c r="G86" s="769" t="s">
        <v>6534</v>
      </c>
      <c r="H86" s="769" t="s">
        <v>6535</v>
      </c>
      <c r="I86" s="769" t="s">
        <v>6536</v>
      </c>
      <c r="J86" s="769" t="s">
        <v>7905</v>
      </c>
      <c r="K86" s="789" t="s">
        <v>324</v>
      </c>
      <c r="L86" s="790">
        <v>255.91</v>
      </c>
      <c r="M86" s="790">
        <v>375</v>
      </c>
      <c r="N86" s="790"/>
      <c r="O86" s="312">
        <v>630.91</v>
      </c>
      <c r="P86" s="467">
        <f>VLOOKUP(D:D,'Master Table'!C:O,13,FALSE)</f>
        <v>1036.56</v>
      </c>
      <c r="Q86" s="657">
        <v>1036.56</v>
      </c>
      <c r="R86" s="664">
        <v>1210.56</v>
      </c>
      <c r="S86" s="650">
        <v>1570.08</v>
      </c>
      <c r="T86" s="86" t="s">
        <v>7905</v>
      </c>
    </row>
    <row r="87" spans="1:20" ht="30" customHeight="1" x14ac:dyDescent="0.2">
      <c r="A87" s="291" t="str">
        <f t="shared" si="1"/>
        <v>WES091 / 1468</v>
      </c>
      <c r="B87" s="89" t="s">
        <v>6539</v>
      </c>
      <c r="C87" s="89" t="s">
        <v>44</v>
      </c>
      <c r="D87" s="318" t="s">
        <v>6537</v>
      </c>
      <c r="E87" s="369" t="str">
        <f>VLOOKUP(D:D,'Master Table'!C:D,2,FALSE)</f>
        <v>1468</v>
      </c>
      <c r="F87" s="769" t="s">
        <v>6537</v>
      </c>
      <c r="G87" s="769" t="s">
        <v>6538</v>
      </c>
      <c r="H87" s="769" t="s">
        <v>44</v>
      </c>
      <c r="I87" s="769" t="s">
        <v>6539</v>
      </c>
      <c r="J87" s="769" t="s">
        <v>7912</v>
      </c>
      <c r="K87" s="789" t="s">
        <v>324</v>
      </c>
      <c r="L87" s="790">
        <v>325.29000000000002</v>
      </c>
      <c r="M87" s="790">
        <v>726</v>
      </c>
      <c r="N87" s="790"/>
      <c r="O87" s="312">
        <v>1051.29</v>
      </c>
      <c r="P87" s="467">
        <f>VLOOKUP(D:D,'Master Table'!C:O,13,FALSE)</f>
        <v>1490.31</v>
      </c>
      <c r="Q87" s="657">
        <v>1490.31</v>
      </c>
      <c r="R87" s="664">
        <v>1504.25</v>
      </c>
      <c r="S87" s="650">
        <v>1580</v>
      </c>
      <c r="T87" s="86" t="s">
        <v>7912</v>
      </c>
    </row>
    <row r="88" spans="1:20" ht="30" customHeight="1" x14ac:dyDescent="0.2">
      <c r="A88" s="291" t="str">
        <f t="shared" si="1"/>
        <v>WES092 / 1469</v>
      </c>
      <c r="B88" s="89" t="s">
        <v>7990</v>
      </c>
      <c r="C88" s="89" t="s">
        <v>6542</v>
      </c>
      <c r="D88" s="318" t="s">
        <v>6540</v>
      </c>
      <c r="E88" s="369" t="str">
        <f>VLOOKUP(D:D,'Master Table'!C:D,2,FALSE)</f>
        <v>1469</v>
      </c>
      <c r="F88" s="769" t="s">
        <v>6540</v>
      </c>
      <c r="G88" s="769" t="s">
        <v>6541</v>
      </c>
      <c r="H88" s="769" t="s">
        <v>6542</v>
      </c>
      <c r="I88" s="769" t="s">
        <v>1832</v>
      </c>
      <c r="J88" s="769" t="s">
        <v>7917</v>
      </c>
      <c r="K88" s="789" t="s">
        <v>324</v>
      </c>
      <c r="L88" s="790">
        <v>383.5</v>
      </c>
      <c r="M88" s="790">
        <v>10</v>
      </c>
      <c r="N88" s="790"/>
      <c r="O88" s="312">
        <v>393.5</v>
      </c>
      <c r="P88" s="467">
        <f>VLOOKUP(D:D,'Master Table'!C:O,13,FALSE)</f>
        <v>679.55</v>
      </c>
      <c r="Q88" s="657">
        <v>679.55</v>
      </c>
      <c r="R88" s="664">
        <v>572.5</v>
      </c>
      <c r="S88" s="650">
        <v>604</v>
      </c>
      <c r="T88" s="86" t="s">
        <v>7917</v>
      </c>
    </row>
    <row r="89" spans="1:20" ht="30" customHeight="1" x14ac:dyDescent="0.2">
      <c r="A89" s="291" t="str">
        <f t="shared" si="1"/>
        <v>WES093 / 1470</v>
      </c>
      <c r="B89" s="89" t="s">
        <v>7991</v>
      </c>
      <c r="C89" s="89" t="s">
        <v>532</v>
      </c>
      <c r="D89" s="318" t="s">
        <v>6544</v>
      </c>
      <c r="E89" s="369" t="str">
        <f>VLOOKUP(D:D,'Master Table'!C:D,2,FALSE)</f>
        <v>1470</v>
      </c>
      <c r="F89" s="769" t="s">
        <v>6544</v>
      </c>
      <c r="G89" s="769" t="s">
        <v>6545</v>
      </c>
      <c r="H89" s="769" t="s">
        <v>6546</v>
      </c>
      <c r="I89" s="769" t="s">
        <v>1832</v>
      </c>
      <c r="J89" s="769" t="s">
        <v>7917</v>
      </c>
      <c r="K89" s="789" t="s">
        <v>324</v>
      </c>
      <c r="L89" s="790">
        <v>0</v>
      </c>
      <c r="M89" s="790">
        <v>85</v>
      </c>
      <c r="N89" s="790"/>
      <c r="O89" s="312">
        <v>85</v>
      </c>
      <c r="P89" s="467">
        <f>VLOOKUP(D:D,'Master Table'!C:O,13,FALSE)</f>
        <v>165</v>
      </c>
      <c r="Q89" s="657">
        <v>165</v>
      </c>
      <c r="R89" s="664">
        <v>140.05000000000001</v>
      </c>
      <c r="S89" s="650">
        <v>285</v>
      </c>
      <c r="T89" s="86" t="s">
        <v>7917</v>
      </c>
    </row>
    <row r="90" spans="1:20" ht="30" customHeight="1" x14ac:dyDescent="0.2">
      <c r="A90" s="291" t="str">
        <f t="shared" si="1"/>
        <v>WES094 / 1471</v>
      </c>
      <c r="B90" s="89" t="s">
        <v>7992</v>
      </c>
      <c r="C90" s="89" t="s">
        <v>2896</v>
      </c>
      <c r="D90" s="318" t="s">
        <v>6547</v>
      </c>
      <c r="E90" s="369" t="str">
        <f>VLOOKUP(D:D,'Master Table'!C:D,2,FALSE)</f>
        <v>1471</v>
      </c>
      <c r="F90" s="769" t="s">
        <v>6547</v>
      </c>
      <c r="G90" s="769" t="s">
        <v>6548</v>
      </c>
      <c r="H90" s="769" t="s">
        <v>822</v>
      </c>
      <c r="I90" s="769" t="s">
        <v>6472</v>
      </c>
      <c r="J90" s="769" t="s">
        <v>7947</v>
      </c>
      <c r="K90" s="789" t="s">
        <v>324</v>
      </c>
      <c r="L90" s="790">
        <v>0</v>
      </c>
      <c r="M90" s="790">
        <v>424</v>
      </c>
      <c r="N90" s="790">
        <v>176.6</v>
      </c>
      <c r="O90" s="312">
        <v>600.6</v>
      </c>
      <c r="P90" s="467">
        <f>VLOOKUP(D:D,'Master Table'!C:O,13,FALSE)</f>
        <v>384.81</v>
      </c>
      <c r="Q90" s="657">
        <v>384.81</v>
      </c>
      <c r="R90" s="664">
        <v>629.64</v>
      </c>
      <c r="S90" s="650">
        <v>593</v>
      </c>
      <c r="T90" s="86" t="s">
        <v>7947</v>
      </c>
    </row>
    <row r="91" spans="1:20" ht="30" customHeight="1" x14ac:dyDescent="0.2">
      <c r="A91" s="291" t="str">
        <f t="shared" si="1"/>
        <v>WES095 / 1472</v>
      </c>
      <c r="B91" s="89" t="s">
        <v>7993</v>
      </c>
      <c r="C91" s="89" t="s">
        <v>7994</v>
      </c>
      <c r="D91" s="318" t="s">
        <v>6549</v>
      </c>
      <c r="E91" s="369" t="str">
        <f>VLOOKUP(D:D,'Master Table'!C:D,2,FALSE)</f>
        <v>1472</v>
      </c>
      <c r="F91" s="769" t="s">
        <v>6549</v>
      </c>
      <c r="G91" s="769" t="s">
        <v>6550</v>
      </c>
      <c r="H91" s="769" t="s">
        <v>6551</v>
      </c>
      <c r="I91" s="769" t="s">
        <v>6552</v>
      </c>
      <c r="J91" s="769" t="s">
        <v>7896</v>
      </c>
      <c r="K91" s="789" t="s">
        <v>324</v>
      </c>
      <c r="L91" s="790">
        <v>0</v>
      </c>
      <c r="M91" s="790">
        <v>506.82</v>
      </c>
      <c r="N91" s="790"/>
      <c r="O91" s="312">
        <v>506.82</v>
      </c>
      <c r="P91" s="467">
        <f>VLOOKUP(D:D,'Master Table'!C:O,13,FALSE)</f>
        <v>1271.78</v>
      </c>
      <c r="Q91" s="657">
        <v>1271.78</v>
      </c>
      <c r="R91" s="664">
        <v>1351.33</v>
      </c>
      <c r="S91" s="650">
        <v>2045.58</v>
      </c>
      <c r="T91" s="86" t="s">
        <v>7896</v>
      </c>
    </row>
    <row r="92" spans="1:20" ht="30" customHeight="1" x14ac:dyDescent="0.2">
      <c r="A92" s="291" t="str">
        <f t="shared" si="1"/>
        <v>WES096 / 1473</v>
      </c>
      <c r="B92" s="89" t="s">
        <v>6555</v>
      </c>
      <c r="C92" s="89" t="s">
        <v>2176</v>
      </c>
      <c r="D92" s="318" t="s">
        <v>6553</v>
      </c>
      <c r="E92" s="369" t="str">
        <f>VLOOKUP(D:D,'Master Table'!C:D,2,FALSE)</f>
        <v>1473</v>
      </c>
      <c r="F92" s="769" t="s">
        <v>6553</v>
      </c>
      <c r="G92" s="769" t="s">
        <v>6554</v>
      </c>
      <c r="H92" s="769" t="s">
        <v>2176</v>
      </c>
      <c r="I92" s="769" t="s">
        <v>6555</v>
      </c>
      <c r="J92" s="769" t="s">
        <v>7905</v>
      </c>
      <c r="K92" s="789" t="s">
        <v>324</v>
      </c>
      <c r="L92" s="790">
        <v>1023.1</v>
      </c>
      <c r="M92" s="790">
        <v>914</v>
      </c>
      <c r="N92" s="790"/>
      <c r="O92" s="312">
        <v>1937.1</v>
      </c>
      <c r="P92" s="467">
        <f>VLOOKUP(D:D,'Master Table'!C:O,13,FALSE)</f>
        <v>2384.1</v>
      </c>
      <c r="Q92" s="657">
        <v>2384.1</v>
      </c>
      <c r="R92" s="664">
        <v>1060.05</v>
      </c>
      <c r="S92" s="650">
        <v>1962.94</v>
      </c>
      <c r="T92" s="86" t="s">
        <v>7905</v>
      </c>
    </row>
    <row r="93" spans="1:20" ht="30" customHeight="1" x14ac:dyDescent="0.2">
      <c r="A93" s="291" t="str">
        <f t="shared" si="1"/>
        <v>WES097 / 1474</v>
      </c>
      <c r="B93" s="89" t="s">
        <v>7995</v>
      </c>
      <c r="C93" s="89" t="s">
        <v>6593</v>
      </c>
      <c r="D93" s="318" t="s">
        <v>6556</v>
      </c>
      <c r="E93" s="369" t="str">
        <f>VLOOKUP(D:D,'Master Table'!C:D,2,FALSE)</f>
        <v>1474</v>
      </c>
      <c r="F93" s="769" t="s">
        <v>6556</v>
      </c>
      <c r="G93" s="769" t="s">
        <v>6557</v>
      </c>
      <c r="H93" s="769" t="s">
        <v>3225</v>
      </c>
      <c r="I93" s="769" t="s">
        <v>1832</v>
      </c>
      <c r="J93" s="769" t="s">
        <v>7917</v>
      </c>
      <c r="K93" s="789" t="s">
        <v>324</v>
      </c>
      <c r="L93" s="790">
        <v>0</v>
      </c>
      <c r="M93" s="790">
        <v>245</v>
      </c>
      <c r="N93" s="790"/>
      <c r="O93" s="312">
        <v>245</v>
      </c>
      <c r="P93" s="467">
        <f>VLOOKUP(D:D,'Master Table'!C:O,13,FALSE)</f>
        <v>119.78999999999999</v>
      </c>
      <c r="Q93" s="657">
        <v>119.78999999999999</v>
      </c>
      <c r="R93" s="664">
        <v>140</v>
      </c>
      <c r="S93" s="650">
        <v>971.04</v>
      </c>
      <c r="T93" s="86" t="s">
        <v>7917</v>
      </c>
    </row>
    <row r="94" spans="1:20" ht="30" customHeight="1" x14ac:dyDescent="0.2">
      <c r="A94" s="291" t="str">
        <f t="shared" si="1"/>
        <v>WES098 / 1475</v>
      </c>
      <c r="B94" s="89" t="s">
        <v>7996</v>
      </c>
      <c r="C94" s="89" t="s">
        <v>6560</v>
      </c>
      <c r="D94" s="318" t="s">
        <v>6558</v>
      </c>
      <c r="E94" s="369" t="str">
        <f>VLOOKUP(D:D,'Master Table'!C:D,2,FALSE)</f>
        <v>1475</v>
      </c>
      <c r="F94" s="769" t="s">
        <v>6558</v>
      </c>
      <c r="G94" s="769" t="s">
        <v>6559</v>
      </c>
      <c r="H94" s="769" t="s">
        <v>6560</v>
      </c>
      <c r="I94" s="769" t="s">
        <v>1832</v>
      </c>
      <c r="J94" s="769" t="s">
        <v>7931</v>
      </c>
      <c r="K94" s="789" t="s">
        <v>324</v>
      </c>
      <c r="L94" s="790">
        <v>107.65</v>
      </c>
      <c r="M94" s="790">
        <v>260</v>
      </c>
      <c r="N94" s="790"/>
      <c r="O94" s="312">
        <v>367.65</v>
      </c>
      <c r="P94" s="467">
        <f>VLOOKUP(D:D,'Master Table'!C:O,13,FALSE)</f>
        <v>1010.1099999999999</v>
      </c>
      <c r="Q94" s="657">
        <v>1010.1099999999999</v>
      </c>
      <c r="R94" s="664">
        <v>1041.17</v>
      </c>
      <c r="S94" s="650">
        <v>1667.52</v>
      </c>
      <c r="T94" s="86" t="s">
        <v>7931</v>
      </c>
    </row>
    <row r="95" spans="1:20" ht="30" customHeight="1" x14ac:dyDescent="0.2">
      <c r="A95" s="291" t="str">
        <f t="shared" si="1"/>
        <v>WES099 / 1476</v>
      </c>
      <c r="B95" s="89" t="s">
        <v>6382</v>
      </c>
      <c r="C95" s="89" t="s">
        <v>6563</v>
      </c>
      <c r="D95" s="318" t="s">
        <v>6561</v>
      </c>
      <c r="E95" s="369" t="str">
        <f>VLOOKUP(D:D,'Master Table'!C:D,2,FALSE)</f>
        <v>1476</v>
      </c>
      <c r="F95" s="769" t="s">
        <v>6561</v>
      </c>
      <c r="G95" s="769" t="s">
        <v>6562</v>
      </c>
      <c r="H95" s="769" t="s">
        <v>6563</v>
      </c>
      <c r="I95" s="769" t="s">
        <v>6382</v>
      </c>
      <c r="J95" s="769" t="s">
        <v>7912</v>
      </c>
      <c r="K95" s="789" t="s">
        <v>324</v>
      </c>
      <c r="L95" s="790">
        <v>0</v>
      </c>
      <c r="M95" s="790">
        <v>592</v>
      </c>
      <c r="N95" s="790">
        <v>740.13</v>
      </c>
      <c r="O95" s="312">
        <v>1332.13</v>
      </c>
      <c r="P95" s="467">
        <f>VLOOKUP(D:D,'Master Table'!C:O,13,FALSE)</f>
        <v>522</v>
      </c>
      <c r="Q95" s="657">
        <v>522</v>
      </c>
      <c r="R95" s="664">
        <v>2502.75</v>
      </c>
      <c r="S95" s="650">
        <v>799</v>
      </c>
      <c r="T95" s="86" t="s">
        <v>7912</v>
      </c>
    </row>
    <row r="96" spans="1:20" ht="30" customHeight="1" x14ac:dyDescent="0.2">
      <c r="A96" s="291" t="str">
        <f t="shared" si="1"/>
        <v>WES100 / 1477</v>
      </c>
      <c r="B96" s="89" t="s">
        <v>7997</v>
      </c>
      <c r="C96" s="89" t="s">
        <v>6566</v>
      </c>
      <c r="D96" s="318" t="s">
        <v>6564</v>
      </c>
      <c r="E96" s="369" t="str">
        <f>VLOOKUP(D:D,'Master Table'!C:D,2,FALSE)</f>
        <v>1477</v>
      </c>
      <c r="F96" s="769" t="s">
        <v>6564</v>
      </c>
      <c r="G96" s="769" t="s">
        <v>6565</v>
      </c>
      <c r="H96" s="769" t="s">
        <v>6566</v>
      </c>
      <c r="I96" s="769" t="s">
        <v>1832</v>
      </c>
      <c r="J96" s="769" t="s">
        <v>7931</v>
      </c>
      <c r="K96" s="789" t="s">
        <v>324</v>
      </c>
      <c r="L96" s="790">
        <v>401.74</v>
      </c>
      <c r="M96" s="790">
        <v>620</v>
      </c>
      <c r="N96" s="790"/>
      <c r="O96" s="312">
        <v>1021.74</v>
      </c>
      <c r="P96" s="467">
        <f>VLOOKUP(D:D,'Master Table'!C:O,13,FALSE)</f>
        <v>1161.6300000000001</v>
      </c>
      <c r="Q96" s="657">
        <v>1161.6300000000001</v>
      </c>
      <c r="R96" s="664">
        <v>2063.1999999999998</v>
      </c>
      <c r="S96" s="650">
        <v>783</v>
      </c>
      <c r="T96" s="86" t="s">
        <v>7931</v>
      </c>
    </row>
    <row r="97" spans="1:23" ht="30" customHeight="1" x14ac:dyDescent="0.2">
      <c r="A97" s="291" t="str">
        <f t="shared" si="1"/>
        <v>WES101 / 1478</v>
      </c>
      <c r="B97" s="89" t="s">
        <v>6570</v>
      </c>
      <c r="C97" s="89" t="s">
        <v>6569</v>
      </c>
      <c r="D97" s="318" t="s">
        <v>6567</v>
      </c>
      <c r="E97" s="369" t="str">
        <f>VLOOKUP(D:D,'Master Table'!C:D,2,FALSE)</f>
        <v>1478</v>
      </c>
      <c r="F97" s="769" t="s">
        <v>6567</v>
      </c>
      <c r="G97" s="769" t="s">
        <v>6568</v>
      </c>
      <c r="H97" s="769" t="s">
        <v>6569</v>
      </c>
      <c r="I97" s="769" t="s">
        <v>6570</v>
      </c>
      <c r="J97" s="769" t="s">
        <v>7912</v>
      </c>
      <c r="K97" s="789" t="s">
        <v>324</v>
      </c>
      <c r="L97" s="790">
        <v>352.19</v>
      </c>
      <c r="M97" s="790">
        <v>264</v>
      </c>
      <c r="N97" s="790"/>
      <c r="O97" s="312">
        <v>616.19000000000005</v>
      </c>
      <c r="P97" s="467">
        <f>VLOOKUP(D:D,'Master Table'!C:O,13,FALSE)</f>
        <v>1712.9399999999996</v>
      </c>
      <c r="Q97" s="657">
        <v>1712.9399999999996</v>
      </c>
      <c r="R97" s="664">
        <v>1963.42</v>
      </c>
      <c r="S97" s="650">
        <v>3676.16</v>
      </c>
      <c r="T97" s="86" t="s">
        <v>7912</v>
      </c>
    </row>
    <row r="98" spans="1:23" ht="30" customHeight="1" x14ac:dyDescent="0.2">
      <c r="A98" s="291" t="str">
        <f t="shared" si="1"/>
        <v>WES102 / 1479</v>
      </c>
      <c r="B98" s="89" t="s">
        <v>7998</v>
      </c>
      <c r="C98" s="89" t="s">
        <v>164</v>
      </c>
      <c r="D98" s="318" t="s">
        <v>6572</v>
      </c>
      <c r="E98" s="369" t="str">
        <f>VLOOKUP(D:D,'Master Table'!C:D,2,FALSE)</f>
        <v>1479</v>
      </c>
      <c r="F98" s="769" t="s">
        <v>6572</v>
      </c>
      <c r="G98" s="769" t="s">
        <v>6573</v>
      </c>
      <c r="H98" s="769" t="s">
        <v>164</v>
      </c>
      <c r="I98" s="769" t="s">
        <v>1832</v>
      </c>
      <c r="J98" s="769" t="s">
        <v>7917</v>
      </c>
      <c r="K98" s="789" t="s">
        <v>324</v>
      </c>
      <c r="L98" s="790">
        <v>0</v>
      </c>
      <c r="M98" s="790">
        <v>25</v>
      </c>
      <c r="N98" s="790"/>
      <c r="O98" s="312">
        <v>25</v>
      </c>
      <c r="P98" s="467">
        <f>VLOOKUP(D:D,'Master Table'!C:O,13,FALSE)</f>
        <v>54</v>
      </c>
      <c r="Q98" s="657">
        <v>54</v>
      </c>
      <c r="R98" s="664">
        <v>225.55</v>
      </c>
      <c r="S98" s="650">
        <v>85</v>
      </c>
      <c r="T98" s="86" t="s">
        <v>7917</v>
      </c>
    </row>
    <row r="99" spans="1:23" ht="30" customHeight="1" x14ac:dyDescent="0.2">
      <c r="A99" s="291" t="str">
        <f t="shared" si="1"/>
        <v>WES104 / 1481</v>
      </c>
      <c r="B99" s="89" t="s">
        <v>7999</v>
      </c>
      <c r="C99" s="89" t="s">
        <v>6578</v>
      </c>
      <c r="D99" s="318" t="s">
        <v>6576</v>
      </c>
      <c r="E99" s="369" t="str">
        <f>VLOOKUP(D:D,'Master Table'!C:D,2,FALSE)</f>
        <v>1481</v>
      </c>
      <c r="F99" s="769" t="s">
        <v>6576</v>
      </c>
      <c r="G99" s="769" t="s">
        <v>6577</v>
      </c>
      <c r="H99" s="769" t="s">
        <v>6578</v>
      </c>
      <c r="I99" s="769" t="s">
        <v>1832</v>
      </c>
      <c r="J99" s="769" t="s">
        <v>7899</v>
      </c>
      <c r="K99" s="789" t="s">
        <v>324</v>
      </c>
      <c r="L99" s="790">
        <v>0</v>
      </c>
      <c r="M99" s="790">
        <v>50</v>
      </c>
      <c r="N99" s="790"/>
      <c r="O99" s="312">
        <v>50</v>
      </c>
      <c r="P99" s="467">
        <f>VLOOKUP(D:D,'Master Table'!C:O,13,FALSE)</f>
        <v>1029.8699999999999</v>
      </c>
      <c r="Q99" s="657">
        <v>1029.8699999999999</v>
      </c>
      <c r="R99" s="664">
        <v>1809.79</v>
      </c>
      <c r="S99" s="650">
        <v>450.41</v>
      </c>
      <c r="T99" s="86" t="s">
        <v>7899</v>
      </c>
    </row>
    <row r="100" spans="1:23" ht="30" customHeight="1" x14ac:dyDescent="0.2">
      <c r="A100" s="291" t="str">
        <f t="shared" si="1"/>
        <v>WES105 / 1482</v>
      </c>
      <c r="B100" s="89" t="s">
        <v>8000</v>
      </c>
      <c r="C100" s="89" t="s">
        <v>6581</v>
      </c>
      <c r="D100" s="318" t="s">
        <v>6579</v>
      </c>
      <c r="E100" s="369" t="str">
        <f>VLOOKUP(D:D,'Master Table'!C:D,2,FALSE)</f>
        <v>1482</v>
      </c>
      <c r="F100" s="769" t="s">
        <v>6579</v>
      </c>
      <c r="G100" s="769" t="s">
        <v>6580</v>
      </c>
      <c r="H100" s="769" t="s">
        <v>6581</v>
      </c>
      <c r="I100" s="769" t="s">
        <v>1832</v>
      </c>
      <c r="J100" s="769" t="s">
        <v>7944</v>
      </c>
      <c r="K100" s="789" t="s">
        <v>324</v>
      </c>
      <c r="L100" s="790">
        <v>0</v>
      </c>
      <c r="M100" s="790">
        <v>260</v>
      </c>
      <c r="N100" s="790"/>
      <c r="O100" s="312">
        <v>260</v>
      </c>
      <c r="P100" s="467">
        <f>VLOOKUP(D:D,'Master Table'!C:O,13,FALSE)</f>
        <v>693.35</v>
      </c>
      <c r="Q100" s="657">
        <v>693.35</v>
      </c>
      <c r="R100" s="664">
        <v>866.78</v>
      </c>
      <c r="S100" s="650">
        <v>661.51</v>
      </c>
      <c r="T100" s="86" t="s">
        <v>7944</v>
      </c>
    </row>
    <row r="101" spans="1:23" ht="30" customHeight="1" x14ac:dyDescent="0.2">
      <c r="A101" s="291" t="str">
        <f t="shared" si="1"/>
        <v>WES106 / 1483</v>
      </c>
      <c r="B101" s="89" t="s">
        <v>8001</v>
      </c>
      <c r="C101" s="89" t="s">
        <v>8002</v>
      </c>
      <c r="D101" s="318" t="s">
        <v>6582</v>
      </c>
      <c r="E101" s="369" t="str">
        <f>VLOOKUP(D:D,'Master Table'!C:D,2,FALSE)</f>
        <v>1483</v>
      </c>
      <c r="F101" s="769" t="s">
        <v>6582</v>
      </c>
      <c r="G101" s="769" t="s">
        <v>6583</v>
      </c>
      <c r="H101" s="769" t="s">
        <v>4281</v>
      </c>
      <c r="I101" s="769" t="s">
        <v>1832</v>
      </c>
      <c r="J101" s="769" t="s">
        <v>7925</v>
      </c>
      <c r="K101" s="789" t="s">
        <v>324</v>
      </c>
      <c r="L101" s="790">
        <v>0</v>
      </c>
      <c r="M101" s="790">
        <v>10795</v>
      </c>
      <c r="N101" s="790">
        <v>1110.55</v>
      </c>
      <c r="O101" s="312">
        <v>11905.55</v>
      </c>
      <c r="P101" s="467">
        <f>VLOOKUP(D:D,'Master Table'!C:O,13,FALSE)</f>
        <v>1217.3800000000001</v>
      </c>
      <c r="Q101" s="657">
        <v>1217.3800000000001</v>
      </c>
      <c r="R101" s="664">
        <v>3884.44</v>
      </c>
      <c r="S101" s="650">
        <v>3969.2400000000002</v>
      </c>
      <c r="T101" s="86" t="s">
        <v>7925</v>
      </c>
      <c r="W101" s="603"/>
    </row>
    <row r="102" spans="1:23" ht="30" customHeight="1" x14ac:dyDescent="0.2">
      <c r="A102" s="291" t="str">
        <f t="shared" si="1"/>
        <v>WES108 / 1484</v>
      </c>
      <c r="B102" s="89" t="s">
        <v>8001</v>
      </c>
      <c r="C102" s="89" t="s">
        <v>3222</v>
      </c>
      <c r="D102" s="318" t="s">
        <v>6584</v>
      </c>
      <c r="E102" s="369" t="str">
        <f>VLOOKUP(D:D,'Master Table'!C:D,2,FALSE)</f>
        <v>1484</v>
      </c>
      <c r="F102" s="769" t="s">
        <v>6584</v>
      </c>
      <c r="G102" s="769" t="s">
        <v>6585</v>
      </c>
      <c r="H102" s="769" t="s">
        <v>6586</v>
      </c>
      <c r="I102" s="769" t="s">
        <v>1832</v>
      </c>
      <c r="J102" s="769" t="s">
        <v>7925</v>
      </c>
      <c r="K102" s="789" t="s">
        <v>324</v>
      </c>
      <c r="L102" s="790">
        <v>0</v>
      </c>
      <c r="M102" s="790">
        <v>101</v>
      </c>
      <c r="N102" s="790"/>
      <c r="O102" s="312">
        <v>101</v>
      </c>
      <c r="P102" s="467">
        <f>VLOOKUP(D:D,'Master Table'!C:O,13,FALSE)</f>
        <v>133</v>
      </c>
      <c r="Q102" s="657">
        <v>133</v>
      </c>
      <c r="R102" s="664">
        <v>146</v>
      </c>
      <c r="S102" s="650">
        <v>1420.85</v>
      </c>
      <c r="T102" s="86" t="s">
        <v>7925</v>
      </c>
    </row>
    <row r="103" spans="1:23" ht="30" customHeight="1" x14ac:dyDescent="0.2">
      <c r="A103" s="291" t="str">
        <f t="shared" si="1"/>
        <v>WES109 / 1485</v>
      </c>
      <c r="B103" s="89" t="s">
        <v>8003</v>
      </c>
      <c r="C103" s="89" t="s">
        <v>783</v>
      </c>
      <c r="D103" s="318" t="s">
        <v>6587</v>
      </c>
      <c r="E103" s="369" t="str">
        <f>VLOOKUP(D:D,'Master Table'!C:D,2,FALSE)</f>
        <v>1485</v>
      </c>
      <c r="F103" s="769" t="s">
        <v>6587</v>
      </c>
      <c r="G103" s="769" t="s">
        <v>6588</v>
      </c>
      <c r="H103" s="769" t="s">
        <v>783</v>
      </c>
      <c r="I103" s="769" t="s">
        <v>1832</v>
      </c>
      <c r="J103" s="769" t="s">
        <v>7921</v>
      </c>
      <c r="K103" s="789" t="s">
        <v>324</v>
      </c>
      <c r="L103" s="790">
        <v>88.58</v>
      </c>
      <c r="M103" s="790">
        <v>185</v>
      </c>
      <c r="N103" s="790"/>
      <c r="O103" s="312">
        <v>273.58</v>
      </c>
      <c r="P103" s="467">
        <f>VLOOKUP(D:D,'Master Table'!C:O,13,FALSE)</f>
        <v>461.21000000000004</v>
      </c>
      <c r="Q103" s="657">
        <v>461.21000000000004</v>
      </c>
      <c r="R103" s="664">
        <v>453.56</v>
      </c>
      <c r="S103" s="650">
        <v>885</v>
      </c>
      <c r="T103" s="86" t="s">
        <v>7921</v>
      </c>
    </row>
    <row r="104" spans="1:23" ht="30" customHeight="1" x14ac:dyDescent="0.2">
      <c r="A104" s="291" t="str">
        <f t="shared" si="1"/>
        <v>WES110 / 1486</v>
      </c>
      <c r="B104" s="89" t="s">
        <v>8004</v>
      </c>
      <c r="C104" s="89" t="s">
        <v>1871</v>
      </c>
      <c r="D104" s="318" t="s">
        <v>6589</v>
      </c>
      <c r="E104" s="369" t="str">
        <f>VLOOKUP(D:D,'Master Table'!C:D,2,FALSE)</f>
        <v>1486</v>
      </c>
      <c r="F104" s="769" t="s">
        <v>6589</v>
      </c>
      <c r="G104" s="769" t="s">
        <v>6590</v>
      </c>
      <c r="H104" s="769" t="s">
        <v>1871</v>
      </c>
      <c r="I104" s="769" t="s">
        <v>6479</v>
      </c>
      <c r="J104" s="769" t="s">
        <v>7973</v>
      </c>
      <c r="K104" s="789" t="s">
        <v>324</v>
      </c>
      <c r="L104" s="790">
        <v>488.51</v>
      </c>
      <c r="M104" s="790">
        <v>600</v>
      </c>
      <c r="N104" s="790"/>
      <c r="O104" s="312">
        <v>1088.51</v>
      </c>
      <c r="P104" s="467">
        <f>VLOOKUP(D:D,'Master Table'!C:O,13,FALSE)</f>
        <v>1894.81</v>
      </c>
      <c r="Q104" s="657">
        <v>1894.81</v>
      </c>
      <c r="R104" s="664">
        <v>2512.31</v>
      </c>
      <c r="S104" s="650">
        <v>2756.01</v>
      </c>
      <c r="T104" s="86" t="s">
        <v>7944</v>
      </c>
    </row>
    <row r="105" spans="1:23" ht="30" customHeight="1" x14ac:dyDescent="0.2">
      <c r="A105" s="291" t="str">
        <f t="shared" si="1"/>
        <v>WES111 / 1487</v>
      </c>
      <c r="B105" s="89" t="s">
        <v>8005</v>
      </c>
      <c r="C105" s="89" t="s">
        <v>6593</v>
      </c>
      <c r="D105" s="318" t="s">
        <v>6591</v>
      </c>
      <c r="E105" s="369" t="str">
        <f>VLOOKUP(D:D,'Master Table'!C:D,2,FALSE)</f>
        <v>1487</v>
      </c>
      <c r="F105" s="769" t="s">
        <v>6591</v>
      </c>
      <c r="G105" s="769" t="s">
        <v>6592</v>
      </c>
      <c r="H105" s="769" t="s">
        <v>6593</v>
      </c>
      <c r="I105" s="769" t="s">
        <v>1832</v>
      </c>
      <c r="J105" s="769" t="s">
        <v>7921</v>
      </c>
      <c r="K105" s="789" t="s">
        <v>324</v>
      </c>
      <c r="L105" s="790">
        <v>0</v>
      </c>
      <c r="M105" s="790">
        <v>420</v>
      </c>
      <c r="N105" s="790"/>
      <c r="O105" s="312">
        <v>420</v>
      </c>
      <c r="P105" s="467">
        <f>VLOOKUP(D:D,'Master Table'!C:O,13,FALSE)</f>
        <v>319.89999999999998</v>
      </c>
      <c r="Q105" s="657">
        <v>319.89999999999998</v>
      </c>
      <c r="R105" s="664">
        <v>285</v>
      </c>
      <c r="S105" s="650">
        <v>340</v>
      </c>
      <c r="T105" s="86" t="s">
        <v>7921</v>
      </c>
    </row>
    <row r="106" spans="1:23" ht="30" customHeight="1" x14ac:dyDescent="0.2">
      <c r="A106" s="291" t="str">
        <f t="shared" si="1"/>
        <v>WES112 / 1489</v>
      </c>
      <c r="B106" s="89" t="s">
        <v>8006</v>
      </c>
      <c r="C106" s="89" t="s">
        <v>8007</v>
      </c>
      <c r="D106" s="318" t="s">
        <v>6596</v>
      </c>
      <c r="E106" s="369" t="str">
        <f>VLOOKUP(D:D,'Master Table'!C:D,2,FALSE)</f>
        <v>1489</v>
      </c>
      <c r="F106" s="769" t="s">
        <v>6596</v>
      </c>
      <c r="G106" s="769" t="s">
        <v>6597</v>
      </c>
      <c r="H106" s="769" t="s">
        <v>6598</v>
      </c>
      <c r="I106" s="769" t="s">
        <v>1832</v>
      </c>
      <c r="J106" s="769" t="s">
        <v>7944</v>
      </c>
      <c r="K106" s="789" t="s">
        <v>324</v>
      </c>
      <c r="L106" s="790">
        <v>0</v>
      </c>
      <c r="M106" s="790">
        <v>930</v>
      </c>
      <c r="N106" s="790"/>
      <c r="O106" s="312">
        <v>930</v>
      </c>
      <c r="P106" s="467">
        <f>VLOOKUP(D:D,'Master Table'!C:O,13,FALSE)</f>
        <v>1613.2</v>
      </c>
      <c r="Q106" s="657">
        <v>1613.2</v>
      </c>
      <c r="R106" s="664">
        <v>1418</v>
      </c>
      <c r="S106" s="650">
        <v>1576.25</v>
      </c>
      <c r="T106" s="86" t="s">
        <v>7944</v>
      </c>
    </row>
    <row r="107" spans="1:23" ht="30" customHeight="1" x14ac:dyDescent="0.2">
      <c r="A107" s="291" t="str">
        <f t="shared" si="1"/>
        <v>WES113 / 1490</v>
      </c>
      <c r="B107" s="89" t="s">
        <v>8008</v>
      </c>
      <c r="C107" s="89" t="s">
        <v>3238</v>
      </c>
      <c r="D107" s="318" t="s">
        <v>6599</v>
      </c>
      <c r="E107" s="369" t="str">
        <f>VLOOKUP(D:D,'Master Table'!C:D,2,FALSE)</f>
        <v>1490</v>
      </c>
      <c r="F107" s="769" t="s">
        <v>6599</v>
      </c>
      <c r="G107" s="769" t="s">
        <v>6600</v>
      </c>
      <c r="H107" s="769" t="s">
        <v>3238</v>
      </c>
      <c r="I107" s="769" t="s">
        <v>1832</v>
      </c>
      <c r="J107" s="769" t="s">
        <v>7931</v>
      </c>
      <c r="K107" s="789" t="s">
        <v>324</v>
      </c>
      <c r="L107" s="790">
        <v>0</v>
      </c>
      <c r="M107" s="790">
        <v>95</v>
      </c>
      <c r="N107" s="790"/>
      <c r="O107" s="312">
        <v>95</v>
      </c>
      <c r="P107" s="467">
        <f>VLOOKUP(D:D,'Master Table'!C:O,13,FALSE)</f>
        <v>429.53</v>
      </c>
      <c r="Q107" s="657">
        <v>429.53</v>
      </c>
      <c r="R107" s="664">
        <v>1631.27</v>
      </c>
      <c r="S107" s="650">
        <v>890</v>
      </c>
      <c r="T107" s="86" t="s">
        <v>7931</v>
      </c>
    </row>
    <row r="108" spans="1:23" ht="30" customHeight="1" x14ac:dyDescent="0.2">
      <c r="A108" s="291" t="str">
        <f t="shared" si="1"/>
        <v>WES114 / 1491</v>
      </c>
      <c r="B108" s="131" t="s">
        <v>6603</v>
      </c>
      <c r="C108" s="131" t="s">
        <v>453</v>
      </c>
      <c r="D108" s="318" t="s">
        <v>6601</v>
      </c>
      <c r="E108" s="369" t="str">
        <f>VLOOKUP(D:D,'Master Table'!C:D,2,FALSE)</f>
        <v>1491</v>
      </c>
      <c r="F108" s="769" t="s">
        <v>6601</v>
      </c>
      <c r="G108" s="769" t="s">
        <v>6602</v>
      </c>
      <c r="H108" s="769" t="s">
        <v>56</v>
      </c>
      <c r="I108" s="769" t="s">
        <v>6603</v>
      </c>
      <c r="J108" s="769" t="s">
        <v>7896</v>
      </c>
      <c r="K108" s="789" t="s">
        <v>324</v>
      </c>
      <c r="L108" s="790">
        <v>0</v>
      </c>
      <c r="M108" s="790">
        <v>174</v>
      </c>
      <c r="N108" s="790"/>
      <c r="O108" s="312">
        <v>174</v>
      </c>
      <c r="P108" s="467">
        <f>VLOOKUP(D:D,'Master Table'!C:O,13,FALSE)</f>
        <v>965.95</v>
      </c>
      <c r="Q108" s="657">
        <v>965.95</v>
      </c>
      <c r="R108" s="664">
        <v>1013.11</v>
      </c>
      <c r="S108" s="650">
        <v>963.31</v>
      </c>
      <c r="T108" s="86" t="s">
        <v>7896</v>
      </c>
    </row>
    <row r="109" spans="1:23" ht="30" customHeight="1" x14ac:dyDescent="0.2">
      <c r="A109" s="291" t="str">
        <f t="shared" si="1"/>
        <v>WES116 / 1493</v>
      </c>
      <c r="B109" s="89" t="s">
        <v>8009</v>
      </c>
      <c r="C109" s="89" t="s">
        <v>3880</v>
      </c>
      <c r="D109" s="318" t="s">
        <v>6604</v>
      </c>
      <c r="E109" s="369" t="str">
        <f>VLOOKUP(D:D,'Master Table'!C:D,2,FALSE)</f>
        <v>1493</v>
      </c>
      <c r="F109" s="769" t="s">
        <v>6604</v>
      </c>
      <c r="G109" s="769" t="s">
        <v>6605</v>
      </c>
      <c r="H109" s="769" t="s">
        <v>612</v>
      </c>
      <c r="I109" s="769" t="s">
        <v>6606</v>
      </c>
      <c r="J109" s="769" t="s">
        <v>7896</v>
      </c>
      <c r="K109" s="789" t="s">
        <v>324</v>
      </c>
      <c r="L109" s="790">
        <v>0</v>
      </c>
      <c r="M109" s="790">
        <v>858.5</v>
      </c>
      <c r="N109" s="790"/>
      <c r="O109" s="312">
        <v>858.5</v>
      </c>
      <c r="P109" s="467">
        <f>VLOOKUP(D:D,'Master Table'!C:O,13,FALSE)</f>
        <v>1918.78</v>
      </c>
      <c r="Q109" s="657">
        <v>1918.78</v>
      </c>
      <c r="R109" s="664">
        <v>1185.48</v>
      </c>
      <c r="S109" s="650">
        <v>1932</v>
      </c>
      <c r="T109" s="86" t="s">
        <v>7896</v>
      </c>
    </row>
    <row r="110" spans="1:23" ht="30" customHeight="1" x14ac:dyDescent="0.2">
      <c r="A110" s="291" t="str">
        <f t="shared" si="1"/>
        <v>WES117 / 1494</v>
      </c>
      <c r="B110" s="89" t="s">
        <v>8010</v>
      </c>
      <c r="C110" s="89" t="s">
        <v>4774</v>
      </c>
      <c r="D110" s="318" t="s">
        <v>6607</v>
      </c>
      <c r="E110" s="369" t="str">
        <f>VLOOKUP(D:D,'Master Table'!C:D,2,FALSE)</f>
        <v>1494</v>
      </c>
      <c r="F110" s="769" t="s">
        <v>6607</v>
      </c>
      <c r="G110" s="769" t="s">
        <v>6608</v>
      </c>
      <c r="H110" s="769" t="s">
        <v>6609</v>
      </c>
      <c r="I110" s="769" t="s">
        <v>1832</v>
      </c>
      <c r="J110" s="769" t="s">
        <v>7903</v>
      </c>
      <c r="K110" s="789" t="s">
        <v>324</v>
      </c>
      <c r="L110" s="790">
        <v>0</v>
      </c>
      <c r="M110" s="790">
        <v>240</v>
      </c>
      <c r="N110" s="790"/>
      <c r="O110" s="312">
        <v>240</v>
      </c>
      <c r="P110" s="467">
        <f>VLOOKUP(D:D,'Master Table'!C:O,13,FALSE)</f>
        <v>238.98000000000002</v>
      </c>
      <c r="Q110" s="657">
        <v>238.98000000000002</v>
      </c>
      <c r="R110" s="664">
        <v>218</v>
      </c>
      <c r="S110" s="650">
        <v>674.05</v>
      </c>
      <c r="T110" s="86" t="s">
        <v>7903</v>
      </c>
    </row>
    <row r="111" spans="1:23" ht="30" customHeight="1" x14ac:dyDescent="0.2">
      <c r="A111" s="291" t="str">
        <f t="shared" si="1"/>
        <v>WES118 / 1495</v>
      </c>
      <c r="B111" s="89" t="s">
        <v>8011</v>
      </c>
      <c r="C111" s="89" t="s">
        <v>8012</v>
      </c>
      <c r="D111" s="318" t="s">
        <v>6610</v>
      </c>
      <c r="E111" s="369" t="str">
        <f>VLOOKUP(D:D,'Master Table'!C:D,2,FALSE)</f>
        <v>1495</v>
      </c>
      <c r="F111" s="769" t="s">
        <v>6610</v>
      </c>
      <c r="G111" s="769" t="s">
        <v>6611</v>
      </c>
      <c r="H111" s="769" t="s">
        <v>6612</v>
      </c>
      <c r="I111" s="769" t="s">
        <v>1832</v>
      </c>
      <c r="J111" s="769" t="s">
        <v>7887</v>
      </c>
      <c r="K111" s="789" t="s">
        <v>324</v>
      </c>
      <c r="L111" s="790">
        <v>882.47</v>
      </c>
      <c r="M111" s="790">
        <v>295</v>
      </c>
      <c r="N111" s="790"/>
      <c r="O111" s="312">
        <v>1177.47</v>
      </c>
      <c r="P111" s="467">
        <f>VLOOKUP(D:D,'Master Table'!C:O,13,FALSE)</f>
        <v>2324.59</v>
      </c>
      <c r="Q111" s="657">
        <v>2324.59</v>
      </c>
      <c r="R111" s="664">
        <v>1326.3899999999999</v>
      </c>
      <c r="S111" s="650">
        <v>2829.93</v>
      </c>
      <c r="T111" s="86" t="s">
        <v>7887</v>
      </c>
    </row>
    <row r="112" spans="1:23" ht="30" customHeight="1" x14ac:dyDescent="0.2">
      <c r="A112" s="291" t="str">
        <f t="shared" si="1"/>
        <v>WES119 / 0479519</v>
      </c>
      <c r="B112" s="606" t="s">
        <v>8013</v>
      </c>
      <c r="C112" s="89" t="s">
        <v>6615</v>
      </c>
      <c r="D112" s="318" t="s">
        <v>6613</v>
      </c>
      <c r="E112" s="369" t="str">
        <f>VLOOKUP(D:D,'Master Table'!C:D,2,FALSE)</f>
        <v>0479519</v>
      </c>
      <c r="F112" s="769" t="s">
        <v>6613</v>
      </c>
      <c r="G112" s="769" t="s">
        <v>6614</v>
      </c>
      <c r="H112" s="769" t="s">
        <v>6615</v>
      </c>
      <c r="I112" s="769" t="s">
        <v>1832</v>
      </c>
      <c r="J112" s="750"/>
      <c r="K112" s="789" t="s">
        <v>324</v>
      </c>
      <c r="L112" s="790"/>
      <c r="M112" s="790"/>
      <c r="N112" s="790"/>
      <c r="O112" s="312">
        <v>0</v>
      </c>
      <c r="P112" s="467">
        <f>VLOOKUP(D:D,'Master Table'!C:O,13,FALSE)</f>
        <v>0</v>
      </c>
      <c r="Q112" s="657">
        <v>0</v>
      </c>
      <c r="R112" s="664">
        <v>30</v>
      </c>
      <c r="S112" s="650"/>
    </row>
    <row r="113" spans="1:21" ht="30" customHeight="1" x14ac:dyDescent="0.2">
      <c r="A113" s="532" t="str">
        <f t="shared" si="1"/>
        <v>WES121 / 1499</v>
      </c>
      <c r="B113" s="606" t="s">
        <v>8363</v>
      </c>
      <c r="C113" s="606" t="s">
        <v>8367</v>
      </c>
      <c r="D113" s="318" t="s">
        <v>6616</v>
      </c>
      <c r="E113" s="369" t="str">
        <f>VLOOKUP(D:D,'Master Table'!C:D,2,FALSE)</f>
        <v>1499</v>
      </c>
      <c r="F113" s="769" t="s">
        <v>6616</v>
      </c>
      <c r="G113" s="769" t="s">
        <v>6617</v>
      </c>
      <c r="H113" s="769" t="s">
        <v>11310</v>
      </c>
      <c r="I113" s="769" t="s">
        <v>6619</v>
      </c>
      <c r="J113" s="769" t="s">
        <v>11302</v>
      </c>
      <c r="K113" s="789" t="s">
        <v>324</v>
      </c>
      <c r="L113" s="790">
        <v>328.04</v>
      </c>
      <c r="M113" s="790">
        <v>125</v>
      </c>
      <c r="N113" s="790"/>
      <c r="O113" s="312">
        <v>453.04</v>
      </c>
      <c r="P113" s="467">
        <f>VLOOKUP(D:D,'Master Table'!C:O,13,FALSE)</f>
        <v>557</v>
      </c>
      <c r="Q113" s="657">
        <v>557</v>
      </c>
      <c r="R113" s="664">
        <v>856.83999999999992</v>
      </c>
      <c r="S113" s="650">
        <v>1060.3399999999999</v>
      </c>
      <c r="T113" s="86" t="s">
        <v>7901</v>
      </c>
    </row>
    <row r="114" spans="1:21" ht="30" customHeight="1" x14ac:dyDescent="0.2">
      <c r="A114" s="532" t="str">
        <f>D114&amp;" / "&amp;E114</f>
        <v>WES159 / 1537</v>
      </c>
      <c r="B114" s="534" t="s">
        <v>8364</v>
      </c>
      <c r="C114" s="534" t="s">
        <v>8366</v>
      </c>
      <c r="D114" s="318" t="s">
        <v>6716</v>
      </c>
      <c r="E114" s="369" t="str">
        <f>VLOOKUP(D:D,'Master Table'!C:D,2,FALSE)</f>
        <v>1537</v>
      </c>
      <c r="F114" s="769" t="s">
        <v>6716</v>
      </c>
      <c r="G114" s="769" t="s">
        <v>6717</v>
      </c>
      <c r="H114" s="769" t="s">
        <v>1409</v>
      </c>
      <c r="I114" s="769" t="s">
        <v>6718</v>
      </c>
      <c r="J114" s="769" t="s">
        <v>11302</v>
      </c>
      <c r="K114" s="789" t="s">
        <v>324</v>
      </c>
      <c r="L114" s="790">
        <v>0</v>
      </c>
      <c r="M114" s="790">
        <v>255</v>
      </c>
      <c r="N114" s="790"/>
      <c r="O114" s="312">
        <v>255</v>
      </c>
      <c r="P114" s="467">
        <f>VLOOKUP(D:D,'Master Table'!C:O,13,FALSE)</f>
        <v>739</v>
      </c>
      <c r="Q114" s="657">
        <v>739</v>
      </c>
      <c r="R114" s="664">
        <v>1231.75</v>
      </c>
      <c r="S114" s="650">
        <v>893.25</v>
      </c>
      <c r="T114" s="86" t="s">
        <v>7901</v>
      </c>
    </row>
    <row r="115" spans="1:21" ht="30" customHeight="1" x14ac:dyDescent="0.2">
      <c r="A115" s="532" t="str">
        <f t="shared" ref="A115" si="2">D115&amp;" / "&amp;E115</f>
        <v>WES170 / 1548</v>
      </c>
      <c r="B115" s="535" t="s">
        <v>8365</v>
      </c>
      <c r="C115" s="535" t="s">
        <v>8269</v>
      </c>
      <c r="D115" s="318" t="s">
        <v>6755</v>
      </c>
      <c r="E115" s="369" t="str">
        <f>VLOOKUP(D:D,'Master Table'!C:D,2,FALSE)</f>
        <v>1548</v>
      </c>
      <c r="F115" s="769" t="s">
        <v>6755</v>
      </c>
      <c r="G115" s="769" t="s">
        <v>6756</v>
      </c>
      <c r="H115" s="769" t="s">
        <v>2530</v>
      </c>
      <c r="I115" s="769" t="s">
        <v>6757</v>
      </c>
      <c r="J115" s="750"/>
      <c r="K115" s="789" t="s">
        <v>324</v>
      </c>
      <c r="L115" s="790">
        <v>86</v>
      </c>
      <c r="M115" s="790">
        <v>375</v>
      </c>
      <c r="N115" s="790"/>
      <c r="O115" s="312">
        <v>461</v>
      </c>
      <c r="P115" s="467">
        <f>VLOOKUP(D:D,'Master Table'!C:O,13,FALSE)</f>
        <v>855</v>
      </c>
      <c r="Q115" s="657">
        <v>855</v>
      </c>
      <c r="R115" s="664">
        <v>530</v>
      </c>
      <c r="S115" s="650"/>
      <c r="U115" s="216"/>
    </row>
    <row r="116" spans="1:21" ht="30" customHeight="1" x14ac:dyDescent="0.2">
      <c r="A116" s="291" t="str">
        <f t="shared" si="1"/>
        <v>WES124 / 1503</v>
      </c>
      <c r="B116" s="607" t="s">
        <v>8016</v>
      </c>
      <c r="C116" s="89" t="s">
        <v>453</v>
      </c>
      <c r="D116" s="318" t="s">
        <v>6622</v>
      </c>
      <c r="E116" s="369" t="str">
        <f>VLOOKUP(D:D,'Master Table'!C:D,2,FALSE)</f>
        <v>1503</v>
      </c>
      <c r="F116" s="769" t="s">
        <v>6622</v>
      </c>
      <c r="G116" s="769" t="s">
        <v>6623</v>
      </c>
      <c r="H116" s="769" t="s">
        <v>56</v>
      </c>
      <c r="I116" s="769" t="s">
        <v>1832</v>
      </c>
      <c r="J116" s="769" t="s">
        <v>7931</v>
      </c>
      <c r="K116" s="789" t="s">
        <v>324</v>
      </c>
      <c r="L116" s="790">
        <v>0</v>
      </c>
      <c r="M116" s="790">
        <v>5</v>
      </c>
      <c r="N116" s="790"/>
      <c r="O116" s="312">
        <v>5</v>
      </c>
      <c r="P116" s="467">
        <f>VLOOKUP(D:D,'Master Table'!C:O,13,FALSE)</f>
        <v>387.68</v>
      </c>
      <c r="Q116" s="657">
        <v>387.68</v>
      </c>
      <c r="R116" s="664">
        <v>5</v>
      </c>
      <c r="S116" s="650">
        <v>5</v>
      </c>
      <c r="T116" s="86" t="s">
        <v>7931</v>
      </c>
    </row>
    <row r="117" spans="1:21" ht="30" customHeight="1" x14ac:dyDescent="0.2">
      <c r="A117" s="291" t="str">
        <f t="shared" si="1"/>
        <v>WES126 / 1504</v>
      </c>
      <c r="B117" s="89" t="s">
        <v>8017</v>
      </c>
      <c r="C117" s="89" t="s">
        <v>198</v>
      </c>
      <c r="D117" s="318" t="s">
        <v>6624</v>
      </c>
      <c r="E117" s="369" t="str">
        <f>VLOOKUP(D:D,'Master Table'!C:D,2,FALSE)</f>
        <v>1504</v>
      </c>
      <c r="F117" s="769" t="s">
        <v>6624</v>
      </c>
      <c r="G117" s="769" t="s">
        <v>6625</v>
      </c>
      <c r="H117" s="769" t="s">
        <v>6626</v>
      </c>
      <c r="I117" s="769" t="s">
        <v>1832</v>
      </c>
      <c r="J117" s="769" t="s">
        <v>7952</v>
      </c>
      <c r="K117" s="789" t="s">
        <v>324</v>
      </c>
      <c r="L117" s="790">
        <v>35.71</v>
      </c>
      <c r="M117" s="790">
        <v>170</v>
      </c>
      <c r="N117" s="790"/>
      <c r="O117" s="312">
        <v>205.71</v>
      </c>
      <c r="P117" s="467">
        <f>VLOOKUP(D:D,'Master Table'!C:O,13,FALSE)</f>
        <v>364.40999999999997</v>
      </c>
      <c r="Q117" s="657">
        <v>364.40999999999997</v>
      </c>
      <c r="R117" s="664">
        <v>702.02</v>
      </c>
      <c r="S117" s="650">
        <v>1128.8399999999999</v>
      </c>
      <c r="T117" s="86" t="s">
        <v>7952</v>
      </c>
    </row>
    <row r="118" spans="1:21" ht="30" customHeight="1" x14ac:dyDescent="0.2">
      <c r="A118" s="291" t="str">
        <f t="shared" si="1"/>
        <v>WES127 / 1505</v>
      </c>
      <c r="B118" s="89" t="s">
        <v>8018</v>
      </c>
      <c r="C118" s="89" t="s">
        <v>7646</v>
      </c>
      <c r="D118" s="318" t="s">
        <v>6627</v>
      </c>
      <c r="E118" s="369" t="str">
        <f>VLOOKUP(D:D,'Master Table'!C:D,2,FALSE)</f>
        <v>1505</v>
      </c>
      <c r="F118" s="769" t="s">
        <v>6627</v>
      </c>
      <c r="G118" s="769" t="s">
        <v>6628</v>
      </c>
      <c r="H118" s="769" t="s">
        <v>3549</v>
      </c>
      <c r="I118" s="769" t="s">
        <v>1832</v>
      </c>
      <c r="J118" s="769" t="s">
        <v>7903</v>
      </c>
      <c r="K118" s="789" t="s">
        <v>324</v>
      </c>
      <c r="L118" s="790">
        <v>0</v>
      </c>
      <c r="M118" s="790">
        <v>1220</v>
      </c>
      <c r="N118" s="790"/>
      <c r="O118" s="312">
        <v>1220</v>
      </c>
      <c r="P118" s="467">
        <f>VLOOKUP(D:D,'Master Table'!C:O,13,FALSE)</f>
        <v>357.87</v>
      </c>
      <c r="Q118" s="657">
        <v>357.87</v>
      </c>
      <c r="R118" s="664">
        <v>180</v>
      </c>
      <c r="S118" s="650">
        <v>341.51</v>
      </c>
      <c r="T118" s="86" t="s">
        <v>7903</v>
      </c>
    </row>
    <row r="119" spans="1:21" ht="30" customHeight="1" x14ac:dyDescent="0.2">
      <c r="A119" s="291" t="str">
        <f t="shared" si="1"/>
        <v>WES128 / 1506</v>
      </c>
      <c r="B119" s="89" t="s">
        <v>8019</v>
      </c>
      <c r="C119" s="89" t="s">
        <v>164</v>
      </c>
      <c r="D119" s="318" t="s">
        <v>6629</v>
      </c>
      <c r="E119" s="369" t="str">
        <f>VLOOKUP(D:D,'Master Table'!C:D,2,FALSE)</f>
        <v>1506</v>
      </c>
      <c r="F119" s="769" t="s">
        <v>6629</v>
      </c>
      <c r="G119" s="769" t="s">
        <v>6630</v>
      </c>
      <c r="H119" s="769" t="s">
        <v>164</v>
      </c>
      <c r="I119" s="769" t="s">
        <v>6361</v>
      </c>
      <c r="J119" s="769" t="s">
        <v>7889</v>
      </c>
      <c r="K119" s="789" t="s">
        <v>324</v>
      </c>
      <c r="L119" s="790">
        <v>420.42</v>
      </c>
      <c r="M119" s="790">
        <v>160</v>
      </c>
      <c r="N119" s="790"/>
      <c r="O119" s="312">
        <v>580.42000000000007</v>
      </c>
      <c r="P119" s="467">
        <f>VLOOKUP(D:D,'Master Table'!C:O,13,FALSE)</f>
        <v>907.1099999999999</v>
      </c>
      <c r="Q119" s="657">
        <v>907.1099999999999</v>
      </c>
      <c r="R119" s="664">
        <v>970.6</v>
      </c>
      <c r="S119" s="650">
        <v>588.24</v>
      </c>
      <c r="T119" s="86" t="s">
        <v>7889</v>
      </c>
    </row>
    <row r="120" spans="1:21" ht="30" customHeight="1" x14ac:dyDescent="0.2">
      <c r="A120" s="291" t="str">
        <f t="shared" si="1"/>
        <v>WES129 / 1507</v>
      </c>
      <c r="B120" s="89" t="s">
        <v>8020</v>
      </c>
      <c r="C120" s="89" t="s">
        <v>8021</v>
      </c>
      <c r="D120" s="318" t="s">
        <v>6631</v>
      </c>
      <c r="E120" s="369" t="str">
        <f>VLOOKUP(D:D,'Master Table'!C:D,2,FALSE)</f>
        <v>1507</v>
      </c>
      <c r="F120" s="769" t="s">
        <v>6631</v>
      </c>
      <c r="G120" s="769" t="s">
        <v>6632</v>
      </c>
      <c r="H120" s="769" t="s">
        <v>6633</v>
      </c>
      <c r="I120" s="769" t="s">
        <v>1832</v>
      </c>
      <c r="J120" s="769" t="s">
        <v>7897</v>
      </c>
      <c r="K120" s="789" t="s">
        <v>324</v>
      </c>
      <c r="L120" s="790">
        <v>1253.97</v>
      </c>
      <c r="M120" s="790">
        <v>940</v>
      </c>
      <c r="N120" s="790"/>
      <c r="O120" s="312">
        <v>2193.9700000000003</v>
      </c>
      <c r="P120" s="467">
        <f>VLOOKUP(D:D,'Master Table'!C:O,13,FALSE)</f>
        <v>3673.07</v>
      </c>
      <c r="Q120" s="657">
        <v>3673.07</v>
      </c>
      <c r="R120" s="664">
        <v>3209.28</v>
      </c>
      <c r="S120" s="650">
        <v>4260.7800000000007</v>
      </c>
      <c r="T120" s="86" t="s">
        <v>7897</v>
      </c>
    </row>
    <row r="121" spans="1:21" ht="30" customHeight="1" x14ac:dyDescent="0.2">
      <c r="A121" s="291" t="str">
        <f t="shared" si="1"/>
        <v>WES132 / 1509</v>
      </c>
      <c r="B121" s="89" t="s">
        <v>8022</v>
      </c>
      <c r="C121" s="89" t="s">
        <v>8023</v>
      </c>
      <c r="D121" s="318" t="s">
        <v>6634</v>
      </c>
      <c r="E121" s="369" t="str">
        <f>VLOOKUP(D:D,'Master Table'!C:D,2,FALSE)</f>
        <v>1509</v>
      </c>
      <c r="F121" s="769" t="s">
        <v>6634</v>
      </c>
      <c r="G121" s="769" t="s">
        <v>6635</v>
      </c>
      <c r="H121" s="769" t="s">
        <v>6636</v>
      </c>
      <c r="I121" s="769" t="s">
        <v>1832</v>
      </c>
      <c r="J121" s="769" t="s">
        <v>7903</v>
      </c>
      <c r="K121" s="789" t="s">
        <v>324</v>
      </c>
      <c r="L121" s="790">
        <v>0</v>
      </c>
      <c r="M121" s="790">
        <v>70</v>
      </c>
      <c r="N121" s="790"/>
      <c r="O121" s="312">
        <v>70</v>
      </c>
      <c r="P121" s="467">
        <f>VLOOKUP(D:D,'Master Table'!C:O,13,FALSE)</f>
        <v>139.59</v>
      </c>
      <c r="Q121" s="657">
        <v>139.59</v>
      </c>
      <c r="R121" s="664">
        <v>770</v>
      </c>
      <c r="S121" s="650">
        <v>1572</v>
      </c>
      <c r="T121" s="86" t="s">
        <v>7903</v>
      </c>
    </row>
    <row r="122" spans="1:21" ht="30" customHeight="1" x14ac:dyDescent="0.2">
      <c r="A122" s="291" t="str">
        <f t="shared" si="1"/>
        <v>WES133 / 1510</v>
      </c>
      <c r="B122" s="89" t="s">
        <v>8024</v>
      </c>
      <c r="C122" s="89" t="s">
        <v>6639</v>
      </c>
      <c r="D122" s="318" t="s">
        <v>6637</v>
      </c>
      <c r="E122" s="369" t="str">
        <f>VLOOKUP(D:D,'Master Table'!C:D,2,FALSE)</f>
        <v>1510</v>
      </c>
      <c r="F122" s="769" t="s">
        <v>6637</v>
      </c>
      <c r="G122" s="769" t="s">
        <v>6638</v>
      </c>
      <c r="H122" s="769" t="s">
        <v>6639</v>
      </c>
      <c r="I122" s="769" t="s">
        <v>1832</v>
      </c>
      <c r="J122" s="769" t="s">
        <v>7887</v>
      </c>
      <c r="K122" s="789" t="s">
        <v>324</v>
      </c>
      <c r="L122" s="790">
        <v>522.87</v>
      </c>
      <c r="M122" s="790">
        <v>20</v>
      </c>
      <c r="N122" s="790"/>
      <c r="O122" s="312">
        <v>542.87</v>
      </c>
      <c r="P122" s="467">
        <f>VLOOKUP(D:D,'Master Table'!C:O,13,FALSE)</f>
        <v>0</v>
      </c>
      <c r="Q122" s="657">
        <v>0</v>
      </c>
      <c r="R122" s="664">
        <v>51</v>
      </c>
      <c r="S122" s="650">
        <v>10</v>
      </c>
      <c r="T122" s="86" t="s">
        <v>7887</v>
      </c>
    </row>
    <row r="123" spans="1:21" ht="30" customHeight="1" x14ac:dyDescent="0.2">
      <c r="A123" s="291" t="str">
        <f t="shared" si="1"/>
        <v>WES133A / 1511</v>
      </c>
      <c r="B123" s="89" t="s">
        <v>8025</v>
      </c>
      <c r="C123" s="89" t="s">
        <v>8026</v>
      </c>
      <c r="D123" s="318" t="s">
        <v>6640</v>
      </c>
      <c r="E123" s="369" t="str">
        <f>VLOOKUP(D:D,'Master Table'!C:D,2,FALSE)</f>
        <v>1511</v>
      </c>
      <c r="F123" s="769" t="s">
        <v>6640</v>
      </c>
      <c r="G123" s="769" t="s">
        <v>6641</v>
      </c>
      <c r="H123" s="769" t="s">
        <v>6642</v>
      </c>
      <c r="I123" s="769" t="s">
        <v>6643</v>
      </c>
      <c r="J123" s="750"/>
      <c r="K123" s="789" t="s">
        <v>324</v>
      </c>
      <c r="L123" s="790">
        <v>0</v>
      </c>
      <c r="M123" s="790">
        <v>150</v>
      </c>
      <c r="N123" s="790"/>
      <c r="O123" s="312">
        <v>150</v>
      </c>
      <c r="P123" s="467">
        <f>VLOOKUP(D:D,'Master Table'!C:O,13,FALSE)</f>
        <v>513.56999999999994</v>
      </c>
      <c r="Q123" s="657">
        <v>513.56999999999994</v>
      </c>
      <c r="R123" s="664">
        <v>429.34</v>
      </c>
      <c r="S123" s="650">
        <v>466</v>
      </c>
      <c r="T123" s="86" t="s">
        <v>7905</v>
      </c>
    </row>
    <row r="124" spans="1:21" ht="30" customHeight="1" x14ac:dyDescent="0.2">
      <c r="A124" s="291" t="str">
        <f t="shared" si="1"/>
        <v>WES134 / 1512</v>
      </c>
      <c r="B124" s="89" t="s">
        <v>8027</v>
      </c>
      <c r="C124" s="89" t="s">
        <v>158</v>
      </c>
      <c r="D124" s="318" t="s">
        <v>6647</v>
      </c>
      <c r="E124" s="369" t="str">
        <f>VLOOKUP(D:D,'Master Table'!C:D,2,FALSE)</f>
        <v>1512</v>
      </c>
      <c r="F124" s="769" t="s">
        <v>6647</v>
      </c>
      <c r="G124" s="769" t="s">
        <v>6648</v>
      </c>
      <c r="H124" s="769" t="s">
        <v>124</v>
      </c>
      <c r="I124" s="769" t="s">
        <v>1832</v>
      </c>
      <c r="J124" s="769" t="s">
        <v>7944</v>
      </c>
      <c r="K124" s="789" t="s">
        <v>324</v>
      </c>
      <c r="L124" s="790">
        <v>0</v>
      </c>
      <c r="M124" s="790">
        <v>70</v>
      </c>
      <c r="N124" s="790"/>
      <c r="O124" s="312">
        <v>70</v>
      </c>
      <c r="P124" s="467">
        <f>VLOOKUP(D:D,'Master Table'!C:O,13,FALSE)</f>
        <v>70</v>
      </c>
      <c r="Q124" s="657">
        <v>70</v>
      </c>
      <c r="R124" s="664">
        <v>70</v>
      </c>
      <c r="S124" s="650">
        <v>70</v>
      </c>
      <c r="T124" s="86" t="s">
        <v>7944</v>
      </c>
    </row>
    <row r="125" spans="1:21" ht="30" customHeight="1" x14ac:dyDescent="0.2">
      <c r="A125" s="291" t="str">
        <f t="shared" si="1"/>
        <v>WES135 / 1513</v>
      </c>
      <c r="B125" s="89" t="s">
        <v>8028</v>
      </c>
      <c r="C125" s="89" t="s">
        <v>8029</v>
      </c>
      <c r="D125" s="318" t="s">
        <v>6649</v>
      </c>
      <c r="E125" s="369" t="str">
        <f>VLOOKUP(D:D,'Master Table'!C:D,2,FALSE)</f>
        <v>1513</v>
      </c>
      <c r="F125" s="769" t="s">
        <v>6649</v>
      </c>
      <c r="G125" s="769" t="s">
        <v>6650</v>
      </c>
      <c r="H125" s="769" t="s">
        <v>6651</v>
      </c>
      <c r="I125" s="769" t="s">
        <v>1832</v>
      </c>
      <c r="J125" s="769" t="s">
        <v>8030</v>
      </c>
      <c r="K125" s="789" t="s">
        <v>324</v>
      </c>
      <c r="L125" s="790">
        <v>0</v>
      </c>
      <c r="M125" s="790">
        <v>520.5</v>
      </c>
      <c r="N125" s="790"/>
      <c r="O125" s="312">
        <v>520.5</v>
      </c>
      <c r="P125" s="467">
        <f>VLOOKUP(D:D,'Master Table'!C:O,13,FALSE)</f>
        <v>735</v>
      </c>
      <c r="Q125" s="657">
        <v>735</v>
      </c>
      <c r="R125" s="664">
        <v>544.16999999999996</v>
      </c>
      <c r="S125" s="650">
        <v>426</v>
      </c>
      <c r="T125" s="86" t="s">
        <v>8030</v>
      </c>
    </row>
    <row r="126" spans="1:21" ht="30" customHeight="1" x14ac:dyDescent="0.2">
      <c r="A126" s="291" t="str">
        <f t="shared" si="1"/>
        <v>WES136 / 1514</v>
      </c>
      <c r="B126" s="89" t="s">
        <v>8031</v>
      </c>
      <c r="C126" s="89" t="s">
        <v>8032</v>
      </c>
      <c r="D126" s="318" t="s">
        <v>6652</v>
      </c>
      <c r="E126" s="369" t="str">
        <f>VLOOKUP(D:D,'Master Table'!C:D,2,FALSE)</f>
        <v>1514</v>
      </c>
      <c r="F126" s="769" t="s">
        <v>6652</v>
      </c>
      <c r="G126" s="769" t="s">
        <v>6653</v>
      </c>
      <c r="H126" s="769" t="s">
        <v>6654</v>
      </c>
      <c r="I126" s="769" t="s">
        <v>6293</v>
      </c>
      <c r="J126" s="769" t="s">
        <v>7897</v>
      </c>
      <c r="K126" s="789" t="s">
        <v>324</v>
      </c>
      <c r="L126" s="790">
        <v>253</v>
      </c>
      <c r="M126" s="790">
        <v>155</v>
      </c>
      <c r="N126" s="790"/>
      <c r="O126" s="312">
        <v>408</v>
      </c>
      <c r="P126" s="467">
        <f>VLOOKUP(D:D,'Master Table'!C:O,13,FALSE)</f>
        <v>1055</v>
      </c>
      <c r="Q126" s="657">
        <v>1055</v>
      </c>
      <c r="R126" s="664">
        <v>1134</v>
      </c>
      <c r="S126" s="650">
        <v>1430</v>
      </c>
      <c r="T126" s="86" t="s">
        <v>7897</v>
      </c>
    </row>
    <row r="127" spans="1:21" ht="30" customHeight="1" x14ac:dyDescent="0.2">
      <c r="A127" s="291" t="str">
        <f t="shared" si="1"/>
        <v>WES137 / 1515</v>
      </c>
      <c r="B127" s="89" t="s">
        <v>8033</v>
      </c>
      <c r="C127" s="89" t="s">
        <v>1203</v>
      </c>
      <c r="D127" s="318" t="s">
        <v>6656</v>
      </c>
      <c r="E127" s="369" t="str">
        <f>VLOOKUP(D:D,'Master Table'!C:D,2,FALSE)</f>
        <v>1515</v>
      </c>
      <c r="F127" s="769" t="s">
        <v>6656</v>
      </c>
      <c r="G127" s="769" t="s">
        <v>6657</v>
      </c>
      <c r="H127" s="769" t="s">
        <v>1203</v>
      </c>
      <c r="I127" s="769" t="s">
        <v>1832</v>
      </c>
      <c r="J127" s="769" t="s">
        <v>7937</v>
      </c>
      <c r="K127" s="789" t="s">
        <v>324</v>
      </c>
      <c r="L127" s="790">
        <v>0</v>
      </c>
      <c r="M127" s="790">
        <v>1239</v>
      </c>
      <c r="N127" s="790"/>
      <c r="O127" s="312">
        <v>1239</v>
      </c>
      <c r="P127" s="467">
        <f>VLOOKUP(D:D,'Master Table'!C:O,13,FALSE)</f>
        <v>759</v>
      </c>
      <c r="Q127" s="657">
        <v>759</v>
      </c>
      <c r="R127" s="664">
        <v>524</v>
      </c>
      <c r="S127" s="650">
        <v>1069</v>
      </c>
      <c r="T127" s="86" t="s">
        <v>7937</v>
      </c>
    </row>
    <row r="128" spans="1:21" ht="30" customHeight="1" x14ac:dyDescent="0.2">
      <c r="A128" s="291" t="str">
        <f t="shared" si="1"/>
        <v>WES138 / 1516</v>
      </c>
      <c r="B128" s="89" t="s">
        <v>8034</v>
      </c>
      <c r="C128" s="89" t="s">
        <v>942</v>
      </c>
      <c r="D128" s="318" t="s">
        <v>6658</v>
      </c>
      <c r="E128" s="369" t="str">
        <f>VLOOKUP(D:D,'Master Table'!C:D,2,FALSE)</f>
        <v>1516</v>
      </c>
      <c r="F128" s="769" t="s">
        <v>6658</v>
      </c>
      <c r="G128" s="769" t="s">
        <v>6659</v>
      </c>
      <c r="H128" s="769" t="s">
        <v>1352</v>
      </c>
      <c r="I128" s="769" t="s">
        <v>1832</v>
      </c>
      <c r="J128" s="769" t="s">
        <v>7891</v>
      </c>
      <c r="K128" s="789" t="s">
        <v>324</v>
      </c>
      <c r="L128" s="790">
        <v>0</v>
      </c>
      <c r="M128" s="790">
        <v>536</v>
      </c>
      <c r="N128" s="790"/>
      <c r="O128" s="312">
        <v>536</v>
      </c>
      <c r="P128" s="467">
        <f>VLOOKUP(D:D,'Master Table'!C:O,13,FALSE)</f>
        <v>625</v>
      </c>
      <c r="Q128" s="657">
        <v>625</v>
      </c>
      <c r="R128" s="664">
        <v>616</v>
      </c>
      <c r="S128" s="650">
        <v>566</v>
      </c>
      <c r="T128" s="86" t="s">
        <v>7891</v>
      </c>
    </row>
    <row r="129" spans="1:20" ht="30" customHeight="1" x14ac:dyDescent="0.2">
      <c r="A129" s="291" t="str">
        <f t="shared" si="1"/>
        <v>WES139 / 1517</v>
      </c>
      <c r="B129" s="89" t="s">
        <v>6663</v>
      </c>
      <c r="C129" s="89" t="s">
        <v>155</v>
      </c>
      <c r="D129" s="318" t="s">
        <v>6660</v>
      </c>
      <c r="E129" s="369" t="str">
        <f>VLOOKUP(D:D,'Master Table'!C:D,2,FALSE)</f>
        <v>1517</v>
      </c>
      <c r="F129" s="769" t="s">
        <v>6660</v>
      </c>
      <c r="G129" s="769" t="s">
        <v>6661</v>
      </c>
      <c r="H129" s="769" t="s">
        <v>6662</v>
      </c>
      <c r="I129" s="769" t="s">
        <v>6663</v>
      </c>
      <c r="J129" s="769" t="s">
        <v>7947</v>
      </c>
      <c r="K129" s="789" t="s">
        <v>324</v>
      </c>
      <c r="L129" s="790">
        <v>294</v>
      </c>
      <c r="M129" s="790">
        <v>215</v>
      </c>
      <c r="N129" s="790"/>
      <c r="O129" s="312">
        <v>509</v>
      </c>
      <c r="P129" s="467">
        <f>VLOOKUP(D:D,'Master Table'!C:O,13,FALSE)</f>
        <v>757</v>
      </c>
      <c r="Q129" s="657">
        <v>757</v>
      </c>
      <c r="R129" s="664">
        <v>751</v>
      </c>
      <c r="S129" s="650">
        <v>583.98</v>
      </c>
      <c r="T129" s="86" t="s">
        <v>7947</v>
      </c>
    </row>
    <row r="130" spans="1:20" ht="30" customHeight="1" x14ac:dyDescent="0.2">
      <c r="A130" s="291" t="str">
        <f t="shared" si="1"/>
        <v>WES140 / 1518</v>
      </c>
      <c r="B130" s="89" t="s">
        <v>8035</v>
      </c>
      <c r="C130" s="89" t="s">
        <v>896</v>
      </c>
      <c r="D130" s="318" t="s">
        <v>6665</v>
      </c>
      <c r="E130" s="369" t="str">
        <f>VLOOKUP(D:D,'Master Table'!C:D,2,FALSE)</f>
        <v>1518</v>
      </c>
      <c r="F130" s="769" t="s">
        <v>6665</v>
      </c>
      <c r="G130" s="769" t="s">
        <v>6666</v>
      </c>
      <c r="H130" s="769" t="s">
        <v>183</v>
      </c>
      <c r="I130" s="769" t="s">
        <v>1832</v>
      </c>
      <c r="J130" s="769" t="s">
        <v>7899</v>
      </c>
      <c r="K130" s="789" t="s">
        <v>324</v>
      </c>
      <c r="L130" s="790">
        <v>0</v>
      </c>
      <c r="M130" s="790">
        <v>50</v>
      </c>
      <c r="N130" s="790">
        <v>300</v>
      </c>
      <c r="O130" s="312">
        <v>350</v>
      </c>
      <c r="P130" s="467">
        <f>VLOOKUP(D:D,'Master Table'!C:O,13,FALSE)</f>
        <v>70</v>
      </c>
      <c r="Q130" s="657">
        <v>70</v>
      </c>
      <c r="R130" s="664">
        <v>0</v>
      </c>
      <c r="S130" s="650">
        <v>80</v>
      </c>
      <c r="T130" s="86" t="s">
        <v>7899</v>
      </c>
    </row>
    <row r="131" spans="1:20" ht="30" customHeight="1" x14ac:dyDescent="0.2">
      <c r="A131" s="291" t="str">
        <f t="shared" si="1"/>
        <v>WES141 / 1519</v>
      </c>
      <c r="B131" s="89" t="s">
        <v>8036</v>
      </c>
      <c r="C131" s="89" t="s">
        <v>812</v>
      </c>
      <c r="D131" s="318" t="s">
        <v>6667</v>
      </c>
      <c r="E131" s="369" t="str">
        <f>VLOOKUP(D:D,'Master Table'!C:D,2,FALSE)</f>
        <v>1519</v>
      </c>
      <c r="F131" s="769" t="s">
        <v>6667</v>
      </c>
      <c r="G131" s="769" t="s">
        <v>6668</v>
      </c>
      <c r="H131" s="769" t="s">
        <v>6669</v>
      </c>
      <c r="I131" s="769" t="s">
        <v>1832</v>
      </c>
      <c r="J131" s="769" t="s">
        <v>11311</v>
      </c>
      <c r="K131" s="789" t="s">
        <v>324</v>
      </c>
      <c r="L131" s="790">
        <v>0</v>
      </c>
      <c r="M131" s="790">
        <v>10</v>
      </c>
      <c r="N131" s="790"/>
      <c r="O131" s="312">
        <v>10</v>
      </c>
      <c r="P131" s="467">
        <f>VLOOKUP(D:D,'Master Table'!C:O,13,FALSE)</f>
        <v>20</v>
      </c>
      <c r="Q131" s="657">
        <v>20</v>
      </c>
      <c r="R131" s="664">
        <v>35</v>
      </c>
      <c r="S131" s="650">
        <v>10</v>
      </c>
      <c r="T131" s="86" t="s">
        <v>7952</v>
      </c>
    </row>
    <row r="132" spans="1:20" ht="30" customHeight="1" x14ac:dyDescent="0.2">
      <c r="A132" s="291" t="str">
        <f t="shared" si="1"/>
        <v>WES142 / 1520</v>
      </c>
      <c r="B132" s="89" t="s">
        <v>8037</v>
      </c>
      <c r="C132" s="89" t="s">
        <v>6672</v>
      </c>
      <c r="D132" s="318" t="s">
        <v>6670</v>
      </c>
      <c r="E132" s="369" t="str">
        <f>VLOOKUP(D:D,'Master Table'!C:D,2,FALSE)</f>
        <v>1520</v>
      </c>
      <c r="F132" s="769" t="s">
        <v>6670</v>
      </c>
      <c r="G132" s="769" t="s">
        <v>6671</v>
      </c>
      <c r="H132" s="769" t="s">
        <v>6672</v>
      </c>
      <c r="I132" s="769" t="s">
        <v>6673</v>
      </c>
      <c r="J132" s="769" t="s">
        <v>7905</v>
      </c>
      <c r="K132" s="789" t="s">
        <v>324</v>
      </c>
      <c r="L132" s="790">
        <v>0</v>
      </c>
      <c r="M132" s="790">
        <v>345</v>
      </c>
      <c r="N132" s="790"/>
      <c r="O132" s="312">
        <v>345</v>
      </c>
      <c r="P132" s="467">
        <f>VLOOKUP(D:D,'Master Table'!C:O,13,FALSE)</f>
        <v>418.15999999999997</v>
      </c>
      <c r="Q132" s="657">
        <v>418.15999999999997</v>
      </c>
      <c r="R132" s="664">
        <v>418.64</v>
      </c>
      <c r="S132" s="650">
        <v>1032.98</v>
      </c>
      <c r="T132" s="86" t="s">
        <v>7905</v>
      </c>
    </row>
    <row r="133" spans="1:20" ht="30" customHeight="1" x14ac:dyDescent="0.2">
      <c r="A133" s="291" t="str">
        <f t="shared" ref="A133:A193" si="3">D133&amp;" / "&amp;E133</f>
        <v>WES143 / 1521</v>
      </c>
      <c r="B133" s="89" t="s">
        <v>8038</v>
      </c>
      <c r="C133" s="89" t="s">
        <v>3662</v>
      </c>
      <c r="D133" s="318" t="s">
        <v>6677</v>
      </c>
      <c r="E133" s="369" t="str">
        <f>VLOOKUP(D:D,'Master Table'!C:D,2,FALSE)</f>
        <v>1521</v>
      </c>
      <c r="F133" s="769" t="s">
        <v>6677</v>
      </c>
      <c r="G133" s="769" t="s">
        <v>6678</v>
      </c>
      <c r="H133" s="769" t="s">
        <v>3662</v>
      </c>
      <c r="I133" s="769" t="s">
        <v>1832</v>
      </c>
      <c r="J133" s="769" t="s">
        <v>11312</v>
      </c>
      <c r="K133" s="789" t="s">
        <v>324</v>
      </c>
      <c r="L133" s="790">
        <v>0</v>
      </c>
      <c r="M133" s="790">
        <v>512</v>
      </c>
      <c r="N133" s="790">
        <v>88</v>
      </c>
      <c r="O133" s="312">
        <v>600</v>
      </c>
      <c r="P133" s="467">
        <f>VLOOKUP(D:D,'Master Table'!C:O,13,FALSE)</f>
        <v>742</v>
      </c>
      <c r="Q133" s="657">
        <v>742</v>
      </c>
      <c r="R133" s="664">
        <v>777</v>
      </c>
      <c r="S133" s="650">
        <v>4074.18</v>
      </c>
      <c r="T133" s="86" t="s">
        <v>7925</v>
      </c>
    </row>
    <row r="134" spans="1:20" ht="30" customHeight="1" x14ac:dyDescent="0.2">
      <c r="A134" s="291" t="str">
        <f t="shared" si="3"/>
        <v>WES144 / 1522</v>
      </c>
      <c r="B134" s="89" t="s">
        <v>6681</v>
      </c>
      <c r="C134" s="89" t="s">
        <v>2597</v>
      </c>
      <c r="D134" s="318" t="s">
        <v>6679</v>
      </c>
      <c r="E134" s="369" t="str">
        <f>VLOOKUP(D:D,'Master Table'!C:D,2,FALSE)</f>
        <v>1522</v>
      </c>
      <c r="F134" s="769" t="s">
        <v>6679</v>
      </c>
      <c r="G134" s="769" t="s">
        <v>6680</v>
      </c>
      <c r="H134" s="769" t="s">
        <v>1809</v>
      </c>
      <c r="I134" s="769" t="s">
        <v>6681</v>
      </c>
      <c r="J134" s="769" t="s">
        <v>7912</v>
      </c>
      <c r="K134" s="789" t="s">
        <v>324</v>
      </c>
      <c r="L134" s="790">
        <v>41.66</v>
      </c>
      <c r="M134" s="790">
        <v>300</v>
      </c>
      <c r="N134" s="790"/>
      <c r="O134" s="312">
        <v>341.65999999999997</v>
      </c>
      <c r="P134" s="467">
        <f>VLOOKUP(D:D,'Master Table'!C:O,13,FALSE)</f>
        <v>501.38</v>
      </c>
      <c r="Q134" s="657">
        <v>501.38</v>
      </c>
      <c r="R134" s="664">
        <v>473.07</v>
      </c>
      <c r="S134" s="650">
        <v>774.99</v>
      </c>
      <c r="T134" s="86" t="s">
        <v>7912</v>
      </c>
    </row>
    <row r="135" spans="1:20" ht="30" customHeight="1" x14ac:dyDescent="0.2">
      <c r="A135" s="291" t="str">
        <f t="shared" si="3"/>
        <v>WES146 / 1524</v>
      </c>
      <c r="B135" s="89" t="s">
        <v>8039</v>
      </c>
      <c r="C135" s="89" t="s">
        <v>382</v>
      </c>
      <c r="D135" s="318" t="s">
        <v>6682</v>
      </c>
      <c r="E135" s="369" t="str">
        <f>VLOOKUP(D:D,'Master Table'!C:D,2,FALSE)</f>
        <v>1524</v>
      </c>
      <c r="F135" s="769" t="s">
        <v>6682</v>
      </c>
      <c r="G135" s="769" t="s">
        <v>6683</v>
      </c>
      <c r="H135" s="769" t="s">
        <v>488</v>
      </c>
      <c r="I135" s="769" t="s">
        <v>1832</v>
      </c>
      <c r="J135" s="769" t="s">
        <v>7899</v>
      </c>
      <c r="K135" s="789" t="s">
        <v>324</v>
      </c>
      <c r="L135" s="790">
        <v>0</v>
      </c>
      <c r="M135" s="790">
        <v>16</v>
      </c>
      <c r="N135" s="790"/>
      <c r="O135" s="312">
        <v>16</v>
      </c>
      <c r="P135" s="467">
        <f>VLOOKUP(D:D,'Master Table'!C:O,13,FALSE)</f>
        <v>16</v>
      </c>
      <c r="Q135" s="657">
        <v>16</v>
      </c>
      <c r="R135" s="664">
        <v>66</v>
      </c>
      <c r="S135" s="650">
        <v>347.15</v>
      </c>
      <c r="T135" s="86" t="s">
        <v>7899</v>
      </c>
    </row>
    <row r="136" spans="1:20" ht="30" customHeight="1" x14ac:dyDescent="0.2">
      <c r="A136" s="291" t="str">
        <f t="shared" si="3"/>
        <v>WES147 / 1525</v>
      </c>
      <c r="B136" s="89" t="s">
        <v>8040</v>
      </c>
      <c r="C136" s="89" t="s">
        <v>5382</v>
      </c>
      <c r="D136" s="318" t="s">
        <v>6684</v>
      </c>
      <c r="E136" s="369" t="str">
        <f>VLOOKUP(D:D,'Master Table'!C:D,2,FALSE)</f>
        <v>1525</v>
      </c>
      <c r="F136" s="769" t="s">
        <v>6684</v>
      </c>
      <c r="G136" s="769" t="s">
        <v>6685</v>
      </c>
      <c r="H136" s="769" t="s">
        <v>6686</v>
      </c>
      <c r="I136" s="769" t="s">
        <v>1832</v>
      </c>
      <c r="J136" s="769" t="s">
        <v>7937</v>
      </c>
      <c r="K136" s="789" t="s">
        <v>324</v>
      </c>
      <c r="L136" s="790">
        <v>0</v>
      </c>
      <c r="M136" s="790">
        <v>2341.58</v>
      </c>
      <c r="N136" s="790">
        <v>335.92</v>
      </c>
      <c r="O136" s="312">
        <v>2677.5</v>
      </c>
      <c r="P136" s="467">
        <f>VLOOKUP(D:D,'Master Table'!C:O,13,FALSE)</f>
        <v>2950.83</v>
      </c>
      <c r="Q136" s="657">
        <v>2950.83</v>
      </c>
      <c r="R136" s="664">
        <v>2792.88</v>
      </c>
      <c r="S136" s="650">
        <v>3417.13</v>
      </c>
      <c r="T136" s="86" t="s">
        <v>7937</v>
      </c>
    </row>
    <row r="137" spans="1:20" ht="30" customHeight="1" x14ac:dyDescent="0.2">
      <c r="A137" s="291" t="str">
        <f t="shared" si="3"/>
        <v>WES148 / 1526</v>
      </c>
      <c r="B137" s="89" t="s">
        <v>8041</v>
      </c>
      <c r="C137" s="89" t="s">
        <v>8042</v>
      </c>
      <c r="D137" s="318" t="s">
        <v>6688</v>
      </c>
      <c r="E137" s="369" t="str">
        <f>VLOOKUP(D:D,'Master Table'!C:D,2,FALSE)</f>
        <v>1526</v>
      </c>
      <c r="F137" s="769" t="s">
        <v>6688</v>
      </c>
      <c r="G137" s="769" t="s">
        <v>6689</v>
      </c>
      <c r="H137" s="769" t="s">
        <v>94</v>
      </c>
      <c r="I137" s="769" t="s">
        <v>1832</v>
      </c>
      <c r="J137" s="769" t="s">
        <v>11313</v>
      </c>
      <c r="K137" s="789" t="s">
        <v>324</v>
      </c>
      <c r="L137" s="790">
        <v>0</v>
      </c>
      <c r="M137" s="790">
        <v>220</v>
      </c>
      <c r="N137" s="790">
        <v>389.26</v>
      </c>
      <c r="O137" s="312">
        <v>609.26</v>
      </c>
      <c r="P137" s="467">
        <f>VLOOKUP(D:D,'Master Table'!C:O,13,FALSE)</f>
        <v>245</v>
      </c>
      <c r="Q137" s="657">
        <v>245</v>
      </c>
      <c r="R137" s="664">
        <v>412.12</v>
      </c>
      <c r="S137" s="650">
        <v>170</v>
      </c>
      <c r="T137" s="86" t="s">
        <v>7914</v>
      </c>
    </row>
    <row r="138" spans="1:20" ht="30" customHeight="1" x14ac:dyDescent="0.2">
      <c r="A138" s="291" t="str">
        <f t="shared" si="3"/>
        <v>WES149 / 1527</v>
      </c>
      <c r="B138" s="89" t="s">
        <v>8043</v>
      </c>
      <c r="C138" s="89" t="s">
        <v>2578</v>
      </c>
      <c r="D138" s="318" t="s">
        <v>6690</v>
      </c>
      <c r="E138" s="369" t="str">
        <f>VLOOKUP(D:D,'Master Table'!C:D,2,FALSE)</f>
        <v>1527</v>
      </c>
      <c r="F138" s="769" t="s">
        <v>6690</v>
      </c>
      <c r="G138" s="769" t="s">
        <v>6691</v>
      </c>
      <c r="H138" s="769" t="s">
        <v>989</v>
      </c>
      <c r="I138" s="769" t="s">
        <v>6451</v>
      </c>
      <c r="J138" s="769" t="s">
        <v>7891</v>
      </c>
      <c r="K138" s="789" t="s">
        <v>324</v>
      </c>
      <c r="L138" s="790">
        <v>391.53</v>
      </c>
      <c r="M138" s="790">
        <v>240</v>
      </c>
      <c r="N138" s="790"/>
      <c r="O138" s="312">
        <v>631.53</v>
      </c>
      <c r="P138" s="467">
        <f>VLOOKUP(D:D,'Master Table'!C:O,13,FALSE)</f>
        <v>790.22</v>
      </c>
      <c r="Q138" s="657">
        <v>790.22</v>
      </c>
      <c r="R138" s="664">
        <v>1006.5</v>
      </c>
      <c r="S138" s="650">
        <v>1384.2</v>
      </c>
      <c r="T138" s="86" t="s">
        <v>7891</v>
      </c>
    </row>
    <row r="139" spans="1:20" ht="30" customHeight="1" x14ac:dyDescent="0.2">
      <c r="A139" s="291" t="str">
        <f t="shared" si="3"/>
        <v>WES150 / 1528</v>
      </c>
      <c r="B139" s="89" t="s">
        <v>8044</v>
      </c>
      <c r="C139" s="89" t="s">
        <v>7565</v>
      </c>
      <c r="D139" s="318" t="s">
        <v>6693</v>
      </c>
      <c r="E139" s="369" t="str">
        <f>VLOOKUP(D:D,'Master Table'!C:D,2,FALSE)</f>
        <v>1528</v>
      </c>
      <c r="F139" s="769" t="s">
        <v>6693</v>
      </c>
      <c r="G139" s="769" t="s">
        <v>6694</v>
      </c>
      <c r="H139" s="769" t="s">
        <v>2975</v>
      </c>
      <c r="I139" s="769" t="s">
        <v>1832</v>
      </c>
      <c r="J139" s="769" t="s">
        <v>7887</v>
      </c>
      <c r="K139" s="789" t="s">
        <v>324</v>
      </c>
      <c r="L139" s="790">
        <v>0</v>
      </c>
      <c r="M139" s="790">
        <v>735</v>
      </c>
      <c r="N139" s="790">
        <v>515.52</v>
      </c>
      <c r="O139" s="312">
        <v>1250.52</v>
      </c>
      <c r="P139" s="467">
        <f>VLOOKUP(D:D,'Master Table'!C:O,13,FALSE)</f>
        <v>2848.4</v>
      </c>
      <c r="Q139" s="657">
        <v>2848.4</v>
      </c>
      <c r="R139" s="664">
        <v>921.26</v>
      </c>
      <c r="S139" s="650">
        <v>1883.6799999999998</v>
      </c>
      <c r="T139" s="86" t="s">
        <v>7887</v>
      </c>
    </row>
    <row r="140" spans="1:20" ht="30" customHeight="1" x14ac:dyDescent="0.2">
      <c r="A140" s="291" t="str">
        <f t="shared" si="3"/>
        <v>WES151 / 1529</v>
      </c>
      <c r="B140" s="89" t="s">
        <v>6697</v>
      </c>
      <c r="C140" s="89" t="s">
        <v>299</v>
      </c>
      <c r="D140" s="318" t="s">
        <v>6695</v>
      </c>
      <c r="E140" s="369" t="str">
        <f>VLOOKUP(D:D,'Master Table'!C:D,2,FALSE)</f>
        <v>1529</v>
      </c>
      <c r="F140" s="769" t="s">
        <v>6695</v>
      </c>
      <c r="G140" s="769" t="s">
        <v>6696</v>
      </c>
      <c r="H140" s="769" t="s">
        <v>3208</v>
      </c>
      <c r="I140" s="769" t="s">
        <v>6697</v>
      </c>
      <c r="J140" s="769" t="s">
        <v>7973</v>
      </c>
      <c r="K140" s="789" t="s">
        <v>324</v>
      </c>
      <c r="L140" s="790">
        <v>0</v>
      </c>
      <c r="M140" s="790">
        <v>460</v>
      </c>
      <c r="N140" s="790">
        <v>9.2899999999999991</v>
      </c>
      <c r="O140" s="312">
        <v>469.29</v>
      </c>
      <c r="P140" s="467">
        <f>VLOOKUP(D:D,'Master Table'!C:O,13,FALSE)</f>
        <v>1231.5</v>
      </c>
      <c r="Q140" s="657">
        <v>1231.5</v>
      </c>
      <c r="R140" s="664">
        <v>885</v>
      </c>
      <c r="S140" s="650">
        <v>1233</v>
      </c>
      <c r="T140" s="86" t="s">
        <v>7973</v>
      </c>
    </row>
    <row r="141" spans="1:20" ht="30" customHeight="1" x14ac:dyDescent="0.2">
      <c r="A141" s="291" t="str">
        <f t="shared" si="3"/>
        <v>WES153 / 1531</v>
      </c>
      <c r="B141" s="89" t="s">
        <v>8045</v>
      </c>
      <c r="C141" s="89" t="s">
        <v>8046</v>
      </c>
      <c r="D141" s="318" t="s">
        <v>6701</v>
      </c>
      <c r="E141" s="369" t="str">
        <f>VLOOKUP(D:D,'Master Table'!C:D,2,FALSE)</f>
        <v>1531</v>
      </c>
      <c r="F141" s="769" t="s">
        <v>6701</v>
      </c>
      <c r="G141" s="769" t="s">
        <v>6702</v>
      </c>
      <c r="H141" s="769" t="s">
        <v>6703</v>
      </c>
      <c r="I141" s="769" t="s">
        <v>6415</v>
      </c>
      <c r="J141" s="769" t="s">
        <v>7937</v>
      </c>
      <c r="K141" s="789" t="s">
        <v>324</v>
      </c>
      <c r="L141" s="790">
        <v>0</v>
      </c>
      <c r="M141" s="790">
        <v>150</v>
      </c>
      <c r="N141" s="790">
        <v>411.06</v>
      </c>
      <c r="O141" s="312">
        <v>561.05999999999995</v>
      </c>
      <c r="P141" s="467">
        <f>VLOOKUP(D:D,'Master Table'!C:O,13,FALSE)</f>
        <v>1875.6799999999998</v>
      </c>
      <c r="Q141" s="657">
        <v>1875.6799999999998</v>
      </c>
      <c r="R141" s="664">
        <v>130</v>
      </c>
      <c r="S141" s="650">
        <v>1625</v>
      </c>
      <c r="T141" s="86" t="s">
        <v>7937</v>
      </c>
    </row>
    <row r="142" spans="1:20" ht="30" customHeight="1" x14ac:dyDescent="0.2">
      <c r="A142" s="291" t="str">
        <f t="shared" si="3"/>
        <v>WES154 / 1532</v>
      </c>
      <c r="B142" s="89" t="s">
        <v>8047</v>
      </c>
      <c r="C142" s="89" t="s">
        <v>6706</v>
      </c>
      <c r="D142" s="318" t="s">
        <v>6704</v>
      </c>
      <c r="E142" s="369" t="str">
        <f>VLOOKUP(D:D,'Master Table'!C:D,2,FALSE)</f>
        <v>1532</v>
      </c>
      <c r="F142" s="769" t="s">
        <v>6704</v>
      </c>
      <c r="G142" s="769" t="s">
        <v>6705</v>
      </c>
      <c r="H142" s="769" t="s">
        <v>6706</v>
      </c>
      <c r="I142" s="769" t="s">
        <v>1832</v>
      </c>
      <c r="J142" s="769" t="s">
        <v>7903</v>
      </c>
      <c r="K142" s="789" t="s">
        <v>324</v>
      </c>
      <c r="L142" s="790">
        <v>0</v>
      </c>
      <c r="M142" s="790">
        <v>80</v>
      </c>
      <c r="N142" s="790"/>
      <c r="O142" s="312">
        <v>80</v>
      </c>
      <c r="P142" s="467">
        <f>VLOOKUP(D:D,'Master Table'!C:O,13,FALSE)</f>
        <v>367.09999999999997</v>
      </c>
      <c r="Q142" s="657">
        <v>367.09999999999997</v>
      </c>
      <c r="R142" s="664">
        <v>583.14</v>
      </c>
      <c r="S142" s="650">
        <v>634</v>
      </c>
      <c r="T142" s="86" t="s">
        <v>7903</v>
      </c>
    </row>
    <row r="143" spans="1:20" ht="30" customHeight="1" x14ac:dyDescent="0.2">
      <c r="A143" s="291" t="str">
        <f t="shared" si="3"/>
        <v>WES155 / 1533</v>
      </c>
      <c r="B143" s="89" t="s">
        <v>6389</v>
      </c>
      <c r="C143" s="89" t="s">
        <v>6709</v>
      </c>
      <c r="D143" s="318" t="s">
        <v>6707</v>
      </c>
      <c r="E143" s="369" t="str">
        <f>VLOOKUP(D:D,'Master Table'!C:D,2,FALSE)</f>
        <v>1533</v>
      </c>
      <c r="F143" s="769" t="s">
        <v>6707</v>
      </c>
      <c r="G143" s="769" t="s">
        <v>6708</v>
      </c>
      <c r="H143" s="769" t="s">
        <v>6709</v>
      </c>
      <c r="I143" s="769" t="s">
        <v>6389</v>
      </c>
      <c r="J143" s="769" t="s">
        <v>7937</v>
      </c>
      <c r="K143" s="789" t="s">
        <v>324</v>
      </c>
      <c r="L143" s="790">
        <v>30</v>
      </c>
      <c r="M143" s="790">
        <v>110</v>
      </c>
      <c r="N143" s="790">
        <v>35.020000000000003</v>
      </c>
      <c r="O143" s="312">
        <v>175.02</v>
      </c>
      <c r="P143" s="467">
        <f>VLOOKUP(D:D,'Master Table'!C:O,13,FALSE)</f>
        <v>385.5</v>
      </c>
      <c r="Q143" s="657">
        <v>385.5</v>
      </c>
      <c r="R143" s="664">
        <v>324.5</v>
      </c>
      <c r="S143" s="650">
        <v>492.29</v>
      </c>
      <c r="T143" s="86" t="s">
        <v>7937</v>
      </c>
    </row>
    <row r="144" spans="1:20" ht="30" customHeight="1" x14ac:dyDescent="0.2">
      <c r="A144" s="291" t="str">
        <f t="shared" si="3"/>
        <v>WES157 / 1535</v>
      </c>
      <c r="B144" s="89" t="s">
        <v>8048</v>
      </c>
      <c r="C144" s="89" t="s">
        <v>7256</v>
      </c>
      <c r="D144" s="318" t="s">
        <v>6710</v>
      </c>
      <c r="E144" s="369" t="str">
        <f>VLOOKUP(D:D,'Master Table'!C:D,2,FALSE)</f>
        <v>1535</v>
      </c>
      <c r="F144" s="769" t="s">
        <v>6710</v>
      </c>
      <c r="G144" s="769" t="s">
        <v>6711</v>
      </c>
      <c r="H144" s="769" t="s">
        <v>775</v>
      </c>
      <c r="I144" s="769" t="s">
        <v>6712</v>
      </c>
      <c r="J144" s="769" t="s">
        <v>7944</v>
      </c>
      <c r="K144" s="789" t="s">
        <v>324</v>
      </c>
      <c r="L144" s="790">
        <v>0</v>
      </c>
      <c r="M144" s="790">
        <v>532</v>
      </c>
      <c r="N144" s="790">
        <v>196</v>
      </c>
      <c r="O144" s="312">
        <v>728</v>
      </c>
      <c r="P144" s="467">
        <f>VLOOKUP(D:D,'Master Table'!C:O,13,FALSE)</f>
        <v>1490.85</v>
      </c>
      <c r="Q144" s="657">
        <v>1490.85</v>
      </c>
      <c r="R144" s="664">
        <v>2039.35</v>
      </c>
      <c r="S144" s="650">
        <v>1773</v>
      </c>
      <c r="T144" s="86" t="s">
        <v>7944</v>
      </c>
    </row>
    <row r="145" spans="1:20" ht="30" customHeight="1" x14ac:dyDescent="0.2">
      <c r="A145" s="291" t="str">
        <f t="shared" si="3"/>
        <v>WES160 / 1538</v>
      </c>
      <c r="B145" s="89" t="s">
        <v>8051</v>
      </c>
      <c r="C145" s="89" t="s">
        <v>2578</v>
      </c>
      <c r="D145" s="318" t="s">
        <v>6719</v>
      </c>
      <c r="E145" s="369" t="str">
        <f>VLOOKUP(D:D,'Master Table'!C:D,2,FALSE)</f>
        <v>1538</v>
      </c>
      <c r="F145" s="769" t="s">
        <v>6719</v>
      </c>
      <c r="G145" s="769" t="s">
        <v>6720</v>
      </c>
      <c r="H145" s="769" t="s">
        <v>989</v>
      </c>
      <c r="I145" s="769" t="s">
        <v>6721</v>
      </c>
      <c r="J145" s="769" t="s">
        <v>11302</v>
      </c>
      <c r="K145" s="789" t="s">
        <v>324</v>
      </c>
      <c r="L145" s="790">
        <v>0</v>
      </c>
      <c r="M145" s="790">
        <v>10</v>
      </c>
      <c r="N145" s="790">
        <v>336.9</v>
      </c>
      <c r="O145" s="312">
        <v>346.9</v>
      </c>
      <c r="P145" s="467">
        <f>VLOOKUP(D:D,'Master Table'!C:O,13,FALSE)</f>
        <v>125.8</v>
      </c>
      <c r="Q145" s="657">
        <v>125.8</v>
      </c>
      <c r="R145" s="664">
        <v>374.12</v>
      </c>
      <c r="S145" s="650">
        <v>954.83999999999992</v>
      </c>
      <c r="T145" s="86" t="s">
        <v>7901</v>
      </c>
    </row>
    <row r="146" spans="1:20" ht="30" customHeight="1" x14ac:dyDescent="0.2">
      <c r="A146" s="291" t="str">
        <f t="shared" si="3"/>
        <v>WES161 / 1539</v>
      </c>
      <c r="B146" s="89" t="s">
        <v>6361</v>
      </c>
      <c r="C146" s="89" t="s">
        <v>783</v>
      </c>
      <c r="D146" s="318" t="s">
        <v>6722</v>
      </c>
      <c r="E146" s="369" t="str">
        <f>VLOOKUP(D:D,'Master Table'!C:D,2,FALSE)</f>
        <v>1539</v>
      </c>
      <c r="F146" s="769" t="s">
        <v>6722</v>
      </c>
      <c r="G146" s="769" t="s">
        <v>6723</v>
      </c>
      <c r="H146" s="769" t="s">
        <v>783</v>
      </c>
      <c r="I146" s="769" t="s">
        <v>6361</v>
      </c>
      <c r="J146" s="769" t="s">
        <v>7889</v>
      </c>
      <c r="K146" s="789" t="s">
        <v>324</v>
      </c>
      <c r="L146" s="790">
        <v>248.32</v>
      </c>
      <c r="M146" s="790">
        <v>431.95</v>
      </c>
      <c r="N146" s="790">
        <v>207</v>
      </c>
      <c r="O146" s="312">
        <v>887.27</v>
      </c>
      <c r="P146" s="467">
        <f>VLOOKUP(D:D,'Master Table'!C:O,13,FALSE)</f>
        <v>660.31999999999994</v>
      </c>
      <c r="Q146" s="657">
        <v>660.31999999999994</v>
      </c>
      <c r="R146" s="664">
        <v>370</v>
      </c>
      <c r="S146" s="650">
        <v>822</v>
      </c>
      <c r="T146" s="86" t="s">
        <v>7889</v>
      </c>
    </row>
    <row r="147" spans="1:20" ht="30" customHeight="1" x14ac:dyDescent="0.2">
      <c r="A147" s="291" t="str">
        <f t="shared" si="3"/>
        <v>WES162 / 1540</v>
      </c>
      <c r="B147" s="89" t="s">
        <v>6727</v>
      </c>
      <c r="C147" s="89" t="s">
        <v>6726</v>
      </c>
      <c r="D147" s="318" t="s">
        <v>6724</v>
      </c>
      <c r="E147" s="369" t="str">
        <f>VLOOKUP(D:D,'Master Table'!C:D,2,FALSE)</f>
        <v>1540</v>
      </c>
      <c r="F147" s="769" t="s">
        <v>6724</v>
      </c>
      <c r="G147" s="769" t="s">
        <v>6725</v>
      </c>
      <c r="H147" s="769" t="s">
        <v>6726</v>
      </c>
      <c r="I147" s="769" t="s">
        <v>6727</v>
      </c>
      <c r="J147" s="769" t="s">
        <v>7896</v>
      </c>
      <c r="K147" s="789" t="s">
        <v>324</v>
      </c>
      <c r="L147" s="790">
        <v>49</v>
      </c>
      <c r="M147" s="790">
        <v>710</v>
      </c>
      <c r="N147" s="790">
        <v>421.73</v>
      </c>
      <c r="O147" s="312">
        <v>1180.73</v>
      </c>
      <c r="P147" s="467">
        <f>VLOOKUP(D:D,'Master Table'!C:O,13,FALSE)</f>
        <v>1656.3</v>
      </c>
      <c r="Q147" s="657">
        <v>1656.3</v>
      </c>
      <c r="R147" s="664">
        <v>2145.1999999999998</v>
      </c>
      <c r="S147" s="650">
        <v>2020.8</v>
      </c>
      <c r="T147" s="86" t="s">
        <v>7896</v>
      </c>
    </row>
    <row r="148" spans="1:20" ht="30" customHeight="1" x14ac:dyDescent="0.2">
      <c r="A148" s="291" t="str">
        <f t="shared" si="3"/>
        <v>WES163 / 1541</v>
      </c>
      <c r="B148" s="89" t="s">
        <v>6732</v>
      </c>
      <c r="C148" s="89" t="s">
        <v>8052</v>
      </c>
      <c r="D148" s="318" t="s">
        <v>6729</v>
      </c>
      <c r="E148" s="369" t="str">
        <f>VLOOKUP(D:D,'Master Table'!C:D,2,FALSE)</f>
        <v>1541</v>
      </c>
      <c r="F148" s="769" t="s">
        <v>6729</v>
      </c>
      <c r="G148" s="769" t="s">
        <v>6730</v>
      </c>
      <c r="H148" s="769" t="s">
        <v>6731</v>
      </c>
      <c r="I148" s="769" t="s">
        <v>6732</v>
      </c>
      <c r="J148" s="769" t="s">
        <v>7947</v>
      </c>
      <c r="K148" s="789" t="s">
        <v>324</v>
      </c>
      <c r="L148" s="790">
        <v>536.57000000000005</v>
      </c>
      <c r="M148" s="790">
        <v>666</v>
      </c>
      <c r="N148" s="790"/>
      <c r="O148" s="312">
        <v>1202.5700000000002</v>
      </c>
      <c r="P148" s="467">
        <f>VLOOKUP(D:D,'Master Table'!C:O,13,FALSE)</f>
        <v>1644.6399999999999</v>
      </c>
      <c r="Q148" s="657">
        <v>1644.6399999999999</v>
      </c>
      <c r="R148" s="664">
        <v>1602.8400000000001</v>
      </c>
      <c r="S148" s="650">
        <v>2446.94</v>
      </c>
      <c r="T148" s="86" t="s">
        <v>7947</v>
      </c>
    </row>
    <row r="149" spans="1:20" ht="30" customHeight="1" x14ac:dyDescent="0.2">
      <c r="A149" s="291" t="str">
        <f t="shared" si="3"/>
        <v>WES164 / 1542</v>
      </c>
      <c r="B149" s="89" t="s">
        <v>8053</v>
      </c>
      <c r="C149" s="89" t="s">
        <v>1588</v>
      </c>
      <c r="D149" s="318" t="s">
        <v>6733</v>
      </c>
      <c r="E149" s="369" t="str">
        <f>VLOOKUP(D:D,'Master Table'!C:D,2,FALSE)</f>
        <v>1542</v>
      </c>
      <c r="F149" s="769" t="s">
        <v>6733</v>
      </c>
      <c r="G149" s="769" t="s">
        <v>6734</v>
      </c>
      <c r="H149" s="769" t="s">
        <v>1588</v>
      </c>
      <c r="I149" s="769" t="s">
        <v>6735</v>
      </c>
      <c r="J149" s="769" t="s">
        <v>7947</v>
      </c>
      <c r="K149" s="789" t="s">
        <v>324</v>
      </c>
      <c r="L149" s="790">
        <v>0</v>
      </c>
      <c r="M149" s="790">
        <v>275</v>
      </c>
      <c r="N149" s="790">
        <v>712.68</v>
      </c>
      <c r="O149" s="312">
        <v>987.68</v>
      </c>
      <c r="P149" s="467">
        <f>VLOOKUP(D:D,'Master Table'!C:O,13,FALSE)</f>
        <v>325.8</v>
      </c>
      <c r="Q149" s="657">
        <v>325.8</v>
      </c>
      <c r="R149" s="664">
        <v>1166.81</v>
      </c>
      <c r="S149" s="650">
        <v>190</v>
      </c>
      <c r="T149" s="86" t="s">
        <v>7947</v>
      </c>
    </row>
    <row r="150" spans="1:20" ht="30" customHeight="1" x14ac:dyDescent="0.2">
      <c r="A150" s="291" t="str">
        <f t="shared" si="3"/>
        <v>WES165 / 1543</v>
      </c>
      <c r="B150" s="89" t="s">
        <v>6740</v>
      </c>
      <c r="C150" s="89" t="s">
        <v>8054</v>
      </c>
      <c r="D150" s="318" t="s">
        <v>6737</v>
      </c>
      <c r="E150" s="369" t="str">
        <f>VLOOKUP(D:D,'Master Table'!C:D,2,FALSE)</f>
        <v>1543</v>
      </c>
      <c r="F150" s="769" t="s">
        <v>6737</v>
      </c>
      <c r="G150" s="769" t="s">
        <v>6738</v>
      </c>
      <c r="H150" s="769" t="s">
        <v>6739</v>
      </c>
      <c r="I150" s="769" t="s">
        <v>6740</v>
      </c>
      <c r="J150" s="769" t="s">
        <v>11302</v>
      </c>
      <c r="K150" s="789" t="s">
        <v>324</v>
      </c>
      <c r="L150" s="790">
        <v>1206.3800000000001</v>
      </c>
      <c r="M150" s="790">
        <v>2773.91</v>
      </c>
      <c r="N150" s="790">
        <v>662.9</v>
      </c>
      <c r="O150" s="312">
        <v>4643.1899999999996</v>
      </c>
      <c r="P150" s="467">
        <f>VLOOKUP(D:D,'Master Table'!C:O,13,FALSE)</f>
        <v>3172.02</v>
      </c>
      <c r="Q150" s="657">
        <v>3172.02</v>
      </c>
      <c r="R150" s="664">
        <v>3545.75</v>
      </c>
      <c r="S150" s="650">
        <v>3180.4300000000003</v>
      </c>
      <c r="T150" s="86" t="s">
        <v>7901</v>
      </c>
    </row>
    <row r="151" spans="1:20" ht="30" customHeight="1" x14ac:dyDescent="0.2">
      <c r="A151" s="291" t="str">
        <f t="shared" si="3"/>
        <v>WES166 / 1544</v>
      </c>
      <c r="B151" s="89" t="s">
        <v>6740</v>
      </c>
      <c r="C151" s="89" t="s">
        <v>8055</v>
      </c>
      <c r="D151" s="318" t="s">
        <v>6744</v>
      </c>
      <c r="E151" s="369" t="str">
        <f>VLOOKUP(D:D,'Master Table'!C:D,2,FALSE)</f>
        <v>1544</v>
      </c>
      <c r="F151" s="769" t="s">
        <v>6744</v>
      </c>
      <c r="G151" s="769" t="s">
        <v>6745</v>
      </c>
      <c r="H151" s="769" t="s">
        <v>5935</v>
      </c>
      <c r="I151" s="769" t="s">
        <v>6746</v>
      </c>
      <c r="J151" s="769" t="s">
        <v>11302</v>
      </c>
      <c r="K151" s="789" t="s">
        <v>324</v>
      </c>
      <c r="L151" s="790">
        <v>0</v>
      </c>
      <c r="M151" s="790">
        <v>500</v>
      </c>
      <c r="N151" s="790"/>
      <c r="O151" s="312">
        <v>500</v>
      </c>
      <c r="P151" s="467">
        <f>VLOOKUP(D:D,'Master Table'!C:O,13,FALSE)</f>
        <v>468</v>
      </c>
      <c r="Q151" s="657">
        <v>468</v>
      </c>
      <c r="R151" s="664">
        <v>534</v>
      </c>
      <c r="S151" s="650">
        <v>992</v>
      </c>
      <c r="T151" s="86" t="s">
        <v>7901</v>
      </c>
    </row>
    <row r="152" spans="1:20" ht="30" customHeight="1" x14ac:dyDescent="0.2">
      <c r="A152" s="291" t="str">
        <f t="shared" si="3"/>
        <v>WES167 / 1545</v>
      </c>
      <c r="B152" s="89" t="s">
        <v>8056</v>
      </c>
      <c r="C152" s="89" t="s">
        <v>5069</v>
      </c>
      <c r="D152" s="318" t="s">
        <v>6747</v>
      </c>
      <c r="E152" s="369" t="str">
        <f>VLOOKUP(D:D,'Master Table'!C:D,2,FALSE)</f>
        <v>1545</v>
      </c>
      <c r="F152" s="769" t="s">
        <v>6747</v>
      </c>
      <c r="G152" s="769" t="s">
        <v>6748</v>
      </c>
      <c r="H152" s="769" t="s">
        <v>640</v>
      </c>
      <c r="I152" s="769" t="s">
        <v>1832</v>
      </c>
      <c r="J152" s="769" t="s">
        <v>7899</v>
      </c>
      <c r="K152" s="789" t="s">
        <v>324</v>
      </c>
      <c r="L152" s="790">
        <v>0</v>
      </c>
      <c r="M152" s="790">
        <v>270</v>
      </c>
      <c r="N152" s="790">
        <v>133.19</v>
      </c>
      <c r="O152" s="312">
        <v>403.19</v>
      </c>
      <c r="P152" s="467">
        <f>VLOOKUP(D:D,'Master Table'!C:O,13,FALSE)</f>
        <v>1285.8900000000001</v>
      </c>
      <c r="Q152" s="657">
        <v>1285.8900000000001</v>
      </c>
      <c r="R152" s="664">
        <v>1518.68</v>
      </c>
      <c r="S152" s="650">
        <v>2083.3599999999997</v>
      </c>
      <c r="T152" s="86" t="s">
        <v>7899</v>
      </c>
    </row>
    <row r="153" spans="1:20" ht="30" customHeight="1" x14ac:dyDescent="0.2">
      <c r="A153" s="291" t="str">
        <f t="shared" si="3"/>
        <v>WES168 / 1546</v>
      </c>
      <c r="B153" s="89" t="s">
        <v>8057</v>
      </c>
      <c r="C153" s="89" t="s">
        <v>1355</v>
      </c>
      <c r="D153" s="318" t="s">
        <v>6749</v>
      </c>
      <c r="E153" s="369" t="str">
        <f>VLOOKUP(D:D,'Master Table'!C:D,2,FALSE)</f>
        <v>1546</v>
      </c>
      <c r="F153" s="769" t="s">
        <v>6749</v>
      </c>
      <c r="G153" s="769" t="s">
        <v>6750</v>
      </c>
      <c r="H153" s="769" t="s">
        <v>3250</v>
      </c>
      <c r="I153" s="769" t="s">
        <v>1832</v>
      </c>
      <c r="J153" s="769" t="s">
        <v>7952</v>
      </c>
      <c r="K153" s="789" t="s">
        <v>324</v>
      </c>
      <c r="L153" s="790">
        <v>0</v>
      </c>
      <c r="M153" s="790">
        <v>1025</v>
      </c>
      <c r="N153" s="790">
        <v>143.18</v>
      </c>
      <c r="O153" s="312">
        <v>1168.18</v>
      </c>
      <c r="P153" s="467">
        <f>VLOOKUP(D:D,'Master Table'!C:O,13,FALSE)</f>
        <v>1876.9099999999999</v>
      </c>
      <c r="Q153" s="657">
        <v>1876.9099999999999</v>
      </c>
      <c r="R153" s="664">
        <v>1691.06</v>
      </c>
      <c r="S153" s="650">
        <v>1150</v>
      </c>
      <c r="T153" s="86" t="s">
        <v>7952</v>
      </c>
    </row>
    <row r="154" spans="1:20" ht="30" customHeight="1" x14ac:dyDescent="0.2">
      <c r="A154" s="291" t="str">
        <f t="shared" si="3"/>
        <v>WES169 / 1547</v>
      </c>
      <c r="B154" s="89" t="s">
        <v>8058</v>
      </c>
      <c r="C154" s="89" t="s">
        <v>6753</v>
      </c>
      <c r="D154" s="318" t="s">
        <v>6751</v>
      </c>
      <c r="E154" s="369" t="str">
        <f>VLOOKUP(D:D,'Master Table'!C:D,2,FALSE)</f>
        <v>1547</v>
      </c>
      <c r="F154" s="769" t="s">
        <v>6751</v>
      </c>
      <c r="G154" s="769" t="s">
        <v>6752</v>
      </c>
      <c r="H154" s="769" t="s">
        <v>6753</v>
      </c>
      <c r="I154" s="769" t="s">
        <v>6754</v>
      </c>
      <c r="J154" s="769" t="s">
        <v>7894</v>
      </c>
      <c r="K154" s="789" t="s">
        <v>324</v>
      </c>
      <c r="L154" s="790">
        <v>0</v>
      </c>
      <c r="M154" s="790">
        <v>485</v>
      </c>
      <c r="N154" s="790"/>
      <c r="O154" s="312">
        <v>485</v>
      </c>
      <c r="P154" s="467">
        <f>VLOOKUP(D:D,'Master Table'!C:O,13,FALSE)</f>
        <v>630</v>
      </c>
      <c r="Q154" s="657">
        <v>630</v>
      </c>
      <c r="R154" s="664">
        <v>510</v>
      </c>
      <c r="S154" s="650">
        <v>530</v>
      </c>
      <c r="T154" s="86" t="s">
        <v>7894</v>
      </c>
    </row>
    <row r="155" spans="1:20" ht="30" customHeight="1" x14ac:dyDescent="0.2">
      <c r="A155" s="291" t="str">
        <f t="shared" si="3"/>
        <v>WES171 / 1549</v>
      </c>
      <c r="B155" s="89" t="s">
        <v>8059</v>
      </c>
      <c r="C155" s="89" t="s">
        <v>6760</v>
      </c>
      <c r="D155" s="318" t="s">
        <v>6758</v>
      </c>
      <c r="E155" s="369" t="str">
        <f>VLOOKUP(D:D,'Master Table'!C:D,2,FALSE)</f>
        <v>1549</v>
      </c>
      <c r="F155" s="769" t="s">
        <v>6758</v>
      </c>
      <c r="G155" s="769" t="s">
        <v>6759</v>
      </c>
      <c r="H155" s="769" t="s">
        <v>6760</v>
      </c>
      <c r="I155" s="769" t="s">
        <v>1832</v>
      </c>
      <c r="J155" s="769" t="s">
        <v>11304</v>
      </c>
      <c r="K155" s="789" t="s">
        <v>324</v>
      </c>
      <c r="L155" s="790">
        <v>1059.1300000000001</v>
      </c>
      <c r="M155" s="790">
        <v>160</v>
      </c>
      <c r="N155" s="790"/>
      <c r="O155" s="312">
        <v>1219.1300000000001</v>
      </c>
      <c r="P155" s="467">
        <f>VLOOKUP(D:D,'Master Table'!C:O,13,FALSE)</f>
        <v>2128.3000000000002</v>
      </c>
      <c r="Q155" s="657">
        <v>2128.3000000000002</v>
      </c>
      <c r="R155" s="664">
        <v>1779</v>
      </c>
      <c r="S155" s="650">
        <v>2339</v>
      </c>
      <c r="T155" s="86" t="s">
        <v>7914</v>
      </c>
    </row>
    <row r="156" spans="1:20" ht="30" customHeight="1" x14ac:dyDescent="0.2">
      <c r="A156" s="291" t="str">
        <f t="shared" si="3"/>
        <v>WES173 / 1551</v>
      </c>
      <c r="B156" s="89" t="s">
        <v>6766</v>
      </c>
      <c r="C156" s="89" t="s">
        <v>2578</v>
      </c>
      <c r="D156" s="318" t="s">
        <v>6764</v>
      </c>
      <c r="E156" s="369" t="str">
        <f>VLOOKUP(D:D,'Master Table'!C:D,2,FALSE)</f>
        <v>1551</v>
      </c>
      <c r="F156" s="769" t="s">
        <v>6764</v>
      </c>
      <c r="G156" s="769" t="s">
        <v>6765</v>
      </c>
      <c r="H156" s="769" t="s">
        <v>989</v>
      </c>
      <c r="I156" s="769" t="s">
        <v>6766</v>
      </c>
      <c r="J156" s="769" t="s">
        <v>7894</v>
      </c>
      <c r="K156" s="789" t="s">
        <v>324</v>
      </c>
      <c r="L156" s="790">
        <v>154.84</v>
      </c>
      <c r="M156" s="790">
        <v>1376.45</v>
      </c>
      <c r="N156" s="790"/>
      <c r="O156" s="312">
        <v>1531.29</v>
      </c>
      <c r="P156" s="467">
        <f>VLOOKUP(D:D,'Master Table'!C:O,13,FALSE)</f>
        <v>1027.1399999999999</v>
      </c>
      <c r="Q156" s="657">
        <v>1027.1399999999999</v>
      </c>
      <c r="R156" s="664">
        <v>1185.75</v>
      </c>
      <c r="S156" s="650">
        <v>966.57</v>
      </c>
      <c r="T156" s="86" t="s">
        <v>7894</v>
      </c>
    </row>
    <row r="157" spans="1:20" ht="30" customHeight="1" x14ac:dyDescent="0.2">
      <c r="A157" s="291" t="str">
        <f t="shared" si="3"/>
        <v>WES174 / 1552</v>
      </c>
      <c r="B157" s="89" t="s">
        <v>8060</v>
      </c>
      <c r="C157" s="89" t="s">
        <v>158</v>
      </c>
      <c r="D157" s="318" t="s">
        <v>6768</v>
      </c>
      <c r="E157" s="369" t="str">
        <f>VLOOKUP(D:D,'Master Table'!C:D,2,FALSE)</f>
        <v>1552</v>
      </c>
      <c r="F157" s="769" t="s">
        <v>6768</v>
      </c>
      <c r="G157" s="769" t="s">
        <v>6769</v>
      </c>
      <c r="H157" s="769" t="s">
        <v>124</v>
      </c>
      <c r="I157" s="769" t="s">
        <v>1832</v>
      </c>
      <c r="J157" s="769" t="s">
        <v>7887</v>
      </c>
      <c r="K157" s="789" t="s">
        <v>324</v>
      </c>
      <c r="L157" s="790">
        <v>0</v>
      </c>
      <c r="M157" s="790">
        <v>50</v>
      </c>
      <c r="N157" s="790"/>
      <c r="O157" s="312">
        <v>50</v>
      </c>
      <c r="P157" s="467">
        <f>VLOOKUP(D:D,'Master Table'!C:O,13,FALSE)</f>
        <v>120</v>
      </c>
      <c r="Q157" s="657">
        <v>120</v>
      </c>
      <c r="R157" s="664">
        <v>50</v>
      </c>
      <c r="S157" s="650">
        <v>85</v>
      </c>
      <c r="T157" s="86" t="s">
        <v>7887</v>
      </c>
    </row>
    <row r="158" spans="1:20" ht="30" customHeight="1" x14ac:dyDescent="0.2">
      <c r="A158" s="291" t="str">
        <f t="shared" si="3"/>
        <v>WES175 / 1554</v>
      </c>
      <c r="B158" s="89" t="s">
        <v>8061</v>
      </c>
      <c r="C158" s="89" t="s">
        <v>7394</v>
      </c>
      <c r="D158" s="318" t="s">
        <v>6770</v>
      </c>
      <c r="E158" s="369" t="str">
        <f>VLOOKUP(D:D,'Master Table'!C:D,2,FALSE)</f>
        <v>1554</v>
      </c>
      <c r="F158" s="769" t="s">
        <v>6770</v>
      </c>
      <c r="G158" s="769" t="s">
        <v>6771</v>
      </c>
      <c r="H158" s="769" t="s">
        <v>6772</v>
      </c>
      <c r="I158" s="769" t="s">
        <v>1832</v>
      </c>
      <c r="J158" s="769" t="s">
        <v>7921</v>
      </c>
      <c r="K158" s="789" t="s">
        <v>324</v>
      </c>
      <c r="L158" s="790">
        <v>0</v>
      </c>
      <c r="M158" s="790">
        <v>110</v>
      </c>
      <c r="N158" s="790"/>
      <c r="O158" s="312">
        <v>110</v>
      </c>
      <c r="P158" s="467">
        <f>VLOOKUP(D:D,'Master Table'!C:O,13,FALSE)</f>
        <v>609.41999999999996</v>
      </c>
      <c r="Q158" s="657">
        <v>609.41999999999996</v>
      </c>
      <c r="R158" s="664">
        <v>315</v>
      </c>
      <c r="S158" s="650">
        <v>194</v>
      </c>
      <c r="T158" s="86" t="s">
        <v>7921</v>
      </c>
    </row>
    <row r="159" spans="1:20" ht="30" customHeight="1" x14ac:dyDescent="0.2">
      <c r="A159" s="291" t="str">
        <f t="shared" si="3"/>
        <v>WES176 / 1555</v>
      </c>
      <c r="B159" s="89" t="s">
        <v>6775</v>
      </c>
      <c r="C159" s="89" t="s">
        <v>583</v>
      </c>
      <c r="D159" s="318" t="s">
        <v>6773</v>
      </c>
      <c r="E159" s="369" t="str">
        <f>VLOOKUP(D:D,'Master Table'!C:D,2,FALSE)</f>
        <v>1555</v>
      </c>
      <c r="F159" s="769" t="s">
        <v>6773</v>
      </c>
      <c r="G159" s="769" t="s">
        <v>6774</v>
      </c>
      <c r="H159" s="769" t="s">
        <v>583</v>
      </c>
      <c r="I159" s="769" t="s">
        <v>6775</v>
      </c>
      <c r="J159" s="769" t="s">
        <v>7891</v>
      </c>
      <c r="K159" s="789" t="s">
        <v>324</v>
      </c>
      <c r="L159" s="790">
        <v>0</v>
      </c>
      <c r="M159" s="790">
        <v>330</v>
      </c>
      <c r="N159" s="790">
        <v>73.099999999999994</v>
      </c>
      <c r="O159" s="312">
        <v>403.1</v>
      </c>
      <c r="P159" s="467">
        <f>VLOOKUP(D:D,'Master Table'!C:O,13,FALSE)</f>
        <v>547.70000000000005</v>
      </c>
      <c r="Q159" s="657">
        <v>547.70000000000005</v>
      </c>
      <c r="R159" s="664">
        <v>1084.57</v>
      </c>
      <c r="S159" s="650">
        <v>1303.8499999999999</v>
      </c>
      <c r="T159" s="86" t="s">
        <v>7891</v>
      </c>
    </row>
    <row r="160" spans="1:20" ht="30" customHeight="1" x14ac:dyDescent="0.2">
      <c r="A160" s="291" t="str">
        <f t="shared" si="3"/>
        <v>WES177 / 1556</v>
      </c>
      <c r="B160" s="89" t="s">
        <v>8062</v>
      </c>
      <c r="C160" s="89" t="s">
        <v>8063</v>
      </c>
      <c r="D160" s="318" t="s">
        <v>6776</v>
      </c>
      <c r="E160" s="369" t="str">
        <f>VLOOKUP(D:D,'Master Table'!C:D,2,FALSE)</f>
        <v>1556</v>
      </c>
      <c r="F160" s="769" t="s">
        <v>6776</v>
      </c>
      <c r="G160" s="769" t="s">
        <v>6777</v>
      </c>
      <c r="H160" s="769" t="s">
        <v>3142</v>
      </c>
      <c r="I160" s="769" t="s">
        <v>1832</v>
      </c>
      <c r="J160" s="769" t="s">
        <v>7952</v>
      </c>
      <c r="K160" s="789" t="s">
        <v>324</v>
      </c>
      <c r="L160" s="790">
        <v>0</v>
      </c>
      <c r="M160" s="790">
        <v>175</v>
      </c>
      <c r="N160" s="790"/>
      <c r="O160" s="312">
        <v>175</v>
      </c>
      <c r="P160" s="467">
        <f>VLOOKUP(D:D,'Master Table'!C:O,13,FALSE)</f>
        <v>185</v>
      </c>
      <c r="Q160" s="657">
        <v>185</v>
      </c>
      <c r="R160" s="664">
        <v>380</v>
      </c>
      <c r="S160" s="650">
        <v>215</v>
      </c>
      <c r="T160" s="86" t="s">
        <v>7952</v>
      </c>
    </row>
    <row r="161" spans="1:20" ht="30" customHeight="1" x14ac:dyDescent="0.2">
      <c r="A161" s="291" t="str">
        <f t="shared" si="3"/>
        <v>WES178 / 1557</v>
      </c>
      <c r="B161" s="89" t="s">
        <v>6780</v>
      </c>
      <c r="C161" s="89" t="s">
        <v>198</v>
      </c>
      <c r="D161" s="318" t="s">
        <v>6778</v>
      </c>
      <c r="E161" s="369" t="str">
        <f>VLOOKUP(D:D,'Master Table'!C:D,2,FALSE)</f>
        <v>1557</v>
      </c>
      <c r="F161" s="769" t="s">
        <v>6778</v>
      </c>
      <c r="G161" s="769" t="s">
        <v>6779</v>
      </c>
      <c r="H161" s="769" t="s">
        <v>198</v>
      </c>
      <c r="I161" s="769" t="s">
        <v>6780</v>
      </c>
      <c r="J161" s="769" t="s">
        <v>7894</v>
      </c>
      <c r="K161" s="789" t="s">
        <v>324</v>
      </c>
      <c r="L161" s="790">
        <v>476.13</v>
      </c>
      <c r="M161" s="790">
        <v>175</v>
      </c>
      <c r="N161" s="790"/>
      <c r="O161" s="312">
        <v>651.13</v>
      </c>
      <c r="P161" s="467">
        <f>VLOOKUP(D:D,'Master Table'!C:O,13,FALSE)</f>
        <v>1410.92</v>
      </c>
      <c r="Q161" s="657">
        <v>1410.92</v>
      </c>
      <c r="R161" s="664">
        <v>1822.69</v>
      </c>
      <c r="S161" s="650">
        <v>1424.39</v>
      </c>
      <c r="T161" s="86" t="s">
        <v>7894</v>
      </c>
    </row>
    <row r="162" spans="1:20" ht="30" customHeight="1" x14ac:dyDescent="0.2">
      <c r="A162" s="291" t="str">
        <f t="shared" si="3"/>
        <v>WES179 / 1558</v>
      </c>
      <c r="B162" s="89" t="s">
        <v>8064</v>
      </c>
      <c r="C162" s="89" t="s">
        <v>8065</v>
      </c>
      <c r="D162" s="318" t="s">
        <v>6781</v>
      </c>
      <c r="E162" s="369" t="str">
        <f>VLOOKUP(D:D,'Master Table'!C:D,2,FALSE)</f>
        <v>1558</v>
      </c>
      <c r="F162" s="769" t="s">
        <v>6781</v>
      </c>
      <c r="G162" s="769" t="s">
        <v>6782</v>
      </c>
      <c r="H162" s="769" t="s">
        <v>6783</v>
      </c>
      <c r="I162" s="769" t="s">
        <v>1832</v>
      </c>
      <c r="J162" s="769" t="s">
        <v>8030</v>
      </c>
      <c r="K162" s="789" t="s">
        <v>324</v>
      </c>
      <c r="L162" s="790">
        <v>0</v>
      </c>
      <c r="M162" s="790"/>
      <c r="N162" s="790"/>
      <c r="O162" s="312">
        <v>0</v>
      </c>
      <c r="P162" s="467">
        <f>VLOOKUP(D:D,'Master Table'!C:O,13,FALSE)</f>
        <v>10</v>
      </c>
      <c r="Q162" s="657">
        <v>10</v>
      </c>
      <c r="R162" s="664">
        <v>240.72</v>
      </c>
      <c r="S162" s="650">
        <v>834</v>
      </c>
      <c r="T162" s="86" t="s">
        <v>8030</v>
      </c>
    </row>
    <row r="163" spans="1:20" ht="30" customHeight="1" x14ac:dyDescent="0.2">
      <c r="A163" s="291" t="str">
        <f t="shared" si="3"/>
        <v>WES180 / 1559</v>
      </c>
      <c r="B163" s="89" t="s">
        <v>6787</v>
      </c>
      <c r="C163" s="89" t="s">
        <v>5796</v>
      </c>
      <c r="D163" s="318" t="s">
        <v>6784</v>
      </c>
      <c r="E163" s="369" t="str">
        <f>VLOOKUP(D:D,'Master Table'!C:D,2,FALSE)</f>
        <v>1559</v>
      </c>
      <c r="F163" s="769" t="s">
        <v>6784</v>
      </c>
      <c r="G163" s="769" t="s">
        <v>6785</v>
      </c>
      <c r="H163" s="769" t="s">
        <v>6786</v>
      </c>
      <c r="I163" s="769" t="s">
        <v>6787</v>
      </c>
      <c r="J163" s="769" t="s">
        <v>11314</v>
      </c>
      <c r="K163" s="789" t="s">
        <v>324</v>
      </c>
      <c r="L163" s="790">
        <v>1168.03</v>
      </c>
      <c r="M163" s="790">
        <v>179</v>
      </c>
      <c r="N163" s="790"/>
      <c r="O163" s="312">
        <v>1347.03</v>
      </c>
      <c r="P163" s="467">
        <f>VLOOKUP(D:D,'Master Table'!C:O,13,FALSE)</f>
        <v>2053.8599999999997</v>
      </c>
      <c r="Q163" s="657">
        <v>2053.8599999999997</v>
      </c>
      <c r="R163" s="664">
        <v>1947.41</v>
      </c>
      <c r="S163" s="650">
        <v>2958.99</v>
      </c>
      <c r="T163" s="86" t="s">
        <v>7973</v>
      </c>
    </row>
    <row r="164" spans="1:20" ht="30" customHeight="1" x14ac:dyDescent="0.2">
      <c r="A164" s="291" t="str">
        <f t="shared" si="3"/>
        <v>WES181 / 1560</v>
      </c>
      <c r="B164" s="89" t="s">
        <v>8066</v>
      </c>
      <c r="C164" s="89" t="s">
        <v>89</v>
      </c>
      <c r="D164" s="318" t="s">
        <v>6789</v>
      </c>
      <c r="E164" s="369" t="str">
        <f>VLOOKUP(D:D,'Master Table'!C:D,2,FALSE)</f>
        <v>1560</v>
      </c>
      <c r="F164" s="769" t="s">
        <v>6789</v>
      </c>
      <c r="G164" s="769" t="s">
        <v>6790</v>
      </c>
      <c r="H164" s="769" t="s">
        <v>3420</v>
      </c>
      <c r="I164" s="769" t="s">
        <v>493</v>
      </c>
      <c r="J164" s="769" t="s">
        <v>7894</v>
      </c>
      <c r="K164" s="789" t="s">
        <v>324</v>
      </c>
      <c r="L164" s="790">
        <v>0</v>
      </c>
      <c r="M164" s="790">
        <v>150</v>
      </c>
      <c r="N164" s="790"/>
      <c r="O164" s="312">
        <v>150</v>
      </c>
      <c r="P164" s="467">
        <f>VLOOKUP(D:D,'Master Table'!C:O,13,FALSE)</f>
        <v>170</v>
      </c>
      <c r="Q164" s="657">
        <v>170</v>
      </c>
      <c r="R164" s="664">
        <v>130</v>
      </c>
      <c r="S164" s="650">
        <v>140</v>
      </c>
      <c r="T164" s="86" t="s">
        <v>7894</v>
      </c>
    </row>
    <row r="165" spans="1:20" ht="30" customHeight="1" x14ac:dyDescent="0.2">
      <c r="A165" s="291" t="str">
        <f t="shared" si="3"/>
        <v>WES182 / 1561</v>
      </c>
      <c r="B165" s="89" t="s">
        <v>8067</v>
      </c>
      <c r="C165" s="89" t="s">
        <v>6794</v>
      </c>
      <c r="D165" s="318" t="s">
        <v>6792</v>
      </c>
      <c r="E165" s="369" t="str">
        <f>VLOOKUP(D:D,'Master Table'!C:D,2,FALSE)</f>
        <v>1561</v>
      </c>
      <c r="F165" s="769" t="s">
        <v>6792</v>
      </c>
      <c r="G165" s="769" t="s">
        <v>6793</v>
      </c>
      <c r="H165" s="769" t="s">
        <v>6794</v>
      </c>
      <c r="I165" s="769" t="s">
        <v>1832</v>
      </c>
      <c r="J165" s="769" t="s">
        <v>11304</v>
      </c>
      <c r="K165" s="789" t="s">
        <v>324</v>
      </c>
      <c r="L165" s="790">
        <v>0</v>
      </c>
      <c r="M165" s="790">
        <v>10</v>
      </c>
      <c r="N165" s="790"/>
      <c r="O165" s="312">
        <v>10</v>
      </c>
      <c r="P165" s="467">
        <f>VLOOKUP(D:D,'Master Table'!C:O,13,FALSE)</f>
        <v>150.46</v>
      </c>
      <c r="Q165" s="657">
        <v>150.46</v>
      </c>
      <c r="R165" s="664">
        <v>96.74</v>
      </c>
      <c r="S165" s="650">
        <v>347</v>
      </c>
      <c r="T165" s="86" t="s">
        <v>7914</v>
      </c>
    </row>
    <row r="166" spans="1:20" ht="30" customHeight="1" x14ac:dyDescent="0.2">
      <c r="A166" s="291" t="str">
        <f t="shared" si="3"/>
        <v>WES183 / 1562</v>
      </c>
      <c r="B166" s="89" t="s">
        <v>8068</v>
      </c>
      <c r="C166" s="89" t="s">
        <v>8069</v>
      </c>
      <c r="D166" s="318" t="s">
        <v>6795</v>
      </c>
      <c r="E166" s="369" t="str">
        <f>VLOOKUP(D:D,'Master Table'!C:D,2,FALSE)</f>
        <v>1562</v>
      </c>
      <c r="F166" s="769" t="s">
        <v>6795</v>
      </c>
      <c r="G166" s="769" t="s">
        <v>6796</v>
      </c>
      <c r="H166" s="769" t="s">
        <v>6797</v>
      </c>
      <c r="I166" s="769" t="s">
        <v>6798</v>
      </c>
      <c r="J166" s="769" t="s">
        <v>7896</v>
      </c>
      <c r="K166" s="789" t="s">
        <v>324</v>
      </c>
      <c r="L166" s="790">
        <v>0</v>
      </c>
      <c r="M166" s="790">
        <v>85</v>
      </c>
      <c r="N166" s="790"/>
      <c r="O166" s="312">
        <v>85</v>
      </c>
      <c r="P166" s="467">
        <f>VLOOKUP(D:D,'Master Table'!C:O,13,FALSE)</f>
        <v>293.57</v>
      </c>
      <c r="Q166" s="657">
        <v>293.57</v>
      </c>
      <c r="R166" s="664">
        <v>747.61</v>
      </c>
      <c r="S166" s="650">
        <v>593.92999999999995</v>
      </c>
      <c r="T166" s="86" t="s">
        <v>7896</v>
      </c>
    </row>
    <row r="167" spans="1:20" ht="30" customHeight="1" x14ac:dyDescent="0.2">
      <c r="A167" s="291" t="str">
        <f t="shared" si="3"/>
        <v>WES185 / 1563</v>
      </c>
      <c r="B167" s="89" t="s">
        <v>8070</v>
      </c>
      <c r="C167" s="89" t="s">
        <v>532</v>
      </c>
      <c r="D167" s="318" t="s">
        <v>6799</v>
      </c>
      <c r="E167" s="369" t="str">
        <f>VLOOKUP(D:D,'Master Table'!C:D,2,FALSE)</f>
        <v>1563</v>
      </c>
      <c r="F167" s="769" t="s">
        <v>6799</v>
      </c>
      <c r="G167" s="769" t="s">
        <v>6800</v>
      </c>
      <c r="H167" s="769" t="s">
        <v>6801</v>
      </c>
      <c r="I167" s="769" t="s">
        <v>6798</v>
      </c>
      <c r="J167" s="769" t="s">
        <v>7896</v>
      </c>
      <c r="K167" s="789" t="s">
        <v>324</v>
      </c>
      <c r="L167" s="790">
        <v>73.72</v>
      </c>
      <c r="M167" s="790">
        <v>325</v>
      </c>
      <c r="N167" s="790"/>
      <c r="O167" s="312">
        <v>398.72</v>
      </c>
      <c r="P167" s="467">
        <f>VLOOKUP(D:D,'Master Table'!C:O,13,FALSE)</f>
        <v>652.24</v>
      </c>
      <c r="Q167" s="657">
        <v>652.24</v>
      </c>
      <c r="R167" s="664">
        <v>597.15</v>
      </c>
      <c r="S167" s="650">
        <v>514.58000000000004</v>
      </c>
      <c r="T167" s="86" t="s">
        <v>7896</v>
      </c>
    </row>
    <row r="168" spans="1:20" ht="30" customHeight="1" x14ac:dyDescent="0.2">
      <c r="A168" s="291" t="str">
        <f t="shared" si="3"/>
        <v>WES186 / 1564</v>
      </c>
      <c r="B168" s="89" t="s">
        <v>8071</v>
      </c>
      <c r="C168" s="89" t="s">
        <v>7829</v>
      </c>
      <c r="D168" s="318" t="s">
        <v>6803</v>
      </c>
      <c r="E168" s="369" t="str">
        <f>VLOOKUP(D:D,'Master Table'!C:D,2,FALSE)</f>
        <v>1564</v>
      </c>
      <c r="F168" s="769" t="s">
        <v>6803</v>
      </c>
      <c r="G168" s="769" t="s">
        <v>6804</v>
      </c>
      <c r="H168" s="769" t="s">
        <v>6805</v>
      </c>
      <c r="I168" s="769" t="s">
        <v>6806</v>
      </c>
      <c r="J168" s="769" t="s">
        <v>7896</v>
      </c>
      <c r="K168" s="789" t="s">
        <v>324</v>
      </c>
      <c r="L168" s="790">
        <v>1067.1199999999999</v>
      </c>
      <c r="M168" s="790">
        <v>1765</v>
      </c>
      <c r="N168" s="790"/>
      <c r="O168" s="312">
        <v>2832.12</v>
      </c>
      <c r="P168" s="467">
        <f>VLOOKUP(D:D,'Master Table'!C:O,13,FALSE)</f>
        <v>1671.54</v>
      </c>
      <c r="Q168" s="657">
        <v>1671.54</v>
      </c>
      <c r="R168" s="664">
        <v>2460.81</v>
      </c>
      <c r="S168" s="650">
        <v>2457.25</v>
      </c>
      <c r="T168" s="86" t="s">
        <v>7896</v>
      </c>
    </row>
    <row r="169" spans="1:20" ht="30" customHeight="1" x14ac:dyDescent="0.2">
      <c r="A169" s="291" t="str">
        <f t="shared" si="3"/>
        <v>WES187 / 1565</v>
      </c>
      <c r="B169" s="89" t="s">
        <v>8072</v>
      </c>
      <c r="C169" s="89" t="s">
        <v>4017</v>
      </c>
      <c r="D169" s="318" t="s">
        <v>6807</v>
      </c>
      <c r="E169" s="369" t="str">
        <f>VLOOKUP(D:D,'Master Table'!C:D,2,FALSE)</f>
        <v>1565</v>
      </c>
      <c r="F169" s="769" t="s">
        <v>6807</v>
      </c>
      <c r="G169" s="769" t="s">
        <v>6808</v>
      </c>
      <c r="H169" s="769" t="s">
        <v>4017</v>
      </c>
      <c r="I169" s="769" t="s">
        <v>1832</v>
      </c>
      <c r="J169" s="769" t="s">
        <v>7931</v>
      </c>
      <c r="K169" s="789" t="s">
        <v>324</v>
      </c>
      <c r="L169" s="790">
        <v>0</v>
      </c>
      <c r="M169" s="790">
        <v>690</v>
      </c>
      <c r="N169" s="790"/>
      <c r="O169" s="312">
        <v>690</v>
      </c>
      <c r="P169" s="467">
        <f>VLOOKUP(D:D,'Master Table'!C:O,13,FALSE)</f>
        <v>820</v>
      </c>
      <c r="Q169" s="657">
        <v>820</v>
      </c>
      <c r="R169" s="664">
        <v>830</v>
      </c>
      <c r="S169" s="650">
        <v>923</v>
      </c>
      <c r="T169" s="86" t="s">
        <v>7931</v>
      </c>
    </row>
    <row r="170" spans="1:20" ht="30" customHeight="1" x14ac:dyDescent="0.2">
      <c r="A170" s="291" t="str">
        <f t="shared" si="3"/>
        <v>WES188 / 1566</v>
      </c>
      <c r="B170" s="89" t="s">
        <v>8073</v>
      </c>
      <c r="C170" s="89" t="s">
        <v>8074</v>
      </c>
      <c r="D170" s="318" t="s">
        <v>6809</v>
      </c>
      <c r="E170" s="369" t="str">
        <f>VLOOKUP(D:D,'Master Table'!C:D,2,FALSE)</f>
        <v>1566</v>
      </c>
      <c r="F170" s="769" t="s">
        <v>6809</v>
      </c>
      <c r="G170" s="769" t="s">
        <v>6810</v>
      </c>
      <c r="H170" s="769" t="s">
        <v>6811</v>
      </c>
      <c r="I170" s="769" t="s">
        <v>1832</v>
      </c>
      <c r="J170" s="769" t="s">
        <v>7944</v>
      </c>
      <c r="K170" s="789" t="s">
        <v>324</v>
      </c>
      <c r="L170" s="790">
        <v>844.42</v>
      </c>
      <c r="M170" s="790">
        <v>315</v>
      </c>
      <c r="N170" s="790"/>
      <c r="O170" s="312">
        <v>1159.42</v>
      </c>
      <c r="P170" s="467">
        <f>VLOOKUP(D:D,'Master Table'!C:O,13,FALSE)</f>
        <v>1161.48</v>
      </c>
      <c r="Q170" s="657">
        <v>1161.48</v>
      </c>
      <c r="R170" s="664">
        <v>1454.4</v>
      </c>
      <c r="S170" s="650">
        <v>1190.8699999999999</v>
      </c>
      <c r="T170" s="86" t="s">
        <v>7944</v>
      </c>
    </row>
    <row r="171" spans="1:20" ht="30" customHeight="1" x14ac:dyDescent="0.2">
      <c r="A171" s="291" t="str">
        <f t="shared" si="3"/>
        <v>WES189 / 1567</v>
      </c>
      <c r="B171" s="89" t="s">
        <v>8075</v>
      </c>
      <c r="C171" s="89" t="s">
        <v>6814</v>
      </c>
      <c r="D171" s="318" t="s">
        <v>6812</v>
      </c>
      <c r="E171" s="369" t="str">
        <f>VLOOKUP(D:D,'Master Table'!C:D,2,FALSE)</f>
        <v>1567</v>
      </c>
      <c r="F171" s="769" t="s">
        <v>6812</v>
      </c>
      <c r="G171" s="769" t="s">
        <v>6813</v>
      </c>
      <c r="H171" s="769" t="s">
        <v>6814</v>
      </c>
      <c r="I171" s="769" t="s">
        <v>1832</v>
      </c>
      <c r="J171" s="769" t="s">
        <v>8030</v>
      </c>
      <c r="K171" s="789" t="s">
        <v>324</v>
      </c>
      <c r="L171" s="790">
        <v>0</v>
      </c>
      <c r="M171" s="790">
        <v>60</v>
      </c>
      <c r="N171" s="790">
        <v>12</v>
      </c>
      <c r="O171" s="312">
        <v>72</v>
      </c>
      <c r="P171" s="467">
        <f>VLOOKUP(D:D,'Master Table'!C:O,13,FALSE)</f>
        <v>247.64</v>
      </c>
      <c r="Q171" s="657">
        <v>247.64</v>
      </c>
      <c r="R171" s="664">
        <v>298.99</v>
      </c>
      <c r="S171" s="650">
        <v>416</v>
      </c>
      <c r="T171" s="86" t="s">
        <v>8030</v>
      </c>
    </row>
    <row r="172" spans="1:20" ht="30" customHeight="1" x14ac:dyDescent="0.2">
      <c r="A172" s="291" t="str">
        <f t="shared" si="3"/>
        <v>WES190 / 1568</v>
      </c>
      <c r="B172" s="89" t="s">
        <v>3259</v>
      </c>
      <c r="C172" s="89" t="s">
        <v>2900</v>
      </c>
      <c r="D172" s="318" t="s">
        <v>6815</v>
      </c>
      <c r="E172" s="369" t="str">
        <f>VLOOKUP(D:D,'Master Table'!C:D,2,FALSE)</f>
        <v>1568</v>
      </c>
      <c r="F172" s="769" t="s">
        <v>6815</v>
      </c>
      <c r="G172" s="769" t="s">
        <v>6816</v>
      </c>
      <c r="H172" s="769" t="s">
        <v>69</v>
      </c>
      <c r="I172" s="769" t="s">
        <v>6712</v>
      </c>
      <c r="J172" s="769" t="s">
        <v>11315</v>
      </c>
      <c r="K172" s="789" t="s">
        <v>324</v>
      </c>
      <c r="L172" s="790">
        <v>0</v>
      </c>
      <c r="M172" s="790">
        <v>233</v>
      </c>
      <c r="N172" s="790">
        <v>60</v>
      </c>
      <c r="O172" s="312">
        <v>293</v>
      </c>
      <c r="P172" s="467">
        <f>VLOOKUP(D:D,'Master Table'!C:O,13,FALSE)</f>
        <v>558.34</v>
      </c>
      <c r="Q172" s="657">
        <v>558.34</v>
      </c>
      <c r="R172" s="664">
        <v>709.12</v>
      </c>
      <c r="S172" s="650">
        <v>379</v>
      </c>
      <c r="T172" s="86" t="s">
        <v>7944</v>
      </c>
    </row>
    <row r="173" spans="1:20" ht="30" customHeight="1" x14ac:dyDescent="0.2">
      <c r="A173" s="291" t="str">
        <f t="shared" si="3"/>
        <v>WES191 / 1569</v>
      </c>
      <c r="B173" s="89" t="s">
        <v>6820</v>
      </c>
      <c r="C173" s="89" t="s">
        <v>6819</v>
      </c>
      <c r="D173" s="318" t="s">
        <v>6817</v>
      </c>
      <c r="E173" s="369" t="str">
        <f>VLOOKUP(D:D,'Master Table'!C:D,2,FALSE)</f>
        <v>1569</v>
      </c>
      <c r="F173" s="769" t="s">
        <v>6817</v>
      </c>
      <c r="G173" s="769" t="s">
        <v>6818</v>
      </c>
      <c r="H173" s="769" t="s">
        <v>6819</v>
      </c>
      <c r="I173" s="769" t="s">
        <v>6820</v>
      </c>
      <c r="J173" s="769" t="s">
        <v>7894</v>
      </c>
      <c r="K173" s="789" t="s">
        <v>324</v>
      </c>
      <c r="L173" s="790">
        <v>0</v>
      </c>
      <c r="M173" s="790">
        <v>280</v>
      </c>
      <c r="N173" s="790"/>
      <c r="O173" s="312">
        <v>280</v>
      </c>
      <c r="P173" s="467">
        <f>VLOOKUP(D:D,'Master Table'!C:O,13,FALSE)</f>
        <v>821.78</v>
      </c>
      <c r="Q173" s="657">
        <v>821.78</v>
      </c>
      <c r="R173" s="664">
        <v>594.74</v>
      </c>
      <c r="S173" s="650">
        <v>1371.6599999999999</v>
      </c>
      <c r="T173" s="86" t="s">
        <v>7894</v>
      </c>
    </row>
    <row r="174" spans="1:20" ht="30" customHeight="1" x14ac:dyDescent="0.2">
      <c r="A174" s="291" t="str">
        <f t="shared" si="3"/>
        <v>WES192 / 1570</v>
      </c>
      <c r="B174" s="89" t="s">
        <v>8076</v>
      </c>
      <c r="C174" s="89" t="s">
        <v>453</v>
      </c>
      <c r="D174" s="318" t="s">
        <v>6821</v>
      </c>
      <c r="E174" s="369" t="str">
        <f>VLOOKUP(D:D,'Master Table'!C:D,2,FALSE)</f>
        <v>1570</v>
      </c>
      <c r="F174" s="769" t="s">
        <v>6821</v>
      </c>
      <c r="G174" s="769" t="s">
        <v>6822</v>
      </c>
      <c r="H174" s="769" t="s">
        <v>56</v>
      </c>
      <c r="I174" s="769" t="s">
        <v>1832</v>
      </c>
      <c r="J174" s="769" t="s">
        <v>7921</v>
      </c>
      <c r="K174" s="789" t="s">
        <v>324</v>
      </c>
      <c r="L174" s="790">
        <v>0</v>
      </c>
      <c r="M174" s="790">
        <v>1190</v>
      </c>
      <c r="N174" s="790">
        <v>154.78</v>
      </c>
      <c r="O174" s="312">
        <v>1344.78</v>
      </c>
      <c r="P174" s="467">
        <f>VLOOKUP(D:D,'Master Table'!C:O,13,FALSE)</f>
        <v>1216.56</v>
      </c>
      <c r="Q174" s="657">
        <v>1216.56</v>
      </c>
      <c r="R174" s="664">
        <v>1264.25</v>
      </c>
      <c r="S174" s="650">
        <v>1225.75</v>
      </c>
      <c r="T174" s="86" t="s">
        <v>7921</v>
      </c>
    </row>
    <row r="175" spans="1:20" ht="30" customHeight="1" x14ac:dyDescent="0.2">
      <c r="A175" s="291" t="str">
        <f t="shared" si="3"/>
        <v>WES193 / 1571</v>
      </c>
      <c r="B175" s="89" t="s">
        <v>8077</v>
      </c>
      <c r="C175" s="89" t="s">
        <v>1284</v>
      </c>
      <c r="D175" s="318" t="s">
        <v>6823</v>
      </c>
      <c r="E175" s="369" t="str">
        <f>VLOOKUP(D:D,'Master Table'!C:D,2,FALSE)</f>
        <v>1571</v>
      </c>
      <c r="F175" s="769" t="s">
        <v>6823</v>
      </c>
      <c r="G175" s="769" t="s">
        <v>6824</v>
      </c>
      <c r="H175" s="769" t="s">
        <v>47</v>
      </c>
      <c r="I175" s="769" t="s">
        <v>6825</v>
      </c>
      <c r="J175" s="769" t="s">
        <v>7894</v>
      </c>
      <c r="K175" s="789" t="s">
        <v>324</v>
      </c>
      <c r="L175" s="790">
        <v>0</v>
      </c>
      <c r="M175" s="790">
        <v>1083</v>
      </c>
      <c r="N175" s="790"/>
      <c r="O175" s="312">
        <v>1083</v>
      </c>
      <c r="P175" s="467">
        <f>VLOOKUP(D:D,'Master Table'!C:O,13,FALSE)</f>
        <v>753.43000000000006</v>
      </c>
      <c r="Q175" s="657">
        <v>753.43000000000006</v>
      </c>
      <c r="R175" s="664">
        <v>1038</v>
      </c>
      <c r="S175" s="650">
        <v>553</v>
      </c>
      <c r="T175" s="86" t="s">
        <v>7894</v>
      </c>
    </row>
    <row r="176" spans="1:20" ht="30" customHeight="1" x14ac:dyDescent="0.2">
      <c r="A176" s="291" t="str">
        <f t="shared" si="3"/>
        <v>WES194 / 1572</v>
      </c>
      <c r="B176" s="89" t="s">
        <v>8078</v>
      </c>
      <c r="C176" s="89" t="s">
        <v>8079</v>
      </c>
      <c r="D176" s="318" t="s">
        <v>6826</v>
      </c>
      <c r="E176" s="369" t="str">
        <f>VLOOKUP(D:D,'Master Table'!C:D,2,FALSE)</f>
        <v>1572</v>
      </c>
      <c r="F176" s="769" t="s">
        <v>6826</v>
      </c>
      <c r="G176" s="769" t="s">
        <v>6827</v>
      </c>
      <c r="H176" s="769" t="s">
        <v>6828</v>
      </c>
      <c r="I176" s="769" t="s">
        <v>1832</v>
      </c>
      <c r="J176" s="769" t="s">
        <v>7917</v>
      </c>
      <c r="K176" s="789" t="s">
        <v>324</v>
      </c>
      <c r="L176" s="790">
        <v>26.63</v>
      </c>
      <c r="M176" s="790">
        <v>10</v>
      </c>
      <c r="N176" s="790"/>
      <c r="O176" s="312">
        <v>36.629999999999995</v>
      </c>
      <c r="P176" s="467">
        <f>VLOOKUP(D:D,'Master Table'!C:O,13,FALSE)</f>
        <v>0</v>
      </c>
      <c r="Q176" s="657">
        <v>0</v>
      </c>
      <c r="R176" s="664">
        <v>86.24</v>
      </c>
      <c r="S176" s="650">
        <v>391.65</v>
      </c>
      <c r="T176" s="86" t="s">
        <v>7917</v>
      </c>
    </row>
    <row r="177" spans="1:20" ht="30" customHeight="1" x14ac:dyDescent="0.2">
      <c r="A177" s="291" t="str">
        <f t="shared" si="3"/>
        <v>WES195 / 1573</v>
      </c>
      <c r="B177" s="89" t="s">
        <v>8080</v>
      </c>
      <c r="C177" s="89" t="s">
        <v>1770</v>
      </c>
      <c r="D177" s="318" t="s">
        <v>6829</v>
      </c>
      <c r="E177" s="369" t="str">
        <f>VLOOKUP(D:D,'Master Table'!C:D,2,FALSE)</f>
        <v>1573</v>
      </c>
      <c r="F177" s="769" t="s">
        <v>6829</v>
      </c>
      <c r="G177" s="769" t="s">
        <v>6830</v>
      </c>
      <c r="H177" s="769" t="s">
        <v>1770</v>
      </c>
      <c r="I177" s="769" t="s">
        <v>1832</v>
      </c>
      <c r="J177" s="769" t="s">
        <v>8030</v>
      </c>
      <c r="K177" s="789" t="s">
        <v>324</v>
      </c>
      <c r="L177" s="790">
        <v>0</v>
      </c>
      <c r="M177" s="790">
        <v>268.51</v>
      </c>
      <c r="N177" s="790">
        <v>717.53</v>
      </c>
      <c r="O177" s="312">
        <v>986.04</v>
      </c>
      <c r="P177" s="467">
        <f>VLOOKUP(D:D,'Master Table'!C:O,13,FALSE)</f>
        <v>1455.28</v>
      </c>
      <c r="Q177" s="657">
        <v>1455.28</v>
      </c>
      <c r="R177" s="664">
        <v>1643.06</v>
      </c>
      <c r="S177" s="650">
        <v>2641.31</v>
      </c>
      <c r="T177" s="86" t="s">
        <v>8030</v>
      </c>
    </row>
    <row r="178" spans="1:20" ht="30" customHeight="1" x14ac:dyDescent="0.2">
      <c r="A178" s="291" t="str">
        <f t="shared" si="3"/>
        <v>WES196 / 1574</v>
      </c>
      <c r="B178" s="89" t="s">
        <v>8081</v>
      </c>
      <c r="C178" s="89" t="s">
        <v>1047</v>
      </c>
      <c r="D178" s="318" t="s">
        <v>6831</v>
      </c>
      <c r="E178" s="369" t="str">
        <f>VLOOKUP(D:D,'Master Table'!C:D,2,FALSE)</f>
        <v>1574</v>
      </c>
      <c r="F178" s="769" t="s">
        <v>6831</v>
      </c>
      <c r="G178" s="769" t="s">
        <v>6832</v>
      </c>
      <c r="H178" s="769" t="s">
        <v>216</v>
      </c>
      <c r="I178" s="769" t="s">
        <v>1832</v>
      </c>
      <c r="J178" s="769" t="s">
        <v>7903</v>
      </c>
      <c r="K178" s="789" t="s">
        <v>324</v>
      </c>
      <c r="L178" s="790">
        <v>0</v>
      </c>
      <c r="M178" s="790"/>
      <c r="N178" s="790"/>
      <c r="O178" s="312">
        <v>0</v>
      </c>
      <c r="P178" s="467">
        <f>VLOOKUP(D:D,'Master Table'!C:O,13,FALSE)</f>
        <v>45</v>
      </c>
      <c r="Q178" s="657">
        <v>45</v>
      </c>
      <c r="R178" s="664">
        <v>0</v>
      </c>
      <c r="S178" s="650">
        <v>153.22999999999999</v>
      </c>
      <c r="T178" s="86" t="s">
        <v>7903</v>
      </c>
    </row>
    <row r="179" spans="1:20" ht="30" customHeight="1" x14ac:dyDescent="0.2">
      <c r="A179" s="291" t="str">
        <f t="shared" si="3"/>
        <v>WES197 / 1575</v>
      </c>
      <c r="B179" s="89" t="s">
        <v>6835</v>
      </c>
      <c r="C179" s="89" t="s">
        <v>7216</v>
      </c>
      <c r="D179" s="318" t="s">
        <v>6833</v>
      </c>
      <c r="E179" s="369" t="str">
        <f>VLOOKUP(D:D,'Master Table'!C:D,2,FALSE)</f>
        <v>1575</v>
      </c>
      <c r="F179" s="769" t="s">
        <v>6833</v>
      </c>
      <c r="G179" s="769" t="s">
        <v>6834</v>
      </c>
      <c r="H179" s="769" t="s">
        <v>11</v>
      </c>
      <c r="I179" s="769" t="s">
        <v>6835</v>
      </c>
      <c r="J179" s="769" t="s">
        <v>11302</v>
      </c>
      <c r="K179" s="789" t="s">
        <v>351</v>
      </c>
      <c r="L179" s="790">
        <v>215.44</v>
      </c>
      <c r="M179" s="790">
        <v>65</v>
      </c>
      <c r="N179" s="790"/>
      <c r="O179" s="312">
        <v>280.44</v>
      </c>
      <c r="P179" s="467">
        <f>VLOOKUP(D:D,'Master Table'!C:O,13,FALSE)</f>
        <v>581.29999999999995</v>
      </c>
      <c r="Q179" s="657">
        <v>581.29999999999995</v>
      </c>
      <c r="R179" s="664">
        <v>461.4</v>
      </c>
      <c r="S179" s="650">
        <v>529.63</v>
      </c>
      <c r="T179" s="86" t="s">
        <v>7901</v>
      </c>
    </row>
    <row r="180" spans="1:20" ht="30" customHeight="1" x14ac:dyDescent="0.2">
      <c r="A180" s="291" t="str">
        <f t="shared" si="3"/>
        <v>WES198 / 1576</v>
      </c>
      <c r="B180" s="89" t="s">
        <v>6754</v>
      </c>
      <c r="C180" s="89" t="s">
        <v>8063</v>
      </c>
      <c r="D180" s="318" t="s">
        <v>6836</v>
      </c>
      <c r="E180" s="369" t="str">
        <f>VLOOKUP(D:D,'Master Table'!C:D,2,FALSE)</f>
        <v>1576</v>
      </c>
      <c r="F180" s="769" t="s">
        <v>6836</v>
      </c>
      <c r="G180" s="769" t="s">
        <v>6837</v>
      </c>
      <c r="H180" s="769" t="s">
        <v>3142</v>
      </c>
      <c r="I180" s="769" t="s">
        <v>6754</v>
      </c>
      <c r="J180" s="769" t="s">
        <v>7894</v>
      </c>
      <c r="K180" s="789" t="s">
        <v>324</v>
      </c>
      <c r="L180" s="790">
        <v>9.59</v>
      </c>
      <c r="M180" s="790">
        <v>295</v>
      </c>
      <c r="N180" s="790"/>
      <c r="O180" s="312">
        <v>304.58999999999997</v>
      </c>
      <c r="P180" s="467">
        <f>VLOOKUP(D:D,'Master Table'!C:O,13,FALSE)</f>
        <v>657.54</v>
      </c>
      <c r="Q180" s="657">
        <v>657.54</v>
      </c>
      <c r="R180" s="664">
        <v>442.57</v>
      </c>
      <c r="S180" s="650">
        <v>639.4</v>
      </c>
      <c r="T180" s="86" t="s">
        <v>7894</v>
      </c>
    </row>
    <row r="181" spans="1:20" ht="30" customHeight="1" x14ac:dyDescent="0.2">
      <c r="A181" s="291" t="str">
        <f t="shared" si="3"/>
        <v>WES204 / 1587</v>
      </c>
      <c r="B181" s="89" t="s">
        <v>8085</v>
      </c>
      <c r="C181" s="89" t="s">
        <v>5074</v>
      </c>
      <c r="D181" s="318" t="s">
        <v>6840</v>
      </c>
      <c r="E181" s="369" t="str">
        <f>VLOOKUP(D:D,'Master Table'!C:D,2,FALSE)</f>
        <v>1587</v>
      </c>
      <c r="F181" s="769" t="s">
        <v>6840</v>
      </c>
      <c r="G181" s="769" t="s">
        <v>6841</v>
      </c>
      <c r="H181" s="769" t="s">
        <v>6842</v>
      </c>
      <c r="I181" s="769" t="s">
        <v>1832</v>
      </c>
      <c r="J181" s="769" t="s">
        <v>7917</v>
      </c>
      <c r="K181" s="789" t="s">
        <v>324</v>
      </c>
      <c r="L181" s="790">
        <v>0</v>
      </c>
      <c r="M181" s="790">
        <v>465</v>
      </c>
      <c r="N181" s="790"/>
      <c r="O181" s="312">
        <v>465</v>
      </c>
      <c r="P181" s="467">
        <f>VLOOKUP(D:D,'Master Table'!C:O,13,FALSE)</f>
        <v>380</v>
      </c>
      <c r="Q181" s="657">
        <v>380</v>
      </c>
      <c r="R181" s="664">
        <v>840.86</v>
      </c>
      <c r="S181" s="650">
        <v>3390</v>
      </c>
      <c r="T181" s="86" t="s">
        <v>7917</v>
      </c>
    </row>
    <row r="182" spans="1:20" ht="30" customHeight="1" x14ac:dyDescent="0.2">
      <c r="A182" s="291" t="str">
        <f t="shared" si="3"/>
        <v>WES205 / 1589</v>
      </c>
      <c r="B182" s="89" t="s">
        <v>6472</v>
      </c>
      <c r="C182" s="89" t="s">
        <v>6845</v>
      </c>
      <c r="D182" s="318" t="s">
        <v>6843</v>
      </c>
      <c r="E182" s="369" t="str">
        <f>VLOOKUP(D:D,'Master Table'!C:D,2,FALSE)</f>
        <v>1589</v>
      </c>
      <c r="F182" s="769" t="s">
        <v>6843</v>
      </c>
      <c r="G182" s="769" t="s">
        <v>6844</v>
      </c>
      <c r="H182" s="769" t="s">
        <v>6845</v>
      </c>
      <c r="I182" s="769" t="s">
        <v>6846</v>
      </c>
      <c r="J182" s="769" t="s">
        <v>7947</v>
      </c>
      <c r="K182" s="789" t="s">
        <v>324</v>
      </c>
      <c r="L182" s="790">
        <v>149.41</v>
      </c>
      <c r="M182" s="790">
        <v>445</v>
      </c>
      <c r="N182" s="790">
        <v>289.56</v>
      </c>
      <c r="O182" s="312">
        <v>883.97</v>
      </c>
      <c r="P182" s="467">
        <f>VLOOKUP(D:D,'Master Table'!C:O,13,FALSE)</f>
        <v>1167.9100000000001</v>
      </c>
      <c r="Q182" s="657">
        <v>1167.9100000000001</v>
      </c>
      <c r="R182" s="664">
        <v>949.24</v>
      </c>
      <c r="S182" s="650">
        <v>927.9</v>
      </c>
      <c r="T182" s="86" t="s">
        <v>7947</v>
      </c>
    </row>
    <row r="183" spans="1:20" ht="30" customHeight="1" x14ac:dyDescent="0.2">
      <c r="A183" s="291" t="str">
        <f t="shared" si="3"/>
        <v>WES206 / 1591</v>
      </c>
      <c r="B183" s="89" t="s">
        <v>6355</v>
      </c>
      <c r="C183" s="89" t="s">
        <v>3238</v>
      </c>
      <c r="D183" s="318" t="s">
        <v>6847</v>
      </c>
      <c r="E183" s="369" t="str">
        <f>VLOOKUP(D:D,'Master Table'!C:D,2,FALSE)</f>
        <v>1591</v>
      </c>
      <c r="F183" s="769" t="s">
        <v>6847</v>
      </c>
      <c r="G183" s="769" t="s">
        <v>6848</v>
      </c>
      <c r="H183" s="769" t="s">
        <v>6849</v>
      </c>
      <c r="I183" s="769" t="s">
        <v>6355</v>
      </c>
      <c r="J183" s="769" t="s">
        <v>7905</v>
      </c>
      <c r="K183" s="789" t="s">
        <v>324</v>
      </c>
      <c r="L183" s="790">
        <v>1079.53</v>
      </c>
      <c r="M183" s="790">
        <v>732</v>
      </c>
      <c r="N183" s="790">
        <v>17</v>
      </c>
      <c r="O183" s="312">
        <v>1828.53</v>
      </c>
      <c r="P183" s="467">
        <f>VLOOKUP(D:D,'Master Table'!C:O,13,FALSE)</f>
        <v>1287.78</v>
      </c>
      <c r="Q183" s="657">
        <v>1287.78</v>
      </c>
      <c r="R183" s="664">
        <v>1055.32</v>
      </c>
      <c r="S183" s="650">
        <v>2654.87</v>
      </c>
      <c r="T183" s="86" t="s">
        <v>7905</v>
      </c>
    </row>
    <row r="184" spans="1:20" ht="30" customHeight="1" x14ac:dyDescent="0.2">
      <c r="A184" s="291" t="str">
        <f t="shared" si="3"/>
        <v>WES207 / 1592</v>
      </c>
      <c r="B184" s="89" t="s">
        <v>8086</v>
      </c>
      <c r="C184" s="89" t="s">
        <v>158</v>
      </c>
      <c r="D184" s="318" t="s">
        <v>6851</v>
      </c>
      <c r="E184" s="369" t="str">
        <f>VLOOKUP(D:D,'Master Table'!C:D,2,FALSE)</f>
        <v>1592</v>
      </c>
      <c r="F184" s="769" t="s">
        <v>6851</v>
      </c>
      <c r="G184" s="769" t="s">
        <v>6852</v>
      </c>
      <c r="H184" s="769" t="s">
        <v>124</v>
      </c>
      <c r="I184" s="769" t="s">
        <v>1832</v>
      </c>
      <c r="J184" s="769" t="s">
        <v>7903</v>
      </c>
      <c r="K184" s="789" t="s">
        <v>324</v>
      </c>
      <c r="L184" s="790">
        <v>0</v>
      </c>
      <c r="M184" s="790"/>
      <c r="N184" s="790">
        <v>156.78</v>
      </c>
      <c r="O184" s="312">
        <v>156.78</v>
      </c>
      <c r="P184" s="467">
        <f>VLOOKUP(D:D,'Master Table'!C:O,13,FALSE)</f>
        <v>230</v>
      </c>
      <c r="Q184" s="657">
        <v>230</v>
      </c>
      <c r="R184" s="664">
        <v>201</v>
      </c>
      <c r="S184" s="650">
        <v>203</v>
      </c>
      <c r="T184" s="86" t="s">
        <v>7903</v>
      </c>
    </row>
    <row r="185" spans="1:20" ht="30" customHeight="1" x14ac:dyDescent="0.2">
      <c r="A185" s="291" t="str">
        <f t="shared" si="3"/>
        <v>WES208 / 1593</v>
      </c>
      <c r="B185" s="89" t="s">
        <v>6856</v>
      </c>
      <c r="C185" s="89" t="s">
        <v>8087</v>
      </c>
      <c r="D185" s="318" t="s">
        <v>6853</v>
      </c>
      <c r="E185" s="369" t="str">
        <f>VLOOKUP(D:D,'Master Table'!C:D,2,FALSE)</f>
        <v>1593</v>
      </c>
      <c r="F185" s="769" t="s">
        <v>6853</v>
      </c>
      <c r="G185" s="769" t="s">
        <v>6854</v>
      </c>
      <c r="H185" s="769" t="s">
        <v>6855</v>
      </c>
      <c r="I185" s="769" t="s">
        <v>6856</v>
      </c>
      <c r="J185" s="769" t="s">
        <v>7905</v>
      </c>
      <c r="K185" s="789" t="s">
        <v>324</v>
      </c>
      <c r="L185" s="790">
        <v>1003.15</v>
      </c>
      <c r="M185" s="790">
        <v>720</v>
      </c>
      <c r="N185" s="790"/>
      <c r="O185" s="312">
        <v>1723.15</v>
      </c>
      <c r="P185" s="467">
        <f>VLOOKUP(D:D,'Master Table'!C:O,13,FALSE)</f>
        <v>1867.57</v>
      </c>
      <c r="Q185" s="657">
        <v>1867.57</v>
      </c>
      <c r="R185" s="664">
        <v>2102.85</v>
      </c>
      <c r="S185" s="650">
        <v>2135.62</v>
      </c>
      <c r="T185" s="86" t="s">
        <v>7905</v>
      </c>
    </row>
    <row r="186" spans="1:20" ht="30" customHeight="1" x14ac:dyDescent="0.2">
      <c r="A186" s="291" t="str">
        <f t="shared" si="3"/>
        <v>WES209 / 1594</v>
      </c>
      <c r="B186" s="89" t="s">
        <v>8088</v>
      </c>
      <c r="C186" s="89" t="s">
        <v>7732</v>
      </c>
      <c r="D186" s="318" t="s">
        <v>6858</v>
      </c>
      <c r="E186" s="369" t="str">
        <f>VLOOKUP(D:D,'Master Table'!C:D,2,FALSE)</f>
        <v>1594</v>
      </c>
      <c r="F186" s="769" t="s">
        <v>6858</v>
      </c>
      <c r="G186" s="769" t="s">
        <v>6859</v>
      </c>
      <c r="H186" s="769" t="s">
        <v>6860</v>
      </c>
      <c r="I186" s="769" t="s">
        <v>1832</v>
      </c>
      <c r="J186" s="769" t="s">
        <v>7887</v>
      </c>
      <c r="K186" s="789" t="s">
        <v>324</v>
      </c>
      <c r="L186" s="790">
        <v>0</v>
      </c>
      <c r="M186" s="790">
        <v>20</v>
      </c>
      <c r="N186" s="790"/>
      <c r="O186" s="312">
        <v>20</v>
      </c>
      <c r="P186" s="467">
        <f>VLOOKUP(D:D,'Master Table'!C:O,13,FALSE)</f>
        <v>0</v>
      </c>
      <c r="Q186" s="657">
        <v>0</v>
      </c>
      <c r="R186" s="664">
        <v>30</v>
      </c>
      <c r="S186" s="650">
        <v>70</v>
      </c>
      <c r="T186" s="86" t="s">
        <v>7887</v>
      </c>
    </row>
    <row r="187" spans="1:20" ht="30" customHeight="1" x14ac:dyDescent="0.2">
      <c r="A187" s="291" t="str">
        <f t="shared" si="3"/>
        <v>WES210 / 1595</v>
      </c>
      <c r="B187" s="89" t="s">
        <v>6341</v>
      </c>
      <c r="C187" s="89" t="s">
        <v>7454</v>
      </c>
      <c r="D187" s="318" t="s">
        <v>6861</v>
      </c>
      <c r="E187" s="369" t="str">
        <f>VLOOKUP(D:D,'Master Table'!C:D,2,FALSE)</f>
        <v>1595</v>
      </c>
      <c r="F187" s="769" t="s">
        <v>6861</v>
      </c>
      <c r="G187" s="769" t="s">
        <v>6862</v>
      </c>
      <c r="H187" s="769" t="s">
        <v>4165</v>
      </c>
      <c r="I187" s="769" t="s">
        <v>6341</v>
      </c>
      <c r="J187" s="769" t="s">
        <v>7889</v>
      </c>
      <c r="K187" s="789" t="s">
        <v>324</v>
      </c>
      <c r="L187" s="790">
        <v>1113</v>
      </c>
      <c r="M187" s="790">
        <v>170</v>
      </c>
      <c r="N187" s="790"/>
      <c r="O187" s="312">
        <v>1283</v>
      </c>
      <c r="P187" s="467">
        <f>VLOOKUP(D:D,'Master Table'!C:O,13,FALSE)</f>
        <v>488.70000000000005</v>
      </c>
      <c r="Q187" s="657">
        <v>488.70000000000005</v>
      </c>
      <c r="R187" s="664">
        <v>1604.63</v>
      </c>
      <c r="S187" s="650">
        <v>529.9</v>
      </c>
      <c r="T187" s="86" t="s">
        <v>7889</v>
      </c>
    </row>
    <row r="188" spans="1:20" ht="30" customHeight="1" x14ac:dyDescent="0.2">
      <c r="A188" s="291" t="str">
        <f t="shared" si="3"/>
        <v>WES211 / 1596</v>
      </c>
      <c r="B188" s="89" t="s">
        <v>8089</v>
      </c>
      <c r="C188" s="89" t="s">
        <v>3187</v>
      </c>
      <c r="D188" s="318" t="s">
        <v>6864</v>
      </c>
      <c r="E188" s="369" t="str">
        <f>VLOOKUP(D:D,'Master Table'!C:D,2,FALSE)</f>
        <v>1596</v>
      </c>
      <c r="F188" s="769" t="s">
        <v>6864</v>
      </c>
      <c r="G188" s="769" t="s">
        <v>6865</v>
      </c>
      <c r="H188" s="769" t="s">
        <v>2286</v>
      </c>
      <c r="I188" s="769" t="s">
        <v>6341</v>
      </c>
      <c r="J188" s="769" t="s">
        <v>7889</v>
      </c>
      <c r="K188" s="789" t="s">
        <v>324</v>
      </c>
      <c r="L188" s="790">
        <v>0</v>
      </c>
      <c r="M188" s="790">
        <v>242.04000000000008</v>
      </c>
      <c r="N188" s="790">
        <v>329.03</v>
      </c>
      <c r="O188" s="312">
        <v>571.07000000000005</v>
      </c>
      <c r="P188" s="467">
        <f>VLOOKUP(D:D,'Master Table'!C:O,13,FALSE)</f>
        <v>861.82999999999947</v>
      </c>
      <c r="Q188" s="657">
        <v>861.82999999999947</v>
      </c>
      <c r="R188" s="664">
        <v>927.93</v>
      </c>
      <c r="S188" s="650">
        <v>1462.3300000000002</v>
      </c>
      <c r="T188" s="86" t="s">
        <v>7889</v>
      </c>
    </row>
    <row r="189" spans="1:20" ht="30" customHeight="1" x14ac:dyDescent="0.2">
      <c r="A189" s="291" t="str">
        <f t="shared" si="3"/>
        <v>WES212 / 1597</v>
      </c>
      <c r="B189" s="89" t="s">
        <v>8090</v>
      </c>
      <c r="C189" s="89" t="s">
        <v>532</v>
      </c>
      <c r="D189" s="318" t="s">
        <v>6866</v>
      </c>
      <c r="E189" s="369" t="str">
        <f>VLOOKUP(D:D,'Master Table'!C:D,2,FALSE)</f>
        <v>1597</v>
      </c>
      <c r="F189" s="769" t="s">
        <v>6866</v>
      </c>
      <c r="G189" s="769" t="s">
        <v>6867</v>
      </c>
      <c r="H189" s="769" t="s">
        <v>61</v>
      </c>
      <c r="I189" s="769" t="s">
        <v>6479</v>
      </c>
      <c r="J189" s="769" t="s">
        <v>7973</v>
      </c>
      <c r="K189" s="789" t="s">
        <v>324</v>
      </c>
      <c r="L189" s="790">
        <v>0</v>
      </c>
      <c r="M189" s="790">
        <v>464</v>
      </c>
      <c r="N189" s="790"/>
      <c r="O189" s="312">
        <v>464</v>
      </c>
      <c r="P189" s="467">
        <f>VLOOKUP(D:D,'Master Table'!C:O,13,FALSE)</f>
        <v>541.95000000000005</v>
      </c>
      <c r="Q189" s="657">
        <v>541.95000000000005</v>
      </c>
      <c r="R189" s="664">
        <v>648.71</v>
      </c>
      <c r="S189" s="650">
        <v>741.24</v>
      </c>
      <c r="T189" s="86" t="s">
        <v>7973</v>
      </c>
    </row>
    <row r="190" spans="1:20" ht="30" customHeight="1" x14ac:dyDescent="0.2">
      <c r="A190" s="291" t="str">
        <f t="shared" si="3"/>
        <v>WES213 / 1598</v>
      </c>
      <c r="B190" s="89" t="s">
        <v>6871</v>
      </c>
      <c r="C190" s="89" t="s">
        <v>8091</v>
      </c>
      <c r="D190" s="318" t="s">
        <v>6868</v>
      </c>
      <c r="E190" s="369" t="str">
        <f>VLOOKUP(D:D,'Master Table'!C:D,2,FALSE)</f>
        <v>1598</v>
      </c>
      <c r="F190" s="769" t="s">
        <v>6868</v>
      </c>
      <c r="G190" s="769" t="s">
        <v>6869</v>
      </c>
      <c r="H190" s="769" t="s">
        <v>6870</v>
      </c>
      <c r="I190" s="769" t="s">
        <v>6871</v>
      </c>
      <c r="J190" s="769" t="s">
        <v>7896</v>
      </c>
      <c r="K190" s="789" t="s">
        <v>324</v>
      </c>
      <c r="L190" s="790">
        <v>40</v>
      </c>
      <c r="M190" s="790">
        <v>523.70000000000005</v>
      </c>
      <c r="N190" s="790"/>
      <c r="O190" s="312">
        <v>563.70000000000005</v>
      </c>
      <c r="P190" s="467">
        <f>VLOOKUP(D:D,'Master Table'!C:O,13,FALSE)</f>
        <v>1428</v>
      </c>
      <c r="Q190" s="657">
        <v>1428</v>
      </c>
      <c r="R190" s="664">
        <v>1808.59</v>
      </c>
      <c r="S190" s="650">
        <v>1610.51</v>
      </c>
      <c r="T190" s="86" t="s">
        <v>7896</v>
      </c>
    </row>
    <row r="191" spans="1:20" ht="30" customHeight="1" x14ac:dyDescent="0.2">
      <c r="A191" s="291" t="str">
        <f t="shared" si="3"/>
        <v>WES214 / 1599</v>
      </c>
      <c r="B191" s="89" t="s">
        <v>8092</v>
      </c>
      <c r="C191" s="89" t="s">
        <v>8093</v>
      </c>
      <c r="D191" s="318" t="s">
        <v>6872</v>
      </c>
      <c r="E191" s="369" t="str">
        <f>VLOOKUP(D:D,'Master Table'!C:D,2,FALSE)</f>
        <v>1599</v>
      </c>
      <c r="F191" s="769" t="s">
        <v>6872</v>
      </c>
      <c r="G191" s="769" t="s">
        <v>6873</v>
      </c>
      <c r="H191" s="769" t="s">
        <v>6874</v>
      </c>
      <c r="I191" s="769" t="s">
        <v>6871</v>
      </c>
      <c r="J191" s="769" t="s">
        <v>7896</v>
      </c>
      <c r="K191" s="789" t="s">
        <v>324</v>
      </c>
      <c r="L191" s="790">
        <v>0</v>
      </c>
      <c r="M191" s="790">
        <v>2466</v>
      </c>
      <c r="N191" s="790"/>
      <c r="O191" s="312">
        <v>2466</v>
      </c>
      <c r="P191" s="467">
        <f>VLOOKUP(D:D,'Master Table'!C:O,13,FALSE)</f>
        <v>1610.08</v>
      </c>
      <c r="Q191" s="657">
        <v>1610.08</v>
      </c>
      <c r="R191" s="664">
        <v>2211.0500000000002</v>
      </c>
      <c r="S191" s="650">
        <v>1020.26</v>
      </c>
      <c r="T191" s="86" t="s">
        <v>7896</v>
      </c>
    </row>
    <row r="192" spans="1:20" ht="30" customHeight="1" x14ac:dyDescent="0.2">
      <c r="A192" s="291" t="str">
        <f t="shared" si="3"/>
        <v>WES215 / 1600</v>
      </c>
      <c r="B192" s="89" t="s">
        <v>6871</v>
      </c>
      <c r="C192" s="89" t="s">
        <v>1165</v>
      </c>
      <c r="D192" s="318" t="s">
        <v>6875</v>
      </c>
      <c r="E192" s="369" t="str">
        <f>VLOOKUP(D:D,'Master Table'!C:D,2,FALSE)</f>
        <v>1600</v>
      </c>
      <c r="F192" s="769" t="s">
        <v>6875</v>
      </c>
      <c r="G192" s="769" t="s">
        <v>6876</v>
      </c>
      <c r="H192" s="769" t="s">
        <v>6877</v>
      </c>
      <c r="I192" s="769" t="s">
        <v>6871</v>
      </c>
      <c r="J192" s="769" t="s">
        <v>7896</v>
      </c>
      <c r="K192" s="789" t="s">
        <v>324</v>
      </c>
      <c r="L192" s="790">
        <v>0</v>
      </c>
      <c r="M192" s="790">
        <v>265</v>
      </c>
      <c r="N192" s="790"/>
      <c r="O192" s="312">
        <v>265</v>
      </c>
      <c r="P192" s="467">
        <f>VLOOKUP(D:D,'Master Table'!C:O,13,FALSE)</f>
        <v>310.38</v>
      </c>
      <c r="Q192" s="657">
        <v>310.38</v>
      </c>
      <c r="R192" s="664">
        <v>770.1</v>
      </c>
      <c r="S192" s="650">
        <v>301</v>
      </c>
      <c r="T192" s="86" t="s">
        <v>7896</v>
      </c>
    </row>
    <row r="193" spans="1:22" ht="30" customHeight="1" x14ac:dyDescent="0.2">
      <c r="A193" s="291" t="str">
        <f t="shared" si="3"/>
        <v>WES216 / 1601</v>
      </c>
      <c r="B193" s="89" t="s">
        <v>6712</v>
      </c>
      <c r="C193" s="89" t="s">
        <v>532</v>
      </c>
      <c r="D193" s="318" t="s">
        <v>6878</v>
      </c>
      <c r="E193" s="369" t="str">
        <f>VLOOKUP(D:D,'Master Table'!C:D,2,FALSE)</f>
        <v>1601</v>
      </c>
      <c r="F193" s="769" t="s">
        <v>6878</v>
      </c>
      <c r="G193" s="769" t="s">
        <v>6879</v>
      </c>
      <c r="H193" s="769" t="s">
        <v>61</v>
      </c>
      <c r="I193" s="769" t="s">
        <v>6880</v>
      </c>
      <c r="J193" s="769" t="s">
        <v>7944</v>
      </c>
      <c r="K193" s="789" t="s">
        <v>324</v>
      </c>
      <c r="L193" s="790">
        <v>51.55</v>
      </c>
      <c r="M193" s="790">
        <v>1542</v>
      </c>
      <c r="N193" s="790"/>
      <c r="O193" s="312">
        <v>1593.55</v>
      </c>
      <c r="P193" s="467">
        <f>VLOOKUP(D:D,'Master Table'!C:O,13,FALSE)</f>
        <v>2244.5700000000002</v>
      </c>
      <c r="Q193" s="657">
        <v>2244.5700000000002</v>
      </c>
      <c r="R193" s="664">
        <v>699.75</v>
      </c>
      <c r="S193" s="650">
        <v>2000.06</v>
      </c>
      <c r="T193" s="86" t="s">
        <v>7944</v>
      </c>
    </row>
    <row r="194" spans="1:22" ht="30" customHeight="1" x14ac:dyDescent="0.2">
      <c r="A194" s="291" t="str">
        <f t="shared" ref="A194:A206" si="4">D194&amp;" / "&amp;E194</f>
        <v>WES217 / 1602</v>
      </c>
      <c r="B194" s="89" t="s">
        <v>6712</v>
      </c>
      <c r="C194" s="89" t="s">
        <v>1047</v>
      </c>
      <c r="D194" s="318" t="s">
        <v>6881</v>
      </c>
      <c r="E194" s="369" t="str">
        <f>VLOOKUP(D:D,'Master Table'!C:D,2,FALSE)</f>
        <v>1602</v>
      </c>
      <c r="F194" s="769" t="s">
        <v>6881</v>
      </c>
      <c r="G194" s="769" t="s">
        <v>6882</v>
      </c>
      <c r="H194" s="769" t="s">
        <v>83</v>
      </c>
      <c r="I194" s="769" t="s">
        <v>6712</v>
      </c>
      <c r="J194" s="769" t="s">
        <v>7944</v>
      </c>
      <c r="K194" s="789" t="s">
        <v>324</v>
      </c>
      <c r="L194" s="790">
        <v>0</v>
      </c>
      <c r="M194" s="790">
        <v>445</v>
      </c>
      <c r="N194" s="790"/>
      <c r="O194" s="312">
        <v>445</v>
      </c>
      <c r="P194" s="467">
        <f>VLOOKUP(D:D,'Master Table'!C:O,13,FALSE)</f>
        <v>1029</v>
      </c>
      <c r="Q194" s="657">
        <v>1029</v>
      </c>
      <c r="R194" s="664">
        <v>766</v>
      </c>
      <c r="S194" s="650">
        <v>1410.0900000000001</v>
      </c>
      <c r="T194" s="86" t="s">
        <v>7944</v>
      </c>
    </row>
    <row r="195" spans="1:22" ht="30" customHeight="1" x14ac:dyDescent="0.2">
      <c r="A195" s="291" t="str">
        <f t="shared" si="4"/>
        <v>WES218 / 1603</v>
      </c>
      <c r="B195" s="89" t="s">
        <v>8094</v>
      </c>
      <c r="C195" s="89" t="s">
        <v>7228</v>
      </c>
      <c r="D195" s="318" t="s">
        <v>6883</v>
      </c>
      <c r="E195" s="369" t="str">
        <f>VLOOKUP(D:D,'Master Table'!C:D,2,FALSE)</f>
        <v>1603</v>
      </c>
      <c r="F195" s="769" t="s">
        <v>6883</v>
      </c>
      <c r="G195" s="769" t="s">
        <v>6884</v>
      </c>
      <c r="H195" s="769" t="s">
        <v>6885</v>
      </c>
      <c r="I195" s="769" t="s">
        <v>6886</v>
      </c>
      <c r="J195" s="769" t="s">
        <v>7947</v>
      </c>
      <c r="K195" s="789" t="s">
        <v>324</v>
      </c>
      <c r="L195" s="790">
        <v>0</v>
      </c>
      <c r="M195" s="790">
        <v>411</v>
      </c>
      <c r="N195" s="790"/>
      <c r="O195" s="312">
        <v>411</v>
      </c>
      <c r="P195" s="467">
        <f>VLOOKUP(D:D,'Master Table'!C:O,13,FALSE)</f>
        <v>582.34</v>
      </c>
      <c r="Q195" s="657">
        <v>582.34</v>
      </c>
      <c r="R195" s="664">
        <v>601.70000000000005</v>
      </c>
      <c r="S195" s="650">
        <v>589.12</v>
      </c>
      <c r="T195" s="86" t="s">
        <v>7947</v>
      </c>
    </row>
    <row r="196" spans="1:22" ht="30" customHeight="1" x14ac:dyDescent="0.2">
      <c r="A196" s="291" t="str">
        <f t="shared" si="4"/>
        <v>WES219 / 1604</v>
      </c>
      <c r="B196" s="89" t="s">
        <v>8095</v>
      </c>
      <c r="C196" s="89" t="s">
        <v>270</v>
      </c>
      <c r="D196" s="318" t="s">
        <v>6887</v>
      </c>
      <c r="E196" s="369" t="str">
        <f>VLOOKUP(D:D,'Master Table'!C:D,2,FALSE)</f>
        <v>1604</v>
      </c>
      <c r="F196" s="769" t="s">
        <v>6887</v>
      </c>
      <c r="G196" s="769" t="s">
        <v>6888</v>
      </c>
      <c r="H196" s="769" t="s">
        <v>1180</v>
      </c>
      <c r="I196" s="769" t="s">
        <v>1832</v>
      </c>
      <c r="J196" s="769" t="s">
        <v>8030</v>
      </c>
      <c r="K196" s="789" t="s">
        <v>324</v>
      </c>
      <c r="L196" s="790">
        <v>0</v>
      </c>
      <c r="M196" s="790">
        <v>610</v>
      </c>
      <c r="N196" s="790">
        <v>5.69</v>
      </c>
      <c r="O196" s="312">
        <v>615.69000000000005</v>
      </c>
      <c r="P196" s="467">
        <f>VLOOKUP(D:D,'Master Table'!C:O,13,FALSE)</f>
        <v>410.87</v>
      </c>
      <c r="Q196" s="657">
        <v>410.87</v>
      </c>
      <c r="R196" s="664">
        <v>761.85</v>
      </c>
      <c r="S196" s="650">
        <v>635</v>
      </c>
      <c r="T196" s="86" t="s">
        <v>8030</v>
      </c>
    </row>
    <row r="197" spans="1:22" ht="30" customHeight="1" x14ac:dyDescent="0.2">
      <c r="A197" s="291" t="str">
        <f t="shared" si="4"/>
        <v>WES220 / 1605</v>
      </c>
      <c r="B197" s="89" t="s">
        <v>8096</v>
      </c>
      <c r="C197" s="89" t="s">
        <v>453</v>
      </c>
      <c r="D197" s="318" t="s">
        <v>6889</v>
      </c>
      <c r="E197" s="369" t="str">
        <f>VLOOKUP(D:D,'Master Table'!C:D,2,FALSE)</f>
        <v>1605</v>
      </c>
      <c r="F197" s="769" t="s">
        <v>6889</v>
      </c>
      <c r="G197" s="769" t="s">
        <v>6890</v>
      </c>
      <c r="H197" s="769" t="s">
        <v>453</v>
      </c>
      <c r="I197" s="769" t="s">
        <v>6891</v>
      </c>
      <c r="J197" s="769" t="s">
        <v>11302</v>
      </c>
      <c r="K197" s="789" t="s">
        <v>324</v>
      </c>
      <c r="L197" s="790">
        <v>0</v>
      </c>
      <c r="M197" s="790">
        <v>315</v>
      </c>
      <c r="N197" s="790"/>
      <c r="O197" s="312">
        <v>315</v>
      </c>
      <c r="P197" s="467">
        <f>VLOOKUP(D:D,'Master Table'!C:O,13,FALSE)</f>
        <v>340</v>
      </c>
      <c r="Q197" s="657">
        <v>340</v>
      </c>
      <c r="R197" s="664">
        <v>290</v>
      </c>
      <c r="S197" s="650">
        <v>550</v>
      </c>
      <c r="T197" s="86" t="s">
        <v>7901</v>
      </c>
    </row>
    <row r="198" spans="1:22" ht="30" customHeight="1" x14ac:dyDescent="0.2">
      <c r="A198" s="291" t="str">
        <f t="shared" si="4"/>
        <v>WES221 / 1606</v>
      </c>
      <c r="B198" s="89" t="s">
        <v>8097</v>
      </c>
      <c r="C198" s="89" t="s">
        <v>5610</v>
      </c>
      <c r="D198" s="318" t="s">
        <v>6892</v>
      </c>
      <c r="E198" s="369" t="str">
        <f>VLOOKUP(D:D,'Master Table'!C:D,2,FALSE)</f>
        <v>1606</v>
      </c>
      <c r="F198" s="769" t="s">
        <v>6892</v>
      </c>
      <c r="G198" s="769" t="s">
        <v>6893</v>
      </c>
      <c r="H198" s="769" t="s">
        <v>393</v>
      </c>
      <c r="I198" s="769" t="s">
        <v>1832</v>
      </c>
      <c r="J198" s="769" t="s">
        <v>7897</v>
      </c>
      <c r="K198" s="789" t="s">
        <v>324</v>
      </c>
      <c r="L198" s="790">
        <v>445.5</v>
      </c>
      <c r="M198" s="790">
        <v>535</v>
      </c>
      <c r="N198" s="790"/>
      <c r="O198" s="312">
        <v>980.5</v>
      </c>
      <c r="P198" s="467">
        <f>VLOOKUP(D:D,'Master Table'!C:O,13,FALSE)</f>
        <v>235</v>
      </c>
      <c r="Q198" s="657">
        <v>235</v>
      </c>
      <c r="R198" s="664">
        <v>824.17</v>
      </c>
      <c r="S198" s="650">
        <v>1264.28</v>
      </c>
      <c r="T198" s="86" t="s">
        <v>7897</v>
      </c>
    </row>
    <row r="199" spans="1:22" ht="30" customHeight="1" x14ac:dyDescent="0.2">
      <c r="A199" s="291" t="str">
        <f t="shared" si="4"/>
        <v>WES222 / 1607</v>
      </c>
      <c r="B199" s="89" t="s">
        <v>8098</v>
      </c>
      <c r="C199" s="89" t="s">
        <v>740</v>
      </c>
      <c r="D199" s="318" t="s">
        <v>6894</v>
      </c>
      <c r="E199" s="369" t="str">
        <f>VLOOKUP(D:D,'Master Table'!C:D,2,FALSE)</f>
        <v>1607</v>
      </c>
      <c r="F199" s="769" t="s">
        <v>6894</v>
      </c>
      <c r="G199" s="769" t="s">
        <v>6895</v>
      </c>
      <c r="H199" s="769" t="s">
        <v>740</v>
      </c>
      <c r="I199" s="769" t="s">
        <v>1832</v>
      </c>
      <c r="J199" s="769" t="s">
        <v>11304</v>
      </c>
      <c r="K199" s="789" t="s">
        <v>324</v>
      </c>
      <c r="L199" s="790">
        <v>0</v>
      </c>
      <c r="M199" s="790">
        <v>495</v>
      </c>
      <c r="N199" s="790"/>
      <c r="O199" s="312">
        <v>495</v>
      </c>
      <c r="P199" s="467">
        <f>VLOOKUP(D:D,'Master Table'!C:O,13,FALSE)</f>
        <v>421.97</v>
      </c>
      <c r="Q199" s="657">
        <v>421.97</v>
      </c>
      <c r="R199" s="664">
        <v>2712.19</v>
      </c>
      <c r="S199" s="650">
        <v>662</v>
      </c>
      <c r="T199" s="86" t="s">
        <v>7914</v>
      </c>
    </row>
    <row r="200" spans="1:22" ht="30" customHeight="1" x14ac:dyDescent="0.2">
      <c r="A200" s="291" t="str">
        <f t="shared" si="4"/>
        <v>WES223 / 1608</v>
      </c>
      <c r="B200" s="89" t="s">
        <v>8099</v>
      </c>
      <c r="C200" s="89" t="s">
        <v>5552</v>
      </c>
      <c r="D200" s="318" t="s">
        <v>6896</v>
      </c>
      <c r="E200" s="369" t="str">
        <f>VLOOKUP(D:D,'Master Table'!C:D,2,FALSE)</f>
        <v>1608</v>
      </c>
      <c r="F200" s="769" t="s">
        <v>6896</v>
      </c>
      <c r="G200" s="769" t="s">
        <v>6897</v>
      </c>
      <c r="H200" s="769" t="s">
        <v>5552</v>
      </c>
      <c r="I200" s="769" t="s">
        <v>6754</v>
      </c>
      <c r="J200" s="769" t="s">
        <v>7894</v>
      </c>
      <c r="K200" s="789" t="s">
        <v>324</v>
      </c>
      <c r="L200" s="790">
        <v>233.5</v>
      </c>
      <c r="M200" s="790">
        <v>448.6</v>
      </c>
      <c r="N200" s="790"/>
      <c r="O200" s="312">
        <v>682.1</v>
      </c>
      <c r="P200" s="467">
        <f>VLOOKUP(D:D,'Master Table'!C:O,13,FALSE)</f>
        <v>1058.6399999999999</v>
      </c>
      <c r="Q200" s="657">
        <v>1058.6399999999999</v>
      </c>
      <c r="R200" s="664">
        <v>1391.6200000000001</v>
      </c>
      <c r="S200" s="650">
        <v>1252.1600000000001</v>
      </c>
      <c r="T200" s="86" t="s">
        <v>7894</v>
      </c>
    </row>
    <row r="201" spans="1:22" ht="30" customHeight="1" x14ac:dyDescent="0.2">
      <c r="A201" s="291" t="str">
        <f t="shared" si="4"/>
        <v>WES224 / 1609</v>
      </c>
      <c r="B201" s="89" t="s">
        <v>8100</v>
      </c>
      <c r="C201" s="89" t="s">
        <v>6900</v>
      </c>
      <c r="D201" s="318" t="s">
        <v>6898</v>
      </c>
      <c r="E201" s="369" t="str">
        <f>VLOOKUP(D:D,'Master Table'!C:D,2,FALSE)</f>
        <v>1609</v>
      </c>
      <c r="F201" s="769" t="s">
        <v>6898</v>
      </c>
      <c r="G201" s="769" t="s">
        <v>6899</v>
      </c>
      <c r="H201" s="769" t="s">
        <v>6900</v>
      </c>
      <c r="I201" s="769" t="s">
        <v>1832</v>
      </c>
      <c r="J201" s="769" t="s">
        <v>7944</v>
      </c>
      <c r="K201" s="789" t="s">
        <v>324</v>
      </c>
      <c r="L201" s="790">
        <v>0</v>
      </c>
      <c r="M201" s="790">
        <v>215</v>
      </c>
      <c r="N201" s="790"/>
      <c r="O201" s="312">
        <v>215</v>
      </c>
      <c r="P201" s="467">
        <f>VLOOKUP(D:D,'Master Table'!C:O,13,FALSE)</f>
        <v>230</v>
      </c>
      <c r="Q201" s="657">
        <v>230</v>
      </c>
      <c r="R201" s="664">
        <v>170</v>
      </c>
      <c r="S201" s="650">
        <v>205</v>
      </c>
      <c r="T201" s="86" t="s">
        <v>7944</v>
      </c>
      <c r="V201" s="98"/>
    </row>
    <row r="202" spans="1:22" ht="30" customHeight="1" x14ac:dyDescent="0.2">
      <c r="A202" s="291" t="str">
        <f t="shared" si="4"/>
        <v>WES225 / 1610</v>
      </c>
      <c r="B202" s="89" t="s">
        <v>8101</v>
      </c>
      <c r="C202" s="89" t="s">
        <v>8102</v>
      </c>
      <c r="D202" s="318" t="s">
        <v>6901</v>
      </c>
      <c r="E202" s="369" t="str">
        <f>VLOOKUP(D:D,'Master Table'!C:D,2,FALSE)</f>
        <v>1610</v>
      </c>
      <c r="F202" s="769" t="s">
        <v>6901</v>
      </c>
      <c r="G202" s="769" t="s">
        <v>6902</v>
      </c>
      <c r="H202" s="769" t="s">
        <v>6903</v>
      </c>
      <c r="I202" s="769" t="s">
        <v>1832</v>
      </c>
      <c r="J202" s="769" t="s">
        <v>7944</v>
      </c>
      <c r="K202" s="789" t="s">
        <v>324</v>
      </c>
      <c r="L202" s="790">
        <v>0</v>
      </c>
      <c r="M202" s="790">
        <v>497</v>
      </c>
      <c r="N202" s="790"/>
      <c r="O202" s="312">
        <v>497</v>
      </c>
      <c r="P202" s="467">
        <f>VLOOKUP(D:D,'Master Table'!C:O,13,FALSE)</f>
        <v>1931.99</v>
      </c>
      <c r="Q202" s="657">
        <v>1931.99</v>
      </c>
      <c r="R202" s="664">
        <v>1506.94</v>
      </c>
      <c r="S202" s="650">
        <v>2690.95</v>
      </c>
      <c r="T202" s="86" t="s">
        <v>7944</v>
      </c>
    </row>
    <row r="203" spans="1:22" ht="30" customHeight="1" x14ac:dyDescent="0.2">
      <c r="A203" s="291" t="str">
        <f t="shared" si="4"/>
        <v>WES226 / 1611</v>
      </c>
      <c r="B203" s="89" t="s">
        <v>8103</v>
      </c>
      <c r="C203" s="89" t="s">
        <v>4670</v>
      </c>
      <c r="D203" s="318" t="s">
        <v>6904</v>
      </c>
      <c r="E203" s="369" t="str">
        <f>VLOOKUP(D:D,'Master Table'!C:D,2,FALSE)</f>
        <v>1611</v>
      </c>
      <c r="F203" s="769" t="s">
        <v>6904</v>
      </c>
      <c r="G203" s="769" t="s">
        <v>6905</v>
      </c>
      <c r="H203" s="769" t="s">
        <v>4670</v>
      </c>
      <c r="I203" s="769" t="s">
        <v>1832</v>
      </c>
      <c r="J203" s="769" t="s">
        <v>8030</v>
      </c>
      <c r="K203" s="789" t="s">
        <v>324</v>
      </c>
      <c r="L203" s="790">
        <v>0</v>
      </c>
      <c r="M203" s="790">
        <v>1223</v>
      </c>
      <c r="N203" s="790">
        <v>45.66</v>
      </c>
      <c r="O203" s="312">
        <v>1268.6600000000001</v>
      </c>
      <c r="P203" s="467">
        <f>VLOOKUP(D:D,'Master Table'!C:O,13,FALSE)</f>
        <v>1639.84</v>
      </c>
      <c r="Q203" s="657">
        <v>1639.84</v>
      </c>
      <c r="R203" s="664">
        <v>2210.85</v>
      </c>
      <c r="S203" s="650">
        <v>1848.8600000000001</v>
      </c>
      <c r="T203" s="86" t="s">
        <v>8030</v>
      </c>
    </row>
    <row r="204" spans="1:22" ht="30" customHeight="1" x14ac:dyDescent="0.2">
      <c r="A204" s="291" t="str">
        <f t="shared" si="4"/>
        <v>WES227 / 1613</v>
      </c>
      <c r="B204" s="89" t="s">
        <v>6909</v>
      </c>
      <c r="C204" s="89" t="s">
        <v>7874</v>
      </c>
      <c r="D204" s="318" t="s">
        <v>6906</v>
      </c>
      <c r="E204" s="369" t="str">
        <f>VLOOKUP(D:D,'Master Table'!C:D,2,FALSE)</f>
        <v>1613</v>
      </c>
      <c r="F204" s="769" t="s">
        <v>6906</v>
      </c>
      <c r="G204" s="769" t="s">
        <v>6907</v>
      </c>
      <c r="H204" s="769" t="s">
        <v>6908</v>
      </c>
      <c r="I204" s="769" t="s">
        <v>6909</v>
      </c>
      <c r="J204" s="769" t="s">
        <v>7947</v>
      </c>
      <c r="K204" s="789" t="s">
        <v>324</v>
      </c>
      <c r="L204" s="790">
        <v>0</v>
      </c>
      <c r="M204" s="790">
        <v>300</v>
      </c>
      <c r="N204" s="790">
        <v>100</v>
      </c>
      <c r="O204" s="312">
        <v>400</v>
      </c>
      <c r="P204" s="467">
        <f>VLOOKUP(D:D,'Master Table'!C:O,13,FALSE)</f>
        <v>365</v>
      </c>
      <c r="Q204" s="657">
        <v>365</v>
      </c>
      <c r="R204" s="664">
        <v>330</v>
      </c>
      <c r="S204" s="650">
        <v>310</v>
      </c>
      <c r="T204" s="86" t="s">
        <v>7947</v>
      </c>
    </row>
    <row r="205" spans="1:22" ht="30" customHeight="1" x14ac:dyDescent="0.2">
      <c r="A205" s="291" t="str">
        <f t="shared" si="4"/>
        <v>WES229 / 202027</v>
      </c>
      <c r="B205" s="89" t="s">
        <v>8044</v>
      </c>
      <c r="C205" s="89" t="s">
        <v>5806</v>
      </c>
      <c r="D205" s="318" t="s">
        <v>6910</v>
      </c>
      <c r="E205" s="369" t="str">
        <f>VLOOKUP(D:D,'Master Table'!C:D,2,FALSE)</f>
        <v>202027</v>
      </c>
      <c r="F205" s="769" t="s">
        <v>6910</v>
      </c>
      <c r="G205" s="769" t="s">
        <v>6911</v>
      </c>
      <c r="H205" s="769" t="s">
        <v>6912</v>
      </c>
      <c r="I205" s="769" t="s">
        <v>1832</v>
      </c>
      <c r="J205" s="750"/>
      <c r="K205" s="789" t="s">
        <v>324</v>
      </c>
      <c r="L205" s="790">
        <v>0</v>
      </c>
      <c r="M205" s="790"/>
      <c r="N205" s="790"/>
      <c r="O205" s="312">
        <v>0</v>
      </c>
      <c r="P205" s="467">
        <f>VLOOKUP(D:D,'Master Table'!C:O,13,FALSE)</f>
        <v>0</v>
      </c>
      <c r="Q205" s="657">
        <v>0</v>
      </c>
      <c r="R205" s="664">
        <v>0</v>
      </c>
      <c r="S205" s="650">
        <v>0</v>
      </c>
      <c r="T205" s="86" t="s">
        <v>7887</v>
      </c>
    </row>
    <row r="206" spans="1:22" ht="30" customHeight="1" x14ac:dyDescent="0.2">
      <c r="A206" s="291" t="str">
        <f t="shared" si="4"/>
        <v>WES999 / 1616</v>
      </c>
      <c r="B206" s="89" t="s">
        <v>7261</v>
      </c>
      <c r="C206" s="89" t="s">
        <v>7261</v>
      </c>
      <c r="D206" s="318" t="s">
        <v>6913</v>
      </c>
      <c r="E206" s="369" t="str">
        <f>VLOOKUP(D:D,'Master Table'!C:D,2,FALSE)</f>
        <v>1616</v>
      </c>
      <c r="F206" s="769" t="s">
        <v>6913</v>
      </c>
      <c r="G206" s="769" t="s">
        <v>6914</v>
      </c>
      <c r="H206" s="769" t="s">
        <v>6915</v>
      </c>
      <c r="I206" s="750"/>
      <c r="J206" s="750"/>
      <c r="K206" s="789" t="s">
        <v>324</v>
      </c>
      <c r="L206" s="790">
        <v>0</v>
      </c>
      <c r="M206" s="790">
        <v>20970.5</v>
      </c>
      <c r="N206" s="790">
        <v>296.58999999999997</v>
      </c>
      <c r="O206" s="312">
        <v>21267.09</v>
      </c>
      <c r="P206" s="467">
        <f>VLOOKUP(D:D,'Master Table'!C:O,13,FALSE)</f>
        <v>605.15</v>
      </c>
      <c r="Q206" s="657">
        <v>605.15</v>
      </c>
      <c r="R206" s="664">
        <v>4444.62</v>
      </c>
      <c r="S206" s="650">
        <v>11402.130000000001</v>
      </c>
    </row>
    <row r="207" spans="1:22" ht="13.5" thickBot="1" x14ac:dyDescent="0.25">
      <c r="P207" s="19"/>
      <c r="Q207" s="19"/>
      <c r="R207" s="643"/>
      <c r="S207" s="643"/>
    </row>
    <row r="208" spans="1:22" ht="15" hidden="1" x14ac:dyDescent="0.2">
      <c r="C208" s="542" t="s">
        <v>8368</v>
      </c>
      <c r="E208" s="542" t="s">
        <v>8368</v>
      </c>
      <c r="P208" s="19"/>
      <c r="Q208" s="369">
        <v>2019</v>
      </c>
      <c r="R208" s="369">
        <v>2018</v>
      </c>
      <c r="S208" s="643">
        <v>2017</v>
      </c>
    </row>
    <row r="209" spans="1:19" hidden="1" x14ac:dyDescent="0.2">
      <c r="P209" s="19"/>
      <c r="Q209" s="19">
        <v>175052.33</v>
      </c>
      <c r="R209" s="665">
        <v>199283.73000000004</v>
      </c>
      <c r="S209" s="643">
        <v>242722</v>
      </c>
    </row>
    <row r="210" spans="1:19" s="74" customFormat="1" ht="83.25" customHeight="1" thickBot="1" x14ac:dyDescent="0.25">
      <c r="A210" s="854" t="s">
        <v>10987</v>
      </c>
      <c r="B210" s="855"/>
      <c r="C210" s="855"/>
      <c r="D210" s="855"/>
      <c r="E210" s="855"/>
      <c r="F210" s="855"/>
      <c r="G210" s="855"/>
      <c r="H210" s="855"/>
      <c r="I210" s="855"/>
      <c r="J210" s="855"/>
      <c r="K210" s="855"/>
      <c r="L210" s="855"/>
      <c r="M210" s="855"/>
      <c r="N210" s="855"/>
      <c r="O210" s="855"/>
    </row>
    <row r="211" spans="1:19" s="74" customFormat="1" ht="15" x14ac:dyDescent="0.2">
      <c r="A211" s="718"/>
      <c r="B211" s="718"/>
      <c r="C211" s="718"/>
      <c r="O211" s="283"/>
    </row>
    <row r="212" spans="1:19" s="74" customFormat="1" ht="30" x14ac:dyDescent="0.2">
      <c r="A212" s="763" t="s">
        <v>7422</v>
      </c>
      <c r="B212" s="764" t="s">
        <v>11007</v>
      </c>
      <c r="C212" s="715"/>
      <c r="O212" s="283"/>
    </row>
    <row r="213" spans="1:19" s="74" customFormat="1" ht="60" x14ac:dyDescent="0.2">
      <c r="A213" s="763" t="s">
        <v>10990</v>
      </c>
      <c r="B213" s="764" t="s">
        <v>11008</v>
      </c>
      <c r="C213" s="715"/>
      <c r="O213" s="283"/>
    </row>
    <row r="214" spans="1:19" s="74" customFormat="1" ht="60" x14ac:dyDescent="0.2">
      <c r="A214" s="763" t="s">
        <v>10991</v>
      </c>
      <c r="B214" s="764" t="s">
        <v>11009</v>
      </c>
      <c r="C214" s="715"/>
      <c r="O214" s="283"/>
    </row>
    <row r="215" spans="1:19" ht="21" customHeight="1" x14ac:dyDescent="0.2">
      <c r="D215" s="86"/>
      <c r="E215" s="86"/>
      <c r="R215" s="643"/>
      <c r="S215" s="643"/>
    </row>
    <row r="216" spans="1:19" x14ac:dyDescent="0.2">
      <c r="D216" s="86"/>
      <c r="E216" s="86"/>
      <c r="R216" s="643"/>
      <c r="S216" s="643"/>
    </row>
    <row r="217" spans="1:19" x14ac:dyDescent="0.2">
      <c r="D217" s="86"/>
      <c r="E217" s="86"/>
      <c r="R217" s="643"/>
      <c r="S217" s="643"/>
    </row>
    <row r="218" spans="1:19" s="354" customFormat="1" ht="30" customHeight="1" x14ac:dyDescent="0.2">
      <c r="F218" s="19"/>
      <c r="G218" s="19"/>
      <c r="H218" s="665"/>
      <c r="I218" s="643"/>
      <c r="J218" s="86"/>
      <c r="K218" s="86"/>
      <c r="L218" s="86"/>
      <c r="M218" s="86"/>
      <c r="N218" s="86"/>
      <c r="R218" s="648"/>
      <c r="S218" s="648"/>
    </row>
    <row r="219" spans="1:19" x14ac:dyDescent="0.2">
      <c r="D219" s="86"/>
      <c r="E219" s="86"/>
      <c r="R219" s="643"/>
      <c r="S219" s="643"/>
    </row>
    <row r="220" spans="1:19" x14ac:dyDescent="0.2">
      <c r="D220" s="86"/>
      <c r="E220" s="86"/>
      <c r="R220" s="643"/>
      <c r="S220" s="643"/>
    </row>
    <row r="221" spans="1:19" x14ac:dyDescent="0.2">
      <c r="D221" s="86"/>
      <c r="E221" s="86"/>
    </row>
  </sheetData>
  <mergeCells count="1">
    <mergeCell ref="A210:O210"/>
  </mergeCells>
  <conditionalFormatting sqref="E3:E114 E116:E206 F4:K190">
    <cfRule type="cellIs" dxfId="1" priority="2" stopIfTrue="1" operator="equal">
      <formula>0</formula>
    </cfRule>
  </conditionalFormatting>
  <conditionalFormatting sqref="E115">
    <cfRule type="cellIs" dxfId="0" priority="1" stopIfTrue="1" operator="equal">
      <formula>0</formula>
    </cfRule>
  </conditionalFormatting>
  <pageMargins left="0.23622047244094491" right="0.23622047244094491" top="0.39370078740157483" bottom="0.39370078740157483" header="0.31496062992125984" footer="0.31496062992125984"/>
  <pageSetup paperSize="9" scale="75" fitToHeight="0" orientation="portrait" r:id="rId1"/>
  <headerFooter>
    <oddFooter>&amp;RPage &amp;P / &amp;N</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J1696"/>
  <sheetViews>
    <sheetView workbookViewId="0">
      <pane ySplit="3" topLeftCell="A103" activePane="bottomLeft" state="frozen"/>
      <selection pane="bottomLeft" activeCell="C119" sqref="C119"/>
    </sheetView>
  </sheetViews>
  <sheetFormatPr defaultRowHeight="14.25" x14ac:dyDescent="0.2"/>
  <cols>
    <col min="1" max="1" width="17" style="57" customWidth="1"/>
    <col min="2" max="2" width="38.85546875" style="57" customWidth="1"/>
    <col min="3" max="3" width="59.140625" style="57" bestFit="1" customWidth="1"/>
    <col min="4" max="4" width="16.5703125" style="275" bestFit="1" customWidth="1"/>
    <col min="5" max="5" width="20.7109375" style="275" customWidth="1"/>
    <col min="6" max="7" width="15.5703125" style="58" bestFit="1" customWidth="1"/>
    <col min="8" max="8" width="15.28515625" style="57" customWidth="1"/>
    <col min="9" max="9" width="15.5703125" bestFit="1" customWidth="1"/>
  </cols>
  <sheetData>
    <row r="1" spans="1:9" s="62" customFormat="1" x14ac:dyDescent="0.2">
      <c r="A1" s="60" t="s">
        <v>7262</v>
      </c>
      <c r="B1" s="60"/>
      <c r="C1" s="60"/>
      <c r="D1" s="275"/>
      <c r="E1" s="275"/>
      <c r="F1" s="61"/>
      <c r="G1" s="61"/>
      <c r="H1" s="60"/>
    </row>
    <row r="2" spans="1:9" ht="20.25" customHeight="1" x14ac:dyDescent="0.2">
      <c r="A2" s="59" t="s">
        <v>7175</v>
      </c>
      <c r="B2" s="59"/>
      <c r="C2" s="59"/>
      <c r="D2" s="276"/>
      <c r="E2" s="276"/>
      <c r="F2" s="59"/>
      <c r="G2" s="59"/>
      <c r="H2" s="37"/>
    </row>
    <row r="3" spans="1:9" ht="15.75" x14ac:dyDescent="0.2">
      <c r="A3" s="2" t="s">
        <v>1</v>
      </c>
      <c r="B3" s="2" t="s">
        <v>2</v>
      </c>
      <c r="C3" s="2" t="s">
        <v>3</v>
      </c>
      <c r="D3" s="277" t="s">
        <v>8165</v>
      </c>
      <c r="E3" s="321">
        <v>2019</v>
      </c>
      <c r="F3" s="38">
        <v>2018</v>
      </c>
      <c r="G3" s="39">
        <v>2017</v>
      </c>
      <c r="H3" s="39">
        <v>2016</v>
      </c>
      <c r="I3" s="39">
        <v>2015</v>
      </c>
    </row>
    <row r="4" spans="1:9" ht="15" x14ac:dyDescent="0.2">
      <c r="A4" s="41" t="s">
        <v>325</v>
      </c>
      <c r="B4" s="41" t="s">
        <v>7179</v>
      </c>
      <c r="C4" s="41" t="s">
        <v>7180</v>
      </c>
      <c r="D4" s="278" t="str">
        <f>VLOOKUP(A:A,'Master Table'!C:D,2,FALSE)</f>
        <v>1674</v>
      </c>
      <c r="E4" s="278"/>
      <c r="F4" s="43">
        <v>1480.68</v>
      </c>
      <c r="G4" s="44">
        <v>1820.06</v>
      </c>
      <c r="H4" s="45">
        <v>1723.8600000000001</v>
      </c>
    </row>
    <row r="5" spans="1:9" ht="15" x14ac:dyDescent="0.2">
      <c r="A5" s="41" t="s">
        <v>333</v>
      </c>
      <c r="B5" s="41" t="s">
        <v>336</v>
      </c>
      <c r="C5" s="41" t="s">
        <v>1584</v>
      </c>
      <c r="D5" s="278" t="str">
        <f>VLOOKUP(A:A,'Master Table'!C:D,2,FALSE)</f>
        <v>1675</v>
      </c>
      <c r="E5" s="278"/>
      <c r="F5" s="43">
        <v>577.05999999999995</v>
      </c>
      <c r="G5" s="44">
        <v>416.66999999999996</v>
      </c>
      <c r="H5" s="46">
        <v>792.16000000000008</v>
      </c>
    </row>
    <row r="6" spans="1:9" ht="15" x14ac:dyDescent="0.2">
      <c r="A6" s="41" t="s">
        <v>338</v>
      </c>
      <c r="B6" s="41" t="s">
        <v>7181</v>
      </c>
      <c r="C6" s="41" t="s">
        <v>119</v>
      </c>
      <c r="D6" s="278" t="str">
        <f>VLOOKUP(A:A,'Master Table'!C:D,2,FALSE)</f>
        <v>1676</v>
      </c>
      <c r="E6" s="278"/>
      <c r="F6" s="43">
        <v>1743.75</v>
      </c>
      <c r="G6" s="44">
        <v>2312.54</v>
      </c>
      <c r="H6" s="46">
        <v>1738.94</v>
      </c>
    </row>
    <row r="7" spans="1:9" ht="15" x14ac:dyDescent="0.2">
      <c r="A7" s="41" t="s">
        <v>341</v>
      </c>
      <c r="B7" s="41" t="s">
        <v>7182</v>
      </c>
      <c r="C7" s="41" t="s">
        <v>7183</v>
      </c>
      <c r="D7" s="278" t="str">
        <f>VLOOKUP(A:A,'Master Table'!C:D,2,FALSE)</f>
        <v>1677</v>
      </c>
      <c r="E7" s="278"/>
      <c r="F7" s="43">
        <v>738.04</v>
      </c>
      <c r="G7" s="44">
        <v>866.6</v>
      </c>
      <c r="H7" s="46">
        <v>898</v>
      </c>
    </row>
    <row r="8" spans="1:9" ht="15" x14ac:dyDescent="0.2">
      <c r="A8" s="41" t="s">
        <v>344</v>
      </c>
      <c r="B8" s="41" t="s">
        <v>7184</v>
      </c>
      <c r="C8" s="41" t="s">
        <v>7185</v>
      </c>
      <c r="D8" s="278" t="str">
        <f>VLOOKUP(A:A,'Master Table'!C:D,2,FALSE)</f>
        <v>1678</v>
      </c>
      <c r="E8" s="278"/>
      <c r="F8" s="43">
        <v>60</v>
      </c>
      <c r="G8" s="44">
        <v>70</v>
      </c>
      <c r="H8" s="46">
        <v>70</v>
      </c>
    </row>
    <row r="9" spans="1:9" ht="15" x14ac:dyDescent="0.2">
      <c r="A9" s="41" t="s">
        <v>348</v>
      </c>
      <c r="B9" s="41" t="s">
        <v>350</v>
      </c>
      <c r="C9" s="41" t="s">
        <v>1489</v>
      </c>
      <c r="D9" s="278" t="str">
        <f>VLOOKUP(A:A,'Master Table'!C:D,2,FALSE)</f>
        <v>1679</v>
      </c>
      <c r="E9" s="278"/>
      <c r="F9" s="43">
        <v>1673.52</v>
      </c>
      <c r="G9" s="44">
        <v>1163.74</v>
      </c>
      <c r="H9" s="46">
        <v>1374.3600000000001</v>
      </c>
    </row>
    <row r="10" spans="1:9" ht="15" x14ac:dyDescent="0.2">
      <c r="A10" s="41" t="s">
        <v>352</v>
      </c>
      <c r="B10" s="41" t="s">
        <v>7186</v>
      </c>
      <c r="C10" s="41" t="s">
        <v>916</v>
      </c>
      <c r="D10" s="278" t="str">
        <f>VLOOKUP(A:A,'Master Table'!C:D,2,FALSE)</f>
        <v>1680</v>
      </c>
      <c r="E10" s="278"/>
      <c r="F10" s="43">
        <v>1012.79</v>
      </c>
      <c r="G10" s="44">
        <v>890.63</v>
      </c>
      <c r="H10" s="46">
        <v>350</v>
      </c>
    </row>
    <row r="11" spans="1:9" ht="15" x14ac:dyDescent="0.2">
      <c r="A11" s="41" t="s">
        <v>355</v>
      </c>
      <c r="B11" s="41" t="s">
        <v>358</v>
      </c>
      <c r="C11" s="41" t="s">
        <v>5138</v>
      </c>
      <c r="D11" s="278" t="str">
        <f>VLOOKUP(A:A,'Master Table'!C:D,2,FALSE)</f>
        <v>1681</v>
      </c>
      <c r="E11" s="278"/>
      <c r="F11" s="43">
        <v>1146</v>
      </c>
      <c r="G11" s="44">
        <v>1683</v>
      </c>
      <c r="H11" s="46">
        <v>1337</v>
      </c>
    </row>
    <row r="12" spans="1:9" ht="15" x14ac:dyDescent="0.2">
      <c r="A12" s="41" t="s">
        <v>360</v>
      </c>
      <c r="B12" s="41" t="s">
        <v>363</v>
      </c>
      <c r="C12" s="41" t="s">
        <v>7187</v>
      </c>
      <c r="D12" s="278" t="str">
        <f>VLOOKUP(A:A,'Master Table'!C:D,2,FALSE)</f>
        <v>1682</v>
      </c>
      <c r="E12" s="278"/>
      <c r="F12" s="43">
        <v>1681.6399999999999</v>
      </c>
      <c r="G12" s="44">
        <v>1390.02</v>
      </c>
      <c r="H12" s="46">
        <v>1296.3800000000001</v>
      </c>
    </row>
    <row r="13" spans="1:9" ht="15" x14ac:dyDescent="0.2">
      <c r="A13" s="41" t="s">
        <v>364</v>
      </c>
      <c r="B13" s="41" t="s">
        <v>367</v>
      </c>
      <c r="C13" s="41" t="s">
        <v>7188</v>
      </c>
      <c r="D13" s="278" t="str">
        <f>VLOOKUP(A:A,'Master Table'!C:D,2,FALSE)</f>
        <v>1683</v>
      </c>
      <c r="E13" s="278"/>
      <c r="F13" s="43">
        <v>1159.3900000000001</v>
      </c>
      <c r="G13" s="44">
        <v>1364.32</v>
      </c>
      <c r="H13" s="46">
        <v>1418.73</v>
      </c>
    </row>
    <row r="14" spans="1:9" ht="15" x14ac:dyDescent="0.2">
      <c r="A14" s="41" t="s">
        <v>376</v>
      </c>
      <c r="B14" s="41" t="s">
        <v>7189</v>
      </c>
      <c r="C14" s="41" t="s">
        <v>378</v>
      </c>
      <c r="D14" s="278" t="str">
        <f>VLOOKUP(A:A,'Master Table'!C:D,2,FALSE)</f>
        <v>1684</v>
      </c>
      <c r="E14" s="278"/>
      <c r="F14" s="43">
        <v>1634.4</v>
      </c>
      <c r="G14" s="44">
        <v>711.63</v>
      </c>
      <c r="H14" s="46">
        <v>696.12</v>
      </c>
    </row>
    <row r="15" spans="1:9" ht="15" x14ac:dyDescent="0.2">
      <c r="A15" s="41" t="s">
        <v>380</v>
      </c>
      <c r="B15" s="47" t="s">
        <v>7190</v>
      </c>
      <c r="C15" s="41" t="s">
        <v>382</v>
      </c>
      <c r="D15" s="278" t="str">
        <f>VLOOKUP(A:A,'Master Table'!C:D,2,FALSE)</f>
        <v>1685</v>
      </c>
      <c r="E15" s="278"/>
      <c r="F15" s="43">
        <v>1380.1799999999998</v>
      </c>
      <c r="G15" s="44">
        <v>1290.81</v>
      </c>
      <c r="H15" s="46">
        <v>1487.12</v>
      </c>
    </row>
    <row r="16" spans="1:9" ht="15" x14ac:dyDescent="0.2">
      <c r="A16" s="41" t="s">
        <v>388</v>
      </c>
      <c r="B16" s="41" t="s">
        <v>390</v>
      </c>
      <c r="C16" s="41" t="s">
        <v>1008</v>
      </c>
      <c r="D16" s="278" t="str">
        <f>VLOOKUP(A:A,'Master Table'!C:D,2,FALSE)</f>
        <v>1687</v>
      </c>
      <c r="E16" s="278"/>
      <c r="F16" s="43">
        <v>1056.3599999999999</v>
      </c>
      <c r="G16" s="44">
        <v>1021.37</v>
      </c>
      <c r="H16" s="46">
        <v>809.98</v>
      </c>
    </row>
    <row r="17" spans="1:8" ht="15" x14ac:dyDescent="0.2">
      <c r="A17" s="41" t="s">
        <v>391</v>
      </c>
      <c r="B17" s="41" t="s">
        <v>390</v>
      </c>
      <c r="C17" s="41" t="s">
        <v>5610</v>
      </c>
      <c r="D17" s="278" t="str">
        <f>VLOOKUP(A:A,'Master Table'!C:D,2,FALSE)</f>
        <v>1688</v>
      </c>
      <c r="E17" s="278"/>
      <c r="F17" s="43">
        <v>157</v>
      </c>
      <c r="G17" s="44">
        <v>479</v>
      </c>
      <c r="H17" s="46">
        <v>560.13</v>
      </c>
    </row>
    <row r="18" spans="1:8" ht="15" x14ac:dyDescent="0.2">
      <c r="A18" s="41" t="s">
        <v>396</v>
      </c>
      <c r="B18" s="41" t="s">
        <v>390</v>
      </c>
      <c r="C18" s="41" t="s">
        <v>532</v>
      </c>
      <c r="D18" s="278" t="str">
        <f>VLOOKUP(A:A,'Master Table'!C:D,2,FALSE)</f>
        <v>1689</v>
      </c>
      <c r="E18" s="278"/>
      <c r="F18" s="43">
        <v>347.44</v>
      </c>
      <c r="G18" s="44">
        <v>310.69</v>
      </c>
      <c r="H18" s="46">
        <v>344.92</v>
      </c>
    </row>
    <row r="19" spans="1:8" ht="15" x14ac:dyDescent="0.2">
      <c r="A19" s="41" t="s">
        <v>398</v>
      </c>
      <c r="B19" s="41" t="s">
        <v>390</v>
      </c>
      <c r="C19" s="41" t="s">
        <v>896</v>
      </c>
      <c r="D19" s="278" t="str">
        <f>VLOOKUP(A:A,'Master Table'!C:D,2,FALSE)</f>
        <v>1690</v>
      </c>
      <c r="E19" s="278"/>
      <c r="F19" s="43">
        <v>480</v>
      </c>
      <c r="G19" s="44">
        <v>307.41000000000003</v>
      </c>
      <c r="H19" s="46">
        <v>262.84000000000003</v>
      </c>
    </row>
    <row r="20" spans="1:8" ht="15" x14ac:dyDescent="0.2">
      <c r="A20" s="41" t="s">
        <v>401</v>
      </c>
      <c r="B20" s="41" t="s">
        <v>390</v>
      </c>
      <c r="C20" s="41" t="s">
        <v>226</v>
      </c>
      <c r="D20" s="278" t="str">
        <f>VLOOKUP(A:A,'Master Table'!C:D,2,FALSE)</f>
        <v>1691</v>
      </c>
      <c r="E20" s="278"/>
      <c r="F20" s="43">
        <v>265</v>
      </c>
      <c r="G20" s="44">
        <v>200</v>
      </c>
      <c r="H20" s="46">
        <v>190.72</v>
      </c>
    </row>
    <row r="21" spans="1:8" ht="15" x14ac:dyDescent="0.2">
      <c r="A21" s="41" t="s">
        <v>404</v>
      </c>
      <c r="B21" s="41" t="s">
        <v>390</v>
      </c>
      <c r="C21" s="41" t="s">
        <v>453</v>
      </c>
      <c r="D21" s="278" t="str">
        <f>VLOOKUP(A:A,'Master Table'!C:D,2,FALSE)</f>
        <v>1692</v>
      </c>
      <c r="E21" s="278"/>
      <c r="F21" s="43">
        <v>375.34</v>
      </c>
      <c r="G21" s="44">
        <v>177</v>
      </c>
      <c r="H21" s="46">
        <v>579.69000000000005</v>
      </c>
    </row>
    <row r="22" spans="1:8" ht="15" x14ac:dyDescent="0.2">
      <c r="A22" s="41" t="s">
        <v>406</v>
      </c>
      <c r="B22" s="41" t="s">
        <v>7191</v>
      </c>
      <c r="C22" s="41" t="s">
        <v>7192</v>
      </c>
      <c r="D22" s="278" t="str">
        <f>VLOOKUP(A:A,'Master Table'!C:D,2,FALSE)</f>
        <v>1695</v>
      </c>
      <c r="E22" s="278"/>
      <c r="F22" s="43">
        <v>125</v>
      </c>
      <c r="G22" s="44">
        <v>125</v>
      </c>
      <c r="H22" s="46">
        <v>150</v>
      </c>
    </row>
    <row r="23" spans="1:8" ht="15" x14ac:dyDescent="0.2">
      <c r="A23" s="41" t="s">
        <v>410</v>
      </c>
      <c r="B23" s="41" t="s">
        <v>413</v>
      </c>
      <c r="C23" s="41" t="s">
        <v>7193</v>
      </c>
      <c r="D23" s="278" t="str">
        <f>VLOOKUP(A:A,'Master Table'!C:D,2,FALSE)</f>
        <v>1696</v>
      </c>
      <c r="E23" s="278"/>
      <c r="F23" s="43">
        <v>232</v>
      </c>
      <c r="G23" s="44">
        <v>197</v>
      </c>
      <c r="H23" s="46">
        <v>378</v>
      </c>
    </row>
    <row r="24" spans="1:8" ht="15" x14ac:dyDescent="0.2">
      <c r="A24" s="41" t="s">
        <v>414</v>
      </c>
      <c r="B24" s="41" t="s">
        <v>7194</v>
      </c>
      <c r="C24" s="41" t="s">
        <v>916</v>
      </c>
      <c r="D24" s="278" t="str">
        <f>VLOOKUP(A:A,'Master Table'!C:D,2,FALSE)</f>
        <v>147969</v>
      </c>
      <c r="E24" s="278"/>
      <c r="F24" s="43">
        <v>1815.3</v>
      </c>
      <c r="G24" s="44">
        <v>1839.1000000000001</v>
      </c>
      <c r="H24" s="46">
        <v>1902.1100000000001</v>
      </c>
    </row>
    <row r="25" spans="1:8" ht="15" x14ac:dyDescent="0.2">
      <c r="A25" s="41" t="s">
        <v>419</v>
      </c>
      <c r="B25" s="41" t="s">
        <v>422</v>
      </c>
      <c r="C25" s="41" t="s">
        <v>7195</v>
      </c>
      <c r="D25" s="278" t="str">
        <f>VLOOKUP(A:A,'Master Table'!C:D,2,FALSE)</f>
        <v>1697</v>
      </c>
      <c r="E25" s="278"/>
      <c r="F25" s="43">
        <v>1665.9</v>
      </c>
      <c r="G25" s="44">
        <v>1603</v>
      </c>
      <c r="H25" s="46">
        <v>968</v>
      </c>
    </row>
    <row r="26" spans="1:8" ht="15" x14ac:dyDescent="0.2">
      <c r="A26" s="41" t="s">
        <v>423</v>
      </c>
      <c r="B26" s="41" t="s">
        <v>7196</v>
      </c>
      <c r="C26" s="41" t="s">
        <v>7197</v>
      </c>
      <c r="D26" s="278" t="str">
        <f>VLOOKUP(A:A,'Master Table'!C:D,2,FALSE)</f>
        <v>1698</v>
      </c>
      <c r="E26" s="278"/>
      <c r="F26" s="43">
        <v>488.6</v>
      </c>
      <c r="G26" s="44">
        <v>1587.76</v>
      </c>
      <c r="H26" s="46">
        <v>602.45000000000005</v>
      </c>
    </row>
    <row r="27" spans="1:8" ht="15" x14ac:dyDescent="0.2">
      <c r="A27" s="41" t="s">
        <v>426</v>
      </c>
      <c r="B27" s="41" t="s">
        <v>429</v>
      </c>
      <c r="C27" s="41" t="s">
        <v>231</v>
      </c>
      <c r="D27" s="278" t="str">
        <f>VLOOKUP(A:A,'Master Table'!C:D,2,FALSE)</f>
        <v>1699</v>
      </c>
      <c r="E27" s="278"/>
      <c r="F27" s="43">
        <v>1973.82</v>
      </c>
      <c r="G27" s="44">
        <v>1819.28</v>
      </c>
      <c r="H27" s="46">
        <v>1876.58</v>
      </c>
    </row>
    <row r="28" spans="1:8" ht="15" x14ac:dyDescent="0.2">
      <c r="A28" s="41" t="s">
        <v>430</v>
      </c>
      <c r="B28" s="41" t="s">
        <v>432</v>
      </c>
      <c r="C28" s="41" t="s">
        <v>839</v>
      </c>
      <c r="D28" s="278" t="str">
        <f>VLOOKUP(A:A,'Master Table'!C:D,2,FALSE)</f>
        <v>1700</v>
      </c>
      <c r="E28" s="278"/>
      <c r="F28" s="43">
        <v>2116.9700000000003</v>
      </c>
      <c r="G28" s="44">
        <v>2482.61</v>
      </c>
      <c r="H28" s="46">
        <v>2827.87</v>
      </c>
    </row>
    <row r="29" spans="1:8" ht="15" x14ac:dyDescent="0.2">
      <c r="A29" s="41" t="s">
        <v>433</v>
      </c>
      <c r="B29" s="41" t="s">
        <v>435</v>
      </c>
      <c r="C29" s="41" t="s">
        <v>7185</v>
      </c>
      <c r="D29" s="278" t="str">
        <f>VLOOKUP(A:A,'Master Table'!C:D,2,FALSE)</f>
        <v>1701</v>
      </c>
      <c r="E29" s="278"/>
      <c r="F29" s="43">
        <v>1464.03</v>
      </c>
      <c r="G29" s="44">
        <v>2317.35</v>
      </c>
      <c r="H29" s="46">
        <v>2416.96</v>
      </c>
    </row>
    <row r="30" spans="1:8" ht="15" x14ac:dyDescent="0.2">
      <c r="A30" s="41" t="s">
        <v>440</v>
      </c>
      <c r="B30" s="41" t="s">
        <v>7198</v>
      </c>
      <c r="C30" s="41" t="s">
        <v>7199</v>
      </c>
      <c r="D30" s="278" t="str">
        <f>VLOOKUP(A:A,'Master Table'!C:D,2,FALSE)</f>
        <v>0479425</v>
      </c>
      <c r="E30" s="278"/>
      <c r="F30" s="43">
        <v>100</v>
      </c>
      <c r="G30" s="44">
        <v>250</v>
      </c>
      <c r="H30" s="46">
        <v>0</v>
      </c>
    </row>
    <row r="31" spans="1:8" ht="15" x14ac:dyDescent="0.2">
      <c r="A31" s="41" t="s">
        <v>444</v>
      </c>
      <c r="B31" s="41" t="s">
        <v>446</v>
      </c>
      <c r="C31" s="41" t="s">
        <v>231</v>
      </c>
      <c r="D31" s="278" t="str">
        <f>VLOOKUP(A:A,'Master Table'!C:D,2,FALSE)</f>
        <v>1703</v>
      </c>
      <c r="E31" s="278"/>
      <c r="F31" s="43">
        <v>2070.92</v>
      </c>
      <c r="G31" s="44">
        <v>1045.3</v>
      </c>
      <c r="H31" s="46">
        <v>805</v>
      </c>
    </row>
    <row r="32" spans="1:8" ht="15" x14ac:dyDescent="0.2">
      <c r="A32" s="41" t="s">
        <v>447</v>
      </c>
      <c r="B32" s="41" t="s">
        <v>7200</v>
      </c>
      <c r="C32" s="41" t="s">
        <v>449</v>
      </c>
      <c r="D32" s="278" t="str">
        <f>VLOOKUP(A:A,'Master Table'!C:D,2,FALSE)</f>
        <v>1704</v>
      </c>
      <c r="E32" s="278"/>
      <c r="F32" s="43">
        <v>1565.59</v>
      </c>
      <c r="G32" s="44">
        <v>1263.4000000000001</v>
      </c>
      <c r="H32" s="46">
        <v>1154.5500000000002</v>
      </c>
    </row>
    <row r="33" spans="1:8" ht="15" x14ac:dyDescent="0.2">
      <c r="A33" s="41" t="s">
        <v>455</v>
      </c>
      <c r="B33" s="41" t="s">
        <v>409</v>
      </c>
      <c r="C33" s="41" t="s">
        <v>7201</v>
      </c>
      <c r="D33" s="278" t="str">
        <f>VLOOKUP(A:A,'Master Table'!C:D,2,FALSE)</f>
        <v>1705</v>
      </c>
      <c r="E33" s="278"/>
      <c r="F33" s="43">
        <v>2537.88</v>
      </c>
      <c r="G33" s="44">
        <v>3208.07</v>
      </c>
      <c r="H33" s="46">
        <v>3337.94</v>
      </c>
    </row>
    <row r="34" spans="1:8" ht="15" x14ac:dyDescent="0.2">
      <c r="A34" s="41" t="s">
        <v>462</v>
      </c>
      <c r="B34" s="41" t="s">
        <v>465</v>
      </c>
      <c r="C34" s="41" t="s">
        <v>464</v>
      </c>
      <c r="D34" s="278" t="str">
        <f>VLOOKUP(A:A,'Master Table'!C:D,2,FALSE)</f>
        <v>1706</v>
      </c>
      <c r="E34" s="278"/>
      <c r="F34" s="43">
        <v>962.47</v>
      </c>
      <c r="G34" s="44">
        <v>1017.81</v>
      </c>
      <c r="H34" s="46">
        <v>1237.3000000000002</v>
      </c>
    </row>
    <row r="35" spans="1:8" ht="15" x14ac:dyDescent="0.2">
      <c r="A35" s="41" t="s">
        <v>466</v>
      </c>
      <c r="B35" s="508" t="s">
        <v>468</v>
      </c>
      <c r="C35" s="508" t="s">
        <v>532</v>
      </c>
      <c r="D35" s="278" t="str">
        <f>VLOOKUP(A:A,'Master Table'!C:D,2,FALSE)</f>
        <v>1707</v>
      </c>
      <c r="E35" s="278"/>
      <c r="F35" s="43">
        <v>1457.06</v>
      </c>
      <c r="G35" s="44">
        <v>1621.52</v>
      </c>
      <c r="H35" s="46">
        <v>1769.65</v>
      </c>
    </row>
    <row r="36" spans="1:8" ht="15" x14ac:dyDescent="0.2">
      <c r="A36" s="506" t="s">
        <v>470</v>
      </c>
      <c r="B36" s="510" t="s">
        <v>473</v>
      </c>
      <c r="C36" s="511" t="s">
        <v>7203</v>
      </c>
      <c r="D36" s="507" t="str">
        <f>VLOOKUP(A:A,'Master Table'!C:D,2,FALSE)</f>
        <v>1708</v>
      </c>
      <c r="E36" s="278"/>
      <c r="F36" s="43">
        <v>4592.18</v>
      </c>
      <c r="G36" s="44">
        <v>6260.09</v>
      </c>
      <c r="H36" s="46">
        <v>4700.63</v>
      </c>
    </row>
    <row r="37" spans="1:8" ht="15" x14ac:dyDescent="0.2">
      <c r="A37" s="506" t="s">
        <v>477</v>
      </c>
      <c r="B37" s="512" t="s">
        <v>473</v>
      </c>
      <c r="C37" s="513" t="s">
        <v>7203</v>
      </c>
      <c r="D37" s="507" t="str">
        <f>VLOOKUP(A:A,'Master Table'!C:D,2,FALSE)</f>
        <v>1709</v>
      </c>
      <c r="E37" s="278"/>
      <c r="F37" s="43">
        <v>4592.18</v>
      </c>
      <c r="G37" s="44">
        <v>6260.09</v>
      </c>
      <c r="H37" s="46">
        <v>4700.63</v>
      </c>
    </row>
    <row r="38" spans="1:8" ht="15" x14ac:dyDescent="0.2">
      <c r="A38" s="41" t="s">
        <v>480</v>
      </c>
      <c r="B38" s="509" t="s">
        <v>473</v>
      </c>
      <c r="C38" s="509" t="s">
        <v>916</v>
      </c>
      <c r="D38" s="278" t="str">
        <f>VLOOKUP(A:A,'Master Table'!C:D,2,FALSE)</f>
        <v>1710</v>
      </c>
      <c r="E38" s="278"/>
      <c r="F38" s="43">
        <v>1132.8400000000001</v>
      </c>
      <c r="G38" s="44">
        <v>812.82</v>
      </c>
      <c r="H38" s="46">
        <v>1033.72</v>
      </c>
    </row>
    <row r="39" spans="1:8" ht="15" x14ac:dyDescent="0.2">
      <c r="A39" s="41" t="s">
        <v>482</v>
      </c>
      <c r="B39" s="41" t="s">
        <v>485</v>
      </c>
      <c r="C39" s="41" t="s">
        <v>2816</v>
      </c>
      <c r="D39" s="278" t="str">
        <f>VLOOKUP(A:A,'Master Table'!C:D,2,FALSE)</f>
        <v>1711</v>
      </c>
      <c r="E39" s="278"/>
      <c r="F39" s="43">
        <v>2763.63</v>
      </c>
      <c r="G39" s="44">
        <v>2676.07</v>
      </c>
      <c r="H39" s="46">
        <v>2319.71</v>
      </c>
    </row>
    <row r="40" spans="1:8" ht="15" x14ac:dyDescent="0.2">
      <c r="A40" s="41" t="s">
        <v>486</v>
      </c>
      <c r="B40" s="41" t="s">
        <v>7204</v>
      </c>
      <c r="C40" s="41" t="s">
        <v>382</v>
      </c>
      <c r="D40" s="278" t="str">
        <f>VLOOKUP(A:A,'Master Table'!C:D,2,FALSE)</f>
        <v>1712</v>
      </c>
      <c r="E40" s="278"/>
      <c r="F40" s="43">
        <v>1817.77</v>
      </c>
      <c r="G40" s="44">
        <v>1908.61</v>
      </c>
      <c r="H40" s="46">
        <v>1916.6200000000001</v>
      </c>
    </row>
    <row r="41" spans="1:8" ht="15" x14ac:dyDescent="0.2">
      <c r="A41" s="41" t="s">
        <v>490</v>
      </c>
      <c r="B41" s="41" t="s">
        <v>7205</v>
      </c>
      <c r="C41" s="41" t="s">
        <v>7206</v>
      </c>
      <c r="D41" s="278" t="str">
        <f>VLOOKUP(A:A,'Master Table'!C:D,2,FALSE)</f>
        <v>1714</v>
      </c>
      <c r="E41" s="278"/>
      <c r="F41" s="43">
        <v>1542.2</v>
      </c>
      <c r="G41" s="44">
        <v>1442.51</v>
      </c>
      <c r="H41" s="46">
        <v>2452.1999999999998</v>
      </c>
    </row>
    <row r="42" spans="1:8" ht="15" x14ac:dyDescent="0.2">
      <c r="A42" s="41" t="s">
        <v>499</v>
      </c>
      <c r="B42" s="41" t="s">
        <v>501</v>
      </c>
      <c r="C42" s="41" t="s">
        <v>532</v>
      </c>
      <c r="D42" s="278" t="str">
        <f>VLOOKUP(A:A,'Master Table'!C:D,2,FALSE)</f>
        <v>1717</v>
      </c>
      <c r="E42" s="278"/>
      <c r="F42" s="43">
        <v>5029.84</v>
      </c>
      <c r="G42" s="44">
        <v>5366.52</v>
      </c>
      <c r="H42" s="46">
        <v>5475.34</v>
      </c>
    </row>
    <row r="43" spans="1:8" ht="15" x14ac:dyDescent="0.2">
      <c r="A43" s="41" t="s">
        <v>502</v>
      </c>
      <c r="B43" s="41" t="s">
        <v>505</v>
      </c>
      <c r="C43" s="41" t="s">
        <v>7207</v>
      </c>
      <c r="D43" s="278" t="str">
        <f>VLOOKUP(A:A,'Master Table'!C:D,2,FALSE)</f>
        <v>1718</v>
      </c>
      <c r="E43" s="278"/>
      <c r="F43" s="43">
        <v>1354.72</v>
      </c>
      <c r="G43" s="44">
        <v>1353.36</v>
      </c>
      <c r="H43" s="46">
        <v>1770.6200000000001</v>
      </c>
    </row>
    <row r="44" spans="1:8" ht="15" x14ac:dyDescent="0.2">
      <c r="A44" s="41" t="s">
        <v>506</v>
      </c>
      <c r="B44" s="41" t="s">
        <v>509</v>
      </c>
      <c r="C44" s="41" t="s">
        <v>7208</v>
      </c>
      <c r="D44" s="278" t="str">
        <f>VLOOKUP(A:A,'Master Table'!C:D,2,FALSE)</f>
        <v>1719</v>
      </c>
      <c r="E44" s="278"/>
      <c r="F44" s="43">
        <v>940.32</v>
      </c>
      <c r="G44" s="44">
        <v>1243.0900000000001</v>
      </c>
      <c r="H44" s="46">
        <v>1030.53</v>
      </c>
    </row>
    <row r="45" spans="1:8" ht="15" x14ac:dyDescent="0.2">
      <c r="A45" s="41" t="s">
        <v>510</v>
      </c>
      <c r="B45" s="41" t="s">
        <v>513</v>
      </c>
      <c r="C45" s="41" t="s">
        <v>6542</v>
      </c>
      <c r="D45" s="278" t="str">
        <f>VLOOKUP(A:A,'Master Table'!C:D,2,FALSE)</f>
        <v>1720</v>
      </c>
      <c r="E45" s="278"/>
      <c r="F45" s="43">
        <v>3892.94</v>
      </c>
      <c r="G45" s="44">
        <v>2840.65</v>
      </c>
      <c r="H45" s="46">
        <v>2786.4300000000003</v>
      </c>
    </row>
    <row r="46" spans="1:8" ht="15" x14ac:dyDescent="0.2">
      <c r="A46" s="41" t="s">
        <v>515</v>
      </c>
      <c r="B46" s="41" t="s">
        <v>7209</v>
      </c>
      <c r="C46" s="41" t="s">
        <v>1165</v>
      </c>
      <c r="D46" s="278" t="str">
        <f>VLOOKUP(A:A,'Master Table'!C:D,2,FALSE)</f>
        <v>1721</v>
      </c>
      <c r="E46" s="278"/>
      <c r="F46" s="43">
        <v>664.75</v>
      </c>
      <c r="G46" s="44">
        <v>723.55</v>
      </c>
      <c r="H46" s="46">
        <v>712.52</v>
      </c>
    </row>
    <row r="47" spans="1:8" ht="15" x14ac:dyDescent="0.2">
      <c r="A47" s="41" t="s">
        <v>518</v>
      </c>
      <c r="B47" s="41" t="s">
        <v>7210</v>
      </c>
      <c r="C47" s="41" t="s">
        <v>5270</v>
      </c>
      <c r="D47" s="278" t="str">
        <f>VLOOKUP(A:A,'Master Table'!C:D,2,FALSE)</f>
        <v>1722</v>
      </c>
      <c r="E47" s="278"/>
      <c r="F47" s="43">
        <v>1028</v>
      </c>
      <c r="G47" s="44">
        <v>946</v>
      </c>
      <c r="H47" s="46">
        <v>915.5</v>
      </c>
    </row>
    <row r="48" spans="1:8" ht="15" x14ac:dyDescent="0.2">
      <c r="A48" s="41" t="s">
        <v>521</v>
      </c>
      <c r="B48" s="41" t="s">
        <v>7211</v>
      </c>
      <c r="C48" s="41" t="s">
        <v>523</v>
      </c>
      <c r="D48" s="278" t="str">
        <f>VLOOKUP(A:A,'Master Table'!C:D,2,FALSE)</f>
        <v>1724</v>
      </c>
      <c r="E48" s="278"/>
      <c r="F48" s="43">
        <v>2596.33</v>
      </c>
      <c r="G48" s="44">
        <v>2871.31</v>
      </c>
      <c r="H48" s="46">
        <v>2436.63</v>
      </c>
    </row>
    <row r="49" spans="1:8" ht="15" x14ac:dyDescent="0.2">
      <c r="A49" s="41" t="s">
        <v>525</v>
      </c>
      <c r="B49" s="41" t="s">
        <v>528</v>
      </c>
      <c r="C49" s="41" t="s">
        <v>3029</v>
      </c>
      <c r="D49" s="278" t="str">
        <f>VLOOKUP(A:A,'Master Table'!C:D,2,FALSE)</f>
        <v>1726</v>
      </c>
      <c r="E49" s="278"/>
      <c r="F49" s="43">
        <v>325.61</v>
      </c>
      <c r="G49" s="44">
        <v>1081</v>
      </c>
      <c r="H49" s="46">
        <v>1188.2</v>
      </c>
    </row>
    <row r="50" spans="1:8" ht="15" x14ac:dyDescent="0.2">
      <c r="A50" s="41" t="s">
        <v>536</v>
      </c>
      <c r="B50" s="41" t="s">
        <v>7212</v>
      </c>
      <c r="C50" s="41" t="s">
        <v>1047</v>
      </c>
      <c r="D50" s="278" t="str">
        <f>VLOOKUP(A:A,'Master Table'!C:D,2,FALSE)</f>
        <v>1727</v>
      </c>
      <c r="E50" s="278"/>
      <c r="F50" s="43">
        <v>1050.96</v>
      </c>
      <c r="G50" s="44">
        <v>1184.1799999999998</v>
      </c>
      <c r="H50" s="46">
        <v>1907</v>
      </c>
    </row>
    <row r="51" spans="1:8" ht="15" x14ac:dyDescent="0.2">
      <c r="A51" s="41" t="s">
        <v>539</v>
      </c>
      <c r="B51" s="41" t="s">
        <v>443</v>
      </c>
      <c r="C51" s="41" t="s">
        <v>532</v>
      </c>
      <c r="D51" s="278" t="str">
        <f>VLOOKUP(A:A,'Master Table'!C:D,2,FALSE)</f>
        <v>1728</v>
      </c>
      <c r="E51" s="278"/>
      <c r="F51" s="43">
        <v>1028.29</v>
      </c>
      <c r="G51" s="44">
        <v>1110.78</v>
      </c>
      <c r="H51" s="46">
        <v>1184.5700000000002</v>
      </c>
    </row>
    <row r="52" spans="1:8" ht="15" x14ac:dyDescent="0.2">
      <c r="A52" s="41" t="s">
        <v>541</v>
      </c>
      <c r="B52" s="41" t="s">
        <v>443</v>
      </c>
      <c r="C52" s="41" t="s">
        <v>226</v>
      </c>
      <c r="D52" s="278" t="str">
        <f>VLOOKUP(A:A,'Master Table'!C:D,2,FALSE)</f>
        <v>1729</v>
      </c>
      <c r="E52" s="278"/>
      <c r="F52" s="43">
        <v>898.14</v>
      </c>
      <c r="G52" s="44">
        <v>1064.29</v>
      </c>
      <c r="H52" s="46">
        <v>1200.3499999999999</v>
      </c>
    </row>
    <row r="53" spans="1:8" ht="15" x14ac:dyDescent="0.2">
      <c r="A53" s="41" t="s">
        <v>543</v>
      </c>
      <c r="B53" s="41" t="s">
        <v>545</v>
      </c>
      <c r="C53" s="41" t="s">
        <v>7193</v>
      </c>
      <c r="D53" s="278" t="str">
        <f>VLOOKUP(A:A,'Master Table'!C:D,2,FALSE)</f>
        <v>1731</v>
      </c>
      <c r="E53" s="278"/>
      <c r="F53" s="43">
        <v>1617.73</v>
      </c>
      <c r="G53" s="44">
        <v>1458.08</v>
      </c>
      <c r="H53" s="46">
        <v>1242.28</v>
      </c>
    </row>
    <row r="54" spans="1:8" ht="15" x14ac:dyDescent="0.2">
      <c r="A54" s="41" t="s">
        <v>546</v>
      </c>
      <c r="B54" s="41" t="s">
        <v>7213</v>
      </c>
      <c r="C54" s="41" t="s">
        <v>7214</v>
      </c>
      <c r="D54" s="278" t="str">
        <f>VLOOKUP(A:A,'Master Table'!C:D,2,FALSE)</f>
        <v>1732</v>
      </c>
      <c r="E54" s="278"/>
      <c r="F54" s="43">
        <v>423.98</v>
      </c>
      <c r="G54" s="44">
        <v>581.32000000000005</v>
      </c>
      <c r="H54" s="46">
        <v>434.27</v>
      </c>
    </row>
    <row r="55" spans="1:8" ht="15" x14ac:dyDescent="0.2">
      <c r="A55" s="41" t="s">
        <v>550</v>
      </c>
      <c r="B55" s="41" t="s">
        <v>552</v>
      </c>
      <c r="C55" s="41" t="s">
        <v>1203</v>
      </c>
      <c r="D55" s="278" t="str">
        <f>VLOOKUP(A:A,'Master Table'!C:D,2,FALSE)</f>
        <v>1733</v>
      </c>
      <c r="E55" s="278"/>
      <c r="F55" s="43">
        <v>532</v>
      </c>
      <c r="G55" s="44">
        <v>850</v>
      </c>
      <c r="H55" s="46">
        <v>1191.0900000000001</v>
      </c>
    </row>
    <row r="56" spans="1:8" ht="15" x14ac:dyDescent="0.2">
      <c r="A56" s="41" t="s">
        <v>558</v>
      </c>
      <c r="B56" s="41" t="s">
        <v>561</v>
      </c>
      <c r="C56" s="41" t="s">
        <v>560</v>
      </c>
      <c r="D56" s="278" t="str">
        <f>VLOOKUP(A:A,'Master Table'!C:D,2,FALSE)</f>
        <v>1734</v>
      </c>
      <c r="E56" s="278"/>
      <c r="F56" s="43">
        <v>100</v>
      </c>
      <c r="G56" s="44">
        <v>120</v>
      </c>
      <c r="H56" s="46">
        <v>120</v>
      </c>
    </row>
    <row r="57" spans="1:8" ht="15" x14ac:dyDescent="0.2">
      <c r="A57" s="41" t="s">
        <v>562</v>
      </c>
      <c r="B57" s="41" t="s">
        <v>565</v>
      </c>
      <c r="C57" s="41" t="s">
        <v>2667</v>
      </c>
      <c r="D57" s="278" t="str">
        <f>VLOOKUP(A:A,'Master Table'!C:D,2,FALSE)</f>
        <v>1735</v>
      </c>
      <c r="E57" s="278"/>
      <c r="F57" s="43">
        <v>5373.33</v>
      </c>
      <c r="G57" s="44">
        <v>6487.84</v>
      </c>
      <c r="H57" s="46">
        <v>6406.26</v>
      </c>
    </row>
    <row r="58" spans="1:8" ht="15" x14ac:dyDescent="0.2">
      <c r="A58" s="41" t="s">
        <v>566</v>
      </c>
      <c r="B58" s="41" t="s">
        <v>7215</v>
      </c>
      <c r="C58" s="41" t="s">
        <v>568</v>
      </c>
      <c r="D58" s="278" t="str">
        <f>VLOOKUP(A:A,'Master Table'!C:D,2,FALSE)</f>
        <v>1736</v>
      </c>
      <c r="E58" s="278"/>
      <c r="F58" s="43">
        <v>753.31</v>
      </c>
      <c r="G58" s="44">
        <v>794.37</v>
      </c>
      <c r="H58" s="46">
        <v>593.54999999999995</v>
      </c>
    </row>
    <row r="59" spans="1:8" ht="15" x14ac:dyDescent="0.2">
      <c r="A59" s="41" t="s">
        <v>571</v>
      </c>
      <c r="B59" s="41" t="s">
        <v>573</v>
      </c>
      <c r="C59" s="41" t="s">
        <v>7216</v>
      </c>
      <c r="D59" s="278" t="str">
        <f>VLOOKUP(A:A,'Master Table'!C:D,2,FALSE)</f>
        <v>1737</v>
      </c>
      <c r="E59" s="278"/>
      <c r="F59" s="43">
        <v>431.75</v>
      </c>
      <c r="G59" s="44">
        <v>175.54000000000002</v>
      </c>
      <c r="H59" s="46">
        <v>300.70000000000005</v>
      </c>
    </row>
    <row r="60" spans="1:8" ht="15" x14ac:dyDescent="0.2">
      <c r="A60" s="41" t="s">
        <v>577</v>
      </c>
      <c r="B60" s="41" t="s">
        <v>7217</v>
      </c>
      <c r="C60" s="41" t="s">
        <v>1871</v>
      </c>
      <c r="D60" s="278" t="str">
        <f>VLOOKUP(A:A,'Master Table'!C:D,2,FALSE)</f>
        <v>1739</v>
      </c>
      <c r="E60" s="278"/>
      <c r="F60" s="43">
        <v>2905.61</v>
      </c>
      <c r="G60" s="44">
        <v>3504.27</v>
      </c>
      <c r="H60" s="46">
        <v>4605.21</v>
      </c>
    </row>
    <row r="61" spans="1:8" ht="15" x14ac:dyDescent="0.2">
      <c r="A61" s="41" t="s">
        <v>581</v>
      </c>
      <c r="B61" s="41" t="s">
        <v>7218</v>
      </c>
      <c r="C61" s="41" t="s">
        <v>3659</v>
      </c>
      <c r="D61" s="278" t="str">
        <f>VLOOKUP(A:A,'Master Table'!C:D,2,FALSE)</f>
        <v>1740</v>
      </c>
      <c r="E61" s="278"/>
      <c r="F61" s="43">
        <v>170</v>
      </c>
      <c r="G61" s="44">
        <v>160</v>
      </c>
      <c r="H61" s="46">
        <v>170</v>
      </c>
    </row>
    <row r="62" spans="1:8" ht="15" x14ac:dyDescent="0.2">
      <c r="A62" s="41" t="s">
        <v>585</v>
      </c>
      <c r="B62" s="41" t="s">
        <v>7219</v>
      </c>
      <c r="C62" s="41" t="s">
        <v>7220</v>
      </c>
      <c r="D62" s="278" t="str">
        <f>VLOOKUP(A:A,'Master Table'!C:D,2,FALSE)</f>
        <v>1741</v>
      </c>
      <c r="E62" s="278"/>
      <c r="F62" s="43">
        <v>1640.37</v>
      </c>
      <c r="G62" s="44">
        <v>1025.73</v>
      </c>
      <c r="H62" s="46">
        <v>866.81000000000006</v>
      </c>
    </row>
    <row r="63" spans="1:8" ht="15" x14ac:dyDescent="0.2">
      <c r="A63" s="41" t="s">
        <v>588</v>
      </c>
      <c r="B63" s="41" t="s">
        <v>590</v>
      </c>
      <c r="C63" s="41" t="s">
        <v>1047</v>
      </c>
      <c r="D63" s="278" t="str">
        <f>VLOOKUP(A:A,'Master Table'!C:D,2,FALSE)</f>
        <v>1742</v>
      </c>
      <c r="E63" s="278"/>
      <c r="F63" s="43">
        <v>1324.48</v>
      </c>
      <c r="G63" s="44">
        <v>1339.93</v>
      </c>
      <c r="H63" s="46">
        <v>1134.01</v>
      </c>
    </row>
    <row r="64" spans="1:8" ht="15" x14ac:dyDescent="0.2">
      <c r="A64" s="41" t="s">
        <v>591</v>
      </c>
      <c r="B64" s="41" t="s">
        <v>667</v>
      </c>
      <c r="C64" s="41" t="s">
        <v>164</v>
      </c>
      <c r="D64" s="278" t="str">
        <f>VLOOKUP(A:A,'Master Table'!C:D,2,FALSE)</f>
        <v>1743</v>
      </c>
      <c r="E64" s="278"/>
      <c r="F64" s="43">
        <v>2101.1</v>
      </c>
      <c r="G64" s="44">
        <v>1599.19</v>
      </c>
      <c r="H64" s="46">
        <v>1837.49</v>
      </c>
    </row>
    <row r="65" spans="1:8" ht="15" x14ac:dyDescent="0.2">
      <c r="A65" s="41" t="s">
        <v>594</v>
      </c>
      <c r="B65" s="41" t="s">
        <v>596</v>
      </c>
      <c r="C65" s="41" t="s">
        <v>231</v>
      </c>
      <c r="D65" s="278" t="str">
        <f>VLOOKUP(A:A,'Master Table'!C:D,2,FALSE)</f>
        <v>1744</v>
      </c>
      <c r="E65" s="278"/>
      <c r="F65" s="43">
        <v>764.27</v>
      </c>
      <c r="G65" s="44">
        <v>702.62</v>
      </c>
      <c r="H65" s="46">
        <v>1406.49</v>
      </c>
    </row>
    <row r="66" spans="1:8" ht="15" x14ac:dyDescent="0.2">
      <c r="A66" s="41" t="s">
        <v>597</v>
      </c>
      <c r="B66" s="41" t="s">
        <v>596</v>
      </c>
      <c r="C66" s="41" t="s">
        <v>1065</v>
      </c>
      <c r="D66" s="278" t="str">
        <f>VLOOKUP(A:A,'Master Table'!C:D,2,FALSE)</f>
        <v>1745</v>
      </c>
      <c r="E66" s="278"/>
      <c r="F66" s="43">
        <v>997.01</v>
      </c>
      <c r="G66" s="44">
        <v>1220.28</v>
      </c>
      <c r="H66" s="46">
        <v>1073.53</v>
      </c>
    </row>
    <row r="67" spans="1:8" ht="15" x14ac:dyDescent="0.2">
      <c r="A67" s="50" t="s">
        <v>600</v>
      </c>
      <c r="B67" s="41" t="s">
        <v>596</v>
      </c>
      <c r="C67" s="41" t="s">
        <v>2900</v>
      </c>
      <c r="D67" s="278" t="str">
        <f>VLOOKUP(A:A,'Master Table'!C:D,2,FALSE)</f>
        <v>1746</v>
      </c>
      <c r="E67" s="278"/>
      <c r="F67" s="43">
        <v>687.56</v>
      </c>
      <c r="G67" s="44">
        <v>975</v>
      </c>
      <c r="H67" s="46">
        <v>755</v>
      </c>
    </row>
    <row r="68" spans="1:8" ht="15" x14ac:dyDescent="0.2">
      <c r="A68" s="41" t="s">
        <v>603</v>
      </c>
      <c r="B68" s="41" t="s">
        <v>7221</v>
      </c>
      <c r="C68" s="41" t="s">
        <v>605</v>
      </c>
      <c r="D68" s="278" t="str">
        <f>VLOOKUP(A:A,'Master Table'!C:D,2,FALSE)</f>
        <v>1747</v>
      </c>
      <c r="E68" s="278"/>
      <c r="F68" s="43">
        <v>1055</v>
      </c>
      <c r="G68" s="44">
        <v>1165.3899999999999</v>
      </c>
      <c r="H68" s="46">
        <v>867.9</v>
      </c>
    </row>
    <row r="69" spans="1:8" ht="15" x14ac:dyDescent="0.2">
      <c r="A69" s="41" t="s">
        <v>610</v>
      </c>
      <c r="B69" s="41" t="s">
        <v>7222</v>
      </c>
      <c r="C69" s="41" t="s">
        <v>3880</v>
      </c>
      <c r="D69" s="278" t="str">
        <f>VLOOKUP(A:A,'Master Table'!C:D,2,FALSE)</f>
        <v>1748</v>
      </c>
      <c r="E69" s="278"/>
      <c r="F69" s="43">
        <v>2193</v>
      </c>
      <c r="G69" s="44">
        <v>1617.3</v>
      </c>
      <c r="H69" s="46">
        <v>650</v>
      </c>
    </row>
    <row r="70" spans="1:8" ht="15" x14ac:dyDescent="0.2">
      <c r="A70" s="41" t="s">
        <v>7223</v>
      </c>
      <c r="B70" s="41" t="s">
        <v>7224</v>
      </c>
      <c r="C70" s="41" t="s">
        <v>7225</v>
      </c>
      <c r="D70" s="278" t="e">
        <f>VLOOKUP(A:A,'Master Table'!C:D,2,FALSE)</f>
        <v>#N/A</v>
      </c>
      <c r="E70" s="278"/>
      <c r="F70" s="43">
        <v>1038.31</v>
      </c>
      <c r="G70" s="44">
        <v>1070.3800000000001</v>
      </c>
      <c r="H70" s="46">
        <v>831.42000000000007</v>
      </c>
    </row>
    <row r="71" spans="1:8" ht="15" x14ac:dyDescent="0.2">
      <c r="A71" s="41" t="s">
        <v>618</v>
      </c>
      <c r="B71" s="41" t="s">
        <v>7226</v>
      </c>
      <c r="C71" s="41" t="s">
        <v>620</v>
      </c>
      <c r="D71" s="278" t="str">
        <f>VLOOKUP(A:A,'Master Table'!C:D,2,FALSE)</f>
        <v>1750</v>
      </c>
      <c r="E71" s="278"/>
      <c r="F71" s="43">
        <v>2506.6999999999998</v>
      </c>
      <c r="G71" s="44">
        <v>2534.7399999999998</v>
      </c>
      <c r="H71" s="46">
        <v>2667</v>
      </c>
    </row>
    <row r="72" spans="1:8" ht="15" x14ac:dyDescent="0.2">
      <c r="A72" s="41" t="s">
        <v>621</v>
      </c>
      <c r="B72" s="41" t="s">
        <v>489</v>
      </c>
      <c r="C72" s="41" t="s">
        <v>2816</v>
      </c>
      <c r="D72" s="278" t="str">
        <f>VLOOKUP(A:A,'Master Table'!C:D,2,FALSE)</f>
        <v>1751</v>
      </c>
      <c r="E72" s="278"/>
      <c r="F72" s="43">
        <v>1398.76</v>
      </c>
      <c r="G72" s="44">
        <v>1622.4299999999998</v>
      </c>
      <c r="H72" s="46">
        <v>1372.2</v>
      </c>
    </row>
    <row r="73" spans="1:8" ht="15" x14ac:dyDescent="0.2">
      <c r="A73" s="41" t="s">
        <v>623</v>
      </c>
      <c r="B73" s="41" t="s">
        <v>626</v>
      </c>
      <c r="C73" s="41" t="s">
        <v>7227</v>
      </c>
      <c r="D73" s="278" t="str">
        <f>VLOOKUP(A:A,'Master Table'!C:D,2,FALSE)</f>
        <v>1752</v>
      </c>
      <c r="E73" s="278"/>
      <c r="F73" s="43">
        <v>1407.82</v>
      </c>
      <c r="G73" s="44">
        <v>1711.27</v>
      </c>
      <c r="H73" s="46">
        <v>1715.13</v>
      </c>
    </row>
    <row r="74" spans="1:8" ht="15" x14ac:dyDescent="0.2">
      <c r="A74" s="41" t="s">
        <v>628</v>
      </c>
      <c r="B74" s="41" t="s">
        <v>631</v>
      </c>
      <c r="C74" s="41" t="s">
        <v>6487</v>
      </c>
      <c r="D74" s="278" t="str">
        <f>VLOOKUP(A:A,'Master Table'!C:D,2,FALSE)</f>
        <v>1753</v>
      </c>
      <c r="E74" s="278"/>
      <c r="F74" s="43">
        <v>680.74</v>
      </c>
      <c r="G74" s="44">
        <v>952.65</v>
      </c>
      <c r="H74" s="46">
        <v>611</v>
      </c>
    </row>
    <row r="75" spans="1:8" ht="15" x14ac:dyDescent="0.2">
      <c r="A75" s="41" t="s">
        <v>632</v>
      </c>
      <c r="B75" s="41" t="s">
        <v>340</v>
      </c>
      <c r="C75" s="41" t="s">
        <v>7228</v>
      </c>
      <c r="D75" s="278" t="str">
        <f>VLOOKUP(A:A,'Master Table'!C:D,2,FALSE)</f>
        <v>1754</v>
      </c>
      <c r="E75" s="278"/>
      <c r="F75" s="43">
        <v>700.47</v>
      </c>
      <c r="G75" s="44">
        <v>621.72</v>
      </c>
      <c r="H75" s="46">
        <v>583.91000000000008</v>
      </c>
    </row>
    <row r="76" spans="1:8" ht="15" x14ac:dyDescent="0.2">
      <c r="A76" s="41" t="s">
        <v>635</v>
      </c>
      <c r="B76" s="41" t="s">
        <v>637</v>
      </c>
      <c r="C76" s="41" t="s">
        <v>78</v>
      </c>
      <c r="D76" s="278" t="str">
        <f>VLOOKUP(A:A,'Master Table'!C:D,2,FALSE)</f>
        <v>1756</v>
      </c>
      <c r="E76" s="278"/>
      <c r="F76" s="43">
        <v>910.77</v>
      </c>
      <c r="G76" s="44">
        <v>447.2</v>
      </c>
      <c r="H76" s="46">
        <v>547</v>
      </c>
    </row>
    <row r="77" spans="1:8" ht="15" x14ac:dyDescent="0.2">
      <c r="A77" s="41" t="s">
        <v>638</v>
      </c>
      <c r="B77" s="41" t="s">
        <v>7229</v>
      </c>
      <c r="C77" s="41" t="s">
        <v>5069</v>
      </c>
      <c r="D77" s="278" t="str">
        <f>VLOOKUP(A:A,'Master Table'!C:D,2,FALSE)</f>
        <v>1757</v>
      </c>
      <c r="E77" s="278"/>
      <c r="F77" s="43">
        <v>701.62</v>
      </c>
      <c r="G77" s="44">
        <v>640.69000000000005</v>
      </c>
      <c r="H77" s="46">
        <v>935.41000000000008</v>
      </c>
    </row>
    <row r="78" spans="1:8" ht="15" x14ac:dyDescent="0.2">
      <c r="A78" s="48" t="s">
        <v>7230</v>
      </c>
      <c r="B78" s="41" t="s">
        <v>7231</v>
      </c>
      <c r="C78" s="41" t="s">
        <v>7232</v>
      </c>
      <c r="D78" s="278" t="e">
        <f>VLOOKUP(A:A,'Master Table'!C:D,2,FALSE)</f>
        <v>#N/A</v>
      </c>
      <c r="E78" s="278"/>
      <c r="F78" s="43">
        <v>2471.36</v>
      </c>
      <c r="G78" s="44">
        <v>2590.75</v>
      </c>
      <c r="H78" s="46">
        <v>2228.08</v>
      </c>
    </row>
    <row r="79" spans="1:8" ht="15" x14ac:dyDescent="0.2">
      <c r="A79" s="41" t="s">
        <v>646</v>
      </c>
      <c r="B79" s="41" t="s">
        <v>649</v>
      </c>
      <c r="C79" s="41" t="s">
        <v>648</v>
      </c>
      <c r="D79" s="278" t="str">
        <f>VLOOKUP(A:A,'Master Table'!C:D,2,FALSE)</f>
        <v>1759</v>
      </c>
      <c r="E79" s="278"/>
      <c r="F79" s="43">
        <v>1091.8</v>
      </c>
      <c r="G79" s="44">
        <v>978</v>
      </c>
      <c r="H79" s="46">
        <v>1052.2</v>
      </c>
    </row>
    <row r="80" spans="1:8" ht="15" x14ac:dyDescent="0.2">
      <c r="A80" s="41" t="s">
        <v>650</v>
      </c>
      <c r="B80" s="41" t="s">
        <v>7233</v>
      </c>
      <c r="C80" s="41" t="s">
        <v>5806</v>
      </c>
      <c r="D80" s="278" t="str">
        <f>VLOOKUP(A:A,'Master Table'!C:D,2,FALSE)</f>
        <v>1760</v>
      </c>
      <c r="E80" s="278"/>
      <c r="F80" s="43">
        <v>1814.9</v>
      </c>
      <c r="G80" s="44">
        <v>1533.81</v>
      </c>
      <c r="H80" s="46">
        <v>4034.86</v>
      </c>
    </row>
    <row r="81" spans="1:8" ht="15" x14ac:dyDescent="0.2">
      <c r="A81" s="41" t="s">
        <v>654</v>
      </c>
      <c r="B81" s="41" t="s">
        <v>7234</v>
      </c>
      <c r="C81" s="41" t="s">
        <v>1284</v>
      </c>
      <c r="D81" s="278" t="str">
        <f>VLOOKUP(A:A,'Master Table'!C:D,2,FALSE)</f>
        <v>1761</v>
      </c>
      <c r="E81" s="278"/>
      <c r="F81" s="43">
        <v>233.33</v>
      </c>
      <c r="G81" s="44">
        <v>179.99</v>
      </c>
      <c r="H81" s="46">
        <v>220.35</v>
      </c>
    </row>
    <row r="82" spans="1:8" ht="15" x14ac:dyDescent="0.2">
      <c r="A82" s="41" t="s">
        <v>657</v>
      </c>
      <c r="B82" s="41" t="s">
        <v>7235</v>
      </c>
      <c r="C82" s="41" t="s">
        <v>659</v>
      </c>
      <c r="D82" s="278" t="str">
        <f>VLOOKUP(A:A,'Master Table'!C:D,2,FALSE)</f>
        <v>1762</v>
      </c>
      <c r="E82" s="278"/>
      <c r="F82" s="43">
        <v>541.79999999999995</v>
      </c>
      <c r="G82" s="44">
        <v>608.27</v>
      </c>
      <c r="H82" s="46">
        <v>616.45000000000005</v>
      </c>
    </row>
    <row r="83" spans="1:8" ht="15" x14ac:dyDescent="0.2">
      <c r="A83" s="41" t="s">
        <v>661</v>
      </c>
      <c r="B83" s="41" t="s">
        <v>7236</v>
      </c>
      <c r="C83" s="41" t="s">
        <v>1871</v>
      </c>
      <c r="D83" s="278" t="str">
        <f>VLOOKUP(A:A,'Master Table'!C:D,2,FALSE)</f>
        <v>1763</v>
      </c>
      <c r="E83" s="278"/>
      <c r="F83" s="43">
        <v>256</v>
      </c>
      <c r="G83" s="44">
        <v>361</v>
      </c>
      <c r="H83" s="46">
        <v>721</v>
      </c>
    </row>
    <row r="84" spans="1:8" ht="15" x14ac:dyDescent="0.2">
      <c r="A84" s="41" t="s">
        <v>668</v>
      </c>
      <c r="B84" s="41" t="s">
        <v>671</v>
      </c>
      <c r="C84" s="41" t="s">
        <v>670</v>
      </c>
      <c r="D84" s="278" t="str">
        <f>VLOOKUP(A:A,'Master Table'!C:D,2,FALSE)</f>
        <v>1765</v>
      </c>
      <c r="E84" s="278"/>
      <c r="F84" s="43">
        <v>1493.34</v>
      </c>
      <c r="G84" s="44">
        <v>1795.37</v>
      </c>
      <c r="H84" s="46">
        <v>1283.71</v>
      </c>
    </row>
    <row r="85" spans="1:8" ht="15" x14ac:dyDescent="0.2">
      <c r="A85" s="41" t="s">
        <v>672</v>
      </c>
      <c r="B85" s="51" t="s">
        <v>7237</v>
      </c>
      <c r="C85" s="51" t="s">
        <v>7238</v>
      </c>
      <c r="D85" s="278" t="str">
        <f>VLOOKUP(A:A,'Master Table'!C:D,2,FALSE)</f>
        <v>1766</v>
      </c>
      <c r="E85" s="278"/>
      <c r="F85" s="43">
        <v>1111.75</v>
      </c>
      <c r="G85" s="44">
        <v>2046.5</v>
      </c>
      <c r="H85" s="46">
        <v>2110</v>
      </c>
    </row>
    <row r="86" spans="1:8" ht="15" x14ac:dyDescent="0.2">
      <c r="A86" s="41" t="s">
        <v>679</v>
      </c>
      <c r="B86" s="41" t="s">
        <v>681</v>
      </c>
      <c r="C86" s="41" t="s">
        <v>2900</v>
      </c>
      <c r="D86" s="278" t="str">
        <f>VLOOKUP(A:A,'Master Table'!C:D,2,FALSE)</f>
        <v>1767</v>
      </c>
      <c r="E86" s="278"/>
      <c r="F86" s="43">
        <v>493.3</v>
      </c>
      <c r="G86" s="44">
        <v>526.03</v>
      </c>
      <c r="H86" s="46">
        <v>360.65999999999997</v>
      </c>
    </row>
    <row r="87" spans="1:8" ht="15" x14ac:dyDescent="0.2">
      <c r="A87" s="41" t="s">
        <v>682</v>
      </c>
      <c r="B87" s="41" t="s">
        <v>7239</v>
      </c>
      <c r="C87" s="41" t="s">
        <v>72</v>
      </c>
      <c r="D87" s="278" t="str">
        <f>VLOOKUP(A:A,'Master Table'!C:D,2,FALSE)</f>
        <v>1769</v>
      </c>
      <c r="E87" s="278"/>
      <c r="F87" s="43">
        <v>2106.06</v>
      </c>
      <c r="G87" s="44">
        <v>1933.73</v>
      </c>
      <c r="H87" s="46">
        <v>2519.71</v>
      </c>
    </row>
    <row r="88" spans="1:8" ht="15" x14ac:dyDescent="0.2">
      <c r="A88" s="41" t="s">
        <v>684</v>
      </c>
      <c r="B88" s="47" t="s">
        <v>687</v>
      </c>
      <c r="C88" s="41" t="s">
        <v>378</v>
      </c>
      <c r="D88" s="278" t="str">
        <f>VLOOKUP(A:A,'Master Table'!C:D,2,FALSE)</f>
        <v>1770</v>
      </c>
      <c r="E88" s="278"/>
      <c r="F88" s="43">
        <v>0</v>
      </c>
      <c r="G88" s="44">
        <v>180</v>
      </c>
      <c r="H88" s="46">
        <v>180</v>
      </c>
    </row>
    <row r="89" spans="1:8" ht="15" x14ac:dyDescent="0.2">
      <c r="A89" s="41" t="s">
        <v>695</v>
      </c>
      <c r="B89" s="41" t="s">
        <v>698</v>
      </c>
      <c r="C89" s="41" t="s">
        <v>697</v>
      </c>
      <c r="D89" s="278" t="str">
        <f>VLOOKUP(A:A,'Master Table'!C:D,2,FALSE)</f>
        <v>1772</v>
      </c>
      <c r="E89" s="278"/>
      <c r="F89" s="43">
        <v>776.51</v>
      </c>
      <c r="G89" s="44">
        <v>776.8</v>
      </c>
      <c r="H89" s="46">
        <v>880.53</v>
      </c>
    </row>
    <row r="90" spans="1:8" ht="15" x14ac:dyDescent="0.2">
      <c r="A90" s="41" t="s">
        <v>699</v>
      </c>
      <c r="B90" s="41" t="s">
        <v>7240</v>
      </c>
      <c r="C90" s="41" t="s">
        <v>701</v>
      </c>
      <c r="D90" s="278" t="str">
        <f>VLOOKUP(A:A,'Master Table'!C:D,2,FALSE)</f>
        <v>1773</v>
      </c>
      <c r="E90" s="278"/>
      <c r="F90" s="43">
        <v>1097.5</v>
      </c>
      <c r="G90" s="44">
        <v>1193.3200000000002</v>
      </c>
      <c r="H90" s="46">
        <v>1628.52</v>
      </c>
    </row>
    <row r="91" spans="1:8" ht="15" x14ac:dyDescent="0.2">
      <c r="A91" s="41" t="s">
        <v>703</v>
      </c>
      <c r="B91" s="41" t="s">
        <v>706</v>
      </c>
      <c r="C91" s="41" t="s">
        <v>532</v>
      </c>
      <c r="D91" s="278" t="str">
        <f>VLOOKUP(A:A,'Master Table'!C:D,2,FALSE)</f>
        <v>1774</v>
      </c>
      <c r="E91" s="278"/>
      <c r="F91" s="43">
        <v>695</v>
      </c>
      <c r="G91" s="44">
        <v>780</v>
      </c>
      <c r="H91" s="46">
        <v>752</v>
      </c>
    </row>
    <row r="92" spans="1:8" ht="15" x14ac:dyDescent="0.2">
      <c r="A92" s="41" t="s">
        <v>707</v>
      </c>
      <c r="B92" s="41" t="s">
        <v>660</v>
      </c>
      <c r="C92" s="41" t="s">
        <v>1409</v>
      </c>
      <c r="D92" s="278" t="str">
        <f>VLOOKUP(A:A,'Master Table'!C:D,2,FALSE)</f>
        <v>1775</v>
      </c>
      <c r="E92" s="278"/>
      <c r="F92" s="43">
        <v>130</v>
      </c>
      <c r="G92" s="44">
        <v>152</v>
      </c>
      <c r="H92" s="46">
        <v>249.34</v>
      </c>
    </row>
    <row r="93" spans="1:8" ht="15" x14ac:dyDescent="0.2">
      <c r="A93" s="41" t="s">
        <v>711</v>
      </c>
      <c r="B93" s="41" t="s">
        <v>7241</v>
      </c>
      <c r="C93" s="41" t="s">
        <v>713</v>
      </c>
      <c r="D93" s="278" t="str">
        <f>VLOOKUP(A:A,'Master Table'!C:D,2,FALSE)</f>
        <v>1776</v>
      </c>
      <c r="E93" s="278"/>
      <c r="F93" s="43">
        <v>334</v>
      </c>
      <c r="G93" s="44">
        <v>330</v>
      </c>
      <c r="H93" s="46">
        <v>140</v>
      </c>
    </row>
    <row r="94" spans="1:8" ht="15" x14ac:dyDescent="0.2">
      <c r="A94" s="41" t="s">
        <v>715</v>
      </c>
      <c r="B94" s="41" t="s">
        <v>717</v>
      </c>
      <c r="C94" s="41" t="s">
        <v>453</v>
      </c>
      <c r="D94" s="278" t="str">
        <f>VLOOKUP(A:A,'Master Table'!C:D,2,FALSE)</f>
        <v>1777</v>
      </c>
      <c r="E94" s="278"/>
      <c r="F94" s="43">
        <v>1250.9100000000001</v>
      </c>
      <c r="G94" s="44">
        <v>1631.93</v>
      </c>
      <c r="H94" s="46">
        <v>1608.4099999999999</v>
      </c>
    </row>
    <row r="95" spans="1:8" ht="15" x14ac:dyDescent="0.2">
      <c r="A95" s="41" t="s">
        <v>718</v>
      </c>
      <c r="B95" s="41" t="s">
        <v>721</v>
      </c>
      <c r="C95" s="41" t="s">
        <v>7242</v>
      </c>
      <c r="D95" s="278" t="str">
        <f>VLOOKUP(A:A,'Master Table'!C:D,2,FALSE)</f>
        <v>1778</v>
      </c>
      <c r="E95" s="278"/>
      <c r="F95" s="43">
        <v>165.51</v>
      </c>
      <c r="G95" s="44">
        <v>452.03000000000003</v>
      </c>
      <c r="H95" s="46">
        <v>680.18000000000006</v>
      </c>
    </row>
    <row r="96" spans="1:8" ht="15" x14ac:dyDescent="0.2">
      <c r="A96" s="41" t="s">
        <v>722</v>
      </c>
      <c r="B96" s="41" t="s">
        <v>7243</v>
      </c>
      <c r="C96" s="41" t="s">
        <v>1065</v>
      </c>
      <c r="D96" s="278" t="str">
        <f>VLOOKUP(A:A,'Master Table'!C:D,2,FALSE)</f>
        <v>1779</v>
      </c>
      <c r="E96" s="278"/>
      <c r="F96" s="43">
        <v>489.49</v>
      </c>
      <c r="G96" s="44">
        <v>485.3</v>
      </c>
      <c r="H96" s="46">
        <v>640.77</v>
      </c>
    </row>
    <row r="97" spans="1:8" ht="15" x14ac:dyDescent="0.2">
      <c r="A97" s="41" t="s">
        <v>725</v>
      </c>
      <c r="B97" s="41" t="s">
        <v>7244</v>
      </c>
      <c r="C97" s="41" t="s">
        <v>727</v>
      </c>
      <c r="D97" s="278" t="str">
        <f>VLOOKUP(A:A,'Master Table'!C:D,2,FALSE)</f>
        <v>1781</v>
      </c>
      <c r="E97" s="278"/>
      <c r="F97" s="43">
        <v>2063.02</v>
      </c>
      <c r="G97" s="44">
        <v>2183.8900000000003</v>
      </c>
      <c r="H97" s="46">
        <v>2233.23</v>
      </c>
    </row>
    <row r="98" spans="1:8" ht="15" x14ac:dyDescent="0.2">
      <c r="A98" s="50" t="s">
        <v>7245</v>
      </c>
      <c r="B98" s="41" t="s">
        <v>7246</v>
      </c>
      <c r="C98" s="41" t="s">
        <v>7247</v>
      </c>
      <c r="D98" s="278" t="e">
        <f>VLOOKUP(A:A,'Master Table'!C:D,2,FALSE)</f>
        <v>#N/A</v>
      </c>
      <c r="E98" s="278"/>
      <c r="F98" s="43">
        <v>1991.51</v>
      </c>
      <c r="G98" s="44">
        <v>2051.96</v>
      </c>
      <c r="H98" s="46">
        <v>1842.44</v>
      </c>
    </row>
    <row r="99" spans="1:8" ht="15" x14ac:dyDescent="0.2">
      <c r="A99" s="41" t="s">
        <v>738</v>
      </c>
      <c r="B99" s="41" t="s">
        <v>7248</v>
      </c>
      <c r="C99" s="41" t="s">
        <v>740</v>
      </c>
      <c r="D99" s="278" t="str">
        <f>VLOOKUP(A:A,'Master Table'!C:D,2,FALSE)</f>
        <v>1783</v>
      </c>
      <c r="E99" s="278"/>
      <c r="F99" s="43">
        <v>380.48</v>
      </c>
      <c r="G99" s="44">
        <v>457.82</v>
      </c>
      <c r="H99" s="46">
        <v>314.07</v>
      </c>
    </row>
    <row r="100" spans="1:8" ht="15" x14ac:dyDescent="0.2">
      <c r="A100" s="41" t="s">
        <v>741</v>
      </c>
      <c r="B100" s="41" t="s">
        <v>7249</v>
      </c>
      <c r="C100" s="41" t="s">
        <v>743</v>
      </c>
      <c r="D100" s="278" t="str">
        <f>VLOOKUP(A:A,'Master Table'!C:D,2,FALSE)</f>
        <v>1784</v>
      </c>
      <c r="E100" s="278"/>
      <c r="F100" s="43">
        <v>378.52</v>
      </c>
      <c r="G100" s="44">
        <v>855.09</v>
      </c>
      <c r="H100" s="46">
        <v>1064.7</v>
      </c>
    </row>
    <row r="101" spans="1:8" ht="15" x14ac:dyDescent="0.2">
      <c r="A101" s="41" t="s">
        <v>745</v>
      </c>
      <c r="B101" s="41" t="s">
        <v>7250</v>
      </c>
      <c r="C101" s="41" t="s">
        <v>747</v>
      </c>
      <c r="D101" s="278" t="str">
        <f>VLOOKUP(A:A,'Master Table'!C:D,2,FALSE)</f>
        <v>1785</v>
      </c>
      <c r="E101" s="278"/>
      <c r="F101" s="43">
        <v>2350.9899999999998</v>
      </c>
      <c r="G101" s="44">
        <v>1810.62</v>
      </c>
      <c r="H101" s="46">
        <v>1931.75</v>
      </c>
    </row>
    <row r="102" spans="1:8" ht="15" x14ac:dyDescent="0.2">
      <c r="A102" s="41" t="s">
        <v>749</v>
      </c>
      <c r="B102" s="41" t="s">
        <v>7251</v>
      </c>
      <c r="C102" s="41" t="s">
        <v>72</v>
      </c>
      <c r="D102" s="278" t="str">
        <f>VLOOKUP(A:A,'Master Table'!C:D,2,FALSE)</f>
        <v>1786</v>
      </c>
      <c r="E102" s="278"/>
      <c r="F102" s="43">
        <v>330</v>
      </c>
      <c r="G102" s="44">
        <v>344.2</v>
      </c>
      <c r="H102" s="46">
        <v>337.46</v>
      </c>
    </row>
    <row r="103" spans="1:8" ht="15" x14ac:dyDescent="0.2">
      <c r="A103" s="41" t="s">
        <v>753</v>
      </c>
      <c r="B103" s="41" t="s">
        <v>756</v>
      </c>
      <c r="C103" s="41" t="s">
        <v>164</v>
      </c>
      <c r="D103" s="278" t="str">
        <f>VLOOKUP(A:A,'Master Table'!C:D,2,FALSE)</f>
        <v>1787</v>
      </c>
      <c r="E103" s="278"/>
      <c r="F103" s="43">
        <v>2675.11</v>
      </c>
      <c r="G103" s="44">
        <v>2125.9499999999998</v>
      </c>
      <c r="H103" s="46">
        <v>2211.08</v>
      </c>
    </row>
    <row r="104" spans="1:8" ht="15" x14ac:dyDescent="0.2">
      <c r="A104" s="41" t="s">
        <v>758</v>
      </c>
      <c r="B104" s="41" t="s">
        <v>7252</v>
      </c>
      <c r="C104" s="41" t="s">
        <v>1203</v>
      </c>
      <c r="D104" s="278" t="str">
        <f>VLOOKUP(A:A,'Master Table'!C:D,2,FALSE)</f>
        <v>1788</v>
      </c>
      <c r="E104" s="278"/>
      <c r="F104" s="43">
        <v>2362.9300000000003</v>
      </c>
      <c r="G104" s="44">
        <v>2411.7200000000003</v>
      </c>
      <c r="H104" s="46">
        <v>2354.04</v>
      </c>
    </row>
    <row r="105" spans="1:8" ht="15" x14ac:dyDescent="0.2">
      <c r="A105" s="41" t="s">
        <v>7253</v>
      </c>
      <c r="B105" s="41" t="s">
        <v>7254</v>
      </c>
      <c r="C105" s="41" t="s">
        <v>764</v>
      </c>
      <c r="D105" s="278" t="e">
        <f>VLOOKUP(A:A,'Master Table'!C:D,2,FALSE)</f>
        <v>#N/A</v>
      </c>
      <c r="E105" s="278"/>
      <c r="F105" s="43">
        <v>1361.67</v>
      </c>
      <c r="G105" s="44">
        <v>1561.01</v>
      </c>
      <c r="H105" s="46">
        <v>1429</v>
      </c>
    </row>
    <row r="106" spans="1:8" ht="15" x14ac:dyDescent="0.2">
      <c r="A106" s="41" t="s">
        <v>765</v>
      </c>
      <c r="B106" s="41" t="s">
        <v>7255</v>
      </c>
      <c r="C106" s="47" t="s">
        <v>1284</v>
      </c>
      <c r="D106" s="278" t="str">
        <f>VLOOKUP(A:A,'Master Table'!C:D,2,FALSE)</f>
        <v>1790</v>
      </c>
      <c r="E106" s="278"/>
      <c r="F106" s="43">
        <v>877.75</v>
      </c>
      <c r="G106" s="44">
        <v>1130.0700000000002</v>
      </c>
      <c r="H106" s="46">
        <v>1096.78</v>
      </c>
    </row>
    <row r="107" spans="1:8" ht="15" x14ac:dyDescent="0.2">
      <c r="A107" s="41" t="s">
        <v>773</v>
      </c>
      <c r="B107" s="41" t="s">
        <v>776</v>
      </c>
      <c r="C107" s="41" t="s">
        <v>7256</v>
      </c>
      <c r="D107" s="278" t="str">
        <f>VLOOKUP(A:A,'Master Table'!C:D,2,FALSE)</f>
        <v>1791</v>
      </c>
      <c r="E107" s="278"/>
      <c r="F107" s="43">
        <v>1744.95</v>
      </c>
      <c r="G107" s="44">
        <v>2099</v>
      </c>
      <c r="H107" s="46">
        <v>2231</v>
      </c>
    </row>
    <row r="108" spans="1:8" ht="15" x14ac:dyDescent="0.2">
      <c r="A108" s="41" t="s">
        <v>777</v>
      </c>
      <c r="B108" s="41" t="s">
        <v>780</v>
      </c>
      <c r="C108" s="41" t="s">
        <v>5371</v>
      </c>
      <c r="D108" s="278" t="str">
        <f>VLOOKUP(A:A,'Master Table'!C:D,2,FALSE)</f>
        <v>1792</v>
      </c>
      <c r="E108" s="278"/>
      <c r="F108" s="43">
        <v>1929.83</v>
      </c>
      <c r="G108" s="44">
        <v>1466.29</v>
      </c>
      <c r="H108" s="46">
        <v>1231.8499999999999</v>
      </c>
    </row>
    <row r="109" spans="1:8" ht="15" x14ac:dyDescent="0.2">
      <c r="A109" s="41" t="s">
        <v>781</v>
      </c>
      <c r="B109" s="41" t="s">
        <v>784</v>
      </c>
      <c r="C109" s="41" t="s">
        <v>783</v>
      </c>
      <c r="D109" s="278" t="str">
        <f>VLOOKUP(A:A,'Master Table'!C:D,2,FALSE)</f>
        <v>1793</v>
      </c>
      <c r="E109" s="278"/>
      <c r="F109" s="43">
        <v>3386.74</v>
      </c>
      <c r="G109" s="44">
        <v>3306.9</v>
      </c>
      <c r="H109" s="46">
        <v>3500.67</v>
      </c>
    </row>
    <row r="110" spans="1:8" ht="15" x14ac:dyDescent="0.2">
      <c r="A110" s="41" t="s">
        <v>786</v>
      </c>
      <c r="B110" s="41" t="s">
        <v>789</v>
      </c>
      <c r="C110" s="41" t="s">
        <v>788</v>
      </c>
      <c r="D110" s="278" t="str">
        <f>VLOOKUP(A:A,'Master Table'!C:D,2,FALSE)</f>
        <v>1794</v>
      </c>
      <c r="E110" s="278"/>
      <c r="F110" s="43">
        <v>1120.03</v>
      </c>
      <c r="G110" s="44">
        <v>1296.21</v>
      </c>
      <c r="H110" s="46">
        <v>1394.28</v>
      </c>
    </row>
    <row r="111" spans="1:8" ht="15" x14ac:dyDescent="0.2">
      <c r="A111" s="41" t="s">
        <v>790</v>
      </c>
      <c r="B111" s="41" t="s">
        <v>793</v>
      </c>
      <c r="C111" s="41" t="s">
        <v>792</v>
      </c>
      <c r="D111" s="278" t="str">
        <f>VLOOKUP(A:A,'Master Table'!C:D,2,FALSE)</f>
        <v>1795</v>
      </c>
      <c r="E111" s="278"/>
      <c r="F111" s="43">
        <v>6964.89</v>
      </c>
      <c r="G111" s="44">
        <v>6525</v>
      </c>
      <c r="H111" s="46">
        <v>6633</v>
      </c>
    </row>
    <row r="112" spans="1:8" ht="15" x14ac:dyDescent="0.2">
      <c r="A112" s="41" t="s">
        <v>794</v>
      </c>
      <c r="B112" s="41" t="s">
        <v>613</v>
      </c>
      <c r="C112" s="41" t="s">
        <v>2759</v>
      </c>
      <c r="D112" s="278" t="str">
        <f>VLOOKUP(A:A,'Master Table'!C:D,2,FALSE)</f>
        <v>1796</v>
      </c>
      <c r="E112" s="278"/>
      <c r="F112" s="43">
        <v>9328.0400000000009</v>
      </c>
      <c r="G112" s="44">
        <v>9898.98</v>
      </c>
      <c r="H112" s="46">
        <v>7967.68</v>
      </c>
    </row>
    <row r="113" spans="1:8" ht="15" x14ac:dyDescent="0.2">
      <c r="A113" s="41" t="s">
        <v>799</v>
      </c>
      <c r="B113" s="41" t="s">
        <v>7257</v>
      </c>
      <c r="C113" s="41" t="s">
        <v>158</v>
      </c>
      <c r="D113" s="278" t="str">
        <f>VLOOKUP(A:A,'Master Table'!C:D,2,FALSE)</f>
        <v>1797</v>
      </c>
      <c r="E113" s="278"/>
      <c r="F113" s="43">
        <v>635</v>
      </c>
      <c r="G113" s="44">
        <v>546.5</v>
      </c>
      <c r="H113" s="46">
        <v>506</v>
      </c>
    </row>
    <row r="114" spans="1:8" ht="15" x14ac:dyDescent="0.2">
      <c r="A114" s="41" t="s">
        <v>802</v>
      </c>
      <c r="B114" s="41" t="s">
        <v>7258</v>
      </c>
      <c r="C114" s="41" t="s">
        <v>783</v>
      </c>
      <c r="D114" s="278" t="str">
        <f>VLOOKUP(A:A,'Master Table'!C:D,2,FALSE)</f>
        <v>1798</v>
      </c>
      <c r="E114" s="278"/>
      <c r="F114" s="43">
        <v>75</v>
      </c>
      <c r="G114" s="44">
        <v>205</v>
      </c>
      <c r="H114" s="46">
        <v>25</v>
      </c>
    </row>
    <row r="115" spans="1:8" ht="15" x14ac:dyDescent="0.2">
      <c r="A115" s="41" t="s">
        <v>807</v>
      </c>
      <c r="B115" s="41" t="s">
        <v>538</v>
      </c>
      <c r="C115" s="41" t="s">
        <v>1004</v>
      </c>
      <c r="D115" s="278" t="str">
        <f>VLOOKUP(A:A,'Master Table'!C:D,2,FALSE)</f>
        <v>1799</v>
      </c>
      <c r="E115" s="278"/>
      <c r="F115" s="43">
        <v>540</v>
      </c>
      <c r="G115" s="44">
        <v>780</v>
      </c>
      <c r="H115" s="46">
        <v>655</v>
      </c>
    </row>
    <row r="116" spans="1:8" ht="15" x14ac:dyDescent="0.2">
      <c r="A116" s="41" t="s">
        <v>814</v>
      </c>
      <c r="B116" s="41" t="s">
        <v>538</v>
      </c>
      <c r="C116" s="41" t="s">
        <v>1489</v>
      </c>
      <c r="D116" s="278" t="str">
        <f>VLOOKUP(A:A,'Master Table'!C:D,2,FALSE)</f>
        <v>1801</v>
      </c>
      <c r="E116" s="278"/>
      <c r="F116" s="43">
        <v>575.36</v>
      </c>
      <c r="G116" s="44">
        <v>579</v>
      </c>
      <c r="H116" s="46">
        <v>529</v>
      </c>
    </row>
    <row r="117" spans="1:8" ht="15" x14ac:dyDescent="0.2">
      <c r="A117" s="48" t="s">
        <v>7259</v>
      </c>
      <c r="B117" s="48" t="s">
        <v>7260</v>
      </c>
      <c r="C117" s="48" t="s">
        <v>7261</v>
      </c>
      <c r="D117" s="278" t="e">
        <f>VLOOKUP(A:A,'Master Table'!C:D,2,FALSE)</f>
        <v>#N/A</v>
      </c>
      <c r="E117" s="278"/>
      <c r="F117" s="43">
        <v>941</v>
      </c>
      <c r="G117" s="44">
        <v>1001.5699999999999</v>
      </c>
      <c r="H117" s="46">
        <v>180.76</v>
      </c>
    </row>
    <row r="118" spans="1:8" ht="15.75" x14ac:dyDescent="0.2">
      <c r="A118" s="52" t="s">
        <v>307</v>
      </c>
      <c r="B118" s="52"/>
      <c r="C118" s="52"/>
      <c r="D118" s="278"/>
      <c r="E118" s="279"/>
      <c r="F118" s="54">
        <v>157183.72</v>
      </c>
      <c r="G118" s="55">
        <v>164287.07</v>
      </c>
      <c r="H118" s="56">
        <v>162881.15000000005</v>
      </c>
    </row>
    <row r="119" spans="1:8" s="62" customFormat="1" x14ac:dyDescent="0.2">
      <c r="A119" s="60" t="s">
        <v>7262</v>
      </c>
      <c r="B119" s="60"/>
      <c r="C119" s="60"/>
      <c r="D119" s="275"/>
      <c r="E119" s="275"/>
      <c r="F119" s="61"/>
      <c r="G119" s="61"/>
      <c r="H119" s="60"/>
    </row>
    <row r="120" spans="1:8" ht="20.25" x14ac:dyDescent="0.2">
      <c r="A120" s="246" t="s">
        <v>7263</v>
      </c>
      <c r="B120" s="246"/>
      <c r="C120" s="246"/>
      <c r="D120" s="280"/>
      <c r="E120" s="280"/>
      <c r="F120" s="247"/>
    </row>
    <row r="121" spans="1:8" ht="15.75" x14ac:dyDescent="0.2">
      <c r="A121" s="65" t="s">
        <v>1</v>
      </c>
      <c r="B121" s="65" t="s">
        <v>2</v>
      </c>
      <c r="C121" s="65" t="s">
        <v>3</v>
      </c>
      <c r="D121" s="281" t="s">
        <v>8165</v>
      </c>
      <c r="E121" s="281">
        <f>E3</f>
        <v>2019</v>
      </c>
      <c r="F121" s="66">
        <v>2018</v>
      </c>
    </row>
    <row r="122" spans="1:8" ht="15" x14ac:dyDescent="0.2">
      <c r="A122" s="75" t="s">
        <v>829</v>
      </c>
      <c r="B122" s="75" t="s">
        <v>7265</v>
      </c>
      <c r="C122" s="75" t="s">
        <v>5141</v>
      </c>
      <c r="D122" s="278" t="str">
        <f>VLOOKUP(A:A,'Master Table'!C:D,2,FALSE)</f>
        <v>1806</v>
      </c>
      <c r="E122" s="282"/>
      <c r="F122" s="77">
        <v>635.09</v>
      </c>
    </row>
    <row r="123" spans="1:8" ht="15" x14ac:dyDescent="0.2">
      <c r="A123" s="75" t="s">
        <v>833</v>
      </c>
      <c r="B123" s="75" t="s">
        <v>836</v>
      </c>
      <c r="C123" s="75" t="s">
        <v>1634</v>
      </c>
      <c r="D123" s="278" t="str">
        <f>VLOOKUP(A:A,'Master Table'!C:D,2,FALSE)</f>
        <v>1807</v>
      </c>
      <c r="E123" s="282"/>
      <c r="F123" s="77">
        <v>10846</v>
      </c>
    </row>
    <row r="124" spans="1:8" ht="15" x14ac:dyDescent="0.2">
      <c r="A124" s="75" t="s">
        <v>837</v>
      </c>
      <c r="B124" s="78" t="s">
        <v>7266</v>
      </c>
      <c r="C124" s="75" t="s">
        <v>7267</v>
      </c>
      <c r="D124" s="278" t="str">
        <f>VLOOKUP(A:A,'Master Table'!C:D,2,FALSE)</f>
        <v>1808</v>
      </c>
      <c r="E124" s="282"/>
      <c r="F124" s="77">
        <v>191.88</v>
      </c>
    </row>
    <row r="125" spans="1:8" ht="15" x14ac:dyDescent="0.2">
      <c r="A125" s="75" t="s">
        <v>841</v>
      </c>
      <c r="B125" s="75" t="s">
        <v>843</v>
      </c>
      <c r="C125" s="75" t="s">
        <v>246</v>
      </c>
      <c r="D125" s="278" t="str">
        <f>VLOOKUP(A:A,'Master Table'!C:D,2,FALSE)</f>
        <v>1809</v>
      </c>
      <c r="E125" s="282"/>
      <c r="F125" s="77">
        <v>492.67</v>
      </c>
    </row>
    <row r="126" spans="1:8" ht="15" x14ac:dyDescent="0.2">
      <c r="A126" s="75" t="s">
        <v>844</v>
      </c>
      <c r="B126" s="75" t="s">
        <v>847</v>
      </c>
      <c r="C126" s="75" t="s">
        <v>846</v>
      </c>
      <c r="D126" s="278" t="str">
        <f>VLOOKUP(A:A,'Master Table'!C:D,2,FALSE)</f>
        <v>1810</v>
      </c>
      <c r="E126" s="282"/>
      <c r="F126" s="77">
        <v>336.93</v>
      </c>
    </row>
    <row r="127" spans="1:8" ht="15" x14ac:dyDescent="0.2">
      <c r="A127" s="78" t="s">
        <v>848</v>
      </c>
      <c r="B127" s="78" t="s">
        <v>851</v>
      </c>
      <c r="C127" s="78" t="s">
        <v>7268</v>
      </c>
      <c r="D127" s="278" t="str">
        <f>VLOOKUP(A:A,'Master Table'!C:D,2,FALSE)</f>
        <v>1811</v>
      </c>
      <c r="E127" s="282"/>
      <c r="F127" s="77">
        <v>139.57</v>
      </c>
    </row>
    <row r="128" spans="1:8" ht="15" x14ac:dyDescent="0.2">
      <c r="A128" s="75" t="s">
        <v>852</v>
      </c>
      <c r="B128" s="75" t="s">
        <v>854</v>
      </c>
      <c r="C128" s="75" t="s">
        <v>1065</v>
      </c>
      <c r="D128" s="278" t="str">
        <f>VLOOKUP(A:A,'Master Table'!C:D,2,FALSE)</f>
        <v>1812</v>
      </c>
      <c r="E128" s="282"/>
      <c r="F128" s="77">
        <v>640.53</v>
      </c>
    </row>
    <row r="129" spans="1:6" ht="15" x14ac:dyDescent="0.2">
      <c r="A129" s="75" t="s">
        <v>855</v>
      </c>
      <c r="B129" s="75" t="s">
        <v>858</v>
      </c>
      <c r="C129" s="75" t="s">
        <v>5667</v>
      </c>
      <c r="D129" s="278" t="str">
        <f>VLOOKUP(A:A,'Master Table'!C:D,2,FALSE)</f>
        <v>1814</v>
      </c>
      <c r="E129" s="282"/>
      <c r="F129" s="77">
        <v>1113.81</v>
      </c>
    </row>
    <row r="130" spans="1:6" ht="15" x14ac:dyDescent="0.2">
      <c r="A130" s="75" t="s">
        <v>859</v>
      </c>
      <c r="B130" s="75" t="s">
        <v>864</v>
      </c>
      <c r="C130" s="75" t="s">
        <v>7269</v>
      </c>
      <c r="D130" s="278" t="str">
        <f>VLOOKUP(A:A,'Master Table'!C:D,2,FALSE)</f>
        <v>1815</v>
      </c>
      <c r="E130" s="282"/>
      <c r="F130" s="77">
        <v>1835.45</v>
      </c>
    </row>
    <row r="131" spans="1:6" ht="15" x14ac:dyDescent="0.2">
      <c r="A131" s="75" t="s">
        <v>862</v>
      </c>
      <c r="B131" s="75" t="s">
        <v>864</v>
      </c>
      <c r="C131" s="75" t="s">
        <v>7193</v>
      </c>
      <c r="D131" s="278" t="str">
        <f>VLOOKUP(A:A,'Master Table'!C:D,2,FALSE)</f>
        <v>1817</v>
      </c>
      <c r="E131" s="282"/>
      <c r="F131" s="77">
        <v>370.59</v>
      </c>
    </row>
    <row r="132" spans="1:6" ht="15" x14ac:dyDescent="0.2">
      <c r="A132" s="75" t="s">
        <v>865</v>
      </c>
      <c r="B132" s="75" t="s">
        <v>868</v>
      </c>
      <c r="C132" s="75" t="s">
        <v>7270</v>
      </c>
      <c r="D132" s="278" t="str">
        <f>VLOOKUP(A:A,'Master Table'!C:D,2,FALSE)</f>
        <v>1818</v>
      </c>
      <c r="E132" s="282"/>
      <c r="F132" s="77">
        <v>802.13</v>
      </c>
    </row>
    <row r="133" spans="1:6" ht="15" x14ac:dyDescent="0.2">
      <c r="A133" s="75" t="s">
        <v>870</v>
      </c>
      <c r="B133" s="75" t="s">
        <v>7271</v>
      </c>
      <c r="C133" s="75" t="s">
        <v>7267</v>
      </c>
      <c r="D133" s="278" t="str">
        <f>VLOOKUP(A:A,'Master Table'!C:D,2,FALSE)</f>
        <v>1819</v>
      </c>
      <c r="E133" s="282"/>
      <c r="F133" s="77">
        <v>145.80000000000001</v>
      </c>
    </row>
    <row r="134" spans="1:6" ht="15" x14ac:dyDescent="0.2">
      <c r="A134" s="75" t="s">
        <v>873</v>
      </c>
      <c r="B134" s="75" t="s">
        <v>7272</v>
      </c>
      <c r="C134" s="75" t="s">
        <v>158</v>
      </c>
      <c r="D134" s="278" t="str">
        <f>VLOOKUP(A:A,'Master Table'!C:D,2,FALSE)</f>
        <v>1820</v>
      </c>
      <c r="E134" s="282"/>
      <c r="F134" s="77">
        <v>0</v>
      </c>
    </row>
    <row r="135" spans="1:6" ht="15" x14ac:dyDescent="0.2">
      <c r="A135" s="75" t="s">
        <v>876</v>
      </c>
      <c r="B135" s="75" t="s">
        <v>879</v>
      </c>
      <c r="C135" s="75" t="s">
        <v>4227</v>
      </c>
      <c r="D135" s="278" t="str">
        <f>VLOOKUP(A:A,'Master Table'!C:D,2,FALSE)</f>
        <v>1821</v>
      </c>
      <c r="E135" s="282"/>
      <c r="F135" s="77">
        <v>6795.29</v>
      </c>
    </row>
    <row r="136" spans="1:6" ht="15" x14ac:dyDescent="0.2">
      <c r="A136" s="75" t="s">
        <v>880</v>
      </c>
      <c r="B136" s="75" t="s">
        <v>883</v>
      </c>
      <c r="C136" s="75" t="s">
        <v>7273</v>
      </c>
      <c r="D136" s="278" t="str">
        <f>VLOOKUP(A:A,'Master Table'!C:D,2,FALSE)</f>
        <v>1823</v>
      </c>
      <c r="E136" s="282"/>
      <c r="F136" s="77">
        <v>5398.48</v>
      </c>
    </row>
    <row r="137" spans="1:6" ht="15" x14ac:dyDescent="0.2">
      <c r="A137" s="75" t="s">
        <v>885</v>
      </c>
      <c r="B137" s="75" t="s">
        <v>888</v>
      </c>
      <c r="C137" s="75" t="s">
        <v>1724</v>
      </c>
      <c r="D137" s="278" t="str">
        <f>VLOOKUP(A:A,'Master Table'!C:D,2,FALSE)</f>
        <v>1824</v>
      </c>
      <c r="E137" s="282"/>
      <c r="F137" s="77">
        <v>1935</v>
      </c>
    </row>
    <row r="138" spans="1:6" ht="15" x14ac:dyDescent="0.2">
      <c r="A138" s="75" t="s">
        <v>890</v>
      </c>
      <c r="B138" s="75" t="s">
        <v>893</v>
      </c>
      <c r="C138" s="75" t="s">
        <v>7274</v>
      </c>
      <c r="D138" s="278" t="str">
        <f>VLOOKUP(A:A,'Master Table'!C:D,2,FALSE)</f>
        <v>1825</v>
      </c>
      <c r="E138" s="282"/>
      <c r="F138" s="77">
        <v>1461.45</v>
      </c>
    </row>
    <row r="139" spans="1:6" ht="15" x14ac:dyDescent="0.2">
      <c r="A139" s="75" t="s">
        <v>894</v>
      </c>
      <c r="B139" s="75" t="s">
        <v>7275</v>
      </c>
      <c r="C139" s="75" t="s">
        <v>5152</v>
      </c>
      <c r="D139" s="278" t="str">
        <f>VLOOKUP(A:A,'Master Table'!C:D,2,FALSE)</f>
        <v>1826</v>
      </c>
      <c r="E139" s="282"/>
      <c r="F139" s="77">
        <v>55</v>
      </c>
    </row>
    <row r="140" spans="1:6" ht="15" x14ac:dyDescent="0.2">
      <c r="A140" s="75" t="s">
        <v>898</v>
      </c>
      <c r="B140" s="75" t="s">
        <v>897</v>
      </c>
      <c r="C140" s="75" t="s">
        <v>1484</v>
      </c>
      <c r="D140" s="278" t="str">
        <f>VLOOKUP(A:A,'Master Table'!C:D,2,FALSE)</f>
        <v>1827</v>
      </c>
      <c r="E140" s="282"/>
      <c r="F140" s="77">
        <v>836.23</v>
      </c>
    </row>
    <row r="141" spans="1:6" ht="15" x14ac:dyDescent="0.2">
      <c r="A141" s="75" t="s">
        <v>902</v>
      </c>
      <c r="B141" s="75" t="s">
        <v>7276</v>
      </c>
      <c r="C141" s="75" t="s">
        <v>226</v>
      </c>
      <c r="D141" s="278" t="str">
        <f>VLOOKUP(A:A,'Master Table'!C:D,2,FALSE)</f>
        <v>1828</v>
      </c>
      <c r="E141" s="282"/>
      <c r="F141" s="77">
        <v>110</v>
      </c>
    </row>
    <row r="142" spans="1:6" ht="15" x14ac:dyDescent="0.2">
      <c r="A142" s="75" t="s">
        <v>905</v>
      </c>
      <c r="B142" s="75" t="s">
        <v>907</v>
      </c>
      <c r="C142" s="75" t="s">
        <v>2759</v>
      </c>
      <c r="D142" s="278" t="str">
        <f>VLOOKUP(A:A,'Master Table'!C:D,2,FALSE)</f>
        <v>1829</v>
      </c>
      <c r="E142" s="282"/>
      <c r="F142" s="77">
        <v>3889.46</v>
      </c>
    </row>
    <row r="143" spans="1:6" ht="15" x14ac:dyDescent="0.2">
      <c r="A143" s="75" t="s">
        <v>908</v>
      </c>
      <c r="B143" s="75" t="s">
        <v>911</v>
      </c>
      <c r="C143" s="75" t="s">
        <v>7277</v>
      </c>
      <c r="D143" s="278" t="str">
        <f>VLOOKUP(A:A,'Master Table'!C:D,2,FALSE)</f>
        <v>1830</v>
      </c>
      <c r="E143" s="282"/>
      <c r="F143" s="77">
        <v>3813.06</v>
      </c>
    </row>
    <row r="144" spans="1:6" ht="15" x14ac:dyDescent="0.2">
      <c r="A144" s="75" t="s">
        <v>912</v>
      </c>
      <c r="B144" s="75" t="s">
        <v>911</v>
      </c>
      <c r="C144" s="75" t="s">
        <v>2667</v>
      </c>
      <c r="D144" s="278" t="str">
        <f>VLOOKUP(A:A,'Master Table'!C:D,2,FALSE)</f>
        <v>1831</v>
      </c>
      <c r="E144" s="282"/>
      <c r="F144" s="77">
        <v>565.22</v>
      </c>
    </row>
    <row r="145" spans="1:6" ht="15" x14ac:dyDescent="0.2">
      <c r="A145" s="75" t="s">
        <v>914</v>
      </c>
      <c r="B145" s="75" t="s">
        <v>917</v>
      </c>
      <c r="C145" s="75" t="s">
        <v>7278</v>
      </c>
      <c r="D145" s="278" t="str">
        <f>VLOOKUP(A:A,'Master Table'!C:D,2,FALSE)</f>
        <v>1832</v>
      </c>
      <c r="E145" s="282"/>
      <c r="F145" s="77">
        <v>1083.7</v>
      </c>
    </row>
    <row r="146" spans="1:6" ht="15" x14ac:dyDescent="0.2">
      <c r="A146" s="75" t="s">
        <v>918</v>
      </c>
      <c r="B146" s="75" t="s">
        <v>920</v>
      </c>
      <c r="C146" s="75" t="s">
        <v>127</v>
      </c>
      <c r="D146" s="278" t="str">
        <f>VLOOKUP(A:A,'Master Table'!C:D,2,FALSE)</f>
        <v>1833</v>
      </c>
      <c r="E146" s="282"/>
      <c r="F146" s="77">
        <v>3376</v>
      </c>
    </row>
    <row r="147" spans="1:6" ht="15" x14ac:dyDescent="0.2">
      <c r="A147" s="78" t="s">
        <v>924</v>
      </c>
      <c r="B147" s="78" t="s">
        <v>926</v>
      </c>
      <c r="C147" s="78" t="s">
        <v>7279</v>
      </c>
      <c r="D147" s="278" t="str">
        <f>VLOOKUP(A:A,'Master Table'!C:D,2,FALSE)</f>
        <v>1835</v>
      </c>
      <c r="E147" s="282"/>
      <c r="F147" s="77">
        <v>34.549999999999997</v>
      </c>
    </row>
    <row r="148" spans="1:6" ht="15" x14ac:dyDescent="0.2">
      <c r="A148" s="75" t="s">
        <v>927</v>
      </c>
      <c r="B148" s="75" t="s">
        <v>930</v>
      </c>
      <c r="C148" s="75" t="s">
        <v>929</v>
      </c>
      <c r="D148" s="278" t="str">
        <f>VLOOKUP(A:A,'Master Table'!C:D,2,FALSE)</f>
        <v>1836</v>
      </c>
      <c r="E148" s="282"/>
      <c r="F148" s="77">
        <v>1052.4099999999999</v>
      </c>
    </row>
    <row r="149" spans="1:6" ht="15" x14ac:dyDescent="0.2">
      <c r="A149" s="75" t="s">
        <v>932</v>
      </c>
      <c r="B149" s="75" t="s">
        <v>935</v>
      </c>
      <c r="C149" s="75" t="s">
        <v>7280</v>
      </c>
      <c r="D149" s="278" t="str">
        <f>VLOOKUP(A:A,'Master Table'!C:D,2,FALSE)</f>
        <v>1837</v>
      </c>
      <c r="E149" s="282"/>
      <c r="F149" s="77">
        <v>90</v>
      </c>
    </row>
    <row r="150" spans="1:6" ht="15" x14ac:dyDescent="0.2">
      <c r="A150" s="75" t="s">
        <v>936</v>
      </c>
      <c r="B150" s="75" t="s">
        <v>939</v>
      </c>
      <c r="C150" s="75" t="s">
        <v>938</v>
      </c>
      <c r="D150" s="278" t="str">
        <f>VLOOKUP(A:A,'Master Table'!C:D,2,FALSE)</f>
        <v>1839</v>
      </c>
      <c r="E150" s="282"/>
      <c r="F150" s="77">
        <v>877</v>
      </c>
    </row>
    <row r="151" spans="1:6" ht="15" x14ac:dyDescent="0.2">
      <c r="A151" s="75" t="s">
        <v>940</v>
      </c>
      <c r="B151" s="75" t="s">
        <v>943</v>
      </c>
      <c r="C151" s="75" t="s">
        <v>942</v>
      </c>
      <c r="D151" s="278" t="str">
        <f>VLOOKUP(A:A,'Master Table'!C:D,2,FALSE)</f>
        <v>1840</v>
      </c>
      <c r="E151" s="282"/>
      <c r="F151" s="77">
        <v>1292</v>
      </c>
    </row>
    <row r="152" spans="1:6" ht="15" x14ac:dyDescent="0.2">
      <c r="A152" s="75" t="s">
        <v>944</v>
      </c>
      <c r="B152" s="75" t="s">
        <v>946</v>
      </c>
      <c r="C152" s="75" t="s">
        <v>740</v>
      </c>
      <c r="D152" s="278" t="str">
        <f>VLOOKUP(A:A,'Master Table'!C:D,2,FALSE)</f>
        <v>1841</v>
      </c>
      <c r="E152" s="282"/>
      <c r="F152" s="77">
        <v>1912.14</v>
      </c>
    </row>
    <row r="153" spans="1:6" ht="15" x14ac:dyDescent="0.2">
      <c r="A153" s="75" t="s">
        <v>948</v>
      </c>
      <c r="B153" s="75" t="s">
        <v>951</v>
      </c>
      <c r="C153" s="75" t="s">
        <v>7281</v>
      </c>
      <c r="D153" s="278" t="str">
        <f>VLOOKUP(A:A,'Master Table'!C:D,2,FALSE)</f>
        <v>1842</v>
      </c>
      <c r="E153" s="282"/>
      <c r="F153" s="77">
        <v>1043.98</v>
      </c>
    </row>
    <row r="154" spans="1:6" ht="15" x14ac:dyDescent="0.2">
      <c r="A154" s="75" t="s">
        <v>953</v>
      </c>
      <c r="B154" s="75" t="s">
        <v>956</v>
      </c>
      <c r="C154" s="75" t="s">
        <v>955</v>
      </c>
      <c r="D154" s="278" t="str">
        <f>VLOOKUP(A:A,'Master Table'!C:D,2,FALSE)</f>
        <v>1843</v>
      </c>
      <c r="E154" s="282"/>
      <c r="F154" s="77">
        <v>535.79</v>
      </c>
    </row>
    <row r="155" spans="1:6" ht="15" x14ac:dyDescent="0.2">
      <c r="A155" s="75" t="s">
        <v>957</v>
      </c>
      <c r="B155" s="75" t="s">
        <v>960</v>
      </c>
      <c r="C155" s="75" t="s">
        <v>7282</v>
      </c>
      <c r="D155" s="278" t="str">
        <f>VLOOKUP(A:A,'Master Table'!C:D,2,FALSE)</f>
        <v>1844</v>
      </c>
      <c r="E155" s="282"/>
      <c r="F155" s="77">
        <v>4591.33</v>
      </c>
    </row>
    <row r="156" spans="1:6" ht="15" x14ac:dyDescent="0.2">
      <c r="A156" s="75" t="s">
        <v>961</v>
      </c>
      <c r="B156" s="75" t="s">
        <v>963</v>
      </c>
      <c r="C156" s="75" t="s">
        <v>453</v>
      </c>
      <c r="D156" s="278" t="str">
        <f>VLOOKUP(A:A,'Master Table'!C:D,2,FALSE)</f>
        <v>1845</v>
      </c>
      <c r="E156" s="282"/>
      <c r="F156" s="77">
        <v>1251.6300000000001</v>
      </c>
    </row>
    <row r="157" spans="1:6" ht="15" x14ac:dyDescent="0.2">
      <c r="A157" s="75" t="s">
        <v>965</v>
      </c>
      <c r="B157" s="75" t="s">
        <v>967</v>
      </c>
      <c r="C157" s="75" t="s">
        <v>1165</v>
      </c>
      <c r="D157" s="278" t="str">
        <f>VLOOKUP(A:A,'Master Table'!C:D,2,FALSE)</f>
        <v>1846</v>
      </c>
      <c r="E157" s="282"/>
      <c r="F157" s="77">
        <v>5888.77</v>
      </c>
    </row>
    <row r="158" spans="1:6" ht="15" x14ac:dyDescent="0.2">
      <c r="A158" s="75" t="s">
        <v>968</v>
      </c>
      <c r="B158" s="75" t="s">
        <v>970</v>
      </c>
      <c r="C158" s="75" t="s">
        <v>1047</v>
      </c>
      <c r="D158" s="278" t="str">
        <f>VLOOKUP(A:A,'Master Table'!C:D,2,FALSE)</f>
        <v>1847</v>
      </c>
      <c r="E158" s="282"/>
      <c r="F158" s="77">
        <v>366.16</v>
      </c>
    </row>
    <row r="159" spans="1:6" ht="15" x14ac:dyDescent="0.2">
      <c r="A159" s="75" t="s">
        <v>972</v>
      </c>
      <c r="B159" s="75" t="s">
        <v>974</v>
      </c>
      <c r="C159" s="75" t="s">
        <v>7216</v>
      </c>
      <c r="D159" s="278" t="str">
        <f>VLOOKUP(A:A,'Master Table'!C:D,2,FALSE)</f>
        <v>1848</v>
      </c>
      <c r="E159" s="282"/>
      <c r="F159" s="77">
        <v>6463.9400000000005</v>
      </c>
    </row>
    <row r="160" spans="1:6" ht="15" x14ac:dyDescent="0.2">
      <c r="A160" s="75" t="s">
        <v>975</v>
      </c>
      <c r="B160" s="75" t="s">
        <v>978</v>
      </c>
      <c r="C160" s="75" t="s">
        <v>783</v>
      </c>
      <c r="D160" s="278" t="str">
        <f>VLOOKUP(A:A,'Master Table'!C:D,2,FALSE)</f>
        <v>1849</v>
      </c>
      <c r="E160" s="282"/>
      <c r="F160" s="77">
        <v>753.65</v>
      </c>
    </row>
    <row r="161" spans="1:6" ht="15" x14ac:dyDescent="0.2">
      <c r="A161" s="75" t="s">
        <v>979</v>
      </c>
      <c r="B161" s="75" t="s">
        <v>982</v>
      </c>
      <c r="C161" s="75" t="s">
        <v>7283</v>
      </c>
      <c r="D161" s="278" t="str">
        <f>VLOOKUP(A:A,'Master Table'!C:D,2,FALSE)</f>
        <v>1850</v>
      </c>
      <c r="E161" s="282"/>
      <c r="F161" s="77">
        <v>1109.76</v>
      </c>
    </row>
    <row r="162" spans="1:6" ht="15" x14ac:dyDescent="0.2">
      <c r="A162" s="75" t="s">
        <v>983</v>
      </c>
      <c r="B162" s="75" t="s">
        <v>986</v>
      </c>
      <c r="C162" s="75" t="s">
        <v>7284</v>
      </c>
      <c r="D162" s="278" t="str">
        <f>VLOOKUP(A:A,'Master Table'!C:D,2,FALSE)</f>
        <v>1851</v>
      </c>
      <c r="E162" s="282"/>
      <c r="F162" s="77">
        <v>747.97</v>
      </c>
    </row>
    <row r="163" spans="1:6" ht="15" x14ac:dyDescent="0.2">
      <c r="A163" s="75" t="s">
        <v>987</v>
      </c>
      <c r="B163" s="75" t="s">
        <v>990</v>
      </c>
      <c r="C163" s="75" t="s">
        <v>2578</v>
      </c>
      <c r="D163" s="278" t="str">
        <f>VLOOKUP(A:A,'Master Table'!C:D,2,FALSE)</f>
        <v>1852</v>
      </c>
      <c r="E163" s="282"/>
      <c r="F163" s="77">
        <v>3531.45</v>
      </c>
    </row>
    <row r="164" spans="1:6" ht="15" x14ac:dyDescent="0.2">
      <c r="A164" s="75" t="s">
        <v>992</v>
      </c>
      <c r="B164" s="75" t="s">
        <v>994</v>
      </c>
      <c r="C164" s="75" t="s">
        <v>1203</v>
      </c>
      <c r="D164" s="278" t="str">
        <f>VLOOKUP(A:A,'Master Table'!C:D,2,FALSE)</f>
        <v>1853</v>
      </c>
      <c r="E164" s="282"/>
      <c r="F164" s="77">
        <v>3100.07</v>
      </c>
    </row>
    <row r="165" spans="1:6" ht="15" x14ac:dyDescent="0.2">
      <c r="A165" s="75" t="s">
        <v>995</v>
      </c>
      <c r="B165" s="75" t="s">
        <v>7285</v>
      </c>
      <c r="C165" s="75" t="s">
        <v>7286</v>
      </c>
      <c r="D165" s="278" t="str">
        <f>VLOOKUP(A:A,'Master Table'!C:D,2,FALSE)</f>
        <v>1854</v>
      </c>
      <c r="E165" s="282"/>
      <c r="F165" s="77">
        <v>40</v>
      </c>
    </row>
    <row r="166" spans="1:6" ht="15" x14ac:dyDescent="0.2">
      <c r="A166" s="75" t="s">
        <v>1002</v>
      </c>
      <c r="B166" s="75" t="s">
        <v>1005</v>
      </c>
      <c r="C166" s="75" t="s">
        <v>1004</v>
      </c>
      <c r="D166" s="278" t="str">
        <f>VLOOKUP(A:A,'Master Table'!C:D,2,FALSE)</f>
        <v>1855</v>
      </c>
      <c r="E166" s="282"/>
      <c r="F166" s="77">
        <v>1621.91</v>
      </c>
    </row>
    <row r="167" spans="1:6" ht="15" x14ac:dyDescent="0.2">
      <c r="A167" s="75" t="s">
        <v>1006</v>
      </c>
      <c r="B167" s="79" t="s">
        <v>30</v>
      </c>
      <c r="C167" s="79" t="s">
        <v>1008</v>
      </c>
      <c r="D167" s="278" t="str">
        <f>VLOOKUP(A:A,'Master Table'!C:D,2,FALSE)</f>
        <v>1856</v>
      </c>
      <c r="E167" s="282"/>
      <c r="F167" s="77">
        <v>616.34</v>
      </c>
    </row>
    <row r="168" spans="1:6" ht="15" x14ac:dyDescent="0.2">
      <c r="A168" s="75" t="s">
        <v>1013</v>
      </c>
      <c r="B168" s="75" t="s">
        <v>1016</v>
      </c>
      <c r="C168" s="75" t="s">
        <v>5211</v>
      </c>
      <c r="D168" s="278" t="str">
        <f>VLOOKUP(A:A,'Master Table'!C:D,2,FALSE)</f>
        <v>1859</v>
      </c>
      <c r="E168" s="282"/>
      <c r="F168" s="77">
        <v>225</v>
      </c>
    </row>
    <row r="169" spans="1:6" ht="15" x14ac:dyDescent="0.2">
      <c r="A169" s="75" t="s">
        <v>1017</v>
      </c>
      <c r="B169" s="75" t="s">
        <v>1019</v>
      </c>
      <c r="C169" s="75" t="s">
        <v>896</v>
      </c>
      <c r="D169" s="278" t="str">
        <f>VLOOKUP(A:A,'Master Table'!C:D,2,FALSE)</f>
        <v>1860</v>
      </c>
      <c r="E169" s="282"/>
      <c r="F169" s="77">
        <v>256.19</v>
      </c>
    </row>
    <row r="170" spans="1:6" ht="15" x14ac:dyDescent="0.2">
      <c r="A170" s="75" t="s">
        <v>1020</v>
      </c>
      <c r="B170" s="75" t="s">
        <v>1022</v>
      </c>
      <c r="C170" s="75" t="s">
        <v>164</v>
      </c>
      <c r="D170" s="278" t="str">
        <f>VLOOKUP(A:A,'Master Table'!C:D,2,FALSE)</f>
        <v>1861</v>
      </c>
      <c r="E170" s="282"/>
      <c r="F170" s="77">
        <v>1449.01</v>
      </c>
    </row>
    <row r="171" spans="1:6" ht="15" x14ac:dyDescent="0.2">
      <c r="A171" s="75" t="s">
        <v>1024</v>
      </c>
      <c r="B171" s="75" t="s">
        <v>1022</v>
      </c>
      <c r="C171" s="75" t="s">
        <v>1026</v>
      </c>
      <c r="D171" s="278" t="str">
        <f>VLOOKUP(A:A,'Master Table'!C:D,2,FALSE)</f>
        <v>1862</v>
      </c>
      <c r="E171" s="282"/>
      <c r="F171" s="77">
        <v>1182.83</v>
      </c>
    </row>
    <row r="172" spans="1:6" ht="15" x14ac:dyDescent="0.2">
      <c r="A172" s="75" t="s">
        <v>1030</v>
      </c>
      <c r="B172" s="75" t="s">
        <v>1033</v>
      </c>
      <c r="C172" s="75" t="s">
        <v>1032</v>
      </c>
      <c r="D172" s="278" t="str">
        <f>VLOOKUP(A:A,'Master Table'!C:D,2,FALSE)</f>
        <v>1863</v>
      </c>
      <c r="E172" s="282"/>
      <c r="F172" s="77">
        <v>380.9</v>
      </c>
    </row>
    <row r="173" spans="1:6" ht="15" x14ac:dyDescent="0.2">
      <c r="A173" s="75" t="s">
        <v>1034</v>
      </c>
      <c r="B173" s="75" t="s">
        <v>1037</v>
      </c>
      <c r="C173" s="75" t="s">
        <v>7287</v>
      </c>
      <c r="D173" s="278" t="str">
        <f>VLOOKUP(A:A,'Master Table'!C:D,2,FALSE)</f>
        <v>1864</v>
      </c>
      <c r="E173" s="282"/>
      <c r="F173" s="77">
        <v>2456</v>
      </c>
    </row>
    <row r="174" spans="1:6" ht="15" x14ac:dyDescent="0.2">
      <c r="A174" s="75" t="s">
        <v>1039</v>
      </c>
      <c r="B174" s="75" t="s">
        <v>1041</v>
      </c>
      <c r="C174" s="75" t="s">
        <v>896</v>
      </c>
      <c r="D174" s="278" t="str">
        <f>VLOOKUP(A:A,'Master Table'!C:D,2,FALSE)</f>
        <v>1865</v>
      </c>
      <c r="E174" s="282"/>
      <c r="F174" s="77">
        <v>1372</v>
      </c>
    </row>
    <row r="175" spans="1:6" ht="15" x14ac:dyDescent="0.2">
      <c r="A175" s="75" t="s">
        <v>1042</v>
      </c>
      <c r="B175" s="75" t="s">
        <v>1044</v>
      </c>
      <c r="C175" s="75" t="s">
        <v>297</v>
      </c>
      <c r="D175" s="278" t="str">
        <f>VLOOKUP(A:A,'Master Table'!C:D,2,FALSE)</f>
        <v>1867</v>
      </c>
      <c r="E175" s="282"/>
      <c r="F175" s="77">
        <v>1080.6399999999999</v>
      </c>
    </row>
    <row r="176" spans="1:6" ht="15" x14ac:dyDescent="0.2">
      <c r="A176" s="75" t="s">
        <v>1045</v>
      </c>
      <c r="B176" s="75" t="s">
        <v>1048</v>
      </c>
      <c r="C176" s="75" t="s">
        <v>1047</v>
      </c>
      <c r="D176" s="278" t="str">
        <f>VLOOKUP(A:A,'Master Table'!C:D,2,FALSE)</f>
        <v>1868</v>
      </c>
      <c r="E176" s="282"/>
      <c r="F176" s="77">
        <v>1830</v>
      </c>
    </row>
    <row r="177" spans="1:6" ht="15" x14ac:dyDescent="0.2">
      <c r="A177" s="78" t="s">
        <v>1049</v>
      </c>
      <c r="B177" s="78" t="s">
        <v>7288</v>
      </c>
      <c r="C177" s="78" t="s">
        <v>7289</v>
      </c>
      <c r="D177" s="278" t="str">
        <f>VLOOKUP(A:A,'Master Table'!C:D,2,FALSE)</f>
        <v>1869</v>
      </c>
      <c r="E177" s="282"/>
      <c r="F177" s="77">
        <v>0</v>
      </c>
    </row>
    <row r="178" spans="1:6" ht="15" x14ac:dyDescent="0.2">
      <c r="A178" s="75" t="s">
        <v>1052</v>
      </c>
      <c r="B178" s="75" t="s">
        <v>1055</v>
      </c>
      <c r="C178" s="75" t="s">
        <v>1371</v>
      </c>
      <c r="D178" s="278" t="str">
        <f>VLOOKUP(A:A,'Master Table'!C:D,2,FALSE)</f>
        <v>1870</v>
      </c>
      <c r="E178" s="282"/>
      <c r="F178" s="77">
        <v>2074.58</v>
      </c>
    </row>
    <row r="179" spans="1:6" ht="15" x14ac:dyDescent="0.2">
      <c r="A179" s="75" t="s">
        <v>7290</v>
      </c>
      <c r="B179" s="75" t="s">
        <v>7291</v>
      </c>
      <c r="C179" s="75" t="s">
        <v>7292</v>
      </c>
      <c r="D179" s="278" t="e">
        <f>VLOOKUP(A:A,'Master Table'!C:D,2,FALSE)</f>
        <v>#N/A</v>
      </c>
      <c r="E179" s="282"/>
      <c r="F179" s="77">
        <v>175</v>
      </c>
    </row>
    <row r="180" spans="1:6" ht="15" x14ac:dyDescent="0.2">
      <c r="A180" s="75" t="s">
        <v>1063</v>
      </c>
      <c r="B180" s="75" t="s">
        <v>1066</v>
      </c>
      <c r="C180" s="75" t="s">
        <v>1065</v>
      </c>
      <c r="D180" s="278" t="str">
        <f>VLOOKUP(A:A,'Master Table'!C:D,2,FALSE)</f>
        <v>1873</v>
      </c>
      <c r="E180" s="282"/>
      <c r="F180" s="77">
        <v>654.37</v>
      </c>
    </row>
    <row r="181" spans="1:6" ht="15" x14ac:dyDescent="0.2">
      <c r="A181" s="75" t="s">
        <v>1067</v>
      </c>
      <c r="B181" s="75" t="s">
        <v>1069</v>
      </c>
      <c r="C181" s="75" t="s">
        <v>226</v>
      </c>
      <c r="D181" s="278" t="str">
        <f>VLOOKUP(A:A,'Master Table'!C:D,2,FALSE)</f>
        <v>1874</v>
      </c>
      <c r="E181" s="282"/>
      <c r="F181" s="77">
        <v>907.2</v>
      </c>
    </row>
    <row r="182" spans="1:6" ht="15" x14ac:dyDescent="0.2">
      <c r="A182" s="75" t="s">
        <v>1071</v>
      </c>
      <c r="B182" s="75" t="s">
        <v>1073</v>
      </c>
      <c r="C182" s="75" t="s">
        <v>226</v>
      </c>
      <c r="D182" s="278" t="str">
        <f>VLOOKUP(A:A,'Master Table'!C:D,2,FALSE)</f>
        <v>1875</v>
      </c>
      <c r="E182" s="282"/>
      <c r="F182" s="77">
        <v>468.56</v>
      </c>
    </row>
    <row r="183" spans="1:6" ht="15" x14ac:dyDescent="0.2">
      <c r="A183" s="75" t="s">
        <v>1074</v>
      </c>
      <c r="B183" s="75" t="s">
        <v>1077</v>
      </c>
      <c r="C183" s="75" t="s">
        <v>1076</v>
      </c>
      <c r="D183" s="278" t="str">
        <f>VLOOKUP(A:A,'Master Table'!C:D,2,FALSE)</f>
        <v>1876</v>
      </c>
      <c r="E183" s="282"/>
      <c r="F183" s="77">
        <v>1099.58</v>
      </c>
    </row>
    <row r="184" spans="1:6" ht="15" x14ac:dyDescent="0.2">
      <c r="A184" s="75" t="s">
        <v>1078</v>
      </c>
      <c r="B184" s="75" t="s">
        <v>1080</v>
      </c>
      <c r="C184" s="75" t="s">
        <v>1065</v>
      </c>
      <c r="D184" s="278" t="str">
        <f>VLOOKUP(A:A,'Master Table'!C:D,2,FALSE)</f>
        <v>1877</v>
      </c>
      <c r="E184" s="282"/>
      <c r="F184" s="77">
        <v>3360.04</v>
      </c>
    </row>
    <row r="185" spans="1:6" ht="15" x14ac:dyDescent="0.2">
      <c r="A185" s="75" t="s">
        <v>1082</v>
      </c>
      <c r="B185" s="75" t="s">
        <v>1084</v>
      </c>
      <c r="C185" s="75" t="s">
        <v>2896</v>
      </c>
      <c r="D185" s="278" t="str">
        <f>VLOOKUP(A:A,'Master Table'!C:D,2,FALSE)</f>
        <v>1878</v>
      </c>
      <c r="E185" s="282"/>
      <c r="F185" s="77">
        <v>862.87</v>
      </c>
    </row>
    <row r="186" spans="1:6" ht="15" x14ac:dyDescent="0.2">
      <c r="A186" s="75" t="s">
        <v>1085</v>
      </c>
      <c r="B186" s="75" t="s">
        <v>1088</v>
      </c>
      <c r="C186" s="75" t="s">
        <v>1087</v>
      </c>
      <c r="D186" s="278" t="str">
        <f>VLOOKUP(A:A,'Master Table'!C:D,2,FALSE)</f>
        <v>1879</v>
      </c>
      <c r="E186" s="282"/>
      <c r="F186" s="77">
        <v>679.87</v>
      </c>
    </row>
    <row r="187" spans="1:6" ht="15" x14ac:dyDescent="0.2">
      <c r="A187" s="75" t="s">
        <v>1089</v>
      </c>
      <c r="B187" s="75" t="s">
        <v>1092</v>
      </c>
      <c r="C187" s="75" t="s">
        <v>7293</v>
      </c>
      <c r="D187" s="278" t="str">
        <f>VLOOKUP(A:A,'Master Table'!C:D,2,FALSE)</f>
        <v>1880</v>
      </c>
      <c r="E187" s="282"/>
      <c r="F187" s="77">
        <v>1492.23</v>
      </c>
    </row>
    <row r="188" spans="1:6" ht="15" x14ac:dyDescent="0.2">
      <c r="A188" s="75" t="s">
        <v>1094</v>
      </c>
      <c r="B188" s="75" t="s">
        <v>1097</v>
      </c>
      <c r="C188" s="75" t="s">
        <v>1096</v>
      </c>
      <c r="D188" s="278" t="str">
        <f>VLOOKUP(A:A,'Master Table'!C:D,2,FALSE)</f>
        <v>1881</v>
      </c>
      <c r="E188" s="282"/>
      <c r="F188" s="77">
        <v>2673.6</v>
      </c>
    </row>
    <row r="189" spans="1:6" ht="15" x14ac:dyDescent="0.2">
      <c r="A189" s="75" t="s">
        <v>1098</v>
      </c>
      <c r="B189" s="75" t="s">
        <v>1100</v>
      </c>
      <c r="C189" s="75" t="s">
        <v>532</v>
      </c>
      <c r="D189" s="278" t="str">
        <f>VLOOKUP(A:A,'Master Table'!C:D,2,FALSE)</f>
        <v>1882</v>
      </c>
      <c r="E189" s="282"/>
      <c r="F189" s="77">
        <v>2201</v>
      </c>
    </row>
    <row r="190" spans="1:6" ht="15" x14ac:dyDescent="0.2">
      <c r="A190" s="75" t="s">
        <v>1105</v>
      </c>
      <c r="B190" s="78" t="s">
        <v>1108</v>
      </c>
      <c r="C190" s="78" t="s">
        <v>7294</v>
      </c>
      <c r="D190" s="278" t="str">
        <f>VLOOKUP(A:A,'Master Table'!C:D,2,FALSE)</f>
        <v>1883</v>
      </c>
      <c r="E190" s="282"/>
      <c r="F190" s="77">
        <v>849.99</v>
      </c>
    </row>
    <row r="191" spans="1:6" ht="15" x14ac:dyDescent="0.2">
      <c r="A191" s="75" t="s">
        <v>1109</v>
      </c>
      <c r="B191" s="75" t="s">
        <v>1112</v>
      </c>
      <c r="C191" s="75" t="s">
        <v>7295</v>
      </c>
      <c r="D191" s="278" t="str">
        <f>VLOOKUP(A:A,'Master Table'!C:D,2,FALSE)</f>
        <v>1884</v>
      </c>
      <c r="E191" s="282"/>
      <c r="F191" s="77">
        <v>2950</v>
      </c>
    </row>
    <row r="192" spans="1:6" ht="15" x14ac:dyDescent="0.2">
      <c r="A192" s="75" t="s">
        <v>1113</v>
      </c>
      <c r="B192" s="75" t="s">
        <v>7296</v>
      </c>
      <c r="C192" s="75" t="s">
        <v>7297</v>
      </c>
      <c r="D192" s="278" t="str">
        <f>VLOOKUP(A:A,'Master Table'!C:D,2,FALSE)</f>
        <v>1885</v>
      </c>
      <c r="E192" s="282"/>
      <c r="F192" s="77">
        <v>337.32</v>
      </c>
    </row>
    <row r="193" spans="1:6" ht="15" x14ac:dyDescent="0.2">
      <c r="A193" s="75" t="s">
        <v>1122</v>
      </c>
      <c r="B193" s="75" t="s">
        <v>1124</v>
      </c>
      <c r="C193" s="75" t="s">
        <v>532</v>
      </c>
      <c r="D193" s="278" t="str">
        <f>VLOOKUP(A:A,'Master Table'!C:D,2,FALSE)</f>
        <v>1886</v>
      </c>
      <c r="E193" s="282"/>
      <c r="F193" s="77">
        <v>1432.7</v>
      </c>
    </row>
    <row r="194" spans="1:6" ht="15" x14ac:dyDescent="0.2">
      <c r="A194" s="75" t="s">
        <v>7298</v>
      </c>
      <c r="B194" s="75" t="s">
        <v>7299</v>
      </c>
      <c r="C194" s="75" t="s">
        <v>7300</v>
      </c>
      <c r="D194" s="278" t="e">
        <f>VLOOKUP(A:A,'Master Table'!C:D,2,FALSE)</f>
        <v>#N/A</v>
      </c>
      <c r="E194" s="282"/>
      <c r="F194" s="77">
        <v>1162.0899999999999</v>
      </c>
    </row>
    <row r="195" spans="1:6" ht="15" x14ac:dyDescent="0.2">
      <c r="A195" s="75" t="s">
        <v>1130</v>
      </c>
      <c r="B195" s="75" t="s">
        <v>1132</v>
      </c>
      <c r="C195" s="75" t="s">
        <v>164</v>
      </c>
      <c r="D195" s="278" t="str">
        <f>VLOOKUP(A:A,'Master Table'!C:D,2,FALSE)</f>
        <v>1888</v>
      </c>
      <c r="E195" s="282"/>
      <c r="F195" s="77">
        <v>287.2</v>
      </c>
    </row>
    <row r="196" spans="1:6" ht="15" x14ac:dyDescent="0.2">
      <c r="A196" s="75" t="s">
        <v>1134</v>
      </c>
      <c r="B196" s="75" t="s">
        <v>1116</v>
      </c>
      <c r="C196" s="75" t="s">
        <v>1371</v>
      </c>
      <c r="D196" s="278" t="str">
        <f>VLOOKUP(A:A,'Master Table'!C:D,2,FALSE)</f>
        <v>1889</v>
      </c>
      <c r="E196" s="282"/>
      <c r="F196" s="77">
        <v>623.21</v>
      </c>
    </row>
    <row r="197" spans="1:6" ht="15" x14ac:dyDescent="0.2">
      <c r="A197" s="75" t="s">
        <v>7301</v>
      </c>
      <c r="B197" s="75" t="s">
        <v>7302</v>
      </c>
      <c r="C197" s="80" t="s">
        <v>7303</v>
      </c>
      <c r="D197" s="278" t="e">
        <f>VLOOKUP(A:A,'Master Table'!C:D,2,FALSE)</f>
        <v>#N/A</v>
      </c>
      <c r="E197" s="282"/>
      <c r="F197" s="77">
        <v>1207.23</v>
      </c>
    </row>
    <row r="198" spans="1:6" ht="15" x14ac:dyDescent="0.2">
      <c r="A198" s="75" t="s">
        <v>1141</v>
      </c>
      <c r="B198" s="75" t="s">
        <v>1144</v>
      </c>
      <c r="C198" s="75" t="s">
        <v>1762</v>
      </c>
      <c r="D198" s="278" t="str">
        <f>VLOOKUP(A:A,'Master Table'!C:D,2,FALSE)</f>
        <v>1891</v>
      </c>
      <c r="E198" s="282"/>
      <c r="F198" s="77">
        <v>1149.6300000000001</v>
      </c>
    </row>
    <row r="199" spans="1:6" ht="15" x14ac:dyDescent="0.2">
      <c r="A199" s="75" t="s">
        <v>1146</v>
      </c>
      <c r="B199" s="75" t="s">
        <v>1149</v>
      </c>
      <c r="C199" s="75" t="s">
        <v>5452</v>
      </c>
      <c r="D199" s="278" t="str">
        <f>VLOOKUP(A:A,'Master Table'!C:D,2,FALSE)</f>
        <v>1892</v>
      </c>
      <c r="E199" s="282"/>
      <c r="F199" s="77">
        <v>1118</v>
      </c>
    </row>
    <row r="200" spans="1:6" ht="15" x14ac:dyDescent="0.2">
      <c r="A200" s="75" t="s">
        <v>1150</v>
      </c>
      <c r="B200" s="75" t="s">
        <v>1153</v>
      </c>
      <c r="C200" s="75" t="s">
        <v>1867</v>
      </c>
      <c r="D200" s="278" t="str">
        <f>VLOOKUP(A:A,'Master Table'!C:D,2,FALSE)</f>
        <v>1894</v>
      </c>
      <c r="E200" s="282"/>
      <c r="F200" s="77">
        <v>2704.82</v>
      </c>
    </row>
    <row r="201" spans="1:6" ht="15" x14ac:dyDescent="0.2">
      <c r="A201" s="75" t="s">
        <v>1155</v>
      </c>
      <c r="B201" s="75" t="s">
        <v>1153</v>
      </c>
      <c r="C201" s="75" t="s">
        <v>1157</v>
      </c>
      <c r="D201" s="278" t="str">
        <f>VLOOKUP(A:A,'Master Table'!C:D,2,FALSE)</f>
        <v>1895</v>
      </c>
      <c r="E201" s="282"/>
      <c r="F201" s="77">
        <v>390</v>
      </c>
    </row>
    <row r="202" spans="1:6" ht="15" x14ac:dyDescent="0.2">
      <c r="A202" s="75" t="s">
        <v>1161</v>
      </c>
      <c r="B202" s="75" t="s">
        <v>1153</v>
      </c>
      <c r="C202" s="75" t="s">
        <v>7216</v>
      </c>
      <c r="D202" s="278" t="str">
        <f>VLOOKUP(A:A,'Master Table'!C:D,2,FALSE)</f>
        <v>1896</v>
      </c>
      <c r="E202" s="282"/>
      <c r="F202" s="77">
        <v>1469.53</v>
      </c>
    </row>
    <row r="203" spans="1:6" ht="15" x14ac:dyDescent="0.2">
      <c r="A203" s="75" t="s">
        <v>1163</v>
      </c>
      <c r="B203" s="75" t="s">
        <v>1153</v>
      </c>
      <c r="C203" s="75" t="s">
        <v>1165</v>
      </c>
      <c r="D203" s="278" t="str">
        <f>VLOOKUP(A:A,'Master Table'!C:D,2,FALSE)</f>
        <v>1897</v>
      </c>
      <c r="E203" s="282"/>
      <c r="F203" s="77">
        <v>1570</v>
      </c>
    </row>
    <row r="204" spans="1:6" ht="15" x14ac:dyDescent="0.2">
      <c r="A204" s="75" t="s">
        <v>1166</v>
      </c>
      <c r="B204" s="75" t="s">
        <v>1153</v>
      </c>
      <c r="C204" s="75" t="s">
        <v>7304</v>
      </c>
      <c r="D204" s="278" t="str">
        <f>VLOOKUP(A:A,'Master Table'!C:D,2,FALSE)</f>
        <v>1898</v>
      </c>
      <c r="E204" s="282"/>
      <c r="F204" s="77">
        <v>2000</v>
      </c>
    </row>
    <row r="205" spans="1:6" ht="15" x14ac:dyDescent="0.2">
      <c r="A205" s="75" t="s">
        <v>1168</v>
      </c>
      <c r="B205" s="75" t="s">
        <v>1153</v>
      </c>
      <c r="C205" s="75" t="s">
        <v>231</v>
      </c>
      <c r="D205" s="278" t="str">
        <f>VLOOKUP(A:A,'Master Table'!C:D,2,FALSE)</f>
        <v>1899</v>
      </c>
      <c r="E205" s="282"/>
      <c r="F205" s="77">
        <v>235</v>
      </c>
    </row>
    <row r="206" spans="1:6" ht="15" x14ac:dyDescent="0.2">
      <c r="A206" s="75" t="s">
        <v>1170</v>
      </c>
      <c r="B206" s="75" t="s">
        <v>1153</v>
      </c>
      <c r="C206" s="75" t="s">
        <v>839</v>
      </c>
      <c r="D206" s="278" t="str">
        <f>VLOOKUP(A:A,'Master Table'!C:D,2,FALSE)</f>
        <v>1900</v>
      </c>
      <c r="E206" s="282"/>
      <c r="F206" s="77">
        <v>830.15</v>
      </c>
    </row>
    <row r="207" spans="1:6" ht="15" x14ac:dyDescent="0.2">
      <c r="A207" s="75" t="s">
        <v>1172</v>
      </c>
      <c r="B207" s="75" t="s">
        <v>1153</v>
      </c>
      <c r="C207" s="75" t="s">
        <v>5249</v>
      </c>
      <c r="D207" s="278" t="str">
        <f>VLOOKUP(A:A,'Master Table'!C:D,2,FALSE)</f>
        <v>1901</v>
      </c>
      <c r="E207" s="282"/>
      <c r="F207" s="77">
        <v>1296</v>
      </c>
    </row>
    <row r="208" spans="1:6" ht="15" x14ac:dyDescent="0.2">
      <c r="A208" s="75" t="s">
        <v>1175</v>
      </c>
      <c r="B208" s="75" t="s">
        <v>1153</v>
      </c>
      <c r="C208" s="75" t="s">
        <v>2578</v>
      </c>
      <c r="D208" s="278" t="str">
        <f>VLOOKUP(A:A,'Master Table'!C:D,2,FALSE)</f>
        <v>1903</v>
      </c>
      <c r="E208" s="282"/>
      <c r="F208" s="77">
        <v>845.59</v>
      </c>
    </row>
    <row r="209" spans="1:6" ht="15" x14ac:dyDescent="0.2">
      <c r="A209" s="75" t="s">
        <v>1178</v>
      </c>
      <c r="B209" s="75" t="s">
        <v>1153</v>
      </c>
      <c r="C209" s="75" t="s">
        <v>270</v>
      </c>
      <c r="D209" s="278" t="str">
        <f>VLOOKUP(A:A,'Master Table'!C:D,2,FALSE)</f>
        <v>1904</v>
      </c>
      <c r="E209" s="282"/>
      <c r="F209" s="77">
        <v>919.08</v>
      </c>
    </row>
    <row r="210" spans="1:6" ht="15" x14ac:dyDescent="0.2">
      <c r="A210" s="75" t="s">
        <v>1181</v>
      </c>
      <c r="B210" s="75" t="s">
        <v>1153</v>
      </c>
      <c r="C210" s="75" t="s">
        <v>1026</v>
      </c>
      <c r="D210" s="278" t="str">
        <f>VLOOKUP(A:A,'Master Table'!C:D,2,FALSE)</f>
        <v>1905</v>
      </c>
      <c r="E210" s="282"/>
      <c r="F210" s="77">
        <v>662.48</v>
      </c>
    </row>
    <row r="211" spans="1:6" ht="15" x14ac:dyDescent="0.2">
      <c r="A211" s="75" t="s">
        <v>1184</v>
      </c>
      <c r="B211" s="75" t="s">
        <v>1153</v>
      </c>
      <c r="C211" s="75" t="s">
        <v>1186</v>
      </c>
      <c r="D211" s="278" t="str">
        <f>VLOOKUP(A:A,'Master Table'!C:D,2,FALSE)</f>
        <v>1906</v>
      </c>
      <c r="E211" s="282"/>
      <c r="F211" s="77">
        <v>400.78</v>
      </c>
    </row>
    <row r="212" spans="1:6" ht="15" x14ac:dyDescent="0.2">
      <c r="A212" s="75" t="s">
        <v>1188</v>
      </c>
      <c r="B212" s="75" t="s">
        <v>1153</v>
      </c>
      <c r="C212" s="75" t="s">
        <v>7305</v>
      </c>
      <c r="D212" s="278" t="str">
        <f>VLOOKUP(A:A,'Master Table'!C:D,2,FALSE)</f>
        <v>1907</v>
      </c>
      <c r="E212" s="282"/>
      <c r="F212" s="77">
        <v>1119.46</v>
      </c>
    </row>
    <row r="213" spans="1:6" ht="15" x14ac:dyDescent="0.2">
      <c r="A213" s="75" t="s">
        <v>1191</v>
      </c>
      <c r="B213" s="75" t="s">
        <v>1153</v>
      </c>
      <c r="C213" s="75" t="s">
        <v>158</v>
      </c>
      <c r="D213" s="278" t="str">
        <f>VLOOKUP(A:A,'Master Table'!C:D,2,FALSE)</f>
        <v>1908</v>
      </c>
      <c r="E213" s="282"/>
      <c r="F213" s="77">
        <v>1515</v>
      </c>
    </row>
    <row r="214" spans="1:6" ht="15" x14ac:dyDescent="0.2">
      <c r="A214" s="75" t="s">
        <v>1196</v>
      </c>
      <c r="B214" s="75" t="s">
        <v>1153</v>
      </c>
      <c r="C214" s="75" t="s">
        <v>453</v>
      </c>
      <c r="D214" s="278" t="str">
        <f>VLOOKUP(A:A,'Master Table'!C:D,2,FALSE)</f>
        <v>1910</v>
      </c>
      <c r="E214" s="282"/>
      <c r="F214" s="77">
        <v>2849.77</v>
      </c>
    </row>
    <row r="215" spans="1:6" ht="15" x14ac:dyDescent="0.2">
      <c r="A215" s="75" t="s">
        <v>1201</v>
      </c>
      <c r="B215" s="75" t="s">
        <v>1204</v>
      </c>
      <c r="C215" s="75" t="s">
        <v>1203</v>
      </c>
      <c r="D215" s="278" t="str">
        <f>VLOOKUP(A:A,'Master Table'!C:D,2,FALSE)</f>
        <v>1912</v>
      </c>
      <c r="E215" s="282"/>
      <c r="F215" s="77">
        <v>719.31</v>
      </c>
    </row>
    <row r="216" spans="1:6" ht="15" x14ac:dyDescent="0.2">
      <c r="A216" s="75" t="s">
        <v>1205</v>
      </c>
      <c r="B216" s="75" t="s">
        <v>1207</v>
      </c>
      <c r="C216" s="75" t="s">
        <v>532</v>
      </c>
      <c r="D216" s="278" t="str">
        <f>VLOOKUP(A:A,'Master Table'!C:D,2,FALSE)</f>
        <v>1913</v>
      </c>
      <c r="E216" s="282"/>
      <c r="F216" s="77">
        <v>730</v>
      </c>
    </row>
    <row r="217" spans="1:6" ht="15" x14ac:dyDescent="0.2">
      <c r="A217" s="75" t="s">
        <v>1208</v>
      </c>
      <c r="B217" s="75" t="s">
        <v>1211</v>
      </c>
      <c r="C217" s="75" t="s">
        <v>1210</v>
      </c>
      <c r="D217" s="278" t="str">
        <f>VLOOKUP(A:A,'Master Table'!C:D,2,FALSE)</f>
        <v>1914</v>
      </c>
      <c r="E217" s="282"/>
      <c r="F217" s="77">
        <v>526.23</v>
      </c>
    </row>
    <row r="218" spans="1:6" ht="15" x14ac:dyDescent="0.2">
      <c r="A218" s="79" t="s">
        <v>1216</v>
      </c>
      <c r="B218" s="79" t="s">
        <v>1219</v>
      </c>
      <c r="C218" s="79" t="s">
        <v>1218</v>
      </c>
      <c r="D218" s="278" t="str">
        <f>VLOOKUP(A:A,'Master Table'!C:D,2,FALSE)</f>
        <v>1915</v>
      </c>
      <c r="E218" s="282"/>
      <c r="F218" s="77">
        <v>2620.0500000000002</v>
      </c>
    </row>
    <row r="219" spans="1:6" ht="15" x14ac:dyDescent="0.2">
      <c r="A219" s="75" t="s">
        <v>1224</v>
      </c>
      <c r="B219" s="75" t="s">
        <v>1227</v>
      </c>
      <c r="C219" s="75" t="s">
        <v>1226</v>
      </c>
      <c r="D219" s="278" t="str">
        <f>VLOOKUP(A:A,'Master Table'!C:D,2,FALSE)</f>
        <v>1917</v>
      </c>
      <c r="E219" s="282"/>
      <c r="F219" s="77">
        <v>966.49</v>
      </c>
    </row>
    <row r="220" spans="1:6" ht="15" x14ac:dyDescent="0.2">
      <c r="A220" s="75" t="s">
        <v>1228</v>
      </c>
      <c r="B220" s="75" t="s">
        <v>1231</v>
      </c>
      <c r="C220" s="75" t="s">
        <v>1230</v>
      </c>
      <c r="D220" s="278" t="str">
        <f>VLOOKUP(A:A,'Master Table'!C:D,2,FALSE)</f>
        <v>1918</v>
      </c>
      <c r="E220" s="282"/>
      <c r="F220" s="77">
        <v>828.4</v>
      </c>
    </row>
    <row r="221" spans="1:6" ht="15" x14ac:dyDescent="0.2">
      <c r="A221" s="75" t="s">
        <v>1232</v>
      </c>
      <c r="B221" s="75" t="s">
        <v>1234</v>
      </c>
      <c r="C221" s="75" t="s">
        <v>231</v>
      </c>
      <c r="D221" s="278" t="str">
        <f>VLOOKUP(A:A,'Master Table'!C:D,2,FALSE)</f>
        <v>1919</v>
      </c>
      <c r="E221" s="282"/>
      <c r="F221" s="77">
        <v>309.12</v>
      </c>
    </row>
    <row r="222" spans="1:6" ht="15" x14ac:dyDescent="0.2">
      <c r="A222" s="75" t="s">
        <v>1235</v>
      </c>
      <c r="B222" s="75" t="s">
        <v>1238</v>
      </c>
      <c r="C222" s="75" t="s">
        <v>7306</v>
      </c>
      <c r="D222" s="278" t="str">
        <f>VLOOKUP(A:A,'Master Table'!C:D,2,FALSE)</f>
        <v>1920</v>
      </c>
      <c r="E222" s="282"/>
      <c r="F222" s="77">
        <v>966</v>
      </c>
    </row>
    <row r="223" spans="1:6" ht="15" x14ac:dyDescent="0.2">
      <c r="A223" s="75" t="s">
        <v>1239</v>
      </c>
      <c r="B223" s="75" t="s">
        <v>1241</v>
      </c>
      <c r="C223" s="75" t="s">
        <v>1065</v>
      </c>
      <c r="D223" s="278" t="str">
        <f>VLOOKUP(A:A,'Master Table'!C:D,2,FALSE)</f>
        <v>1921</v>
      </c>
      <c r="E223" s="282"/>
      <c r="F223" s="77">
        <v>300.72000000000003</v>
      </c>
    </row>
    <row r="224" spans="1:6" ht="15" x14ac:dyDescent="0.2">
      <c r="A224" s="75" t="s">
        <v>1242</v>
      </c>
      <c r="B224" s="75" t="s">
        <v>1245</v>
      </c>
      <c r="C224" s="75" t="s">
        <v>1244</v>
      </c>
      <c r="D224" s="278" t="str">
        <f>VLOOKUP(A:A,'Master Table'!C:D,2,FALSE)</f>
        <v>1923</v>
      </c>
      <c r="E224" s="282"/>
      <c r="F224" s="77">
        <v>162.47999999999999</v>
      </c>
    </row>
    <row r="225" spans="1:6" ht="15" x14ac:dyDescent="0.2">
      <c r="A225" s="75" t="s">
        <v>1246</v>
      </c>
      <c r="B225" s="75" t="s">
        <v>1248</v>
      </c>
      <c r="C225" s="75" t="s">
        <v>7278</v>
      </c>
      <c r="D225" s="278" t="str">
        <f>VLOOKUP(A:A,'Master Table'!C:D,2,FALSE)</f>
        <v>147925</v>
      </c>
      <c r="E225" s="282"/>
      <c r="F225" s="77">
        <v>372.18</v>
      </c>
    </row>
    <row r="226" spans="1:6" ht="15" x14ac:dyDescent="0.2">
      <c r="A226" s="75" t="s">
        <v>1249</v>
      </c>
      <c r="B226" s="75" t="s">
        <v>1252</v>
      </c>
      <c r="C226" s="75" t="s">
        <v>7207</v>
      </c>
      <c r="D226" s="278" t="str">
        <f>VLOOKUP(A:A,'Master Table'!C:D,2,FALSE)</f>
        <v>1924</v>
      </c>
      <c r="E226" s="282"/>
      <c r="F226" s="77">
        <v>1424.9</v>
      </c>
    </row>
    <row r="227" spans="1:6" ht="15" x14ac:dyDescent="0.2">
      <c r="A227" s="75" t="s">
        <v>1253</v>
      </c>
      <c r="B227" s="75" t="s">
        <v>1256</v>
      </c>
      <c r="C227" s="75" t="s">
        <v>1255</v>
      </c>
      <c r="D227" s="278" t="str">
        <f>VLOOKUP(A:A,'Master Table'!C:D,2,FALSE)</f>
        <v>1925</v>
      </c>
      <c r="E227" s="282"/>
      <c r="F227" s="77">
        <v>711.07999999999993</v>
      </c>
    </row>
    <row r="228" spans="1:6" ht="15" x14ac:dyDescent="0.2">
      <c r="A228" s="75" t="s">
        <v>1257</v>
      </c>
      <c r="B228" s="75" t="s">
        <v>7307</v>
      </c>
      <c r="C228" s="75" t="s">
        <v>3463</v>
      </c>
      <c r="D228" s="278" t="str">
        <f>VLOOKUP(A:A,'Master Table'!C:D,2,FALSE)</f>
        <v>1926</v>
      </c>
      <c r="E228" s="282"/>
      <c r="F228" s="77">
        <v>2089.85</v>
      </c>
    </row>
    <row r="229" spans="1:6" ht="15" x14ac:dyDescent="0.2">
      <c r="A229" s="75" t="s">
        <v>1260</v>
      </c>
      <c r="B229" s="75" t="s">
        <v>1263</v>
      </c>
      <c r="C229" s="75" t="s">
        <v>7308</v>
      </c>
      <c r="D229" s="278" t="str">
        <f>VLOOKUP(A:A,'Master Table'!C:D,2,FALSE)</f>
        <v>1927</v>
      </c>
      <c r="E229" s="282"/>
      <c r="F229" s="77">
        <v>1024.24</v>
      </c>
    </row>
    <row r="230" spans="1:6" ht="15" x14ac:dyDescent="0.2">
      <c r="A230" s="75" t="s">
        <v>1264</v>
      </c>
      <c r="B230" s="75" t="s">
        <v>1267</v>
      </c>
      <c r="C230" s="75" t="s">
        <v>7309</v>
      </c>
      <c r="D230" s="278" t="str">
        <f>VLOOKUP(A:A,'Master Table'!C:D,2,FALSE)</f>
        <v>1928</v>
      </c>
      <c r="E230" s="282"/>
      <c r="F230" s="77">
        <v>1267</v>
      </c>
    </row>
    <row r="231" spans="1:6" ht="15" x14ac:dyDescent="0.2">
      <c r="A231" s="75" t="s">
        <v>1268</v>
      </c>
      <c r="B231" s="75" t="s">
        <v>1270</v>
      </c>
      <c r="C231" s="75" t="s">
        <v>7310</v>
      </c>
      <c r="D231" s="278" t="str">
        <f>VLOOKUP(A:A,'Master Table'!C:D,2,FALSE)</f>
        <v>1929</v>
      </c>
      <c r="E231" s="282"/>
      <c r="F231" s="77">
        <v>531.20000000000005</v>
      </c>
    </row>
    <row r="232" spans="1:6" ht="15" x14ac:dyDescent="0.2">
      <c r="A232" s="75" t="s">
        <v>1271</v>
      </c>
      <c r="B232" s="75" t="s">
        <v>1274</v>
      </c>
      <c r="C232" s="75" t="s">
        <v>1273</v>
      </c>
      <c r="D232" s="278" t="str">
        <f>VLOOKUP(A:A,'Master Table'!C:D,2,FALSE)</f>
        <v>1930</v>
      </c>
      <c r="E232" s="282"/>
      <c r="F232" s="77">
        <v>487.38</v>
      </c>
    </row>
    <row r="233" spans="1:6" ht="15" x14ac:dyDescent="0.2">
      <c r="A233" s="75" t="s">
        <v>1275</v>
      </c>
      <c r="B233" s="78" t="s">
        <v>1278</v>
      </c>
      <c r="C233" s="78" t="s">
        <v>7311</v>
      </c>
      <c r="D233" s="278" t="str">
        <f>VLOOKUP(A:A,'Master Table'!C:D,2,FALSE)</f>
        <v>1931</v>
      </c>
      <c r="E233" s="282"/>
      <c r="F233" s="77">
        <v>20</v>
      </c>
    </row>
    <row r="234" spans="1:6" ht="15" x14ac:dyDescent="0.2">
      <c r="A234" s="75" t="s">
        <v>1279</v>
      </c>
      <c r="B234" s="78" t="s">
        <v>1281</v>
      </c>
      <c r="C234" s="78" t="s">
        <v>1203</v>
      </c>
      <c r="D234" s="278" t="str">
        <f>VLOOKUP(A:A,'Master Table'!C:D,2,FALSE)</f>
        <v>1932</v>
      </c>
      <c r="E234" s="282"/>
      <c r="F234" s="77">
        <v>0</v>
      </c>
    </row>
    <row r="235" spans="1:6" ht="15" x14ac:dyDescent="0.2">
      <c r="A235" s="75" t="s">
        <v>1282</v>
      </c>
      <c r="B235" s="75" t="s">
        <v>1285</v>
      </c>
      <c r="C235" s="75" t="s">
        <v>1284</v>
      </c>
      <c r="D235" s="278" t="str">
        <f>VLOOKUP(A:A,'Master Table'!C:D,2,FALSE)</f>
        <v>1933</v>
      </c>
      <c r="E235" s="282"/>
      <c r="F235" s="77">
        <v>475</v>
      </c>
    </row>
    <row r="236" spans="1:6" ht="15" x14ac:dyDescent="0.2">
      <c r="A236" s="75" t="s">
        <v>1286</v>
      </c>
      <c r="B236" s="75" t="s">
        <v>7312</v>
      </c>
      <c r="C236" s="75" t="s">
        <v>1288</v>
      </c>
      <c r="D236" s="278" t="str">
        <f>VLOOKUP(A:A,'Master Table'!C:D,2,FALSE)</f>
        <v>1934</v>
      </c>
      <c r="E236" s="282"/>
      <c r="F236" s="77">
        <v>30</v>
      </c>
    </row>
    <row r="237" spans="1:6" ht="15" x14ac:dyDescent="0.2">
      <c r="A237" s="75" t="s">
        <v>1293</v>
      </c>
      <c r="B237" s="75" t="s">
        <v>1292</v>
      </c>
      <c r="C237" s="75" t="s">
        <v>896</v>
      </c>
      <c r="D237" s="278" t="str">
        <f>VLOOKUP(A:A,'Master Table'!C:D,2,FALSE)</f>
        <v>1936</v>
      </c>
      <c r="E237" s="282"/>
      <c r="F237" s="77">
        <v>1569.39</v>
      </c>
    </row>
    <row r="238" spans="1:6" ht="15" x14ac:dyDescent="0.2">
      <c r="A238" s="75" t="s">
        <v>1296</v>
      </c>
      <c r="B238" s="75" t="s">
        <v>1263</v>
      </c>
      <c r="C238" s="75" t="s">
        <v>5371</v>
      </c>
      <c r="D238" s="278" t="str">
        <f>VLOOKUP(A:A,'Master Table'!C:D,2,FALSE)</f>
        <v>1937</v>
      </c>
      <c r="E238" s="282"/>
      <c r="F238" s="77">
        <v>3106.08</v>
      </c>
    </row>
    <row r="239" spans="1:6" ht="15" x14ac:dyDescent="0.2">
      <c r="A239" s="75" t="s">
        <v>1302</v>
      </c>
      <c r="B239" s="75" t="s">
        <v>7313</v>
      </c>
      <c r="C239" s="78" t="s">
        <v>7314</v>
      </c>
      <c r="D239" s="278" t="str">
        <f>VLOOKUP(A:A,'Master Table'!C:D,2,FALSE)</f>
        <v>1939</v>
      </c>
      <c r="E239" s="282"/>
      <c r="F239" s="77">
        <v>1302.18</v>
      </c>
    </row>
    <row r="240" spans="1:6" ht="15" x14ac:dyDescent="0.2">
      <c r="A240" s="75" t="s">
        <v>1310</v>
      </c>
      <c r="B240" s="75" t="s">
        <v>1313</v>
      </c>
      <c r="C240" s="75" t="s">
        <v>1312</v>
      </c>
      <c r="D240" s="278" t="str">
        <f>VLOOKUP(A:A,'Master Table'!C:D,2,FALSE)</f>
        <v>1940</v>
      </c>
      <c r="E240" s="282"/>
      <c r="F240" s="77">
        <v>1066.5900000000001</v>
      </c>
    </row>
    <row r="241" spans="1:6" ht="15" x14ac:dyDescent="0.2">
      <c r="A241" s="75" t="s">
        <v>1314</v>
      </c>
      <c r="B241" s="75" t="s">
        <v>1316</v>
      </c>
      <c r="C241" s="75" t="s">
        <v>7315</v>
      </c>
      <c r="D241" s="278" t="str">
        <f>VLOOKUP(A:A,'Master Table'!C:D,2,FALSE)</f>
        <v>1941</v>
      </c>
      <c r="E241" s="282"/>
      <c r="F241" s="77">
        <v>1083.2</v>
      </c>
    </row>
    <row r="242" spans="1:6" ht="15" x14ac:dyDescent="0.2">
      <c r="A242" s="75" t="s">
        <v>1323</v>
      </c>
      <c r="B242" s="75" t="s">
        <v>1326</v>
      </c>
      <c r="C242" s="75" t="s">
        <v>7316</v>
      </c>
      <c r="D242" s="278" t="str">
        <f>VLOOKUP(A:A,'Master Table'!C:D,2,FALSE)</f>
        <v>1943</v>
      </c>
      <c r="E242" s="282"/>
      <c r="F242" s="77">
        <v>692.32</v>
      </c>
    </row>
    <row r="243" spans="1:6" ht="15" x14ac:dyDescent="0.2">
      <c r="A243" s="75" t="s">
        <v>1331</v>
      </c>
      <c r="B243" s="75" t="s">
        <v>1333</v>
      </c>
      <c r="C243" s="75" t="s">
        <v>7317</v>
      </c>
      <c r="D243" s="278" t="str">
        <f>VLOOKUP(A:A,'Master Table'!C:D,2,FALSE)</f>
        <v>1944</v>
      </c>
      <c r="E243" s="282"/>
      <c r="F243" s="77">
        <v>1051.8899999999999</v>
      </c>
    </row>
    <row r="244" spans="1:6" ht="15" x14ac:dyDescent="0.2">
      <c r="A244" s="75" t="s">
        <v>1335</v>
      </c>
      <c r="B244" s="75" t="s">
        <v>1338</v>
      </c>
      <c r="C244" s="75" t="s">
        <v>382</v>
      </c>
      <c r="D244" s="278" t="str">
        <f>VLOOKUP(A:A,'Master Table'!C:D,2,FALSE)</f>
        <v>1945</v>
      </c>
      <c r="E244" s="282"/>
      <c r="F244" s="77">
        <v>180</v>
      </c>
    </row>
    <row r="245" spans="1:6" ht="15" x14ac:dyDescent="0.2">
      <c r="A245" s="75" t="s">
        <v>1339</v>
      </c>
      <c r="B245" s="75" t="s">
        <v>1342</v>
      </c>
      <c r="C245" s="75" t="s">
        <v>1341</v>
      </c>
      <c r="D245" s="278" t="str">
        <f>VLOOKUP(A:A,'Master Table'!C:D,2,FALSE)</f>
        <v>1946</v>
      </c>
      <c r="E245" s="282"/>
      <c r="F245" s="77">
        <v>1871</v>
      </c>
    </row>
    <row r="246" spans="1:6" ht="15" x14ac:dyDescent="0.2">
      <c r="A246" s="75" t="s">
        <v>1343</v>
      </c>
      <c r="B246" s="75" t="s">
        <v>1345</v>
      </c>
      <c r="C246" s="75" t="s">
        <v>7318</v>
      </c>
      <c r="D246" s="278" t="str">
        <f>VLOOKUP(A:A,'Master Table'!C:D,2,FALSE)</f>
        <v>1947</v>
      </c>
      <c r="E246" s="282"/>
      <c r="F246" s="77">
        <v>1240.5</v>
      </c>
    </row>
    <row r="247" spans="1:6" ht="15" x14ac:dyDescent="0.2">
      <c r="A247" s="75" t="s">
        <v>1347</v>
      </c>
      <c r="B247" s="75" t="s">
        <v>1350</v>
      </c>
      <c r="C247" s="75" t="s">
        <v>7319</v>
      </c>
      <c r="D247" s="278" t="str">
        <f>VLOOKUP(A:A,'Master Table'!C:D,2,FALSE)</f>
        <v>1948</v>
      </c>
      <c r="E247" s="282"/>
      <c r="F247" s="77">
        <v>2761.31</v>
      </c>
    </row>
    <row r="248" spans="1:6" ht="15" x14ac:dyDescent="0.2">
      <c r="A248" s="75" t="s">
        <v>1353</v>
      </c>
      <c r="B248" s="75" t="s">
        <v>1356</v>
      </c>
      <c r="C248" s="75" t="s">
        <v>1355</v>
      </c>
      <c r="D248" s="278" t="str">
        <f>VLOOKUP(A:A,'Master Table'!C:D,2,FALSE)</f>
        <v>1949</v>
      </c>
      <c r="E248" s="282"/>
      <c r="F248" s="77">
        <v>249.51</v>
      </c>
    </row>
    <row r="249" spans="1:6" ht="15" x14ac:dyDescent="0.2">
      <c r="A249" s="75" t="s">
        <v>1357</v>
      </c>
      <c r="B249" s="75" t="s">
        <v>7320</v>
      </c>
      <c r="C249" s="75" t="s">
        <v>7321</v>
      </c>
      <c r="D249" s="278" t="str">
        <f>VLOOKUP(A:A,'Master Table'!C:D,2,FALSE)</f>
        <v>1950</v>
      </c>
      <c r="E249" s="282"/>
      <c r="F249" s="77">
        <v>350.17</v>
      </c>
    </row>
    <row r="250" spans="1:6" ht="15" x14ac:dyDescent="0.2">
      <c r="A250" s="75" t="s">
        <v>1360</v>
      </c>
      <c r="B250" s="75" t="s">
        <v>1363</v>
      </c>
      <c r="C250" s="75" t="s">
        <v>7322</v>
      </c>
      <c r="D250" s="278" t="str">
        <f>VLOOKUP(A:A,'Master Table'!C:D,2,FALSE)</f>
        <v>1951</v>
      </c>
      <c r="E250" s="282"/>
      <c r="F250" s="77">
        <v>839.86</v>
      </c>
    </row>
    <row r="251" spans="1:6" ht="15" x14ac:dyDescent="0.2">
      <c r="A251" s="75" t="s">
        <v>1364</v>
      </c>
      <c r="B251" s="75" t="s">
        <v>1367</v>
      </c>
      <c r="C251" s="75" t="s">
        <v>1366</v>
      </c>
      <c r="D251" s="278" t="str">
        <f>VLOOKUP(A:A,'Master Table'!C:D,2,FALSE)</f>
        <v>1953</v>
      </c>
      <c r="E251" s="282"/>
      <c r="F251" s="77">
        <v>188.63</v>
      </c>
    </row>
    <row r="252" spans="1:6" ht="15" x14ac:dyDescent="0.2">
      <c r="A252" s="75" t="s">
        <v>1369</v>
      </c>
      <c r="B252" s="75" t="s">
        <v>7323</v>
      </c>
      <c r="C252" s="75" t="s">
        <v>1371</v>
      </c>
      <c r="D252" s="278" t="str">
        <f>VLOOKUP(A:A,'Master Table'!C:D,2,FALSE)</f>
        <v>1954</v>
      </c>
      <c r="E252" s="282"/>
      <c r="F252" s="77">
        <v>1257.52</v>
      </c>
    </row>
    <row r="253" spans="1:6" ht="15" x14ac:dyDescent="0.2">
      <c r="A253" s="75" t="s">
        <v>1374</v>
      </c>
      <c r="B253" s="75" t="s">
        <v>1377</v>
      </c>
      <c r="C253" s="75" t="s">
        <v>1376</v>
      </c>
      <c r="D253" s="278" t="str">
        <f>VLOOKUP(A:A,'Master Table'!C:D,2,FALSE)</f>
        <v>1957</v>
      </c>
      <c r="E253" s="282"/>
      <c r="F253" s="77">
        <v>1349.99</v>
      </c>
    </row>
    <row r="254" spans="1:6" ht="15" x14ac:dyDescent="0.2">
      <c r="A254" s="75" t="s">
        <v>1378</v>
      </c>
      <c r="B254" s="75" t="s">
        <v>7324</v>
      </c>
      <c r="C254" s="75" t="s">
        <v>7325</v>
      </c>
      <c r="D254" s="278" t="str">
        <f>VLOOKUP(A:A,'Master Table'!C:D,2,FALSE)</f>
        <v>1958</v>
      </c>
      <c r="E254" s="282"/>
      <c r="F254" s="77">
        <v>948.53</v>
      </c>
    </row>
    <row r="255" spans="1:6" ht="15" x14ac:dyDescent="0.2">
      <c r="A255" s="75" t="s">
        <v>1388</v>
      </c>
      <c r="B255" s="75" t="s">
        <v>1391</v>
      </c>
      <c r="C255" s="75" t="s">
        <v>7326</v>
      </c>
      <c r="D255" s="278" t="str">
        <f>VLOOKUP(A:A,'Master Table'!C:D,2,FALSE)</f>
        <v>1960</v>
      </c>
      <c r="E255" s="282"/>
      <c r="F255" s="77">
        <v>842.42</v>
      </c>
    </row>
    <row r="256" spans="1:6" ht="15" x14ac:dyDescent="0.2">
      <c r="A256" s="75" t="s">
        <v>1392</v>
      </c>
      <c r="B256" s="75" t="s">
        <v>1394</v>
      </c>
      <c r="C256" s="75" t="s">
        <v>7216</v>
      </c>
      <c r="D256" s="278" t="str">
        <f>VLOOKUP(A:A,'Master Table'!C:D,2,FALSE)</f>
        <v>1961</v>
      </c>
      <c r="E256" s="282"/>
      <c r="F256" s="77">
        <v>60</v>
      </c>
    </row>
    <row r="257" spans="1:6" ht="15" x14ac:dyDescent="0.2">
      <c r="A257" s="75" t="s">
        <v>1399</v>
      </c>
      <c r="B257" s="75" t="s">
        <v>1394</v>
      </c>
      <c r="C257" s="75" t="s">
        <v>783</v>
      </c>
      <c r="D257" s="278" t="str">
        <f>VLOOKUP(A:A,'Master Table'!C:D,2,FALSE)</f>
        <v>1962</v>
      </c>
      <c r="E257" s="282"/>
      <c r="F257" s="77">
        <v>1065.17</v>
      </c>
    </row>
    <row r="258" spans="1:6" ht="15" x14ac:dyDescent="0.2">
      <c r="A258" s="75" t="s">
        <v>1401</v>
      </c>
      <c r="B258" s="75" t="s">
        <v>1394</v>
      </c>
      <c r="C258" s="75" t="s">
        <v>231</v>
      </c>
      <c r="D258" s="278" t="str">
        <f>VLOOKUP(A:A,'Master Table'!C:D,2,FALSE)</f>
        <v>1963</v>
      </c>
      <c r="E258" s="282"/>
      <c r="F258" s="77">
        <v>496.23</v>
      </c>
    </row>
    <row r="259" spans="1:6" ht="15" x14ac:dyDescent="0.2">
      <c r="A259" s="75" t="s">
        <v>1404</v>
      </c>
      <c r="B259" s="75" t="s">
        <v>1394</v>
      </c>
      <c r="C259" s="75" t="s">
        <v>7327</v>
      </c>
      <c r="D259" s="278" t="str">
        <f>VLOOKUP(A:A,'Master Table'!C:D,2,FALSE)</f>
        <v>1964</v>
      </c>
      <c r="E259" s="282"/>
      <c r="F259" s="77">
        <v>793.7</v>
      </c>
    </row>
    <row r="260" spans="1:6" ht="15" x14ac:dyDescent="0.2">
      <c r="A260" s="75" t="s">
        <v>1407</v>
      </c>
      <c r="B260" s="75" t="s">
        <v>1394</v>
      </c>
      <c r="C260" s="75" t="s">
        <v>1409</v>
      </c>
      <c r="D260" s="278" t="str">
        <f>VLOOKUP(A:A,'Master Table'!C:D,2,FALSE)</f>
        <v>1965</v>
      </c>
      <c r="E260" s="282"/>
      <c r="F260" s="77">
        <v>150</v>
      </c>
    </row>
    <row r="261" spans="1:6" ht="15" x14ac:dyDescent="0.2">
      <c r="A261" s="75" t="s">
        <v>1410</v>
      </c>
      <c r="B261" s="75" t="s">
        <v>1394</v>
      </c>
      <c r="C261" s="75" t="s">
        <v>1412</v>
      </c>
      <c r="D261" s="278" t="str">
        <f>VLOOKUP(A:A,'Master Table'!C:D,2,FALSE)</f>
        <v>1966</v>
      </c>
      <c r="E261" s="282"/>
      <c r="F261" s="77">
        <v>516.12</v>
      </c>
    </row>
    <row r="262" spans="1:6" ht="15" x14ac:dyDescent="0.2">
      <c r="A262" s="75" t="s">
        <v>1413</v>
      </c>
      <c r="B262" s="75" t="s">
        <v>7328</v>
      </c>
      <c r="C262" s="75" t="s">
        <v>7329</v>
      </c>
      <c r="D262" s="278" t="str">
        <f>VLOOKUP(A:A,'Master Table'!C:D,2,FALSE)</f>
        <v>1967</v>
      </c>
      <c r="E262" s="282"/>
      <c r="F262" s="77">
        <v>10</v>
      </c>
    </row>
    <row r="263" spans="1:6" ht="15" x14ac:dyDescent="0.2">
      <c r="A263" s="75" t="s">
        <v>1416</v>
      </c>
      <c r="B263" s="75" t="s">
        <v>1394</v>
      </c>
      <c r="C263" s="75" t="s">
        <v>1418</v>
      </c>
      <c r="D263" s="278" t="str">
        <f>VLOOKUP(A:A,'Master Table'!C:D,2,FALSE)</f>
        <v>1968</v>
      </c>
      <c r="E263" s="282"/>
      <c r="F263" s="77">
        <v>1095</v>
      </c>
    </row>
    <row r="264" spans="1:6" ht="15" x14ac:dyDescent="0.2">
      <c r="A264" s="75" t="s">
        <v>1419</v>
      </c>
      <c r="B264" s="75" t="s">
        <v>1422</v>
      </c>
      <c r="C264" s="75" t="s">
        <v>1421</v>
      </c>
      <c r="D264" s="278" t="str">
        <f>VLOOKUP(A:A,'Master Table'!C:D,2,FALSE)</f>
        <v>1970</v>
      </c>
      <c r="E264" s="282"/>
      <c r="F264" s="77">
        <v>1462.02</v>
      </c>
    </row>
    <row r="265" spans="1:6" ht="15" x14ac:dyDescent="0.2">
      <c r="A265" s="75" t="s">
        <v>1423</v>
      </c>
      <c r="B265" s="75" t="s">
        <v>1426</v>
      </c>
      <c r="C265" s="75" t="s">
        <v>3222</v>
      </c>
      <c r="D265" s="278" t="str">
        <f>VLOOKUP(A:A,'Master Table'!C:D,2,FALSE)</f>
        <v>1971</v>
      </c>
      <c r="E265" s="282"/>
      <c r="F265" s="77">
        <v>605</v>
      </c>
    </row>
    <row r="266" spans="1:6" ht="15" x14ac:dyDescent="0.2">
      <c r="A266" s="75" t="s">
        <v>1437</v>
      </c>
      <c r="B266" s="75" t="s">
        <v>1439</v>
      </c>
      <c r="C266" s="75" t="s">
        <v>1047</v>
      </c>
      <c r="D266" s="278" t="str">
        <f>VLOOKUP(A:A,'Master Table'!C:D,2,FALSE)</f>
        <v>1972</v>
      </c>
      <c r="E266" s="282"/>
      <c r="F266" s="77">
        <v>1631.5</v>
      </c>
    </row>
    <row r="267" spans="1:6" ht="15" x14ac:dyDescent="0.2">
      <c r="A267" s="75" t="s">
        <v>1440</v>
      </c>
      <c r="B267" s="75" t="s">
        <v>1439</v>
      </c>
      <c r="C267" s="75" t="s">
        <v>231</v>
      </c>
      <c r="D267" s="278" t="str">
        <f>VLOOKUP(A:A,'Master Table'!C:D,2,FALSE)</f>
        <v>1973</v>
      </c>
      <c r="E267" s="282"/>
      <c r="F267" s="77">
        <v>486.64</v>
      </c>
    </row>
    <row r="268" spans="1:6" ht="15" x14ac:dyDescent="0.2">
      <c r="A268" s="75" t="s">
        <v>1443</v>
      </c>
      <c r="B268" s="75" t="s">
        <v>1439</v>
      </c>
      <c r="C268" s="75" t="s">
        <v>7330</v>
      </c>
      <c r="D268" s="278" t="str">
        <f>VLOOKUP(A:A,'Master Table'!C:D,2,FALSE)</f>
        <v>1974</v>
      </c>
      <c r="E268" s="282"/>
      <c r="F268" s="77">
        <v>3394.45</v>
      </c>
    </row>
    <row r="269" spans="1:6" ht="15" x14ac:dyDescent="0.2">
      <c r="A269" s="75" t="s">
        <v>1447</v>
      </c>
      <c r="B269" s="75" t="s">
        <v>1450</v>
      </c>
      <c r="C269" s="75" t="s">
        <v>1449</v>
      </c>
      <c r="D269" s="278" t="str">
        <f>VLOOKUP(A:A,'Master Table'!C:D,2,FALSE)</f>
        <v>1975</v>
      </c>
      <c r="E269" s="282"/>
      <c r="F269" s="77">
        <v>1000.15</v>
      </c>
    </row>
    <row r="270" spans="1:6" ht="15" x14ac:dyDescent="0.2">
      <c r="A270" s="75" t="s">
        <v>1452</v>
      </c>
      <c r="B270" s="75" t="s">
        <v>1455</v>
      </c>
      <c r="C270" s="75" t="s">
        <v>1454</v>
      </c>
      <c r="D270" s="278" t="str">
        <f>VLOOKUP(A:A,'Master Table'!C:D,2,FALSE)</f>
        <v>1976</v>
      </c>
      <c r="E270" s="282"/>
      <c r="F270" s="77">
        <v>1123</v>
      </c>
    </row>
    <row r="271" spans="1:6" ht="15" x14ac:dyDescent="0.2">
      <c r="A271" s="75" t="s">
        <v>1456</v>
      </c>
      <c r="B271" s="75" t="s">
        <v>1458</v>
      </c>
      <c r="C271" s="75" t="s">
        <v>7315</v>
      </c>
      <c r="D271" s="278" t="str">
        <f>VLOOKUP(A:A,'Master Table'!C:D,2,FALSE)</f>
        <v>1977</v>
      </c>
      <c r="E271" s="282"/>
      <c r="F271" s="77">
        <v>547.29999999999995</v>
      </c>
    </row>
    <row r="272" spans="1:6" ht="15" x14ac:dyDescent="0.2">
      <c r="A272" s="75" t="s">
        <v>1460</v>
      </c>
      <c r="B272" s="75" t="s">
        <v>7331</v>
      </c>
      <c r="C272" s="75" t="s">
        <v>942</v>
      </c>
      <c r="D272" s="278" t="str">
        <f>VLOOKUP(A:A,'Master Table'!C:D,2,FALSE)</f>
        <v>1978</v>
      </c>
      <c r="E272" s="282"/>
      <c r="F272" s="77">
        <v>667.19</v>
      </c>
    </row>
    <row r="273" spans="1:6" ht="15" x14ac:dyDescent="0.2">
      <c r="A273" s="75" t="s">
        <v>1467</v>
      </c>
      <c r="B273" s="75" t="s">
        <v>1470</v>
      </c>
      <c r="C273" s="75" t="s">
        <v>7332</v>
      </c>
      <c r="D273" s="278" t="str">
        <f>VLOOKUP(A:A,'Master Table'!C:D,2,FALSE)</f>
        <v>1979</v>
      </c>
      <c r="E273" s="282"/>
      <c r="F273" s="77">
        <v>1980.2</v>
      </c>
    </row>
    <row r="274" spans="1:6" ht="15" x14ac:dyDescent="0.2">
      <c r="A274" s="75" t="s">
        <v>1472</v>
      </c>
      <c r="B274" s="75" t="s">
        <v>1474</v>
      </c>
      <c r="C274" s="75" t="s">
        <v>231</v>
      </c>
      <c r="D274" s="278" t="str">
        <f>VLOOKUP(A:A,'Master Table'!C:D,2,FALSE)</f>
        <v>1980</v>
      </c>
      <c r="E274" s="282"/>
      <c r="F274" s="77">
        <v>172.59</v>
      </c>
    </row>
    <row r="275" spans="1:6" ht="15" x14ac:dyDescent="0.2">
      <c r="A275" s="78" t="s">
        <v>1475</v>
      </c>
      <c r="B275" s="78" t="s">
        <v>1478</v>
      </c>
      <c r="C275" s="78" t="s">
        <v>7333</v>
      </c>
      <c r="D275" s="278" t="str">
        <f>VLOOKUP(A:A,'Master Table'!C:D,2,FALSE)</f>
        <v>1981</v>
      </c>
      <c r="E275" s="282"/>
      <c r="F275" s="77">
        <v>0</v>
      </c>
    </row>
    <row r="276" spans="1:6" ht="15" x14ac:dyDescent="0.2">
      <c r="A276" s="75" t="s">
        <v>1482</v>
      </c>
      <c r="B276" s="75" t="s">
        <v>1485</v>
      </c>
      <c r="C276" s="75" t="s">
        <v>7334</v>
      </c>
      <c r="D276" s="278" t="str">
        <f>VLOOKUP(A:A,'Master Table'!C:D,2,FALSE)</f>
        <v>1982</v>
      </c>
      <c r="E276" s="282"/>
      <c r="F276" s="77">
        <v>5735.86</v>
      </c>
    </row>
    <row r="277" spans="1:6" ht="15" x14ac:dyDescent="0.2">
      <c r="A277" s="75" t="s">
        <v>1487</v>
      </c>
      <c r="B277" s="75" t="s">
        <v>1490</v>
      </c>
      <c r="C277" s="75" t="s">
        <v>1489</v>
      </c>
      <c r="D277" s="278" t="str">
        <f>VLOOKUP(A:A,'Master Table'!C:D,2,FALSE)</f>
        <v>1983</v>
      </c>
      <c r="E277" s="282"/>
      <c r="F277" s="77">
        <v>1325.51</v>
      </c>
    </row>
    <row r="278" spans="1:6" ht="15" x14ac:dyDescent="0.2">
      <c r="A278" s="75" t="s">
        <v>1492</v>
      </c>
      <c r="B278" s="75" t="s">
        <v>1495</v>
      </c>
      <c r="C278" s="75" t="s">
        <v>7335</v>
      </c>
      <c r="D278" s="278" t="str">
        <f>VLOOKUP(A:A,'Master Table'!C:D,2,FALSE)</f>
        <v>1984</v>
      </c>
      <c r="E278" s="282"/>
      <c r="F278" s="77">
        <v>589.04999999999995</v>
      </c>
    </row>
    <row r="279" spans="1:6" ht="15" x14ac:dyDescent="0.2">
      <c r="A279" s="75" t="s">
        <v>1499</v>
      </c>
      <c r="B279" s="75" t="s">
        <v>1501</v>
      </c>
      <c r="C279" s="75" t="s">
        <v>7336</v>
      </c>
      <c r="D279" s="278" t="str">
        <f>VLOOKUP(A:A,'Master Table'!C:D,2,FALSE)</f>
        <v>1986</v>
      </c>
      <c r="E279" s="282"/>
      <c r="F279" s="77">
        <v>1440.21</v>
      </c>
    </row>
    <row r="280" spans="1:6" ht="15" x14ac:dyDescent="0.2">
      <c r="A280" s="75" t="s">
        <v>1503</v>
      </c>
      <c r="B280" s="75" t="s">
        <v>1501</v>
      </c>
      <c r="C280" s="75" t="s">
        <v>7337</v>
      </c>
      <c r="D280" s="278" t="str">
        <f>VLOOKUP(A:A,'Master Table'!C:D,2,FALSE)</f>
        <v>1987</v>
      </c>
      <c r="E280" s="282"/>
      <c r="F280" s="77">
        <v>1807.76</v>
      </c>
    </row>
    <row r="281" spans="1:6" ht="15" x14ac:dyDescent="0.2">
      <c r="A281" s="75" t="s">
        <v>1506</v>
      </c>
      <c r="B281" s="75" t="s">
        <v>1501</v>
      </c>
      <c r="C281" s="75" t="s">
        <v>158</v>
      </c>
      <c r="D281" s="278" t="str">
        <f>VLOOKUP(A:A,'Master Table'!C:D,2,FALSE)</f>
        <v>1988</v>
      </c>
      <c r="E281" s="282"/>
      <c r="F281" s="77">
        <v>685.18</v>
      </c>
    </row>
    <row r="282" spans="1:6" ht="15" x14ac:dyDescent="0.2">
      <c r="A282" s="75" t="s">
        <v>1509</v>
      </c>
      <c r="B282" s="75" t="s">
        <v>1512</v>
      </c>
      <c r="C282" s="75" t="s">
        <v>7338</v>
      </c>
      <c r="D282" s="278" t="str">
        <f>VLOOKUP(A:A,'Master Table'!C:D,2,FALSE)</f>
        <v>1989</v>
      </c>
      <c r="E282" s="282"/>
      <c r="F282" s="77">
        <v>1576</v>
      </c>
    </row>
    <row r="283" spans="1:6" ht="15" x14ac:dyDescent="0.2">
      <c r="A283" s="75" t="s">
        <v>1513</v>
      </c>
      <c r="B283" s="75" t="s">
        <v>1523</v>
      </c>
      <c r="C283" s="75" t="s">
        <v>1515</v>
      </c>
      <c r="D283" s="278" t="str">
        <f>VLOOKUP(A:A,'Master Table'!C:D,2,FALSE)</f>
        <v>1990</v>
      </c>
      <c r="E283" s="282"/>
      <c r="F283" s="77">
        <v>427.58</v>
      </c>
    </row>
    <row r="284" spans="1:6" ht="15" x14ac:dyDescent="0.2">
      <c r="A284" s="75" t="s">
        <v>1517</v>
      </c>
      <c r="B284" s="75" t="s">
        <v>1512</v>
      </c>
      <c r="C284" s="75" t="s">
        <v>1519</v>
      </c>
      <c r="D284" s="278" t="str">
        <f>VLOOKUP(A:A,'Master Table'!C:D,2,FALSE)</f>
        <v>1991</v>
      </c>
      <c r="E284" s="282"/>
      <c r="F284" s="77">
        <v>1809.5</v>
      </c>
    </row>
    <row r="285" spans="1:6" ht="15" x14ac:dyDescent="0.2">
      <c r="A285" s="75" t="s">
        <v>1520</v>
      </c>
      <c r="B285" s="75" t="s">
        <v>1523</v>
      </c>
      <c r="C285" s="75" t="s">
        <v>1522</v>
      </c>
      <c r="D285" s="278" t="str">
        <f>VLOOKUP(A:A,'Master Table'!C:D,2,FALSE)</f>
        <v>1993</v>
      </c>
      <c r="E285" s="282"/>
      <c r="F285" s="77">
        <v>57.9</v>
      </c>
    </row>
    <row r="286" spans="1:6" ht="15" x14ac:dyDescent="0.2">
      <c r="A286" s="75" t="s">
        <v>1525</v>
      </c>
      <c r="B286" s="75" t="s">
        <v>1523</v>
      </c>
      <c r="C286" s="75" t="s">
        <v>7339</v>
      </c>
      <c r="D286" s="278" t="str">
        <f>VLOOKUP(A:A,'Master Table'!C:D,2,FALSE)</f>
        <v>1994</v>
      </c>
      <c r="E286" s="282"/>
      <c r="F286" s="77">
        <v>1102.1400000000001</v>
      </c>
    </row>
    <row r="287" spans="1:6" ht="15" x14ac:dyDescent="0.2">
      <c r="A287" s="75" t="s">
        <v>1528</v>
      </c>
      <c r="B287" s="75" t="s">
        <v>1523</v>
      </c>
      <c r="C287" s="75" t="s">
        <v>1065</v>
      </c>
      <c r="D287" s="278" t="str">
        <f>VLOOKUP(A:A,'Master Table'!C:D,2,FALSE)</f>
        <v>1995</v>
      </c>
      <c r="E287" s="282"/>
      <c r="F287" s="77">
        <v>289.89</v>
      </c>
    </row>
    <row r="288" spans="1:6" ht="15" x14ac:dyDescent="0.2">
      <c r="A288" s="75" t="s">
        <v>1532</v>
      </c>
      <c r="B288" s="75" t="s">
        <v>1523</v>
      </c>
      <c r="C288" s="75" t="s">
        <v>1032</v>
      </c>
      <c r="D288" s="278" t="str">
        <f>VLOOKUP(A:A,'Master Table'!C:D,2,FALSE)</f>
        <v>1997</v>
      </c>
      <c r="E288" s="282"/>
      <c r="F288" s="77">
        <v>664.03</v>
      </c>
    </row>
    <row r="289" spans="1:6" ht="15" x14ac:dyDescent="0.2">
      <c r="A289" s="75" t="s">
        <v>1534</v>
      </c>
      <c r="B289" s="75" t="s">
        <v>1523</v>
      </c>
      <c r="C289" s="75" t="s">
        <v>7340</v>
      </c>
      <c r="D289" s="278" t="str">
        <f>VLOOKUP(A:A,'Master Table'!C:D,2,FALSE)</f>
        <v>1998</v>
      </c>
      <c r="E289" s="282"/>
      <c r="F289" s="77">
        <v>924.87</v>
      </c>
    </row>
    <row r="290" spans="1:6" ht="15" x14ac:dyDescent="0.2">
      <c r="A290" s="75" t="s">
        <v>1538</v>
      </c>
      <c r="B290" s="75" t="s">
        <v>1523</v>
      </c>
      <c r="C290" s="75" t="s">
        <v>231</v>
      </c>
      <c r="D290" s="278" t="str">
        <f>VLOOKUP(A:A,'Master Table'!C:D,2,FALSE)</f>
        <v>1999</v>
      </c>
      <c r="E290" s="282"/>
      <c r="F290" s="77">
        <v>878.47</v>
      </c>
    </row>
    <row r="291" spans="1:6" ht="15" x14ac:dyDescent="0.2">
      <c r="A291" s="75" t="s">
        <v>1541</v>
      </c>
      <c r="B291" s="75" t="s">
        <v>1512</v>
      </c>
      <c r="C291" s="75" t="s">
        <v>476</v>
      </c>
      <c r="D291" s="278" t="str">
        <f>VLOOKUP(A:A,'Master Table'!C:D,2,FALSE)</f>
        <v>2000</v>
      </c>
      <c r="E291" s="282"/>
      <c r="F291" s="77">
        <v>1040.6500000000001</v>
      </c>
    </row>
    <row r="292" spans="1:6" ht="15" x14ac:dyDescent="0.2">
      <c r="A292" s="75" t="s">
        <v>1544</v>
      </c>
      <c r="B292" s="75" t="s">
        <v>7341</v>
      </c>
      <c r="C292" s="75" t="s">
        <v>7342</v>
      </c>
      <c r="D292" s="278" t="str">
        <f>VLOOKUP(A:A,'Master Table'!C:D,2,FALSE)</f>
        <v>2001</v>
      </c>
      <c r="E292" s="282"/>
      <c r="F292" s="77">
        <v>1459.42</v>
      </c>
    </row>
    <row r="293" spans="1:6" ht="15" x14ac:dyDescent="0.2">
      <c r="A293" s="75" t="s">
        <v>1552</v>
      </c>
      <c r="B293" s="75" t="s">
        <v>1512</v>
      </c>
      <c r="C293" s="75" t="s">
        <v>226</v>
      </c>
      <c r="D293" s="278" t="str">
        <f>VLOOKUP(A:A,'Master Table'!C:D,2,FALSE)</f>
        <v>2002</v>
      </c>
      <c r="E293" s="282"/>
      <c r="F293" s="77">
        <v>402.58</v>
      </c>
    </row>
    <row r="294" spans="1:6" ht="15" x14ac:dyDescent="0.2">
      <c r="A294" s="75" t="s">
        <v>1555</v>
      </c>
      <c r="B294" s="75" t="s">
        <v>1523</v>
      </c>
      <c r="C294" s="75" t="s">
        <v>934</v>
      </c>
      <c r="D294" s="278" t="str">
        <f>VLOOKUP(A:A,'Master Table'!C:D,2,FALSE)</f>
        <v>2003</v>
      </c>
      <c r="E294" s="282"/>
      <c r="F294" s="77">
        <v>1616.55</v>
      </c>
    </row>
    <row r="295" spans="1:6" ht="15" x14ac:dyDescent="0.2">
      <c r="A295" s="75" t="s">
        <v>1558</v>
      </c>
      <c r="B295" s="75" t="s">
        <v>1523</v>
      </c>
      <c r="C295" s="75" t="s">
        <v>231</v>
      </c>
      <c r="D295" s="278" t="str">
        <f>VLOOKUP(A:A,'Master Table'!C:D,2,FALSE)</f>
        <v>2004</v>
      </c>
      <c r="E295" s="282"/>
      <c r="F295" s="77">
        <v>798.1</v>
      </c>
    </row>
    <row r="296" spans="1:6" ht="15" x14ac:dyDescent="0.2">
      <c r="A296" s="75" t="s">
        <v>1564</v>
      </c>
      <c r="B296" s="75" t="s">
        <v>1567</v>
      </c>
      <c r="C296" s="75" t="s">
        <v>1566</v>
      </c>
      <c r="D296" s="278" t="str">
        <f>VLOOKUP(A:A,'Master Table'!C:D,2,FALSE)</f>
        <v>2005</v>
      </c>
      <c r="E296" s="282"/>
      <c r="F296" s="77">
        <v>1530.49</v>
      </c>
    </row>
    <row r="297" spans="1:6" ht="15" x14ac:dyDescent="0.2">
      <c r="A297" s="75" t="s">
        <v>1573</v>
      </c>
      <c r="B297" s="75" t="s">
        <v>1576</v>
      </c>
      <c r="C297" s="75" t="s">
        <v>7343</v>
      </c>
      <c r="D297" s="278" t="str">
        <f>VLOOKUP(A:A,'Master Table'!C:D,2,FALSE)</f>
        <v>2006</v>
      </c>
      <c r="E297" s="282"/>
      <c r="F297" s="77">
        <v>5112.5599999999995</v>
      </c>
    </row>
    <row r="298" spans="1:6" ht="15" x14ac:dyDescent="0.2">
      <c r="A298" s="75" t="s">
        <v>1577</v>
      </c>
      <c r="B298" s="75" t="s">
        <v>7344</v>
      </c>
      <c r="C298" s="75" t="s">
        <v>1579</v>
      </c>
      <c r="D298" s="278" t="str">
        <f>VLOOKUP(A:A,'Master Table'!C:D,2,FALSE)</f>
        <v>2007</v>
      </c>
      <c r="E298" s="282"/>
      <c r="F298" s="77">
        <v>994.32</v>
      </c>
    </row>
    <row r="299" spans="1:6" ht="15" x14ac:dyDescent="0.2">
      <c r="A299" s="75" t="s">
        <v>1586</v>
      </c>
      <c r="B299" s="75" t="s">
        <v>1589</v>
      </c>
      <c r="C299" s="75" t="s">
        <v>7345</v>
      </c>
      <c r="D299" s="278" t="str">
        <f>VLOOKUP(A:A,'Master Table'!C:D,2,FALSE)</f>
        <v>2009</v>
      </c>
      <c r="E299" s="282"/>
      <c r="F299" s="77">
        <v>3391.7</v>
      </c>
    </row>
    <row r="300" spans="1:6" ht="15" x14ac:dyDescent="0.2">
      <c r="A300" s="75" t="s">
        <v>1594</v>
      </c>
      <c r="B300" s="75" t="s">
        <v>1596</v>
      </c>
      <c r="C300" s="75" t="s">
        <v>7336</v>
      </c>
      <c r="D300" s="278" t="str">
        <f>VLOOKUP(A:A,'Master Table'!C:D,2,FALSE)</f>
        <v>2010</v>
      </c>
      <c r="E300" s="282"/>
      <c r="F300" s="77">
        <v>1802.47</v>
      </c>
    </row>
    <row r="301" spans="1:6" ht="15" x14ac:dyDescent="0.2">
      <c r="A301" s="75" t="s">
        <v>1597</v>
      </c>
      <c r="B301" s="75" t="s">
        <v>1599</v>
      </c>
      <c r="C301" s="75" t="s">
        <v>7318</v>
      </c>
      <c r="D301" s="278" t="str">
        <f>VLOOKUP(A:A,'Master Table'!C:D,2,FALSE)</f>
        <v>2011</v>
      </c>
      <c r="E301" s="282"/>
      <c r="F301" s="77">
        <v>694.85</v>
      </c>
    </row>
    <row r="302" spans="1:6" ht="15" x14ac:dyDescent="0.2">
      <c r="A302" s="75" t="s">
        <v>1600</v>
      </c>
      <c r="B302" s="75" t="s">
        <v>1602</v>
      </c>
      <c r="C302" s="75" t="s">
        <v>1054</v>
      </c>
      <c r="D302" s="278" t="str">
        <f>VLOOKUP(A:A,'Master Table'!C:D,2,FALSE)</f>
        <v>2012</v>
      </c>
      <c r="E302" s="282"/>
      <c r="F302" s="77">
        <v>5010.78</v>
      </c>
    </row>
    <row r="303" spans="1:6" ht="15" x14ac:dyDescent="0.2">
      <c r="A303" s="75" t="s">
        <v>1604</v>
      </c>
      <c r="B303" s="75" t="s">
        <v>1602</v>
      </c>
      <c r="C303" s="75" t="s">
        <v>7346</v>
      </c>
      <c r="D303" s="278" t="str">
        <f>VLOOKUP(A:A,'Master Table'!C:D,2,FALSE)</f>
        <v>2013</v>
      </c>
      <c r="E303" s="282"/>
      <c r="F303" s="77">
        <v>2088.85</v>
      </c>
    </row>
    <row r="304" spans="1:6" ht="15" x14ac:dyDescent="0.2">
      <c r="A304" s="75" t="s">
        <v>1608</v>
      </c>
      <c r="B304" s="75" t="s">
        <v>1602</v>
      </c>
      <c r="C304" s="75" t="s">
        <v>231</v>
      </c>
      <c r="D304" s="278" t="str">
        <f>VLOOKUP(A:A,'Master Table'!C:D,2,FALSE)</f>
        <v>2014</v>
      </c>
      <c r="E304" s="282"/>
      <c r="F304" s="77">
        <v>1161.3399999999999</v>
      </c>
    </row>
    <row r="305" spans="1:6" ht="15" x14ac:dyDescent="0.2">
      <c r="A305" s="75" t="s">
        <v>1610</v>
      </c>
      <c r="B305" s="75" t="s">
        <v>1602</v>
      </c>
      <c r="C305" s="75" t="s">
        <v>7347</v>
      </c>
      <c r="D305" s="278" t="str">
        <f>VLOOKUP(A:A,'Master Table'!C:D,2,FALSE)</f>
        <v>2015</v>
      </c>
      <c r="E305" s="282"/>
      <c r="F305" s="77">
        <v>894.1</v>
      </c>
    </row>
    <row r="306" spans="1:6" ht="15" x14ac:dyDescent="0.2">
      <c r="A306" s="75" t="s">
        <v>1613</v>
      </c>
      <c r="B306" s="75" t="s">
        <v>1615</v>
      </c>
      <c r="C306" s="75" t="s">
        <v>127</v>
      </c>
      <c r="D306" s="278" t="str">
        <f>VLOOKUP(A:A,'Master Table'!C:D,2,FALSE)</f>
        <v>2016</v>
      </c>
      <c r="E306" s="282"/>
      <c r="F306" s="77">
        <v>645.75</v>
      </c>
    </row>
    <row r="307" spans="1:6" ht="15" x14ac:dyDescent="0.2">
      <c r="A307" s="75" t="s">
        <v>1616</v>
      </c>
      <c r="B307" s="75" t="s">
        <v>1618</v>
      </c>
      <c r="C307" s="75" t="s">
        <v>1008</v>
      </c>
      <c r="D307" s="278" t="str">
        <f>VLOOKUP(A:A,'Master Table'!C:D,2,FALSE)</f>
        <v>2017</v>
      </c>
      <c r="E307" s="282"/>
      <c r="F307" s="77">
        <v>1485</v>
      </c>
    </row>
    <row r="308" spans="1:6" ht="15" x14ac:dyDescent="0.2">
      <c r="A308" s="75" t="s">
        <v>1619</v>
      </c>
      <c r="B308" s="75" t="s">
        <v>7348</v>
      </c>
      <c r="C308" s="75" t="s">
        <v>231</v>
      </c>
      <c r="D308" s="278" t="str">
        <f>VLOOKUP(A:A,'Master Table'!C:D,2,FALSE)</f>
        <v>2018</v>
      </c>
      <c r="E308" s="282"/>
      <c r="F308" s="77">
        <v>374.54</v>
      </c>
    </row>
    <row r="309" spans="1:6" ht="15" x14ac:dyDescent="0.2">
      <c r="A309" s="75" t="s">
        <v>1625</v>
      </c>
      <c r="B309" s="75" t="s">
        <v>1628</v>
      </c>
      <c r="C309" s="75" t="s">
        <v>1627</v>
      </c>
      <c r="D309" s="278" t="str">
        <f>VLOOKUP(A:A,'Master Table'!C:D,2,FALSE)</f>
        <v>148025</v>
      </c>
      <c r="E309" s="282"/>
      <c r="F309" s="77">
        <v>215.29</v>
      </c>
    </row>
    <row r="310" spans="1:6" ht="15" x14ac:dyDescent="0.2">
      <c r="A310" s="75" t="s">
        <v>1629</v>
      </c>
      <c r="B310" s="75" t="s">
        <v>1631</v>
      </c>
      <c r="C310" s="75" t="s">
        <v>1366</v>
      </c>
      <c r="D310" s="278" t="str">
        <f>VLOOKUP(A:A,'Master Table'!C:D,2,FALSE)</f>
        <v>2020</v>
      </c>
      <c r="E310" s="282"/>
      <c r="F310" s="77">
        <v>1064.24</v>
      </c>
    </row>
    <row r="311" spans="1:6" ht="15" x14ac:dyDescent="0.2">
      <c r="A311" s="75" t="s">
        <v>1632</v>
      </c>
      <c r="B311" s="75" t="s">
        <v>1635</v>
      </c>
      <c r="C311" s="75" t="s">
        <v>1634</v>
      </c>
      <c r="D311" s="278" t="str">
        <f>VLOOKUP(A:A,'Master Table'!C:D,2,FALSE)</f>
        <v>2021</v>
      </c>
      <c r="E311" s="282"/>
      <c r="F311" s="77">
        <v>721.55</v>
      </c>
    </row>
    <row r="312" spans="1:6" ht="15" x14ac:dyDescent="0.2">
      <c r="A312" s="75" t="s">
        <v>1636</v>
      </c>
      <c r="B312" s="75" t="s">
        <v>1638</v>
      </c>
      <c r="C312" s="75" t="s">
        <v>532</v>
      </c>
      <c r="D312" s="278" t="str">
        <f>VLOOKUP(A:A,'Master Table'!C:D,2,FALSE)</f>
        <v>2022</v>
      </c>
      <c r="E312" s="282"/>
      <c r="F312" s="77">
        <v>638.71</v>
      </c>
    </row>
    <row r="313" spans="1:6" ht="15" x14ac:dyDescent="0.2">
      <c r="A313" s="75" t="s">
        <v>1644</v>
      </c>
      <c r="B313" s="75" t="s">
        <v>1646</v>
      </c>
      <c r="C313" s="75" t="s">
        <v>7318</v>
      </c>
      <c r="D313" s="278" t="str">
        <f>VLOOKUP(A:A,'Master Table'!C:D,2,FALSE)</f>
        <v>2023</v>
      </c>
      <c r="E313" s="282"/>
      <c r="F313" s="77">
        <v>1212.3800000000001</v>
      </c>
    </row>
    <row r="314" spans="1:6" ht="15" x14ac:dyDescent="0.2">
      <c r="A314" s="75" t="s">
        <v>1651</v>
      </c>
      <c r="B314" s="75" t="s">
        <v>1653</v>
      </c>
      <c r="C314" s="75" t="s">
        <v>7318</v>
      </c>
      <c r="D314" s="278" t="str">
        <f>VLOOKUP(A:A,'Master Table'!C:D,2,FALSE)</f>
        <v>2024</v>
      </c>
      <c r="E314" s="282"/>
      <c r="F314" s="77">
        <v>1766.26</v>
      </c>
    </row>
    <row r="315" spans="1:6" ht="15" x14ac:dyDescent="0.2">
      <c r="A315" s="75" t="s">
        <v>1654</v>
      </c>
      <c r="B315" s="75" t="s">
        <v>1653</v>
      </c>
      <c r="C315" s="75" t="s">
        <v>3516</v>
      </c>
      <c r="D315" s="278" t="str">
        <f>VLOOKUP(A:A,'Master Table'!C:D,2,FALSE)</f>
        <v>2025</v>
      </c>
      <c r="E315" s="282"/>
      <c r="F315" s="77">
        <v>1021.84</v>
      </c>
    </row>
    <row r="316" spans="1:6" ht="15" x14ac:dyDescent="0.2">
      <c r="A316" s="75" t="s">
        <v>1656</v>
      </c>
      <c r="B316" s="75" t="s">
        <v>1653</v>
      </c>
      <c r="C316" s="75" t="s">
        <v>3295</v>
      </c>
      <c r="D316" s="278" t="str">
        <f>VLOOKUP(A:A,'Master Table'!C:D,2,FALSE)</f>
        <v>2026</v>
      </c>
      <c r="E316" s="282"/>
      <c r="F316" s="77">
        <v>344.58</v>
      </c>
    </row>
    <row r="317" spans="1:6" ht="15" x14ac:dyDescent="0.2">
      <c r="A317" s="75" t="s">
        <v>1658</v>
      </c>
      <c r="B317" s="75" t="s">
        <v>1660</v>
      </c>
      <c r="C317" s="75" t="s">
        <v>7336</v>
      </c>
      <c r="D317" s="278" t="str">
        <f>VLOOKUP(A:A,'Master Table'!C:D,2,FALSE)</f>
        <v>2027</v>
      </c>
      <c r="E317" s="282"/>
      <c r="F317" s="77">
        <v>263.5</v>
      </c>
    </row>
    <row r="318" spans="1:6" ht="15" x14ac:dyDescent="0.2">
      <c r="A318" s="75" t="s">
        <v>1664</v>
      </c>
      <c r="B318" s="75" t="s">
        <v>1667</v>
      </c>
      <c r="C318" s="75" t="s">
        <v>7349</v>
      </c>
      <c r="D318" s="278" t="str">
        <f>VLOOKUP(A:A,'Master Table'!C:D,2,FALSE)</f>
        <v>2028</v>
      </c>
      <c r="E318" s="282"/>
      <c r="F318" s="77">
        <v>170</v>
      </c>
    </row>
    <row r="319" spans="1:6" ht="15" x14ac:dyDescent="0.2">
      <c r="A319" s="75" t="s">
        <v>1668</v>
      </c>
      <c r="B319" s="75" t="s">
        <v>1671</v>
      </c>
      <c r="C319" s="75" t="s">
        <v>7350</v>
      </c>
      <c r="D319" s="278" t="str">
        <f>VLOOKUP(A:A,'Master Table'!C:D,2,FALSE)</f>
        <v>2029</v>
      </c>
      <c r="E319" s="282"/>
      <c r="F319" s="77">
        <v>1399.1</v>
      </c>
    </row>
    <row r="320" spans="1:6" ht="15" x14ac:dyDescent="0.2">
      <c r="A320" s="78" t="s">
        <v>1673</v>
      </c>
      <c r="B320" s="78" t="s">
        <v>1676</v>
      </c>
      <c r="C320" s="78" t="s">
        <v>7351</v>
      </c>
      <c r="D320" s="278" t="str">
        <f>VLOOKUP(A:A,'Master Table'!C:D,2,FALSE)</f>
        <v>2030</v>
      </c>
      <c r="E320" s="282"/>
      <c r="F320" s="77">
        <v>0</v>
      </c>
    </row>
    <row r="321" spans="1:6" ht="15" x14ac:dyDescent="0.2">
      <c r="A321" s="75" t="s">
        <v>1681</v>
      </c>
      <c r="B321" s="75" t="s">
        <v>1684</v>
      </c>
      <c r="C321" s="75" t="s">
        <v>1683</v>
      </c>
      <c r="D321" s="278" t="str">
        <f>VLOOKUP(A:A,'Master Table'!C:D,2,FALSE)</f>
        <v>2031</v>
      </c>
      <c r="E321" s="282"/>
      <c r="F321" s="77">
        <v>399.71</v>
      </c>
    </row>
    <row r="322" spans="1:6" ht="15" x14ac:dyDescent="0.2">
      <c r="A322" s="75" t="s">
        <v>1686</v>
      </c>
      <c r="B322" s="75" t="s">
        <v>1689</v>
      </c>
      <c r="C322" s="75" t="s">
        <v>7352</v>
      </c>
      <c r="D322" s="278" t="str">
        <f>VLOOKUP(A:A,'Master Table'!C:D,2,FALSE)</f>
        <v>2032</v>
      </c>
      <c r="E322" s="282"/>
      <c r="F322" s="77">
        <v>1013.07</v>
      </c>
    </row>
    <row r="323" spans="1:6" ht="15" x14ac:dyDescent="0.2">
      <c r="A323" s="75" t="s">
        <v>1690</v>
      </c>
      <c r="B323" s="75" t="s">
        <v>1689</v>
      </c>
      <c r="C323" s="75" t="s">
        <v>7353</v>
      </c>
      <c r="D323" s="278" t="str">
        <f>VLOOKUP(A:A,'Master Table'!C:D,2,FALSE)</f>
        <v>2033</v>
      </c>
      <c r="E323" s="282"/>
      <c r="F323" s="77">
        <v>1230</v>
      </c>
    </row>
    <row r="324" spans="1:6" ht="15" x14ac:dyDescent="0.2">
      <c r="A324" s="75" t="s">
        <v>1694</v>
      </c>
      <c r="B324" s="75" t="s">
        <v>1697</v>
      </c>
      <c r="C324" s="75" t="s">
        <v>1696</v>
      </c>
      <c r="D324" s="278" t="str">
        <f>VLOOKUP(A:A,'Master Table'!C:D,2,FALSE)</f>
        <v>2034</v>
      </c>
      <c r="E324" s="282"/>
      <c r="F324" s="77">
        <v>3254.32</v>
      </c>
    </row>
    <row r="325" spans="1:6" ht="15" x14ac:dyDescent="0.2">
      <c r="A325" s="75" t="s">
        <v>1699</v>
      </c>
      <c r="B325" s="75" t="s">
        <v>1701</v>
      </c>
      <c r="C325" s="75" t="s">
        <v>1366</v>
      </c>
      <c r="D325" s="278" t="str">
        <f>VLOOKUP(A:A,'Master Table'!C:D,2,FALSE)</f>
        <v>2035</v>
      </c>
      <c r="E325" s="282"/>
      <c r="F325" s="77">
        <v>1116.72</v>
      </c>
    </row>
    <row r="326" spans="1:6" ht="15" x14ac:dyDescent="0.2">
      <c r="A326" s="75" t="s">
        <v>1702</v>
      </c>
      <c r="B326" s="75" t="s">
        <v>1704</v>
      </c>
      <c r="C326" s="78" t="s">
        <v>7354</v>
      </c>
      <c r="D326" s="278" t="str">
        <f>VLOOKUP(A:A,'Master Table'!C:D,2,FALSE)</f>
        <v>2036</v>
      </c>
      <c r="E326" s="282"/>
      <c r="F326" s="77">
        <v>1108</v>
      </c>
    </row>
    <row r="327" spans="1:6" ht="15" x14ac:dyDescent="0.2">
      <c r="A327" s="75" t="s">
        <v>1705</v>
      </c>
      <c r="B327" s="75" t="s">
        <v>1708</v>
      </c>
      <c r="C327" s="75" t="s">
        <v>7355</v>
      </c>
      <c r="D327" s="278" t="str">
        <f>VLOOKUP(A:A,'Master Table'!C:D,2,FALSE)</f>
        <v>2038</v>
      </c>
      <c r="E327" s="282"/>
      <c r="F327" s="77">
        <v>1403.09</v>
      </c>
    </row>
    <row r="328" spans="1:6" ht="15" x14ac:dyDescent="0.2">
      <c r="A328" s="75" t="s">
        <v>1709</v>
      </c>
      <c r="B328" s="75" t="s">
        <v>1711</v>
      </c>
      <c r="C328" s="75" t="s">
        <v>7321</v>
      </c>
      <c r="D328" s="278" t="str">
        <f>VLOOKUP(A:A,'Master Table'!C:D,2,FALSE)</f>
        <v>2039</v>
      </c>
      <c r="E328" s="282"/>
      <c r="F328" s="77">
        <v>25</v>
      </c>
    </row>
    <row r="329" spans="1:6" ht="15" x14ac:dyDescent="0.2">
      <c r="A329" s="75" t="s">
        <v>1712</v>
      </c>
      <c r="B329" s="75" t="s">
        <v>1714</v>
      </c>
      <c r="C329" s="75" t="s">
        <v>7216</v>
      </c>
      <c r="D329" s="278" t="str">
        <f>VLOOKUP(A:A,'Master Table'!C:D,2,FALSE)</f>
        <v>2040</v>
      </c>
      <c r="E329" s="282"/>
      <c r="F329" s="77">
        <v>277.35000000000002</v>
      </c>
    </row>
    <row r="330" spans="1:6" ht="15" x14ac:dyDescent="0.2">
      <c r="A330" s="75" t="s">
        <v>1715</v>
      </c>
      <c r="B330" s="75" t="s">
        <v>1714</v>
      </c>
      <c r="C330" s="75" t="s">
        <v>1032</v>
      </c>
      <c r="D330" s="278" t="str">
        <f>VLOOKUP(A:A,'Master Table'!C:D,2,FALSE)</f>
        <v>2041</v>
      </c>
      <c r="E330" s="282"/>
      <c r="F330" s="77">
        <v>3657.42</v>
      </c>
    </row>
    <row r="331" spans="1:6" ht="15" x14ac:dyDescent="0.2">
      <c r="A331" s="75" t="s">
        <v>1718</v>
      </c>
      <c r="B331" s="75" t="s">
        <v>1714</v>
      </c>
      <c r="C331" s="75" t="s">
        <v>1409</v>
      </c>
      <c r="D331" s="278" t="str">
        <f>VLOOKUP(A:A,'Master Table'!C:D,2,FALSE)</f>
        <v>2042</v>
      </c>
      <c r="E331" s="283"/>
      <c r="F331" s="77">
        <v>800</v>
      </c>
    </row>
    <row r="332" spans="1:6" ht="15" x14ac:dyDescent="0.2">
      <c r="A332" s="75" t="s">
        <v>1720</v>
      </c>
      <c r="B332" s="75" t="s">
        <v>1714</v>
      </c>
      <c r="C332" s="75" t="s">
        <v>1366</v>
      </c>
      <c r="D332" s="278" t="str">
        <f>VLOOKUP(A:A,'Master Table'!C:D,2,FALSE)</f>
        <v>2043</v>
      </c>
      <c r="E332" s="282"/>
      <c r="F332" s="77">
        <v>845.45</v>
      </c>
    </row>
    <row r="333" spans="1:6" ht="15" x14ac:dyDescent="0.2">
      <c r="A333" s="75" t="s">
        <v>1722</v>
      </c>
      <c r="B333" s="75" t="s">
        <v>1714</v>
      </c>
      <c r="C333" s="75" t="s">
        <v>1724</v>
      </c>
      <c r="D333" s="278" t="str">
        <f>VLOOKUP(A:A,'Master Table'!C:D,2,FALSE)</f>
        <v>2045</v>
      </c>
      <c r="E333" s="282"/>
      <c r="F333" s="77">
        <v>1178.19</v>
      </c>
    </row>
    <row r="334" spans="1:6" ht="15" x14ac:dyDescent="0.2">
      <c r="A334" s="75" t="s">
        <v>1725</v>
      </c>
      <c r="B334" s="75" t="s">
        <v>1714</v>
      </c>
      <c r="C334" s="75" t="s">
        <v>7356</v>
      </c>
      <c r="D334" s="278" t="str">
        <f>VLOOKUP(A:A,'Master Table'!C:D,2,FALSE)</f>
        <v>2046</v>
      </c>
      <c r="E334" s="282"/>
      <c r="F334" s="77">
        <v>2484.04</v>
      </c>
    </row>
    <row r="335" spans="1:6" ht="15" x14ac:dyDescent="0.2">
      <c r="A335" s="75" t="s">
        <v>1727</v>
      </c>
      <c r="B335" s="78" t="s">
        <v>1714</v>
      </c>
      <c r="C335" s="78" t="s">
        <v>7357</v>
      </c>
      <c r="D335" s="278" t="str">
        <f>VLOOKUP(A:A,'Master Table'!C:D,2,FALSE)</f>
        <v>2047</v>
      </c>
      <c r="E335" s="282"/>
      <c r="F335" s="77">
        <v>239.11</v>
      </c>
    </row>
    <row r="336" spans="1:6" ht="15" x14ac:dyDescent="0.2">
      <c r="A336" s="75" t="s">
        <v>1729</v>
      </c>
      <c r="B336" s="75" t="s">
        <v>1714</v>
      </c>
      <c r="C336" s="75" t="s">
        <v>942</v>
      </c>
      <c r="D336" s="278" t="str">
        <f>VLOOKUP(A:A,'Master Table'!C:D,2,FALSE)</f>
        <v>2048</v>
      </c>
      <c r="E336" s="282"/>
      <c r="F336" s="77">
        <v>583.51</v>
      </c>
    </row>
    <row r="337" spans="1:10" ht="15" x14ac:dyDescent="0.2">
      <c r="A337" s="75" t="s">
        <v>1732</v>
      </c>
      <c r="B337" s="75" t="s">
        <v>1714</v>
      </c>
      <c r="C337" s="75" t="s">
        <v>7358</v>
      </c>
      <c r="D337" s="278" t="str">
        <f>VLOOKUP(A:A,'Master Table'!C:D,2,FALSE)</f>
        <v>2050</v>
      </c>
      <c r="E337" s="282"/>
      <c r="F337" s="77">
        <v>474.23</v>
      </c>
    </row>
    <row r="338" spans="1:10" ht="15" x14ac:dyDescent="0.2">
      <c r="A338" s="75" t="s">
        <v>1735</v>
      </c>
      <c r="B338" s="75" t="s">
        <v>1714</v>
      </c>
      <c r="C338" s="75" t="s">
        <v>3295</v>
      </c>
      <c r="D338" s="278" t="str">
        <f>VLOOKUP(A:A,'Master Table'!C:D,2,FALSE)</f>
        <v>2051</v>
      </c>
      <c r="E338" s="282"/>
      <c r="F338" s="77">
        <v>251</v>
      </c>
    </row>
    <row r="339" spans="1:10" ht="15" x14ac:dyDescent="0.2">
      <c r="A339" s="75" t="s">
        <v>1738</v>
      </c>
      <c r="B339" s="75" t="s">
        <v>1740</v>
      </c>
      <c r="C339" s="75" t="s">
        <v>2896</v>
      </c>
      <c r="D339" s="278" t="str">
        <f>VLOOKUP(A:A,'Master Table'!C:D,2,FALSE)</f>
        <v>2053</v>
      </c>
      <c r="E339" s="282"/>
      <c r="F339" s="77">
        <v>1290.1099999999999</v>
      </c>
    </row>
    <row r="340" spans="1:10" ht="15" x14ac:dyDescent="0.2">
      <c r="A340" s="75" t="s">
        <v>1741</v>
      </c>
      <c r="B340" s="75" t="s">
        <v>1744</v>
      </c>
      <c r="C340" s="75" t="s">
        <v>1743</v>
      </c>
      <c r="D340" s="278" t="str">
        <f>VLOOKUP(A:A,'Master Table'!C:D,2,FALSE)</f>
        <v>2054</v>
      </c>
      <c r="E340" s="282"/>
      <c r="F340" s="77">
        <v>721.25</v>
      </c>
    </row>
    <row r="341" spans="1:10" ht="15" x14ac:dyDescent="0.2">
      <c r="A341" s="75" t="s">
        <v>1749</v>
      </c>
      <c r="B341" s="75" t="s">
        <v>1752</v>
      </c>
      <c r="C341" s="75" t="s">
        <v>1751</v>
      </c>
      <c r="D341" s="278" t="str">
        <f>VLOOKUP(A:A,'Master Table'!C:D,2,FALSE)</f>
        <v>2055</v>
      </c>
      <c r="E341" s="282"/>
      <c r="F341" s="77">
        <v>874.54</v>
      </c>
    </row>
    <row r="342" spans="1:10" ht="15" x14ac:dyDescent="0.2">
      <c r="A342" s="75" t="s">
        <v>1753</v>
      </c>
      <c r="B342" s="75" t="s">
        <v>1752</v>
      </c>
      <c r="C342" s="75" t="s">
        <v>7359</v>
      </c>
      <c r="D342" s="278" t="str">
        <f>VLOOKUP(A:A,'Master Table'!C:D,2,FALSE)</f>
        <v>2056</v>
      </c>
      <c r="E342" s="282"/>
      <c r="F342" s="77">
        <v>3110.34</v>
      </c>
    </row>
    <row r="343" spans="1:10" ht="15" x14ac:dyDescent="0.2">
      <c r="A343" s="75" t="s">
        <v>1755</v>
      </c>
      <c r="B343" s="75" t="s">
        <v>1752</v>
      </c>
      <c r="C343" s="75" t="s">
        <v>1366</v>
      </c>
      <c r="D343" s="278" t="str">
        <f>VLOOKUP(A:A,'Master Table'!C:D,2,FALSE)</f>
        <v>2057</v>
      </c>
      <c r="E343" s="282"/>
      <c r="F343" s="77">
        <v>984.24</v>
      </c>
    </row>
    <row r="344" spans="1:10" ht="15" x14ac:dyDescent="0.2">
      <c r="A344" s="75" t="s">
        <v>1757</v>
      </c>
      <c r="B344" s="78" t="s">
        <v>1759</v>
      </c>
      <c r="C344" s="75"/>
      <c r="D344" s="278" t="str">
        <f>VLOOKUP(A:A,'Master Table'!C:D,2,FALSE)</f>
        <v>0444625</v>
      </c>
      <c r="E344" s="282"/>
      <c r="F344" s="77">
        <v>0</v>
      </c>
    </row>
    <row r="345" spans="1:10" ht="15" x14ac:dyDescent="0.2">
      <c r="A345" s="75" t="s">
        <v>1760</v>
      </c>
      <c r="B345" s="75" t="s">
        <v>7360</v>
      </c>
      <c r="C345" s="75" t="s">
        <v>1762</v>
      </c>
      <c r="D345" s="278" t="str">
        <f>VLOOKUP(A:A,'Master Table'!C:D,2,FALSE)</f>
        <v>0444441</v>
      </c>
      <c r="E345" s="282"/>
      <c r="F345" s="77">
        <v>109.81</v>
      </c>
    </row>
    <row r="346" spans="1:10" ht="15" x14ac:dyDescent="0.2">
      <c r="A346" s="75" t="s">
        <v>1768</v>
      </c>
      <c r="B346" s="75" t="s">
        <v>7361</v>
      </c>
      <c r="C346" s="75" t="s">
        <v>1770</v>
      </c>
      <c r="D346" s="278" t="str">
        <f>VLOOKUP(A:A,'Master Table'!C:D,2,FALSE)</f>
        <v>0444442</v>
      </c>
      <c r="E346" s="282"/>
      <c r="F346" s="77">
        <v>209.07</v>
      </c>
    </row>
    <row r="347" spans="1:10" ht="15" x14ac:dyDescent="0.2">
      <c r="A347" s="78" t="s">
        <v>7362</v>
      </c>
      <c r="B347" s="75" t="s">
        <v>7261</v>
      </c>
      <c r="C347" s="81" t="s">
        <v>7363</v>
      </c>
      <c r="D347" s="278" t="e">
        <f>VLOOKUP(A:A,'Master Table'!C:D,2,FALSE)</f>
        <v>#N/A</v>
      </c>
      <c r="E347" s="282"/>
      <c r="F347" s="77">
        <v>6910.83</v>
      </c>
    </row>
    <row r="348" spans="1:10" ht="15.75" x14ac:dyDescent="0.2">
      <c r="A348" s="82" t="s">
        <v>307</v>
      </c>
      <c r="B348" s="82"/>
      <c r="C348" s="82"/>
      <c r="D348" s="284"/>
      <c r="E348" s="284"/>
      <c r="F348" s="84">
        <v>289551.52000000008</v>
      </c>
    </row>
    <row r="349" spans="1:10" s="62" customFormat="1" ht="15" thickBot="1" x14ac:dyDescent="0.25">
      <c r="A349" s="60" t="s">
        <v>7262</v>
      </c>
      <c r="B349" s="60"/>
      <c r="C349" s="60"/>
      <c r="D349" s="275"/>
      <c r="E349" s="275"/>
      <c r="F349" s="61"/>
      <c r="G349" s="61"/>
      <c r="H349" s="60"/>
    </row>
    <row r="350" spans="1:10" ht="21" thickBot="1" x14ac:dyDescent="0.25">
      <c r="A350" s="243" t="s">
        <v>7464</v>
      </c>
      <c r="B350" s="244"/>
      <c r="C350" s="244"/>
      <c r="D350" s="285"/>
      <c r="E350" s="285"/>
      <c r="F350" s="244"/>
      <c r="G350" s="244"/>
      <c r="H350" s="244"/>
      <c r="I350" s="245"/>
      <c r="J350" s="86"/>
    </row>
    <row r="351" spans="1:10" ht="15.75" x14ac:dyDescent="0.2">
      <c r="A351" s="106" t="s">
        <v>1</v>
      </c>
      <c r="B351" s="106" t="s">
        <v>7465</v>
      </c>
      <c r="C351" s="106" t="s">
        <v>3</v>
      </c>
      <c r="D351" s="286" t="s">
        <v>8165</v>
      </c>
      <c r="E351" s="286">
        <f>E3</f>
        <v>2019</v>
      </c>
      <c r="F351" s="108">
        <v>2018</v>
      </c>
      <c r="G351" s="108">
        <v>2017</v>
      </c>
      <c r="H351" s="107">
        <v>2016</v>
      </c>
      <c r="J351" s="86"/>
    </row>
    <row r="352" spans="1:10" ht="15" x14ac:dyDescent="0.2">
      <c r="A352" s="109" t="s">
        <v>1777</v>
      </c>
      <c r="B352" s="109" t="s">
        <v>7467</v>
      </c>
      <c r="C352" s="109" t="s">
        <v>7468</v>
      </c>
      <c r="D352" s="278" t="str">
        <f>VLOOKUP(A:A,'Master Table'!C:D,2,FALSE)</f>
        <v>2063</v>
      </c>
      <c r="E352" s="287"/>
      <c r="F352" s="8">
        <v>2367.17</v>
      </c>
      <c r="G352" s="111">
        <v>1096.83</v>
      </c>
      <c r="H352" s="112">
        <v>1899</v>
      </c>
      <c r="J352" s="86"/>
    </row>
    <row r="353" spans="1:10" ht="15" x14ac:dyDescent="0.2">
      <c r="A353" s="109" t="s">
        <v>1781</v>
      </c>
      <c r="B353" s="109" t="s">
        <v>7470</v>
      </c>
      <c r="C353" s="109" t="s">
        <v>1349</v>
      </c>
      <c r="D353" s="278" t="str">
        <f>VLOOKUP(A:A,'Master Table'!C:D,2,FALSE)</f>
        <v>2064</v>
      </c>
      <c r="E353" s="287"/>
      <c r="F353" s="8">
        <v>265.28999999999996</v>
      </c>
      <c r="G353" s="111">
        <v>486</v>
      </c>
      <c r="H353" s="112">
        <v>212.91</v>
      </c>
      <c r="J353" s="86"/>
    </row>
    <row r="354" spans="1:10" ht="15" x14ac:dyDescent="0.2">
      <c r="A354" s="109" t="s">
        <v>1784</v>
      </c>
      <c r="B354" s="109" t="s">
        <v>1787</v>
      </c>
      <c r="C354" s="109" t="s">
        <v>7471</v>
      </c>
      <c r="D354" s="278" t="str">
        <f>VLOOKUP(A:A,'Master Table'!C:D,2,FALSE)</f>
        <v>2065</v>
      </c>
      <c r="E354" s="287"/>
      <c r="F354" s="8">
        <v>1152.7</v>
      </c>
      <c r="G354" s="111">
        <v>1437.9</v>
      </c>
      <c r="H354" s="112">
        <v>1659.31</v>
      </c>
      <c r="J354" s="86"/>
    </row>
    <row r="355" spans="1:10" ht="15" x14ac:dyDescent="0.2">
      <c r="A355" s="109" t="s">
        <v>1788</v>
      </c>
      <c r="B355" s="109" t="s">
        <v>1787</v>
      </c>
      <c r="C355" s="109" t="s">
        <v>453</v>
      </c>
      <c r="D355" s="278" t="str">
        <f>VLOOKUP(A:A,'Master Table'!C:D,2,FALSE)</f>
        <v>2066</v>
      </c>
      <c r="E355" s="287"/>
      <c r="F355" s="8">
        <v>501.38</v>
      </c>
      <c r="G355" s="111">
        <v>664</v>
      </c>
      <c r="H355" s="112">
        <v>172.55</v>
      </c>
      <c r="J355" s="86"/>
    </row>
    <row r="356" spans="1:10" ht="15" x14ac:dyDescent="0.2">
      <c r="A356" s="109" t="s">
        <v>1794</v>
      </c>
      <c r="B356" s="109" t="s">
        <v>7472</v>
      </c>
      <c r="C356" s="109" t="s">
        <v>1546</v>
      </c>
      <c r="D356" s="278" t="str">
        <f>VLOOKUP(A:A,'Master Table'!C:D,2,FALSE)</f>
        <v>2068</v>
      </c>
      <c r="E356" s="287"/>
      <c r="F356" s="8">
        <v>4768</v>
      </c>
      <c r="G356" s="111">
        <v>4342.7800000000007</v>
      </c>
      <c r="H356" s="112">
        <v>3924.64</v>
      </c>
      <c r="J356" s="86"/>
    </row>
    <row r="357" spans="1:10" ht="15" x14ac:dyDescent="0.2">
      <c r="A357" s="109" t="s">
        <v>1799</v>
      </c>
      <c r="B357" s="109" t="s">
        <v>1802</v>
      </c>
      <c r="C357" s="109" t="s">
        <v>7473</v>
      </c>
      <c r="D357" s="278" t="str">
        <f>VLOOKUP(A:A,'Master Table'!C:D,2,FALSE)</f>
        <v>2069</v>
      </c>
      <c r="E357" s="287"/>
      <c r="F357" s="8">
        <v>980</v>
      </c>
      <c r="G357" s="111">
        <v>565</v>
      </c>
      <c r="H357" s="112">
        <v>582.19000000000005</v>
      </c>
      <c r="J357" s="86"/>
    </row>
    <row r="358" spans="1:10" ht="15" x14ac:dyDescent="0.2">
      <c r="A358" s="109" t="s">
        <v>1803</v>
      </c>
      <c r="B358" s="109" t="s">
        <v>1802</v>
      </c>
      <c r="C358" s="109" t="s">
        <v>2347</v>
      </c>
      <c r="D358" s="278" t="str">
        <f>VLOOKUP(A:A,'Master Table'!C:D,2,FALSE)</f>
        <v>2070</v>
      </c>
      <c r="E358" s="287"/>
      <c r="F358" s="8">
        <v>638.30999999999995</v>
      </c>
      <c r="G358" s="111">
        <v>750.02</v>
      </c>
      <c r="H358" s="112">
        <v>564</v>
      </c>
      <c r="J358" s="86"/>
    </row>
    <row r="359" spans="1:10" ht="15" x14ac:dyDescent="0.2">
      <c r="A359" s="109" t="s">
        <v>1807</v>
      </c>
      <c r="B359" s="109" t="s">
        <v>7474</v>
      </c>
      <c r="C359" s="109" t="s">
        <v>7475</v>
      </c>
      <c r="D359" s="278" t="str">
        <f>VLOOKUP(A:A,'Master Table'!C:D,2,FALSE)</f>
        <v>2071</v>
      </c>
      <c r="E359" s="287"/>
      <c r="F359" s="8">
        <v>460.6</v>
      </c>
      <c r="G359" s="111">
        <v>389.58</v>
      </c>
      <c r="H359" s="112">
        <v>10</v>
      </c>
      <c r="J359" s="86"/>
    </row>
    <row r="360" spans="1:10" ht="15" x14ac:dyDescent="0.2">
      <c r="A360" s="109" t="s">
        <v>1811</v>
      </c>
      <c r="B360" s="109" t="s">
        <v>1813</v>
      </c>
      <c r="C360" s="109" t="s">
        <v>1165</v>
      </c>
      <c r="D360" s="278" t="str">
        <f>VLOOKUP(A:A,'Master Table'!C:D,2,FALSE)</f>
        <v>2072</v>
      </c>
      <c r="E360" s="287"/>
      <c r="F360" s="8">
        <v>514.83000000000004</v>
      </c>
      <c r="G360" s="111">
        <v>664</v>
      </c>
      <c r="H360" s="112">
        <v>461</v>
      </c>
      <c r="J360" s="86"/>
    </row>
    <row r="361" spans="1:10" ht="15" x14ac:dyDescent="0.2">
      <c r="A361" s="109" t="s">
        <v>1817</v>
      </c>
      <c r="B361" s="109" t="s">
        <v>1820</v>
      </c>
      <c r="C361" s="109" t="s">
        <v>7476</v>
      </c>
      <c r="D361" s="278" t="str">
        <f>VLOOKUP(A:A,'Master Table'!C:D,2,FALSE)</f>
        <v>2073</v>
      </c>
      <c r="E361" s="287"/>
      <c r="F361" s="8">
        <v>2568.7199999999998</v>
      </c>
      <c r="G361" s="111">
        <v>2702</v>
      </c>
      <c r="H361" s="112">
        <v>2859.5</v>
      </c>
      <c r="J361" s="86"/>
    </row>
    <row r="362" spans="1:10" ht="15" x14ac:dyDescent="0.2">
      <c r="A362" s="109" t="s">
        <v>1821</v>
      </c>
      <c r="B362" s="109" t="s">
        <v>1824</v>
      </c>
      <c r="C362" s="109" t="s">
        <v>1823</v>
      </c>
      <c r="D362" s="278" t="str">
        <f>VLOOKUP(A:A,'Master Table'!C:D,2,FALSE)</f>
        <v>2074</v>
      </c>
      <c r="E362" s="287"/>
      <c r="F362" s="8">
        <v>774.37</v>
      </c>
      <c r="G362" s="111">
        <v>986.81</v>
      </c>
      <c r="H362" s="112">
        <v>1137.48</v>
      </c>
      <c r="J362" s="86"/>
    </row>
    <row r="363" spans="1:10" ht="15" x14ac:dyDescent="0.2">
      <c r="A363" s="345" t="s">
        <v>7477</v>
      </c>
      <c r="B363" s="109" t="s">
        <v>7478</v>
      </c>
      <c r="C363" s="109" t="s">
        <v>7479</v>
      </c>
      <c r="D363" s="343">
        <f>VLOOKUP(A:A,'Master Table'!C:D,2,FALSE)</f>
        <v>0</v>
      </c>
      <c r="E363" s="287"/>
      <c r="F363" s="8">
        <v>319.18</v>
      </c>
      <c r="G363" s="111">
        <v>563.1</v>
      </c>
      <c r="H363" s="112">
        <v>204</v>
      </c>
      <c r="J363" s="86"/>
    </row>
    <row r="364" spans="1:10" ht="15" x14ac:dyDescent="0.2">
      <c r="A364" s="109" t="s">
        <v>1825</v>
      </c>
      <c r="B364" s="109" t="s">
        <v>7480</v>
      </c>
      <c r="C364" s="109" t="s">
        <v>5390</v>
      </c>
      <c r="D364" s="278" t="str">
        <f>VLOOKUP(A:A,'Master Table'!C:D,2,FALSE)</f>
        <v>2077</v>
      </c>
      <c r="E364" s="287"/>
      <c r="F364" s="8">
        <v>1622</v>
      </c>
      <c r="G364" s="111">
        <v>1771.35</v>
      </c>
      <c r="H364" s="112">
        <v>1477.22</v>
      </c>
      <c r="J364" s="86"/>
    </row>
    <row r="365" spans="1:10" ht="15" x14ac:dyDescent="0.2">
      <c r="A365" s="109" t="s">
        <v>1829</v>
      </c>
      <c r="B365" s="109" t="s">
        <v>1836</v>
      </c>
      <c r="C365" s="109" t="s">
        <v>7481</v>
      </c>
      <c r="D365" s="278" t="str">
        <f>VLOOKUP(A:A,'Master Table'!C:D,2,FALSE)</f>
        <v>2078</v>
      </c>
      <c r="E365" s="287"/>
      <c r="F365" s="8">
        <v>632.53</v>
      </c>
      <c r="G365" s="111">
        <v>601</v>
      </c>
      <c r="H365" s="112">
        <v>774.46</v>
      </c>
      <c r="J365" s="86"/>
    </row>
    <row r="366" spans="1:10" ht="15" x14ac:dyDescent="0.2">
      <c r="A366" s="109" t="s">
        <v>1837</v>
      </c>
      <c r="B366" s="109" t="s">
        <v>1840</v>
      </c>
      <c r="C366" s="109" t="s">
        <v>7482</v>
      </c>
      <c r="D366" s="278" t="str">
        <f>VLOOKUP(A:A,'Master Table'!C:D,2,FALSE)</f>
        <v>2079</v>
      </c>
      <c r="E366" s="287"/>
      <c r="F366" s="8">
        <v>93</v>
      </c>
      <c r="G366" s="111">
        <v>1619</v>
      </c>
      <c r="H366" s="112">
        <v>878.1</v>
      </c>
      <c r="J366" s="86"/>
    </row>
    <row r="367" spans="1:10" ht="15" x14ac:dyDescent="0.2">
      <c r="A367" s="109" t="s">
        <v>1841</v>
      </c>
      <c r="B367" s="109" t="s">
        <v>7483</v>
      </c>
      <c r="C367" s="109" t="s">
        <v>3774</v>
      </c>
      <c r="D367" s="278" t="str">
        <f>VLOOKUP(A:A,'Master Table'!C:D,2,FALSE)</f>
        <v>2080</v>
      </c>
      <c r="E367" s="287"/>
      <c r="F367" s="8">
        <v>470</v>
      </c>
      <c r="G367" s="111">
        <v>783.63</v>
      </c>
      <c r="H367" s="112">
        <v>295</v>
      </c>
      <c r="J367" s="86"/>
    </row>
    <row r="368" spans="1:10" ht="15" x14ac:dyDescent="0.2">
      <c r="A368" s="109" t="s">
        <v>1846</v>
      </c>
      <c r="B368" s="109" t="s">
        <v>1852</v>
      </c>
      <c r="C368" s="109" t="s">
        <v>4774</v>
      </c>
      <c r="D368" s="278">
        <f>VLOOKUP(A:A,'Master Table'!C:D,2,FALSE)</f>
        <v>2081</v>
      </c>
      <c r="E368" s="287"/>
      <c r="F368" s="8">
        <v>1541.67</v>
      </c>
      <c r="G368" s="111">
        <v>1811.82</v>
      </c>
      <c r="H368" s="112">
        <v>2350.15</v>
      </c>
      <c r="J368" s="86"/>
    </row>
    <row r="369" spans="1:10" ht="15" x14ac:dyDescent="0.2">
      <c r="A369" s="109" t="s">
        <v>1849</v>
      </c>
      <c r="B369" s="109" t="s">
        <v>1852</v>
      </c>
      <c r="C369" s="109" t="s">
        <v>6378</v>
      </c>
      <c r="D369" s="278" t="str">
        <f>VLOOKUP(A:A,'Master Table'!C:D,2,FALSE)</f>
        <v>2082</v>
      </c>
      <c r="E369" s="287"/>
      <c r="F369" s="8">
        <v>1329</v>
      </c>
      <c r="G369" s="111">
        <v>1656</v>
      </c>
      <c r="H369" s="112">
        <v>1970.28</v>
      </c>
      <c r="J369" s="86"/>
    </row>
    <row r="370" spans="1:10" ht="15" x14ac:dyDescent="0.2">
      <c r="A370" s="109" t="s">
        <v>1854</v>
      </c>
      <c r="B370" s="109" t="s">
        <v>1852</v>
      </c>
      <c r="C370" s="109" t="s">
        <v>7207</v>
      </c>
      <c r="D370" s="278">
        <f>VLOOKUP(A:A,'Master Table'!C:D,2,FALSE)</f>
        <v>2083</v>
      </c>
      <c r="E370" s="287"/>
      <c r="F370" s="8">
        <v>396.7</v>
      </c>
      <c r="G370" s="111">
        <v>482.59</v>
      </c>
      <c r="H370" s="112">
        <v>592.77</v>
      </c>
      <c r="J370" s="86"/>
    </row>
    <row r="371" spans="1:10" ht="15" x14ac:dyDescent="0.2">
      <c r="A371" s="109" t="s">
        <v>1858</v>
      </c>
      <c r="B371" s="109" t="s">
        <v>7484</v>
      </c>
      <c r="C371" s="109" t="s">
        <v>7485</v>
      </c>
      <c r="D371" s="278" t="str">
        <f>VLOOKUP(A:A,'Master Table'!C:D,2,FALSE)</f>
        <v>2084</v>
      </c>
      <c r="E371" s="287"/>
      <c r="F371" s="8">
        <v>1300.3800000000001</v>
      </c>
      <c r="G371" s="111">
        <v>1156.3600000000001</v>
      </c>
      <c r="H371" s="112">
        <v>1182</v>
      </c>
      <c r="J371" s="86"/>
    </row>
    <row r="372" spans="1:10" ht="15" x14ac:dyDescent="0.2">
      <c r="A372" s="109" t="s">
        <v>1861</v>
      </c>
      <c r="B372" s="109" t="s">
        <v>1864</v>
      </c>
      <c r="C372" s="109" t="s">
        <v>7486</v>
      </c>
      <c r="D372" s="278" t="str">
        <f>VLOOKUP(A:A,'Master Table'!C:D,2,FALSE)</f>
        <v>2086</v>
      </c>
      <c r="E372" s="287"/>
      <c r="F372" s="8">
        <v>2338.54</v>
      </c>
      <c r="G372" s="111">
        <v>1932.05</v>
      </c>
      <c r="H372" s="112">
        <v>736.34</v>
      </c>
      <c r="J372" s="86"/>
    </row>
    <row r="373" spans="1:10" ht="15" x14ac:dyDescent="0.2">
      <c r="A373" s="113" t="s">
        <v>1865</v>
      </c>
      <c r="B373" s="113" t="s">
        <v>7487</v>
      </c>
      <c r="C373" s="113" t="s">
        <v>1867</v>
      </c>
      <c r="D373" s="278" t="str">
        <f>VLOOKUP(A:A,'Master Table'!C:D,2,FALSE)</f>
        <v>0479439</v>
      </c>
      <c r="E373" s="287"/>
      <c r="F373" s="115">
        <v>0</v>
      </c>
      <c r="G373" s="116">
        <v>0</v>
      </c>
      <c r="H373" s="117">
        <v>1120.4000000000001</v>
      </c>
      <c r="J373" s="86"/>
    </row>
    <row r="374" spans="1:10" ht="15" x14ac:dyDescent="0.2">
      <c r="A374" s="109" t="s">
        <v>1873</v>
      </c>
      <c r="B374" s="109" t="s">
        <v>7488</v>
      </c>
      <c r="C374" s="109" t="s">
        <v>7489</v>
      </c>
      <c r="D374" s="278" t="str">
        <f>VLOOKUP(A:A,'Master Table'!C:D,2,FALSE)</f>
        <v>2087</v>
      </c>
      <c r="E374" s="287"/>
      <c r="F374" s="8">
        <v>75</v>
      </c>
      <c r="G374" s="111">
        <v>25</v>
      </c>
      <c r="H374" s="112">
        <v>25</v>
      </c>
      <c r="J374" s="86"/>
    </row>
    <row r="375" spans="1:10" ht="15" x14ac:dyDescent="0.2">
      <c r="A375" s="109" t="s">
        <v>1876</v>
      </c>
      <c r="B375" s="109" t="s">
        <v>1879</v>
      </c>
      <c r="C375" s="109" t="s">
        <v>7490</v>
      </c>
      <c r="D375" s="278" t="str">
        <f>VLOOKUP(A:A,'Master Table'!C:D,2,FALSE)</f>
        <v>2088</v>
      </c>
      <c r="E375" s="287"/>
      <c r="F375" s="8">
        <v>2357.15</v>
      </c>
      <c r="G375" s="111">
        <v>2074.5299999999997</v>
      </c>
      <c r="H375" s="112">
        <v>1863.1599999999999</v>
      </c>
      <c r="J375" s="86"/>
    </row>
    <row r="376" spans="1:10" ht="15" x14ac:dyDescent="0.2">
      <c r="A376" s="109" t="s">
        <v>1889</v>
      </c>
      <c r="B376" s="109" t="s">
        <v>7491</v>
      </c>
      <c r="C376" s="109" t="s">
        <v>7216</v>
      </c>
      <c r="D376" s="278" t="str">
        <f>VLOOKUP(A:A,'Master Table'!C:D,2,FALSE)</f>
        <v>2089</v>
      </c>
      <c r="E376" s="287"/>
      <c r="F376" s="8">
        <v>1307.6400000000001</v>
      </c>
      <c r="G376" s="111">
        <v>1344</v>
      </c>
      <c r="H376" s="112">
        <v>1541.16</v>
      </c>
      <c r="J376" s="86"/>
    </row>
    <row r="377" spans="1:10" ht="15" x14ac:dyDescent="0.2">
      <c r="A377" s="109" t="s">
        <v>1892</v>
      </c>
      <c r="B377" s="109" t="s">
        <v>7492</v>
      </c>
      <c r="C377" s="109" t="s">
        <v>839</v>
      </c>
      <c r="D377" s="278" t="str">
        <f>VLOOKUP(A:A,'Master Table'!C:D,2,FALSE)</f>
        <v>2090</v>
      </c>
      <c r="E377" s="287"/>
      <c r="F377" s="8">
        <v>325.62</v>
      </c>
      <c r="G377" s="111">
        <v>327.25</v>
      </c>
      <c r="H377" s="112">
        <v>579.07000000000005</v>
      </c>
      <c r="J377" s="86"/>
    </row>
    <row r="378" spans="1:10" ht="15" x14ac:dyDescent="0.2">
      <c r="A378" s="109" t="s">
        <v>1898</v>
      </c>
      <c r="B378" s="109" t="s">
        <v>1810</v>
      </c>
      <c r="C378" s="109" t="s">
        <v>1065</v>
      </c>
      <c r="D378" s="278" t="str">
        <f>VLOOKUP(A:A,'Master Table'!C:D,2,FALSE)</f>
        <v>2091</v>
      </c>
      <c r="E378" s="287"/>
      <c r="F378" s="8">
        <v>35</v>
      </c>
      <c r="G378" s="111">
        <v>299</v>
      </c>
      <c r="H378" s="112">
        <v>35</v>
      </c>
      <c r="J378" s="86"/>
    </row>
    <row r="379" spans="1:10" ht="15" x14ac:dyDescent="0.2">
      <c r="A379" s="109" t="s">
        <v>1900</v>
      </c>
      <c r="B379" s="109" t="s">
        <v>1810</v>
      </c>
      <c r="C379" s="109" t="s">
        <v>1165</v>
      </c>
      <c r="D379" s="278" t="str">
        <f>VLOOKUP(A:A,'Master Table'!C:D,2,FALSE)</f>
        <v>2092</v>
      </c>
      <c r="E379" s="287"/>
      <c r="F379" s="8">
        <v>1615</v>
      </c>
      <c r="G379" s="111">
        <v>1795</v>
      </c>
      <c r="H379" s="112">
        <v>1770</v>
      </c>
      <c r="J379" s="86"/>
    </row>
    <row r="380" spans="1:10" ht="15" x14ac:dyDescent="0.2">
      <c r="A380" s="109" t="s">
        <v>1902</v>
      </c>
      <c r="B380" s="109" t="s">
        <v>7493</v>
      </c>
      <c r="C380" s="109" t="s">
        <v>7494</v>
      </c>
      <c r="D380" s="278" t="str">
        <f>VLOOKUP(A:A,'Master Table'!C:D,2,FALSE)</f>
        <v>2093</v>
      </c>
      <c r="E380" s="287"/>
      <c r="F380" s="8">
        <v>180</v>
      </c>
      <c r="G380" s="111">
        <v>370</v>
      </c>
      <c r="H380" s="112">
        <v>200</v>
      </c>
      <c r="J380" s="86"/>
    </row>
    <row r="381" spans="1:10" ht="15" x14ac:dyDescent="0.2">
      <c r="A381" s="109" t="s">
        <v>1909</v>
      </c>
      <c r="B381" s="109"/>
      <c r="C381" s="109"/>
      <c r="D381" s="278" t="str">
        <f>VLOOKUP(A:A,'Master Table'!C:D,2,FALSE)</f>
        <v>0479441</v>
      </c>
      <c r="E381" s="287"/>
      <c r="F381" s="8"/>
      <c r="G381" s="111"/>
      <c r="H381" s="112">
        <v>60</v>
      </c>
      <c r="J381" s="86"/>
    </row>
    <row r="382" spans="1:10" ht="15" x14ac:dyDescent="0.2">
      <c r="A382" s="109" t="s">
        <v>1913</v>
      </c>
      <c r="B382" s="109" t="s">
        <v>1921</v>
      </c>
      <c r="C382" s="109" t="s">
        <v>7496</v>
      </c>
      <c r="D382" s="278" t="str">
        <f>VLOOKUP(A:A,'Master Table'!C:D,2,FALSE)</f>
        <v>2095</v>
      </c>
      <c r="E382" s="287"/>
      <c r="F382" s="8">
        <v>830.04</v>
      </c>
      <c r="G382" s="111">
        <v>895.66</v>
      </c>
      <c r="H382" s="112">
        <v>725.95</v>
      </c>
      <c r="J382" s="86"/>
    </row>
    <row r="383" spans="1:10" ht="15" x14ac:dyDescent="0.2">
      <c r="A383" s="109" t="s">
        <v>1922</v>
      </c>
      <c r="B383" s="109" t="s">
        <v>7497</v>
      </c>
      <c r="C383" s="109" t="s">
        <v>7356</v>
      </c>
      <c r="D383" s="278" t="str">
        <f>VLOOKUP(A:A,'Master Table'!C:D,2,FALSE)</f>
        <v>2097</v>
      </c>
      <c r="E383" s="287"/>
      <c r="F383" s="8">
        <v>475.97</v>
      </c>
      <c r="G383" s="111">
        <v>399</v>
      </c>
      <c r="H383" s="112">
        <v>298.39999999999998</v>
      </c>
      <c r="J383" s="86"/>
    </row>
    <row r="384" spans="1:10" ht="15" x14ac:dyDescent="0.2">
      <c r="A384" s="109" t="s">
        <v>1927</v>
      </c>
      <c r="B384" s="109" t="s">
        <v>4018</v>
      </c>
      <c r="C384" s="109" t="s">
        <v>7498</v>
      </c>
      <c r="D384" s="278" t="str">
        <f>VLOOKUP(A:A,'Master Table'!C:D,2,FALSE)</f>
        <v>2099</v>
      </c>
      <c r="E384" s="287"/>
      <c r="F384" s="8">
        <v>2301.9899999999998</v>
      </c>
      <c r="G384" s="111">
        <v>1918.7</v>
      </c>
      <c r="H384" s="112">
        <v>1697.9</v>
      </c>
      <c r="J384" s="86"/>
    </row>
    <row r="385" spans="1:10" ht="15" x14ac:dyDescent="0.2">
      <c r="A385" s="109" t="s">
        <v>1930</v>
      </c>
      <c r="B385" s="109" t="s">
        <v>7499</v>
      </c>
      <c r="C385" s="109" t="s">
        <v>7500</v>
      </c>
      <c r="D385" s="278" t="str">
        <f>VLOOKUP(A:A,'Master Table'!C:D,2,FALSE)</f>
        <v>2100</v>
      </c>
      <c r="E385" s="287"/>
      <c r="F385" s="8">
        <v>530</v>
      </c>
      <c r="G385" s="111">
        <v>576</v>
      </c>
      <c r="H385" s="112">
        <v>435</v>
      </c>
      <c r="J385" s="86"/>
    </row>
    <row r="386" spans="1:10" ht="15" x14ac:dyDescent="0.2">
      <c r="A386" s="109" t="s">
        <v>1934</v>
      </c>
      <c r="B386" s="109" t="s">
        <v>7501</v>
      </c>
      <c r="C386" s="109" t="s">
        <v>4227</v>
      </c>
      <c r="D386" s="278" t="str">
        <f>VLOOKUP(A:A,'Master Table'!C:D,2,FALSE)</f>
        <v>2101</v>
      </c>
      <c r="E386" s="287"/>
      <c r="F386" s="8">
        <v>1242.21</v>
      </c>
      <c r="G386" s="111">
        <v>1100.99</v>
      </c>
      <c r="H386" s="112">
        <v>1152.18</v>
      </c>
      <c r="J386" s="86"/>
    </row>
    <row r="387" spans="1:10" ht="15" x14ac:dyDescent="0.2">
      <c r="A387" s="109" t="s">
        <v>1937</v>
      </c>
      <c r="B387" s="109" t="s">
        <v>1942</v>
      </c>
      <c r="C387" s="109" t="s">
        <v>1409</v>
      </c>
      <c r="D387" s="278" t="str">
        <f>VLOOKUP(A:A,'Master Table'!C:D,2,FALSE)</f>
        <v>2102</v>
      </c>
      <c r="E387" s="287"/>
      <c r="F387" s="8">
        <v>2968.42</v>
      </c>
      <c r="G387" s="111">
        <v>1000</v>
      </c>
      <c r="H387" s="112">
        <v>1422.23</v>
      </c>
      <c r="J387" s="86"/>
    </row>
    <row r="388" spans="1:10" ht="15" x14ac:dyDescent="0.2">
      <c r="A388" s="109" t="s">
        <v>1943</v>
      </c>
      <c r="B388" s="109" t="s">
        <v>1946</v>
      </c>
      <c r="C388" s="109" t="s">
        <v>7502</v>
      </c>
      <c r="D388" s="278" t="str">
        <f>VLOOKUP(A:A,'Master Table'!C:D,2,FALSE)</f>
        <v>2103</v>
      </c>
      <c r="E388" s="287"/>
      <c r="F388" s="8">
        <v>1099.5500000000002</v>
      </c>
      <c r="G388" s="111">
        <v>1104.5</v>
      </c>
      <c r="H388" s="112">
        <v>1006.79</v>
      </c>
      <c r="J388" s="86"/>
    </row>
    <row r="389" spans="1:10" ht="15" x14ac:dyDescent="0.2">
      <c r="A389" s="109" t="s">
        <v>1947</v>
      </c>
      <c r="B389" s="109" t="s">
        <v>7503</v>
      </c>
      <c r="C389" s="109" t="s">
        <v>7504</v>
      </c>
      <c r="D389" s="278" t="str">
        <f>VLOOKUP(A:A,'Master Table'!C:D,2,FALSE)</f>
        <v>2104</v>
      </c>
      <c r="E389" s="287"/>
      <c r="F389" s="8">
        <v>2755.78</v>
      </c>
      <c r="G389" s="111">
        <v>2732.03</v>
      </c>
      <c r="H389" s="112">
        <v>1757.69</v>
      </c>
      <c r="J389" s="86"/>
    </row>
    <row r="390" spans="1:10" ht="15" x14ac:dyDescent="0.2">
      <c r="A390" s="109" t="s">
        <v>1953</v>
      </c>
      <c r="B390" s="109" t="s">
        <v>1955</v>
      </c>
      <c r="C390" s="109" t="s">
        <v>7505</v>
      </c>
      <c r="D390" s="278" t="str">
        <f>VLOOKUP(A:A,'Master Table'!C:D,2,FALSE)</f>
        <v>2106</v>
      </c>
      <c r="E390" s="287"/>
      <c r="F390" s="8">
        <v>3289.5</v>
      </c>
      <c r="G390" s="111">
        <v>3170</v>
      </c>
      <c r="H390" s="112">
        <v>3008</v>
      </c>
      <c r="J390" s="86"/>
    </row>
    <row r="391" spans="1:10" ht="15" x14ac:dyDescent="0.2">
      <c r="A391" s="109" t="s">
        <v>1959</v>
      </c>
      <c r="B391" s="109" t="s">
        <v>7506</v>
      </c>
      <c r="C391" s="109" t="s">
        <v>7507</v>
      </c>
      <c r="D391" s="278" t="str">
        <f>VLOOKUP(A:A,'Master Table'!C:D,2,FALSE)</f>
        <v>2107</v>
      </c>
      <c r="E391" s="287"/>
      <c r="F391" s="8">
        <v>561</v>
      </c>
      <c r="G391" s="111">
        <v>335</v>
      </c>
      <c r="H391" s="112">
        <v>355</v>
      </c>
      <c r="J391" s="86"/>
    </row>
    <row r="392" spans="1:10" ht="15" x14ac:dyDescent="0.2">
      <c r="A392" s="109" t="s">
        <v>1965</v>
      </c>
      <c r="B392" s="109" t="s">
        <v>7508</v>
      </c>
      <c r="C392" s="109" t="s">
        <v>7509</v>
      </c>
      <c r="D392" s="278" t="str">
        <f>VLOOKUP(A:A,'Master Table'!C:D,2,FALSE)</f>
        <v>2108</v>
      </c>
      <c r="E392" s="287"/>
      <c r="F392" s="8">
        <v>796.77</v>
      </c>
      <c r="G392" s="111">
        <v>185</v>
      </c>
      <c r="H392" s="112">
        <v>971.58</v>
      </c>
      <c r="J392" s="86"/>
    </row>
    <row r="393" spans="1:10" ht="15" x14ac:dyDescent="0.2">
      <c r="A393" s="109" t="s">
        <v>1974</v>
      </c>
      <c r="B393" s="109" t="s">
        <v>7510</v>
      </c>
      <c r="C393" s="109" t="s">
        <v>7511</v>
      </c>
      <c r="D393" s="278" t="str">
        <f>VLOOKUP(A:A,'Master Table'!C:D,2,FALSE)</f>
        <v>2109</v>
      </c>
      <c r="E393" s="287"/>
      <c r="F393" s="8">
        <v>592.80999999999995</v>
      </c>
      <c r="G393" s="111">
        <v>1118.24</v>
      </c>
      <c r="H393" s="112">
        <v>925.56000000000006</v>
      </c>
      <c r="J393" s="86"/>
    </row>
    <row r="394" spans="1:10" ht="15" x14ac:dyDescent="0.2">
      <c r="A394" s="109" t="s">
        <v>1978</v>
      </c>
      <c r="B394" s="109" t="s">
        <v>1981</v>
      </c>
      <c r="C394" s="109" t="s">
        <v>7315</v>
      </c>
      <c r="D394" s="278" t="str">
        <f>VLOOKUP(A:A,'Master Table'!C:D,2,FALSE)</f>
        <v>2110</v>
      </c>
      <c r="E394" s="287"/>
      <c r="F394" s="8">
        <v>376.84</v>
      </c>
      <c r="G394" s="111">
        <v>0</v>
      </c>
      <c r="H394" s="112">
        <v>293.43</v>
      </c>
      <c r="J394" s="86"/>
    </row>
    <row r="395" spans="1:10" ht="15" x14ac:dyDescent="0.2">
      <c r="A395" s="109" t="s">
        <v>1985</v>
      </c>
      <c r="B395" s="109" t="s">
        <v>1988</v>
      </c>
      <c r="C395" s="109" t="s">
        <v>7512</v>
      </c>
      <c r="D395" s="278" t="str">
        <f>VLOOKUP(A:A,'Master Table'!C:D,2,FALSE)</f>
        <v>2111</v>
      </c>
      <c r="E395" s="287"/>
      <c r="F395" s="8">
        <v>110</v>
      </c>
      <c r="G395" s="111">
        <v>228</v>
      </c>
      <c r="H395" s="112">
        <v>80</v>
      </c>
      <c r="J395" s="86"/>
    </row>
    <row r="396" spans="1:10" ht="15" x14ac:dyDescent="0.2">
      <c r="A396" s="109" t="s">
        <v>1992</v>
      </c>
      <c r="B396" s="109" t="s">
        <v>1988</v>
      </c>
      <c r="C396" s="109" t="s">
        <v>7513</v>
      </c>
      <c r="D396" s="278" t="str">
        <f>VLOOKUP(A:A,'Master Table'!C:D,2,FALSE)</f>
        <v>2112</v>
      </c>
      <c r="E396" s="287"/>
      <c r="F396" s="8">
        <v>516.94000000000005</v>
      </c>
      <c r="G396" s="111">
        <v>529.79</v>
      </c>
      <c r="H396" s="112">
        <v>856.82</v>
      </c>
      <c r="J396" s="86"/>
    </row>
    <row r="397" spans="1:10" ht="15" x14ac:dyDescent="0.2">
      <c r="A397" s="109" t="s">
        <v>1996</v>
      </c>
      <c r="B397" s="109" t="s">
        <v>1988</v>
      </c>
      <c r="C397" s="109" t="s">
        <v>7514</v>
      </c>
      <c r="D397" s="278" t="str">
        <f>VLOOKUP(A:A,'Master Table'!C:D,2,FALSE)</f>
        <v>2113</v>
      </c>
      <c r="E397" s="287"/>
      <c r="F397" s="8">
        <v>325</v>
      </c>
      <c r="G397" s="111">
        <v>390</v>
      </c>
      <c r="H397" s="112">
        <v>325</v>
      </c>
      <c r="J397" s="86"/>
    </row>
    <row r="398" spans="1:10" ht="15" x14ac:dyDescent="0.2">
      <c r="A398" s="109" t="s">
        <v>2002</v>
      </c>
      <c r="B398" s="109" t="s">
        <v>7515</v>
      </c>
      <c r="C398" s="109" t="s">
        <v>2828</v>
      </c>
      <c r="D398" s="278" t="str">
        <f>VLOOKUP(A:A,'Master Table'!C:D,2,FALSE)</f>
        <v>2116</v>
      </c>
      <c r="E398" s="287"/>
      <c r="F398" s="8">
        <v>341</v>
      </c>
      <c r="G398" s="111">
        <v>40</v>
      </c>
      <c r="H398" s="112">
        <v>243</v>
      </c>
      <c r="J398" s="86"/>
    </row>
    <row r="399" spans="1:10" ht="15" x14ac:dyDescent="0.2">
      <c r="A399" s="109" t="s">
        <v>2006</v>
      </c>
      <c r="B399" s="109" t="s">
        <v>7515</v>
      </c>
      <c r="C399" s="109" t="s">
        <v>7516</v>
      </c>
      <c r="D399" s="278" t="str">
        <f>VLOOKUP(A:A,'Master Table'!C:D,2,FALSE)</f>
        <v>2117</v>
      </c>
      <c r="E399" s="287"/>
      <c r="F399" s="8">
        <v>42</v>
      </c>
      <c r="G399" s="111">
        <v>45</v>
      </c>
      <c r="H399" s="112">
        <v>242.05</v>
      </c>
      <c r="J399" s="86"/>
    </row>
    <row r="400" spans="1:10" ht="15" x14ac:dyDescent="0.2">
      <c r="A400" s="109" t="s">
        <v>2009</v>
      </c>
      <c r="B400" s="109" t="s">
        <v>7517</v>
      </c>
      <c r="C400" s="109" t="s">
        <v>523</v>
      </c>
      <c r="D400" s="278" t="str">
        <f>VLOOKUP(A:A,'Master Table'!C:D,2,FALSE)</f>
        <v>2118</v>
      </c>
      <c r="E400" s="287"/>
      <c r="F400" s="8">
        <v>946.6</v>
      </c>
      <c r="G400" s="111">
        <v>1265.08</v>
      </c>
      <c r="H400" s="112">
        <v>986.01</v>
      </c>
      <c r="J400" s="86"/>
    </row>
    <row r="401" spans="1:10" ht="15" x14ac:dyDescent="0.2">
      <c r="A401" s="109" t="s">
        <v>2014</v>
      </c>
      <c r="B401" s="109" t="s">
        <v>2017</v>
      </c>
      <c r="C401" s="109" t="s">
        <v>7518</v>
      </c>
      <c r="D401" s="278" t="str">
        <f>VLOOKUP(A:A,'Master Table'!C:D,2,FALSE)</f>
        <v>2119</v>
      </c>
      <c r="E401" s="287"/>
      <c r="F401" s="8">
        <v>1028.8499999999999</v>
      </c>
      <c r="G401" s="111">
        <v>925.85</v>
      </c>
      <c r="H401" s="112">
        <v>2028.67</v>
      </c>
      <c r="J401" s="86"/>
    </row>
    <row r="402" spans="1:10" ht="15" x14ac:dyDescent="0.2">
      <c r="A402" s="109" t="s">
        <v>2018</v>
      </c>
      <c r="B402" s="109" t="s">
        <v>2017</v>
      </c>
      <c r="C402" s="109" t="s">
        <v>1047</v>
      </c>
      <c r="D402" s="278" t="str">
        <f>VLOOKUP(A:A,'Master Table'!C:D,2,FALSE)</f>
        <v>2120</v>
      </c>
      <c r="E402" s="287"/>
      <c r="F402" s="8">
        <v>736.23</v>
      </c>
      <c r="G402" s="111">
        <v>711.82</v>
      </c>
      <c r="H402" s="112">
        <v>679.75</v>
      </c>
      <c r="J402" s="86"/>
    </row>
    <row r="403" spans="1:10" ht="15" x14ac:dyDescent="0.2">
      <c r="A403" s="109" t="s">
        <v>2020</v>
      </c>
      <c r="B403" s="109" t="s">
        <v>7519</v>
      </c>
      <c r="C403" s="109" t="s">
        <v>7520</v>
      </c>
      <c r="D403" s="278" t="str">
        <f>VLOOKUP(A:A,'Master Table'!C:D,2,FALSE)</f>
        <v>2121</v>
      </c>
      <c r="E403" s="287"/>
      <c r="F403" s="8">
        <v>447.4</v>
      </c>
      <c r="G403" s="111">
        <v>459.72</v>
      </c>
      <c r="H403" s="112">
        <v>378.23</v>
      </c>
      <c r="J403" s="86"/>
    </row>
    <row r="404" spans="1:10" ht="15" x14ac:dyDescent="0.2">
      <c r="A404" s="109" t="s">
        <v>2022</v>
      </c>
      <c r="B404" s="109" t="s">
        <v>1875</v>
      </c>
      <c r="C404" s="109" t="s">
        <v>942</v>
      </c>
      <c r="D404" s="278" t="str">
        <f>VLOOKUP(A:A,'Master Table'!C:D,2,FALSE)</f>
        <v>2122</v>
      </c>
      <c r="E404" s="287"/>
      <c r="F404" s="8">
        <v>1764.06</v>
      </c>
      <c r="G404" s="111">
        <v>2023</v>
      </c>
      <c r="H404" s="112">
        <v>2161</v>
      </c>
      <c r="J404" s="86"/>
    </row>
    <row r="405" spans="1:10" ht="15" x14ac:dyDescent="0.2">
      <c r="A405" s="109" t="s">
        <v>2024</v>
      </c>
      <c r="B405" s="109" t="s">
        <v>1875</v>
      </c>
      <c r="C405" s="109" t="s">
        <v>1008</v>
      </c>
      <c r="D405" s="278" t="str">
        <f>VLOOKUP(A:A,'Master Table'!C:D,2,FALSE)</f>
        <v>2123</v>
      </c>
      <c r="E405" s="287"/>
      <c r="F405" s="8">
        <v>20</v>
      </c>
      <c r="G405" s="111">
        <v>20</v>
      </c>
      <c r="H405" s="112">
        <v>20</v>
      </c>
      <c r="J405" s="86"/>
    </row>
    <row r="406" spans="1:10" ht="15" x14ac:dyDescent="0.2">
      <c r="A406" s="109" t="s">
        <v>2027</v>
      </c>
      <c r="B406" s="109" t="s">
        <v>1875</v>
      </c>
      <c r="C406" s="109" t="s">
        <v>7521</v>
      </c>
      <c r="D406" s="278" t="str">
        <f>VLOOKUP(A:A,'Master Table'!C:D,2,FALSE)</f>
        <v>2124</v>
      </c>
      <c r="E406" s="287"/>
      <c r="F406" s="8">
        <v>1312.91</v>
      </c>
      <c r="G406" s="111">
        <v>1451.47</v>
      </c>
      <c r="H406" s="112">
        <v>2069.71</v>
      </c>
      <c r="J406" s="86"/>
    </row>
    <row r="407" spans="1:10" ht="15" x14ac:dyDescent="0.2">
      <c r="A407" s="109" t="s">
        <v>2030</v>
      </c>
      <c r="B407" s="109" t="s">
        <v>7522</v>
      </c>
      <c r="C407" s="109" t="s">
        <v>7523</v>
      </c>
      <c r="D407" s="278" t="str">
        <f>VLOOKUP(A:A,'Master Table'!C:D,2,FALSE)</f>
        <v>2125</v>
      </c>
      <c r="E407" s="287"/>
      <c r="F407" s="8">
        <v>331.82</v>
      </c>
      <c r="G407" s="111">
        <v>902.34</v>
      </c>
      <c r="H407" s="112">
        <v>560.57999999999993</v>
      </c>
      <c r="J407" s="86"/>
    </row>
    <row r="408" spans="1:10" ht="15" x14ac:dyDescent="0.2">
      <c r="A408" s="109" t="s">
        <v>2034</v>
      </c>
      <c r="B408" s="109" t="s">
        <v>7524</v>
      </c>
      <c r="C408" s="109" t="s">
        <v>7525</v>
      </c>
      <c r="D408" s="278" t="str">
        <f>VLOOKUP(A:A,'Master Table'!C:D,2,FALSE)</f>
        <v>2126</v>
      </c>
      <c r="E408" s="287"/>
      <c r="F408" s="8">
        <v>70.28</v>
      </c>
      <c r="G408" s="111">
        <v>691.44</v>
      </c>
      <c r="H408" s="112">
        <v>30.08</v>
      </c>
      <c r="J408" s="86"/>
    </row>
    <row r="409" spans="1:10" ht="15" x14ac:dyDescent="0.2">
      <c r="A409" s="109" t="s">
        <v>2040</v>
      </c>
      <c r="B409" s="109" t="s">
        <v>7526</v>
      </c>
      <c r="C409" s="109" t="s">
        <v>7527</v>
      </c>
      <c r="D409" s="278" t="str">
        <f>VLOOKUP(A:A,'Master Table'!C:D,2,FALSE)</f>
        <v>2127</v>
      </c>
      <c r="E409" s="287"/>
      <c r="F409" s="8">
        <v>1380.13</v>
      </c>
      <c r="G409" s="111">
        <v>563.80999999999995</v>
      </c>
      <c r="H409" s="112">
        <v>548.84</v>
      </c>
      <c r="J409" s="86"/>
    </row>
    <row r="410" spans="1:10" ht="15" x14ac:dyDescent="0.2">
      <c r="A410" s="109" t="s">
        <v>2044</v>
      </c>
      <c r="B410" s="109" t="s">
        <v>7528</v>
      </c>
      <c r="C410" s="109" t="s">
        <v>7529</v>
      </c>
      <c r="D410" s="278" t="str">
        <f>VLOOKUP(A:A,'Master Table'!C:D,2,FALSE)</f>
        <v>2128</v>
      </c>
      <c r="E410" s="287"/>
      <c r="F410" s="8">
        <v>3331.26</v>
      </c>
      <c r="G410" s="111">
        <v>2807</v>
      </c>
      <c r="H410" s="112">
        <v>2391</v>
      </c>
      <c r="J410" s="86"/>
    </row>
    <row r="411" spans="1:10" ht="15" x14ac:dyDescent="0.2">
      <c r="A411" s="109" t="s">
        <v>2048</v>
      </c>
      <c r="B411" s="109" t="s">
        <v>7530</v>
      </c>
      <c r="C411" s="109" t="s">
        <v>7527</v>
      </c>
      <c r="D411" s="278" t="str">
        <f>VLOOKUP(A:A,'Master Table'!C:D,2,FALSE)</f>
        <v>2129</v>
      </c>
      <c r="E411" s="287"/>
      <c r="F411" s="8">
        <v>3906.17</v>
      </c>
      <c r="G411" s="111">
        <v>3573.76</v>
      </c>
      <c r="H411" s="112">
        <v>1551.97</v>
      </c>
      <c r="J411" s="86"/>
    </row>
    <row r="412" spans="1:10" ht="15" x14ac:dyDescent="0.2">
      <c r="A412" s="109" t="s">
        <v>2050</v>
      </c>
      <c r="B412" s="109" t="s">
        <v>7531</v>
      </c>
      <c r="C412" s="109" t="s">
        <v>1366</v>
      </c>
      <c r="D412" s="278" t="str">
        <f>VLOOKUP(A:A,'Master Table'!C:D,2,FALSE)</f>
        <v>2130</v>
      </c>
      <c r="E412" s="287"/>
      <c r="F412" s="8">
        <v>295</v>
      </c>
      <c r="G412" s="111">
        <v>85</v>
      </c>
      <c r="H412" s="112">
        <v>5</v>
      </c>
      <c r="J412" s="86"/>
    </row>
    <row r="413" spans="1:10" ht="15" x14ac:dyDescent="0.2">
      <c r="A413" s="109" t="s">
        <v>2052</v>
      </c>
      <c r="B413" s="109" t="s">
        <v>2055</v>
      </c>
      <c r="C413" s="109" t="s">
        <v>7532</v>
      </c>
      <c r="D413" s="278" t="str">
        <f>VLOOKUP(A:A,'Master Table'!C:D,2,FALSE)</f>
        <v>2131</v>
      </c>
      <c r="E413" s="287"/>
      <c r="F413" s="8">
        <v>1466.48</v>
      </c>
      <c r="G413" s="111">
        <v>667.5</v>
      </c>
      <c r="H413" s="112">
        <v>454.76</v>
      </c>
      <c r="J413" s="86"/>
    </row>
    <row r="414" spans="1:10" ht="15" x14ac:dyDescent="0.2">
      <c r="A414" s="109" t="s">
        <v>2056</v>
      </c>
      <c r="B414" s="109" t="s">
        <v>1828</v>
      </c>
      <c r="C414" s="109" t="s">
        <v>7533</v>
      </c>
      <c r="D414" s="278" t="str">
        <f>VLOOKUP(A:A,'Master Table'!C:D,2,FALSE)</f>
        <v>2132</v>
      </c>
      <c r="E414" s="287"/>
      <c r="F414" s="8">
        <v>544.6</v>
      </c>
      <c r="G414" s="111">
        <v>262</v>
      </c>
      <c r="H414" s="112">
        <v>388.51</v>
      </c>
      <c r="J414" s="86"/>
    </row>
    <row r="415" spans="1:10" ht="15" x14ac:dyDescent="0.2">
      <c r="A415" s="109" t="s">
        <v>2059</v>
      </c>
      <c r="B415" s="109" t="s">
        <v>7534</v>
      </c>
      <c r="C415" s="109" t="s">
        <v>7535</v>
      </c>
      <c r="D415" s="278" t="str">
        <f>VLOOKUP(A:A,'Master Table'!C:D,2,FALSE)</f>
        <v>2133</v>
      </c>
      <c r="E415" s="287"/>
      <c r="F415" s="8">
        <v>508.95</v>
      </c>
      <c r="G415" s="111">
        <v>423</v>
      </c>
      <c r="H415" s="112">
        <v>1019.37</v>
      </c>
      <c r="J415" s="86"/>
    </row>
    <row r="416" spans="1:10" ht="15" x14ac:dyDescent="0.2">
      <c r="A416" s="109" t="s">
        <v>2062</v>
      </c>
      <c r="B416" s="109" t="s">
        <v>7536</v>
      </c>
      <c r="C416" s="109" t="s">
        <v>7280</v>
      </c>
      <c r="D416" s="278" t="str">
        <f>VLOOKUP(A:A,'Master Table'!C:D,2,FALSE)</f>
        <v>2134</v>
      </c>
      <c r="E416" s="287"/>
      <c r="F416" s="8">
        <v>652.09</v>
      </c>
      <c r="G416" s="111">
        <v>100</v>
      </c>
      <c r="H416" s="112">
        <v>60</v>
      </c>
      <c r="J416" s="86"/>
    </row>
    <row r="417" spans="1:10" ht="15" x14ac:dyDescent="0.2">
      <c r="A417" s="109" t="s">
        <v>2065</v>
      </c>
      <c r="B417" s="109" t="s">
        <v>2068</v>
      </c>
      <c r="C417" s="109" t="s">
        <v>3187</v>
      </c>
      <c r="D417" s="278" t="str">
        <f>VLOOKUP(A:A,'Master Table'!C:D,2,FALSE)</f>
        <v>2135</v>
      </c>
      <c r="E417" s="287"/>
      <c r="F417" s="8">
        <v>412</v>
      </c>
      <c r="G417" s="111">
        <v>662</v>
      </c>
      <c r="H417" s="112">
        <v>799</v>
      </c>
      <c r="J417" s="86"/>
    </row>
    <row r="418" spans="1:10" ht="15" x14ac:dyDescent="0.2">
      <c r="A418" s="109" t="s">
        <v>2069</v>
      </c>
      <c r="B418" s="109" t="s">
        <v>7537</v>
      </c>
      <c r="C418" s="109" t="s">
        <v>2578</v>
      </c>
      <c r="D418" s="278" t="str">
        <f>VLOOKUP(A:A,'Master Table'!C:D,2,FALSE)</f>
        <v>2136</v>
      </c>
      <c r="E418" s="287"/>
      <c r="F418" s="8">
        <v>347.64</v>
      </c>
      <c r="G418" s="111">
        <v>457.48</v>
      </c>
      <c r="H418" s="112">
        <v>482.65000000000003</v>
      </c>
      <c r="J418" s="86"/>
    </row>
    <row r="419" spans="1:10" ht="15" x14ac:dyDescent="0.2">
      <c r="A419" s="109" t="s">
        <v>2073</v>
      </c>
      <c r="B419" s="109" t="s">
        <v>2076</v>
      </c>
      <c r="C419" s="109" t="s">
        <v>7538</v>
      </c>
      <c r="D419" s="278" t="str">
        <f>VLOOKUP(A:A,'Master Table'!C:D,2,FALSE)</f>
        <v>2137</v>
      </c>
      <c r="E419" s="287"/>
      <c r="F419" s="8">
        <v>1248.01</v>
      </c>
      <c r="G419" s="111">
        <v>2445.73</v>
      </c>
      <c r="H419" s="112">
        <v>1036.26</v>
      </c>
      <c r="J419" s="86"/>
    </row>
    <row r="420" spans="1:10" ht="15" x14ac:dyDescent="0.2">
      <c r="A420" s="109" t="s">
        <v>2078</v>
      </c>
      <c r="B420" s="109" t="s">
        <v>2080</v>
      </c>
      <c r="C420" s="109" t="s">
        <v>7539</v>
      </c>
      <c r="D420" s="278" t="str">
        <f>VLOOKUP(A:A,'Master Table'!C:D,2,FALSE)</f>
        <v>2138</v>
      </c>
      <c r="E420" s="287"/>
      <c r="F420" s="8">
        <v>2915.2000000000003</v>
      </c>
      <c r="G420" s="111">
        <v>3244.62</v>
      </c>
      <c r="H420" s="112">
        <v>3514.0000000000005</v>
      </c>
      <c r="J420" s="86"/>
    </row>
    <row r="421" spans="1:10" ht="15" x14ac:dyDescent="0.2">
      <c r="A421" s="109" t="s">
        <v>2082</v>
      </c>
      <c r="B421" s="109" t="s">
        <v>2085</v>
      </c>
      <c r="C421" s="109" t="s">
        <v>934</v>
      </c>
      <c r="D421" s="278" t="str">
        <f>VLOOKUP(A:A,'Master Table'!C:D,2,FALSE)</f>
        <v>2139</v>
      </c>
      <c r="E421" s="287"/>
      <c r="F421" s="8">
        <v>972.03</v>
      </c>
      <c r="G421" s="111">
        <v>405.13</v>
      </c>
      <c r="H421" s="112">
        <v>693.5</v>
      </c>
      <c r="J421" s="86"/>
    </row>
    <row r="422" spans="1:10" ht="15" x14ac:dyDescent="0.2">
      <c r="A422" s="109" t="s">
        <v>2089</v>
      </c>
      <c r="B422" s="109" t="s">
        <v>1844</v>
      </c>
      <c r="C422" s="109" t="s">
        <v>72</v>
      </c>
      <c r="D422" s="278" t="str">
        <f>VLOOKUP(A:A,'Master Table'!C:D,2,FALSE)</f>
        <v>2141</v>
      </c>
      <c r="E422" s="287"/>
      <c r="F422" s="8">
        <v>1156.76</v>
      </c>
      <c r="G422" s="111">
        <v>1239</v>
      </c>
      <c r="H422" s="112">
        <v>711.46</v>
      </c>
      <c r="J422" s="86"/>
    </row>
    <row r="423" spans="1:10" ht="15" x14ac:dyDescent="0.2">
      <c r="A423" s="109" t="s">
        <v>2091</v>
      </c>
      <c r="B423" s="109" t="s">
        <v>2094</v>
      </c>
      <c r="C423" s="109" t="s">
        <v>7540</v>
      </c>
      <c r="D423" s="278" t="str">
        <f>VLOOKUP(A:A,'Master Table'!C:D,2,FALSE)</f>
        <v>2142</v>
      </c>
      <c r="E423" s="287"/>
      <c r="F423" s="8">
        <v>1188.5</v>
      </c>
      <c r="G423" s="111">
        <v>1042.77</v>
      </c>
      <c r="H423" s="112">
        <v>742.39</v>
      </c>
      <c r="J423" s="86"/>
    </row>
    <row r="424" spans="1:10" ht="15" x14ac:dyDescent="0.2">
      <c r="A424" s="109" t="s">
        <v>2095</v>
      </c>
      <c r="B424" s="109" t="s">
        <v>7541</v>
      </c>
      <c r="C424" s="109" t="s">
        <v>7542</v>
      </c>
      <c r="D424" s="278" t="str">
        <f>VLOOKUP(A:A,'Master Table'!C:D,2,FALSE)</f>
        <v>2143</v>
      </c>
      <c r="E424" s="287"/>
      <c r="F424" s="8">
        <v>3352.2200000000003</v>
      </c>
      <c r="G424" s="111">
        <v>2817.11</v>
      </c>
      <c r="H424" s="112">
        <v>2747.06</v>
      </c>
      <c r="J424" s="86"/>
    </row>
    <row r="425" spans="1:10" ht="15" x14ac:dyDescent="0.2">
      <c r="A425" s="109" t="s">
        <v>2102</v>
      </c>
      <c r="B425" s="109" t="s">
        <v>7543</v>
      </c>
      <c r="C425" s="109" t="s">
        <v>231</v>
      </c>
      <c r="D425" s="278" t="str">
        <f>VLOOKUP(A:A,'Master Table'!C:D,2,FALSE)</f>
        <v>2144</v>
      </c>
      <c r="E425" s="287"/>
      <c r="F425" s="8">
        <v>27</v>
      </c>
      <c r="G425" s="111">
        <v>197.45</v>
      </c>
      <c r="H425" s="112">
        <v>290.83000000000004</v>
      </c>
      <c r="J425" s="86"/>
    </row>
    <row r="426" spans="1:10" ht="15" x14ac:dyDescent="0.2">
      <c r="A426" s="109" t="s">
        <v>2105</v>
      </c>
      <c r="B426" s="109" t="s">
        <v>7544</v>
      </c>
      <c r="C426" s="109" t="s">
        <v>7545</v>
      </c>
      <c r="D426" s="278" t="str">
        <f>VLOOKUP(A:A,'Master Table'!C:D,2,FALSE)</f>
        <v>2145</v>
      </c>
      <c r="E426" s="287"/>
      <c r="F426" s="8">
        <v>263.95999999999998</v>
      </c>
      <c r="G426" s="111">
        <v>290.66999999999996</v>
      </c>
      <c r="H426" s="112">
        <v>359.62</v>
      </c>
      <c r="J426" s="86"/>
    </row>
    <row r="427" spans="1:10" ht="15" x14ac:dyDescent="0.2">
      <c r="A427" s="109" t="s">
        <v>2108</v>
      </c>
      <c r="B427" s="109" t="s">
        <v>7546</v>
      </c>
      <c r="C427" s="109" t="s">
        <v>3238</v>
      </c>
      <c r="D427" s="278" t="str">
        <f>VLOOKUP(A:A,'Master Table'!C:D,2,FALSE)</f>
        <v>2146</v>
      </c>
      <c r="E427" s="287"/>
      <c r="F427" s="8">
        <v>353.1</v>
      </c>
      <c r="G427" s="111">
        <v>794</v>
      </c>
      <c r="H427" s="112">
        <v>1019.47</v>
      </c>
      <c r="J427" s="86"/>
    </row>
    <row r="428" spans="1:10" ht="15" x14ac:dyDescent="0.2">
      <c r="A428" s="109" t="s">
        <v>2111</v>
      </c>
      <c r="B428" s="109" t="s">
        <v>2113</v>
      </c>
      <c r="C428" s="109" t="s">
        <v>7280</v>
      </c>
      <c r="D428" s="278" t="str">
        <f>VLOOKUP(A:A,'Master Table'!C:D,2,FALSE)</f>
        <v>2147</v>
      </c>
      <c r="E428" s="287"/>
      <c r="F428" s="8">
        <v>407.91999999999996</v>
      </c>
      <c r="G428" s="111">
        <v>372.37</v>
      </c>
      <c r="H428" s="112">
        <v>304.36</v>
      </c>
      <c r="J428" s="86"/>
    </row>
    <row r="429" spans="1:10" ht="15" x14ac:dyDescent="0.2">
      <c r="A429" s="109" t="s">
        <v>2114</v>
      </c>
      <c r="B429" s="109" t="s">
        <v>7547</v>
      </c>
      <c r="C429" s="109" t="s">
        <v>3238</v>
      </c>
      <c r="D429" s="278" t="str">
        <f>VLOOKUP(A:A,'Master Table'!C:D,2,FALSE)</f>
        <v>2148</v>
      </c>
      <c r="E429" s="287"/>
      <c r="F429" s="8">
        <v>221.45</v>
      </c>
      <c r="G429" s="111">
        <v>337.15</v>
      </c>
      <c r="H429" s="112">
        <v>410.31</v>
      </c>
      <c r="J429" s="86"/>
    </row>
    <row r="430" spans="1:10" ht="15" x14ac:dyDescent="0.2">
      <c r="A430" s="109" t="s">
        <v>2116</v>
      </c>
      <c r="B430" s="109" t="s">
        <v>7548</v>
      </c>
      <c r="C430" s="109" t="s">
        <v>896</v>
      </c>
      <c r="D430" s="278" t="str">
        <f>VLOOKUP(A:A,'Master Table'!C:D,2,FALSE)</f>
        <v>2149</v>
      </c>
      <c r="E430" s="287"/>
      <c r="F430" s="8">
        <v>650</v>
      </c>
      <c r="G430" s="111">
        <v>80</v>
      </c>
      <c r="H430" s="112">
        <v>0</v>
      </c>
      <c r="J430" s="86"/>
    </row>
    <row r="431" spans="1:10" ht="15" x14ac:dyDescent="0.2">
      <c r="A431" s="109" t="s">
        <v>2118</v>
      </c>
      <c r="B431" s="109" t="s">
        <v>7549</v>
      </c>
      <c r="C431" s="109" t="s">
        <v>7550</v>
      </c>
      <c r="D431" s="278" t="str">
        <f>VLOOKUP(A:A,'Master Table'!C:D,2,FALSE)</f>
        <v>2150</v>
      </c>
      <c r="E431" s="287"/>
      <c r="F431" s="8">
        <v>772.1</v>
      </c>
      <c r="G431" s="111">
        <v>706.61</v>
      </c>
      <c r="H431" s="112">
        <v>957.84</v>
      </c>
      <c r="J431" s="86"/>
    </row>
    <row r="432" spans="1:10" ht="15" x14ac:dyDescent="0.2">
      <c r="A432" s="109" t="s">
        <v>2122</v>
      </c>
      <c r="B432" s="109" t="s">
        <v>2124</v>
      </c>
      <c r="C432" s="109" t="s">
        <v>532</v>
      </c>
      <c r="D432" s="278" t="str">
        <f>VLOOKUP(A:A,'Master Table'!C:D,2,FALSE)</f>
        <v>2151</v>
      </c>
      <c r="E432" s="287"/>
      <c r="F432" s="8">
        <v>227</v>
      </c>
      <c r="G432" s="111">
        <v>1212.2</v>
      </c>
      <c r="H432" s="112">
        <v>363.53</v>
      </c>
      <c r="J432" s="86"/>
    </row>
    <row r="433" spans="1:10" ht="15" x14ac:dyDescent="0.2">
      <c r="A433" s="109" t="s">
        <v>2128</v>
      </c>
      <c r="B433" s="109" t="s">
        <v>7551</v>
      </c>
      <c r="C433" s="109" t="s">
        <v>7540</v>
      </c>
      <c r="D433" s="278" t="str">
        <f>VLOOKUP(A:A,'Master Table'!C:D,2,FALSE)</f>
        <v>2152</v>
      </c>
      <c r="E433" s="287"/>
      <c r="F433" s="8">
        <v>182.85</v>
      </c>
      <c r="G433" s="111">
        <v>145</v>
      </c>
      <c r="H433" s="112">
        <v>201.25</v>
      </c>
      <c r="J433" s="86"/>
    </row>
    <row r="434" spans="1:10" ht="15" x14ac:dyDescent="0.2">
      <c r="A434" s="109" t="s">
        <v>2130</v>
      </c>
      <c r="B434" s="109" t="s">
        <v>7552</v>
      </c>
      <c r="C434" s="109" t="s">
        <v>7553</v>
      </c>
      <c r="D434" s="278" t="str">
        <f>VLOOKUP(A:A,'Master Table'!C:D,2,FALSE)</f>
        <v>2153</v>
      </c>
      <c r="E434" s="287"/>
      <c r="F434" s="8">
        <v>293.24</v>
      </c>
      <c r="G434" s="111">
        <v>171</v>
      </c>
      <c r="H434" s="112">
        <v>181</v>
      </c>
      <c r="J434" s="86"/>
    </row>
    <row r="435" spans="1:10" ht="15" x14ac:dyDescent="0.2">
      <c r="A435" s="109" t="s">
        <v>2137</v>
      </c>
      <c r="B435" s="109" t="s">
        <v>7554</v>
      </c>
      <c r="C435" s="109" t="s">
        <v>7555</v>
      </c>
      <c r="D435" s="278" t="str">
        <f>VLOOKUP(A:A,'Master Table'!C:D,2,FALSE)</f>
        <v>2154</v>
      </c>
      <c r="E435" s="287"/>
      <c r="F435" s="8">
        <v>641.91</v>
      </c>
      <c r="G435" s="111">
        <v>1129.94</v>
      </c>
      <c r="H435" s="112">
        <v>1064.96</v>
      </c>
      <c r="J435" s="86"/>
    </row>
    <row r="436" spans="1:10" ht="15" x14ac:dyDescent="0.2">
      <c r="A436" s="109" t="s">
        <v>2140</v>
      </c>
      <c r="B436" s="109" t="s">
        <v>7554</v>
      </c>
      <c r="C436" s="109" t="s">
        <v>7556</v>
      </c>
      <c r="D436" s="278" t="str">
        <f>VLOOKUP(A:A,'Master Table'!C:D,2,FALSE)</f>
        <v>2155</v>
      </c>
      <c r="E436" s="287"/>
      <c r="F436" s="8">
        <v>1050.8400000000001</v>
      </c>
      <c r="G436" s="111">
        <v>1601.33</v>
      </c>
      <c r="H436" s="112">
        <v>1244.3399999999999</v>
      </c>
      <c r="J436" s="86"/>
    </row>
    <row r="437" spans="1:10" ht="15" x14ac:dyDescent="0.2">
      <c r="A437" s="109" t="s">
        <v>2143</v>
      </c>
      <c r="B437" s="109" t="s">
        <v>7484</v>
      </c>
      <c r="C437" s="109" t="s">
        <v>916</v>
      </c>
      <c r="D437" s="278" t="str">
        <f>VLOOKUP(A:A,'Master Table'!C:D,2,FALSE)</f>
        <v>2156</v>
      </c>
      <c r="E437" s="287"/>
      <c r="F437" s="8">
        <v>634.94000000000005</v>
      </c>
      <c r="G437" s="111">
        <v>844.14</v>
      </c>
      <c r="H437" s="112">
        <v>1203.46</v>
      </c>
      <c r="J437" s="86"/>
    </row>
    <row r="438" spans="1:10" ht="15" x14ac:dyDescent="0.2">
      <c r="A438" s="109" t="s">
        <v>2145</v>
      </c>
      <c r="B438" s="109" t="s">
        <v>7557</v>
      </c>
      <c r="C438" s="109" t="s">
        <v>7317</v>
      </c>
      <c r="D438" s="278" t="str">
        <f>VLOOKUP(A:A,'Master Table'!C:D,2,FALSE)</f>
        <v>2157</v>
      </c>
      <c r="E438" s="287"/>
      <c r="F438" s="8">
        <v>1240</v>
      </c>
      <c r="G438" s="111">
        <v>1697.65</v>
      </c>
      <c r="H438" s="112">
        <v>1373.62</v>
      </c>
      <c r="J438" s="86"/>
    </row>
    <row r="439" spans="1:10" ht="15" x14ac:dyDescent="0.2">
      <c r="A439" s="109" t="s">
        <v>2148</v>
      </c>
      <c r="B439" s="109" t="s">
        <v>1667</v>
      </c>
      <c r="C439" s="109" t="s">
        <v>7558</v>
      </c>
      <c r="D439" s="278" t="str">
        <f>VLOOKUP(A:A,'Master Table'!C:D,2,FALSE)</f>
        <v>0441998</v>
      </c>
      <c r="E439" s="287"/>
      <c r="F439" s="8">
        <v>30</v>
      </c>
      <c r="G439" s="111">
        <v>30</v>
      </c>
      <c r="H439" s="112">
        <v>30</v>
      </c>
      <c r="J439" s="86"/>
    </row>
    <row r="440" spans="1:10" ht="15" x14ac:dyDescent="0.2">
      <c r="A440" s="109" t="s">
        <v>2151</v>
      </c>
      <c r="B440" s="109" t="s">
        <v>2154</v>
      </c>
      <c r="C440" s="109" t="s">
        <v>7559</v>
      </c>
      <c r="D440" s="278" t="str">
        <f>VLOOKUP(A:A,'Master Table'!C:D,2,FALSE)</f>
        <v>2159</v>
      </c>
      <c r="E440" s="287"/>
      <c r="F440" s="8">
        <v>327.07</v>
      </c>
      <c r="G440" s="111">
        <v>718.41</v>
      </c>
      <c r="H440" s="112">
        <v>232.36</v>
      </c>
      <c r="J440" s="86"/>
    </row>
    <row r="441" spans="1:10" ht="15" x14ac:dyDescent="0.2">
      <c r="A441" s="109" t="s">
        <v>2155</v>
      </c>
      <c r="B441" s="109" t="s">
        <v>2158</v>
      </c>
      <c r="C441" s="109" t="s">
        <v>4017</v>
      </c>
      <c r="D441" s="278" t="str">
        <f>VLOOKUP(A:A,'Master Table'!C:D,2,FALSE)</f>
        <v>2160</v>
      </c>
      <c r="E441" s="287"/>
      <c r="F441" s="8">
        <v>1187.4099999999999</v>
      </c>
      <c r="G441" s="111">
        <v>1342.35</v>
      </c>
      <c r="H441" s="112">
        <v>1608.6100000000001</v>
      </c>
      <c r="J441" s="86"/>
    </row>
    <row r="442" spans="1:10" ht="15" x14ac:dyDescent="0.2">
      <c r="A442" s="109" t="s">
        <v>2159</v>
      </c>
      <c r="B442" s="109" t="s">
        <v>2166</v>
      </c>
      <c r="C442" s="109" t="s">
        <v>7560</v>
      </c>
      <c r="D442" s="278" t="str">
        <f>VLOOKUP(A:A,'Master Table'!C:D,2,FALSE)</f>
        <v>2161</v>
      </c>
      <c r="E442" s="287"/>
      <c r="F442" s="8">
        <v>2456</v>
      </c>
      <c r="G442" s="111">
        <v>314</v>
      </c>
      <c r="H442" s="112">
        <v>374</v>
      </c>
      <c r="J442" s="86"/>
    </row>
    <row r="443" spans="1:10" ht="15" x14ac:dyDescent="0.2">
      <c r="A443" s="109" t="s">
        <v>2167</v>
      </c>
      <c r="B443" s="109" t="s">
        <v>2169</v>
      </c>
      <c r="C443" s="109" t="s">
        <v>78</v>
      </c>
      <c r="D443" s="278" t="str">
        <f>VLOOKUP(A:A,'Master Table'!C:D,2,FALSE)</f>
        <v>2162</v>
      </c>
      <c r="E443" s="287"/>
      <c r="F443" s="8">
        <v>200</v>
      </c>
      <c r="G443" s="111">
        <v>276</v>
      </c>
      <c r="H443" s="112">
        <v>340</v>
      </c>
      <c r="J443" s="86"/>
    </row>
    <row r="444" spans="1:10" ht="15" x14ac:dyDescent="0.2">
      <c r="A444" s="109" t="s">
        <v>2174</v>
      </c>
      <c r="B444" s="109" t="s">
        <v>7561</v>
      </c>
      <c r="C444" s="109" t="s">
        <v>1160</v>
      </c>
      <c r="D444" s="278" t="str">
        <f>VLOOKUP(A:A,'Master Table'!C:D,2,FALSE)</f>
        <v>2164</v>
      </c>
      <c r="E444" s="287"/>
      <c r="F444" s="8">
        <v>60</v>
      </c>
      <c r="G444" s="111">
        <v>84.5</v>
      </c>
      <c r="H444" s="112">
        <v>150</v>
      </c>
      <c r="J444" s="86"/>
    </row>
    <row r="445" spans="1:10" ht="15" x14ac:dyDescent="0.2">
      <c r="A445" s="109" t="s">
        <v>2188</v>
      </c>
      <c r="B445" s="109" t="s">
        <v>7261</v>
      </c>
      <c r="C445" s="109" t="s">
        <v>7261</v>
      </c>
      <c r="D445" s="278" t="str">
        <f>VLOOKUP(A:A,'Master Table'!C:D,2,FALSE)</f>
        <v>2168</v>
      </c>
      <c r="E445" s="287"/>
      <c r="F445" s="8">
        <v>343</v>
      </c>
      <c r="G445" s="9">
        <v>775</v>
      </c>
      <c r="H445" s="118">
        <v>1155</v>
      </c>
      <c r="J445" s="86"/>
    </row>
    <row r="446" spans="1:10" ht="18" x14ac:dyDescent="0.2">
      <c r="A446" s="120" t="s">
        <v>307</v>
      </c>
      <c r="B446" s="121"/>
      <c r="C446" s="121"/>
      <c r="D446" s="278"/>
      <c r="E446" s="288"/>
      <c r="F446" s="123">
        <v>92050.58</v>
      </c>
      <c r="G446" s="124">
        <v>90864.41</v>
      </c>
      <c r="H446" s="125">
        <v>85857.630000000034</v>
      </c>
      <c r="J446" s="86"/>
    </row>
    <row r="447" spans="1:10" s="62" customFormat="1" x14ac:dyDescent="0.2">
      <c r="A447" s="60" t="s">
        <v>7262</v>
      </c>
      <c r="B447" s="60"/>
      <c r="C447" s="60"/>
      <c r="D447" s="275"/>
      <c r="E447" s="275"/>
      <c r="F447" s="61"/>
      <c r="G447" s="61"/>
      <c r="H447" s="60"/>
    </row>
    <row r="448" spans="1:10" ht="20.25" x14ac:dyDescent="0.2">
      <c r="A448" s="248" t="s">
        <v>7364</v>
      </c>
      <c r="B448" s="248"/>
      <c r="C448" s="248"/>
      <c r="D448" s="289"/>
      <c r="E448" s="289"/>
      <c r="F448" s="248"/>
      <c r="G448" s="248"/>
      <c r="H448" s="86"/>
    </row>
    <row r="449" spans="1:8" ht="15.75" x14ac:dyDescent="0.2">
      <c r="A449" s="87" t="s">
        <v>1</v>
      </c>
      <c r="B449" s="87" t="s">
        <v>2</v>
      </c>
      <c r="C449" s="87" t="s">
        <v>3</v>
      </c>
      <c r="D449" s="290" t="s">
        <v>8165</v>
      </c>
      <c r="E449" s="290">
        <f>E3</f>
        <v>2019</v>
      </c>
      <c r="F449" s="87">
        <v>2018</v>
      </c>
      <c r="G449" s="87">
        <v>2017</v>
      </c>
      <c r="H449" s="88" t="s">
        <v>7365</v>
      </c>
    </row>
    <row r="450" spans="1:8" ht="15" x14ac:dyDescent="0.2">
      <c r="A450" s="89" t="s">
        <v>2192</v>
      </c>
      <c r="B450" s="89" t="s">
        <v>2195</v>
      </c>
      <c r="C450" s="89" t="s">
        <v>2194</v>
      </c>
      <c r="D450" s="278" t="str">
        <f>VLOOKUP(A:A,'Master Table'!C:D,2,FALSE)</f>
        <v>2169</v>
      </c>
      <c r="E450" s="291"/>
      <c r="F450" s="90">
        <v>965.52</v>
      </c>
      <c r="G450" s="91">
        <v>912</v>
      </c>
      <c r="H450" s="92">
        <v>893.67</v>
      </c>
    </row>
    <row r="451" spans="1:8" ht="15" x14ac:dyDescent="0.2">
      <c r="A451" s="89" t="s">
        <v>2196</v>
      </c>
      <c r="B451" s="89" t="s">
        <v>2195</v>
      </c>
      <c r="C451" s="89" t="s">
        <v>7366</v>
      </c>
      <c r="D451" s="278" t="str">
        <f>VLOOKUP(A:A,'Master Table'!C:D,2,FALSE)</f>
        <v>2170</v>
      </c>
      <c r="E451" s="291"/>
      <c r="F451" s="90">
        <v>780</v>
      </c>
      <c r="G451" s="91">
        <v>856</v>
      </c>
      <c r="H451" s="92">
        <v>870</v>
      </c>
    </row>
    <row r="452" spans="1:8" ht="15" x14ac:dyDescent="0.2">
      <c r="A452" s="89" t="s">
        <v>2199</v>
      </c>
      <c r="B452" s="89" t="s">
        <v>2195</v>
      </c>
      <c r="C452" s="89" t="s">
        <v>231</v>
      </c>
      <c r="D452" s="278" t="str">
        <f>VLOOKUP(A:A,'Master Table'!C:D,2,FALSE)</f>
        <v>0479448</v>
      </c>
      <c r="E452" s="291"/>
      <c r="F452" s="90">
        <v>50</v>
      </c>
      <c r="G452" s="91">
        <v>0</v>
      </c>
      <c r="H452" s="92">
        <v>50</v>
      </c>
    </row>
    <row r="453" spans="1:8" ht="15" x14ac:dyDescent="0.2">
      <c r="A453" s="89" t="s">
        <v>2201</v>
      </c>
      <c r="B453" s="89" t="s">
        <v>2195</v>
      </c>
      <c r="C453" s="89" t="s">
        <v>1203</v>
      </c>
      <c r="D453" s="278" t="str">
        <f>VLOOKUP(A:A,'Master Table'!C:D,2,FALSE)</f>
        <v>2172</v>
      </c>
      <c r="E453" s="291"/>
      <c r="F453" s="90">
        <v>295.88</v>
      </c>
      <c r="G453" s="91">
        <v>478.75</v>
      </c>
      <c r="H453" s="92">
        <v>841.4</v>
      </c>
    </row>
    <row r="454" spans="1:8" ht="15" x14ac:dyDescent="0.2">
      <c r="A454" s="89" t="s">
        <v>2204</v>
      </c>
      <c r="B454" s="89" t="s">
        <v>2195</v>
      </c>
      <c r="C454" s="89" t="s">
        <v>916</v>
      </c>
      <c r="D454" s="278" t="str">
        <f>VLOOKUP(A:A,'Master Table'!C:D,2,FALSE)</f>
        <v>2173</v>
      </c>
      <c r="E454" s="291"/>
      <c r="F454" s="90">
        <v>4562.08</v>
      </c>
      <c r="G454" s="91">
        <v>4433.0200000000004</v>
      </c>
      <c r="H454" s="92">
        <v>4939.4800000000005</v>
      </c>
    </row>
    <row r="455" spans="1:8" ht="15" x14ac:dyDescent="0.2">
      <c r="A455" s="89" t="s">
        <v>2208</v>
      </c>
      <c r="B455" s="89" t="s">
        <v>2195</v>
      </c>
      <c r="C455" s="89" t="s">
        <v>1004</v>
      </c>
      <c r="D455" s="278" t="str">
        <f>VLOOKUP(A:A,'Master Table'!C:D,2,FALSE)</f>
        <v>2174</v>
      </c>
      <c r="E455" s="291"/>
      <c r="F455" s="90">
        <v>2568</v>
      </c>
      <c r="G455" s="91">
        <v>1990</v>
      </c>
      <c r="H455" s="92">
        <v>2479</v>
      </c>
    </row>
    <row r="456" spans="1:8" ht="15" x14ac:dyDescent="0.2">
      <c r="A456" s="89" t="s">
        <v>2211</v>
      </c>
      <c r="B456" s="89" t="s">
        <v>2195</v>
      </c>
      <c r="C456" s="89" t="s">
        <v>1165</v>
      </c>
      <c r="D456" s="278" t="str">
        <f>VLOOKUP(A:A,'Master Table'!C:D,2,FALSE)</f>
        <v>2175</v>
      </c>
      <c r="E456" s="291"/>
      <c r="F456" s="90">
        <v>1412</v>
      </c>
      <c r="G456" s="91">
        <v>1487.09</v>
      </c>
      <c r="H456" s="92">
        <v>1907.8</v>
      </c>
    </row>
    <row r="457" spans="1:8" ht="15" x14ac:dyDescent="0.2">
      <c r="A457" s="89" t="s">
        <v>2215</v>
      </c>
      <c r="B457" s="89" t="s">
        <v>2195</v>
      </c>
      <c r="C457" s="89" t="s">
        <v>2217</v>
      </c>
      <c r="D457" s="278" t="str">
        <f>VLOOKUP(A:A,'Master Table'!C:D,2,FALSE)</f>
        <v>2176</v>
      </c>
      <c r="E457" s="291"/>
      <c r="F457" s="90">
        <v>1492.5</v>
      </c>
      <c r="G457" s="91">
        <v>1620.93</v>
      </c>
      <c r="H457" s="92">
        <v>1836</v>
      </c>
    </row>
    <row r="458" spans="1:8" ht="15" x14ac:dyDescent="0.2">
      <c r="A458" s="89" t="s">
        <v>2218</v>
      </c>
      <c r="B458" s="89" t="s">
        <v>2195</v>
      </c>
      <c r="C458" s="89" t="s">
        <v>7367</v>
      </c>
      <c r="D458" s="278" t="str">
        <f>VLOOKUP(A:A,'Master Table'!C:D,2,FALSE)</f>
        <v>2177</v>
      </c>
      <c r="E458" s="291"/>
      <c r="F458" s="90">
        <v>669</v>
      </c>
      <c r="G458" s="91">
        <v>2093.34</v>
      </c>
      <c r="H458" s="92">
        <v>3447.4</v>
      </c>
    </row>
    <row r="459" spans="1:8" ht="15" x14ac:dyDescent="0.2">
      <c r="A459" s="89" t="s">
        <v>2224</v>
      </c>
      <c r="B459" s="89" t="s">
        <v>2195</v>
      </c>
      <c r="C459" s="89" t="s">
        <v>7368</v>
      </c>
      <c r="D459" s="278" t="str">
        <f>VLOOKUP(A:A,'Master Table'!C:D,2,FALSE)</f>
        <v>2178</v>
      </c>
      <c r="E459" s="291"/>
      <c r="F459" s="90">
        <v>2879</v>
      </c>
      <c r="G459" s="91">
        <v>2819</v>
      </c>
      <c r="H459" s="92">
        <v>2968</v>
      </c>
    </row>
    <row r="460" spans="1:8" ht="15" x14ac:dyDescent="0.2">
      <c r="A460" s="89" t="s">
        <v>2227</v>
      </c>
      <c r="B460" s="89" t="s">
        <v>2195</v>
      </c>
      <c r="C460" s="89" t="s">
        <v>5145</v>
      </c>
      <c r="D460" s="278" t="str">
        <f>VLOOKUP(A:A,'Master Table'!C:D,2,FALSE)</f>
        <v>2179</v>
      </c>
      <c r="E460" s="291"/>
      <c r="F460" s="90">
        <v>80</v>
      </c>
      <c r="G460" s="91">
        <v>105</v>
      </c>
      <c r="H460" s="92">
        <v>235.72</v>
      </c>
    </row>
    <row r="461" spans="1:8" ht="15" x14ac:dyDescent="0.2">
      <c r="A461" s="89" t="s">
        <v>2230</v>
      </c>
      <c r="B461" s="89" t="s">
        <v>2195</v>
      </c>
      <c r="C461" s="89" t="s">
        <v>5390</v>
      </c>
      <c r="D461" s="278" t="str">
        <f>VLOOKUP(A:A,'Master Table'!C:D,2,FALSE)</f>
        <v>2180</v>
      </c>
      <c r="E461" s="291"/>
      <c r="F461" s="90">
        <v>119.75</v>
      </c>
      <c r="G461" s="91">
        <v>170</v>
      </c>
      <c r="H461" s="92">
        <v>220</v>
      </c>
    </row>
    <row r="462" spans="1:8" ht="15" x14ac:dyDescent="0.2">
      <c r="A462" s="89" t="s">
        <v>2233</v>
      </c>
      <c r="B462" s="89" t="s">
        <v>2195</v>
      </c>
      <c r="C462" s="89" t="s">
        <v>7369</v>
      </c>
      <c r="D462" s="278" t="str">
        <f>VLOOKUP(A:A,'Master Table'!C:D,2,FALSE)</f>
        <v>2181</v>
      </c>
      <c r="E462" s="291"/>
      <c r="F462" s="90">
        <v>1304</v>
      </c>
      <c r="G462" s="91">
        <v>1941</v>
      </c>
      <c r="H462" s="92">
        <v>1327</v>
      </c>
    </row>
    <row r="463" spans="1:8" ht="15" x14ac:dyDescent="0.2">
      <c r="A463" s="89" t="s">
        <v>2237</v>
      </c>
      <c r="B463" s="89" t="s">
        <v>2195</v>
      </c>
      <c r="C463" s="89" t="s">
        <v>7370</v>
      </c>
      <c r="D463" s="278" t="str">
        <f>VLOOKUP(A:A,'Master Table'!C:D,2,FALSE)</f>
        <v>2182</v>
      </c>
      <c r="E463" s="291"/>
      <c r="F463" s="90">
        <v>1013</v>
      </c>
      <c r="G463" s="91">
        <v>1413</v>
      </c>
      <c r="H463" s="92">
        <v>1544.3899999999999</v>
      </c>
    </row>
    <row r="464" spans="1:8" ht="15" x14ac:dyDescent="0.2">
      <c r="A464" s="89" t="s">
        <v>2241</v>
      </c>
      <c r="B464" s="89" t="s">
        <v>2195</v>
      </c>
      <c r="C464" s="89" t="s">
        <v>532</v>
      </c>
      <c r="D464" s="278" t="str">
        <f>VLOOKUP(A:A,'Master Table'!C:D,2,FALSE)</f>
        <v>2183</v>
      </c>
      <c r="E464" s="291"/>
      <c r="F464" s="90">
        <v>1318.06</v>
      </c>
      <c r="G464" s="91">
        <v>1172.6100000000001</v>
      </c>
      <c r="H464" s="92">
        <v>1299.4000000000001</v>
      </c>
    </row>
    <row r="465" spans="1:8" ht="15" x14ac:dyDescent="0.2">
      <c r="A465" s="89" t="s">
        <v>2244</v>
      </c>
      <c r="B465" s="89" t="s">
        <v>2195</v>
      </c>
      <c r="C465" s="89" t="s">
        <v>158</v>
      </c>
      <c r="D465" s="278" t="str">
        <f>VLOOKUP(A:A,'Master Table'!C:D,2,FALSE)</f>
        <v>2184</v>
      </c>
      <c r="E465" s="291"/>
      <c r="F465" s="90">
        <v>2290.59</v>
      </c>
      <c r="G465" s="91">
        <v>2088.6800000000003</v>
      </c>
      <c r="H465" s="92">
        <v>2206.92</v>
      </c>
    </row>
    <row r="466" spans="1:8" ht="15" x14ac:dyDescent="0.2">
      <c r="A466" s="89" t="s">
        <v>2246</v>
      </c>
      <c r="B466" s="89" t="s">
        <v>2195</v>
      </c>
      <c r="C466" s="89" t="s">
        <v>1065</v>
      </c>
      <c r="D466" s="278" t="str">
        <f>VLOOKUP(A:A,'Master Table'!C:D,2,FALSE)</f>
        <v>2185</v>
      </c>
      <c r="E466" s="291"/>
      <c r="F466" s="90">
        <v>3050.75</v>
      </c>
      <c r="G466" s="91">
        <v>3315.5</v>
      </c>
      <c r="H466" s="92">
        <v>3321</v>
      </c>
    </row>
    <row r="467" spans="1:8" ht="15" x14ac:dyDescent="0.2">
      <c r="A467" s="89" t="s">
        <v>2249</v>
      </c>
      <c r="B467" s="89" t="s">
        <v>2195</v>
      </c>
      <c r="C467" s="89" t="s">
        <v>7371</v>
      </c>
      <c r="D467" s="278" t="str">
        <f>VLOOKUP(A:A,'Master Table'!C:D,2,FALSE)</f>
        <v>2186</v>
      </c>
      <c r="E467" s="291"/>
      <c r="F467" s="90">
        <v>2561.8599999999997</v>
      </c>
      <c r="G467" s="91">
        <v>3554.74</v>
      </c>
      <c r="H467" s="92">
        <v>3737.54</v>
      </c>
    </row>
    <row r="468" spans="1:8" ht="15" x14ac:dyDescent="0.2">
      <c r="A468" s="89" t="s">
        <v>2252</v>
      </c>
      <c r="B468" s="89" t="s">
        <v>2195</v>
      </c>
      <c r="C468" s="89" t="s">
        <v>7372</v>
      </c>
      <c r="D468" s="278" t="str">
        <f>VLOOKUP(A:A,'Master Table'!C:D,2,FALSE)</f>
        <v>2187</v>
      </c>
      <c r="E468" s="291"/>
      <c r="F468" s="90">
        <v>1527.5</v>
      </c>
      <c r="G468" s="91">
        <v>1257.6399999999999</v>
      </c>
      <c r="H468" s="92">
        <v>1383</v>
      </c>
    </row>
    <row r="469" spans="1:8" ht="15" x14ac:dyDescent="0.2">
      <c r="A469" s="89" t="s">
        <v>2255</v>
      </c>
      <c r="B469" s="89" t="s">
        <v>7373</v>
      </c>
      <c r="C469" s="89" t="s">
        <v>146</v>
      </c>
      <c r="D469" s="278" t="str">
        <f>VLOOKUP(A:A,'Master Table'!C:D,2,FALSE)</f>
        <v>2189</v>
      </c>
      <c r="E469" s="291"/>
      <c r="F469" s="90">
        <v>828</v>
      </c>
      <c r="G469" s="91">
        <v>751</v>
      </c>
      <c r="H469" s="92">
        <v>802</v>
      </c>
    </row>
    <row r="470" spans="1:8" ht="15" x14ac:dyDescent="0.2">
      <c r="A470" s="89" t="s">
        <v>2263</v>
      </c>
      <c r="B470" s="89" t="s">
        <v>7374</v>
      </c>
      <c r="C470" s="89" t="s">
        <v>6440</v>
      </c>
      <c r="D470" s="278" t="str">
        <f>VLOOKUP(A:A,'Master Table'!C:D,2,FALSE)</f>
        <v>2191</v>
      </c>
      <c r="E470" s="291"/>
      <c r="F470" s="90">
        <v>1609.84</v>
      </c>
      <c r="G470" s="91">
        <v>1936.35</v>
      </c>
      <c r="H470" s="92">
        <v>1546.22</v>
      </c>
    </row>
    <row r="471" spans="1:8" ht="15" x14ac:dyDescent="0.2">
      <c r="A471" s="89" t="s">
        <v>2272</v>
      </c>
      <c r="B471" s="89" t="s">
        <v>7375</v>
      </c>
      <c r="C471" s="89" t="s">
        <v>7376</v>
      </c>
      <c r="D471" s="278" t="str">
        <f>VLOOKUP(A:A,'Master Table'!C:D,2,FALSE)</f>
        <v>2192</v>
      </c>
      <c r="E471" s="291"/>
      <c r="F471" s="90">
        <v>1223.8900000000001</v>
      </c>
      <c r="G471" s="91">
        <v>1137.5999999999999</v>
      </c>
      <c r="H471" s="92">
        <v>856.11</v>
      </c>
    </row>
    <row r="472" spans="1:8" ht="15" x14ac:dyDescent="0.2">
      <c r="A472" s="89" t="s">
        <v>7377</v>
      </c>
      <c r="B472" s="89" t="s">
        <v>7378</v>
      </c>
      <c r="C472" s="89" t="s">
        <v>7379</v>
      </c>
      <c r="D472" s="278" t="e">
        <f>VLOOKUP(A:A,'Master Table'!C:D,2,FALSE)</f>
        <v>#N/A</v>
      </c>
      <c r="E472" s="291"/>
      <c r="F472" s="90">
        <v>761.55</v>
      </c>
      <c r="G472" s="91">
        <v>996</v>
      </c>
      <c r="H472" s="92">
        <v>678.51</v>
      </c>
    </row>
    <row r="473" spans="1:8" ht="15" x14ac:dyDescent="0.2">
      <c r="A473" s="89" t="s">
        <v>2280</v>
      </c>
      <c r="B473" s="89" t="s">
        <v>2282</v>
      </c>
      <c r="C473" s="89" t="s">
        <v>1065</v>
      </c>
      <c r="D473" s="278" t="str">
        <f>VLOOKUP(A:A,'Master Table'!C:D,2,FALSE)</f>
        <v>2195</v>
      </c>
      <c r="E473" s="291"/>
      <c r="F473" s="90">
        <v>642.79</v>
      </c>
      <c r="G473" s="91">
        <v>658.34</v>
      </c>
      <c r="H473" s="92">
        <v>353.40000000000003</v>
      </c>
    </row>
    <row r="474" spans="1:8" ht="15" x14ac:dyDescent="0.2">
      <c r="A474" s="89" t="s">
        <v>2284</v>
      </c>
      <c r="B474" s="89" t="s">
        <v>2287</v>
      </c>
      <c r="C474" s="89" t="s">
        <v>3187</v>
      </c>
      <c r="D474" s="278" t="str">
        <f>VLOOKUP(A:A,'Master Table'!C:D,2,FALSE)</f>
        <v>2196</v>
      </c>
      <c r="E474" s="291"/>
      <c r="F474" s="90">
        <v>2758.68</v>
      </c>
      <c r="G474" s="91">
        <v>2894.24</v>
      </c>
      <c r="H474" s="92">
        <v>3145.4700000000003</v>
      </c>
    </row>
    <row r="475" spans="1:8" ht="15" x14ac:dyDescent="0.2">
      <c r="A475" s="89" t="s">
        <v>2288</v>
      </c>
      <c r="B475" s="89" t="s">
        <v>7380</v>
      </c>
      <c r="C475" s="89" t="s">
        <v>2290</v>
      </c>
      <c r="D475" s="278" t="str">
        <f>VLOOKUP(A:A,'Master Table'!C:D,2,FALSE)</f>
        <v>2199</v>
      </c>
      <c r="E475" s="291"/>
      <c r="F475" s="90">
        <v>837.88</v>
      </c>
      <c r="G475" s="91">
        <v>977.82</v>
      </c>
      <c r="H475" s="92">
        <v>1047.0999999999999</v>
      </c>
    </row>
    <row r="476" spans="1:8" ht="15" x14ac:dyDescent="0.2">
      <c r="A476" s="89" t="s">
        <v>2292</v>
      </c>
      <c r="B476" s="89" t="s">
        <v>2275</v>
      </c>
      <c r="C476" s="89" t="s">
        <v>226</v>
      </c>
      <c r="D476" s="278" t="str">
        <f>VLOOKUP(A:A,'Master Table'!C:D,2,FALSE)</f>
        <v>2200</v>
      </c>
      <c r="E476" s="291"/>
      <c r="F476" s="90">
        <v>130</v>
      </c>
      <c r="G476" s="91">
        <v>987.01</v>
      </c>
      <c r="H476" s="92">
        <v>941.48</v>
      </c>
    </row>
    <row r="477" spans="1:8" ht="15" x14ac:dyDescent="0.2">
      <c r="A477" s="89" t="s">
        <v>2294</v>
      </c>
      <c r="B477" s="89" t="s">
        <v>2296</v>
      </c>
      <c r="C477" s="89" t="s">
        <v>532</v>
      </c>
      <c r="D477" s="278" t="str">
        <f>VLOOKUP(A:A,'Master Table'!C:D,2,FALSE)</f>
        <v>2202</v>
      </c>
      <c r="E477" s="291"/>
      <c r="F477" s="93">
        <v>456</v>
      </c>
      <c r="G477" s="91">
        <v>294.43</v>
      </c>
      <c r="H477" s="92">
        <v>415.23</v>
      </c>
    </row>
    <row r="478" spans="1:8" ht="15" x14ac:dyDescent="0.2">
      <c r="A478" s="89" t="s">
        <v>2302</v>
      </c>
      <c r="B478" s="89" t="s">
        <v>7381</v>
      </c>
      <c r="C478" s="89" t="s">
        <v>7382</v>
      </c>
      <c r="D478" s="278" t="str">
        <f>VLOOKUP(A:A,'Master Table'!C:D,2,FALSE)</f>
        <v>2204</v>
      </c>
      <c r="E478" s="291"/>
      <c r="F478" s="90">
        <v>1243.3599999999999</v>
      </c>
      <c r="G478" s="91">
        <v>1368.56</v>
      </c>
      <c r="H478" s="92">
        <v>1381.39</v>
      </c>
    </row>
    <row r="479" spans="1:8" ht="15" x14ac:dyDescent="0.2">
      <c r="A479" s="89" t="s">
        <v>2305</v>
      </c>
      <c r="B479" s="89" t="s">
        <v>2307</v>
      </c>
      <c r="C479" s="89" t="s">
        <v>3187</v>
      </c>
      <c r="D479" s="278" t="str">
        <f>VLOOKUP(A:A,'Master Table'!C:D,2,FALSE)</f>
        <v>2205</v>
      </c>
      <c r="E479" s="291"/>
      <c r="F479" s="90">
        <v>1420.38</v>
      </c>
      <c r="G479" s="91">
        <v>1559.51</v>
      </c>
      <c r="H479" s="92">
        <v>1463.73</v>
      </c>
    </row>
    <row r="480" spans="1:8" ht="15" x14ac:dyDescent="0.2">
      <c r="A480" s="89" t="s">
        <v>2308</v>
      </c>
      <c r="B480" s="89" t="s">
        <v>2311</v>
      </c>
      <c r="C480" s="89" t="s">
        <v>226</v>
      </c>
      <c r="D480" s="278" t="str">
        <f>VLOOKUP(A:A,'Master Table'!C:D,2,FALSE)</f>
        <v>2206</v>
      </c>
      <c r="E480" s="291"/>
      <c r="F480" s="90">
        <v>321.97000000000003</v>
      </c>
      <c r="G480" s="91">
        <v>471.1</v>
      </c>
      <c r="H480" s="92">
        <v>271.25</v>
      </c>
    </row>
    <row r="481" spans="1:8" ht="15" x14ac:dyDescent="0.2">
      <c r="A481" s="89" t="s">
        <v>2312</v>
      </c>
      <c r="B481" s="89" t="s">
        <v>2315</v>
      </c>
      <c r="C481" s="89" t="s">
        <v>2667</v>
      </c>
      <c r="D481" s="278" t="str">
        <f>VLOOKUP(A:A,'Master Table'!C:D,2,FALSE)</f>
        <v>2207</v>
      </c>
      <c r="E481" s="291"/>
      <c r="F481" s="90">
        <v>538.61</v>
      </c>
      <c r="G481" s="91">
        <v>1098.0700000000002</v>
      </c>
      <c r="H481" s="92">
        <v>1281.06</v>
      </c>
    </row>
    <row r="482" spans="1:8" ht="15" x14ac:dyDescent="0.2">
      <c r="A482" s="89" t="s">
        <v>2316</v>
      </c>
      <c r="B482" s="89" t="s">
        <v>2319</v>
      </c>
      <c r="C482" s="89" t="s">
        <v>1376</v>
      </c>
      <c r="D482" s="278" t="str">
        <f>VLOOKUP(A:A,'Master Table'!C:D,2,FALSE)</f>
        <v>2209</v>
      </c>
      <c r="E482" s="291"/>
      <c r="F482" s="90">
        <v>2621</v>
      </c>
      <c r="G482" s="91">
        <v>2233</v>
      </c>
      <c r="H482" s="92">
        <v>2268</v>
      </c>
    </row>
    <row r="483" spans="1:8" ht="15" x14ac:dyDescent="0.2">
      <c r="A483" s="89" t="s">
        <v>2320</v>
      </c>
      <c r="B483" s="89" t="s">
        <v>7383</v>
      </c>
      <c r="C483" s="89" t="s">
        <v>89</v>
      </c>
      <c r="D483" s="278" t="str">
        <f>VLOOKUP(A:A,'Master Table'!C:D,2,FALSE)</f>
        <v>2210</v>
      </c>
      <c r="E483" s="291"/>
      <c r="F483" s="90">
        <v>955</v>
      </c>
      <c r="G483" s="91">
        <v>1087</v>
      </c>
      <c r="H483" s="92">
        <v>1216.67</v>
      </c>
    </row>
    <row r="484" spans="1:8" ht="15" x14ac:dyDescent="0.2">
      <c r="A484" s="89" t="s">
        <v>2323</v>
      </c>
      <c r="B484" s="89" t="s">
        <v>7384</v>
      </c>
      <c r="C484" s="89" t="s">
        <v>7385</v>
      </c>
      <c r="D484" s="278" t="str">
        <f>VLOOKUP(A:A,'Master Table'!C:D,2,FALSE)</f>
        <v>2211</v>
      </c>
      <c r="E484" s="291"/>
      <c r="F484" s="90">
        <v>25</v>
      </c>
      <c r="G484" s="91">
        <v>0</v>
      </c>
      <c r="H484" s="92">
        <v>25</v>
      </c>
    </row>
    <row r="485" spans="1:8" ht="15" x14ac:dyDescent="0.2">
      <c r="A485" s="89" t="s">
        <v>2328</v>
      </c>
      <c r="B485" s="89" t="s">
        <v>7386</v>
      </c>
      <c r="C485" s="89" t="s">
        <v>7387</v>
      </c>
      <c r="D485" s="278" t="str">
        <f>VLOOKUP(A:A,'Master Table'!C:D,2,FALSE)</f>
        <v>2212</v>
      </c>
      <c r="E485" s="291"/>
      <c r="F485" s="90">
        <v>1129.01</v>
      </c>
      <c r="G485" s="91">
        <v>1055</v>
      </c>
      <c r="H485" s="92">
        <v>1086.5</v>
      </c>
    </row>
    <row r="486" spans="1:8" ht="15" x14ac:dyDescent="0.2">
      <c r="A486" s="89" t="s">
        <v>2332</v>
      </c>
      <c r="B486" s="89" t="s">
        <v>2301</v>
      </c>
      <c r="C486" s="89" t="s">
        <v>1871</v>
      </c>
      <c r="D486" s="278" t="str">
        <f>VLOOKUP(A:A,'Master Table'!C:D,2,FALSE)</f>
        <v>2213</v>
      </c>
      <c r="E486" s="291"/>
      <c r="F486" s="90">
        <v>860</v>
      </c>
      <c r="G486" s="91">
        <v>735</v>
      </c>
      <c r="H486" s="92">
        <v>1011</v>
      </c>
    </row>
    <row r="487" spans="1:8" ht="15" x14ac:dyDescent="0.2">
      <c r="A487" s="89" t="s">
        <v>2335</v>
      </c>
      <c r="B487" s="89" t="s">
        <v>2291</v>
      </c>
      <c r="C487" s="89" t="s">
        <v>1386</v>
      </c>
      <c r="D487" s="278" t="str">
        <f>VLOOKUP(A:A,'Master Table'!C:D,2,FALSE)</f>
        <v>2215</v>
      </c>
      <c r="E487" s="291"/>
      <c r="F487" s="90">
        <v>1587.81</v>
      </c>
      <c r="G487" s="91">
        <v>1838.82</v>
      </c>
      <c r="H487" s="92">
        <v>1338.19</v>
      </c>
    </row>
    <row r="488" spans="1:8" ht="15" x14ac:dyDescent="0.2">
      <c r="A488" s="89" t="s">
        <v>2337</v>
      </c>
      <c r="B488" s="89" t="s">
        <v>2291</v>
      </c>
      <c r="C488" s="89" t="s">
        <v>7388</v>
      </c>
      <c r="D488" s="278" t="str">
        <f>VLOOKUP(A:A,'Master Table'!C:D,2,FALSE)</f>
        <v>2216</v>
      </c>
      <c r="E488" s="291"/>
      <c r="F488" s="90">
        <v>781.7</v>
      </c>
      <c r="G488" s="91">
        <v>1640.47</v>
      </c>
      <c r="H488" s="92">
        <v>1954.5</v>
      </c>
    </row>
    <row r="489" spans="1:8" ht="15" x14ac:dyDescent="0.2">
      <c r="A489" s="89" t="s">
        <v>2345</v>
      </c>
      <c r="B489" s="89" t="s">
        <v>2348</v>
      </c>
      <c r="C489" s="89" t="s">
        <v>2347</v>
      </c>
      <c r="D489" s="278" t="str">
        <f>VLOOKUP(A:A,'Master Table'!C:D,2,FALSE)</f>
        <v>2218</v>
      </c>
      <c r="E489" s="291"/>
      <c r="F489" s="90">
        <v>542.64</v>
      </c>
      <c r="G489" s="91">
        <v>699.22</v>
      </c>
      <c r="H489" s="92">
        <v>738.55000000000007</v>
      </c>
    </row>
    <row r="490" spans="1:8" ht="15" x14ac:dyDescent="0.2">
      <c r="A490" s="89" t="s">
        <v>2349</v>
      </c>
      <c r="B490" s="89" t="s">
        <v>2352</v>
      </c>
      <c r="C490" s="89" t="s">
        <v>7389</v>
      </c>
      <c r="D490" s="278" t="str">
        <f>VLOOKUP(A:A,'Master Table'!C:D,2,FALSE)</f>
        <v>2219</v>
      </c>
      <c r="E490" s="291"/>
      <c r="F490" s="93">
        <v>2224.9300000000003</v>
      </c>
      <c r="G490" s="91">
        <v>1728</v>
      </c>
      <c r="H490" s="92">
        <v>1485</v>
      </c>
    </row>
    <row r="491" spans="1:8" ht="15" x14ac:dyDescent="0.2">
      <c r="A491" s="89" t="s">
        <v>2353</v>
      </c>
      <c r="B491" s="89" t="s">
        <v>2356</v>
      </c>
      <c r="C491" s="89" t="s">
        <v>7390</v>
      </c>
      <c r="D491" s="278" t="str">
        <f>VLOOKUP(A:A,'Master Table'!C:D,2,FALSE)</f>
        <v>2220</v>
      </c>
      <c r="E491" s="291"/>
      <c r="F491" s="90">
        <v>3974.7</v>
      </c>
      <c r="G491" s="91">
        <v>4205.83</v>
      </c>
      <c r="H491" s="92">
        <v>764.32</v>
      </c>
    </row>
    <row r="492" spans="1:8" ht="15" x14ac:dyDescent="0.2">
      <c r="A492" s="89" t="s">
        <v>2357</v>
      </c>
      <c r="B492" s="89" t="s">
        <v>2360</v>
      </c>
      <c r="C492" s="89" t="s">
        <v>7391</v>
      </c>
      <c r="D492" s="278" t="str">
        <f>VLOOKUP(A:A,'Master Table'!C:D,2,FALSE)</f>
        <v>2221</v>
      </c>
      <c r="E492" s="291"/>
      <c r="F492" s="90">
        <v>2306.11</v>
      </c>
      <c r="G492" s="91">
        <v>2296.31</v>
      </c>
      <c r="H492" s="92">
        <v>2747.15</v>
      </c>
    </row>
    <row r="493" spans="1:8" ht="15" x14ac:dyDescent="0.2">
      <c r="A493" s="89" t="s">
        <v>2366</v>
      </c>
      <c r="B493" s="89" t="s">
        <v>7392</v>
      </c>
      <c r="C493" s="89" t="s">
        <v>7393</v>
      </c>
      <c r="D493" s="278" t="str">
        <f>VLOOKUP(A:A,'Master Table'!C:D,2,FALSE)</f>
        <v>2223</v>
      </c>
      <c r="E493" s="291"/>
      <c r="F493" s="90">
        <v>2143.2600000000002</v>
      </c>
      <c r="G493" s="91">
        <v>2390.5</v>
      </c>
      <c r="H493" s="92">
        <v>1804</v>
      </c>
    </row>
    <row r="494" spans="1:8" ht="15" x14ac:dyDescent="0.2">
      <c r="A494" s="89" t="s">
        <v>2371</v>
      </c>
      <c r="B494" s="89" t="s">
        <v>2331</v>
      </c>
      <c r="C494" s="89" t="s">
        <v>226</v>
      </c>
      <c r="D494" s="278" t="str">
        <f>VLOOKUP(A:A,'Master Table'!C:D,2,FALSE)</f>
        <v>2224</v>
      </c>
      <c r="E494" s="291"/>
      <c r="F494" s="90">
        <v>1957.32</v>
      </c>
      <c r="G494" s="91">
        <v>2120.37</v>
      </c>
      <c r="H494" s="92">
        <v>2060.5699999999997</v>
      </c>
    </row>
    <row r="495" spans="1:8" ht="15" x14ac:dyDescent="0.2">
      <c r="A495" s="89" t="s">
        <v>2374</v>
      </c>
      <c r="B495" s="89" t="s">
        <v>2331</v>
      </c>
      <c r="C495" s="89" t="s">
        <v>7394</v>
      </c>
      <c r="D495" s="278" t="str">
        <f>VLOOKUP(A:A,'Master Table'!C:D,2,FALSE)</f>
        <v>2225</v>
      </c>
      <c r="E495" s="291"/>
      <c r="F495" s="90">
        <v>976.04</v>
      </c>
      <c r="G495" s="91">
        <v>1044.92</v>
      </c>
      <c r="H495" s="92">
        <v>1108.49</v>
      </c>
    </row>
    <row r="496" spans="1:8" ht="15" x14ac:dyDescent="0.2">
      <c r="A496" s="89" t="s">
        <v>2377</v>
      </c>
      <c r="B496" s="89" t="s">
        <v>7395</v>
      </c>
      <c r="C496" s="89" t="s">
        <v>5211</v>
      </c>
      <c r="D496" s="278" t="str">
        <f>VLOOKUP(A:A,'Master Table'!C:D,2,FALSE)</f>
        <v>2226</v>
      </c>
      <c r="E496" s="291"/>
      <c r="F496" s="90">
        <v>20</v>
      </c>
      <c r="G496" s="91">
        <v>180</v>
      </c>
      <c r="H496" s="92">
        <v>290.5</v>
      </c>
    </row>
    <row r="497" spans="1:8" ht="15" x14ac:dyDescent="0.2">
      <c r="A497" s="89" t="s">
        <v>2380</v>
      </c>
      <c r="B497" s="89" t="s">
        <v>2383</v>
      </c>
      <c r="C497" s="89" t="s">
        <v>226</v>
      </c>
      <c r="D497" s="278" t="str">
        <f>VLOOKUP(A:A,'Master Table'!C:D,2,FALSE)</f>
        <v>2227</v>
      </c>
      <c r="E497" s="291"/>
      <c r="F497" s="90">
        <v>403.45</v>
      </c>
      <c r="G497" s="91">
        <v>687.76</v>
      </c>
      <c r="H497" s="92">
        <v>521.67000000000007</v>
      </c>
    </row>
    <row r="498" spans="1:8" ht="15" x14ac:dyDescent="0.2">
      <c r="A498" s="94" t="s">
        <v>7396</v>
      </c>
      <c r="B498" s="94" t="s">
        <v>7397</v>
      </c>
      <c r="C498" s="94" t="s">
        <v>7398</v>
      </c>
      <c r="D498" s="278" t="e">
        <f>VLOOKUP(A:A,'Master Table'!C:D,2,FALSE)</f>
        <v>#N/A</v>
      </c>
      <c r="E498" s="292"/>
      <c r="F498" s="90">
        <v>2857.88</v>
      </c>
      <c r="G498" s="91">
        <v>3240.73</v>
      </c>
      <c r="H498" s="92">
        <v>2843.1800000000003</v>
      </c>
    </row>
    <row r="499" spans="1:8" ht="15" x14ac:dyDescent="0.2">
      <c r="A499" s="89" t="s">
        <v>7399</v>
      </c>
      <c r="B499" s="89" t="s">
        <v>7400</v>
      </c>
      <c r="C499" s="89" t="s">
        <v>7401</v>
      </c>
      <c r="D499" s="278" t="e">
        <f>VLOOKUP(A:A,'Master Table'!C:D,2,FALSE)</f>
        <v>#N/A</v>
      </c>
      <c r="E499" s="291"/>
      <c r="F499" s="90">
        <v>-581.92999999999995</v>
      </c>
      <c r="G499" s="91">
        <v>763</v>
      </c>
      <c r="H499" s="92">
        <v>1561.98</v>
      </c>
    </row>
    <row r="500" spans="1:8" ht="15" x14ac:dyDescent="0.2">
      <c r="A500" s="89" t="s">
        <v>2393</v>
      </c>
      <c r="B500" s="89" t="s">
        <v>195</v>
      </c>
      <c r="C500" s="89" t="s">
        <v>2395</v>
      </c>
      <c r="D500" s="278" t="str">
        <f>VLOOKUP(A:A,'Master Table'!C:D,2,FALSE)</f>
        <v>2230</v>
      </c>
      <c r="E500" s="291"/>
      <c r="F500" s="90">
        <v>111</v>
      </c>
      <c r="G500" s="91">
        <v>136</v>
      </c>
      <c r="H500" s="92">
        <v>249.08</v>
      </c>
    </row>
    <row r="501" spans="1:8" ht="15" x14ac:dyDescent="0.2">
      <c r="A501" s="89" t="s">
        <v>2396</v>
      </c>
      <c r="B501" s="89" t="s">
        <v>195</v>
      </c>
      <c r="C501" s="89" t="s">
        <v>2398</v>
      </c>
      <c r="D501" s="278" t="str">
        <f>VLOOKUP(A:A,'Master Table'!C:D,2,FALSE)</f>
        <v>2231</v>
      </c>
      <c r="E501" s="291"/>
      <c r="F501" s="90">
        <v>756.48</v>
      </c>
      <c r="G501" s="91">
        <v>80</v>
      </c>
      <c r="H501" s="92">
        <v>985</v>
      </c>
    </row>
    <row r="502" spans="1:8" ht="15" x14ac:dyDescent="0.2">
      <c r="A502" s="89" t="s">
        <v>2399</v>
      </c>
      <c r="B502" s="89" t="s">
        <v>195</v>
      </c>
      <c r="C502" s="89" t="s">
        <v>7402</v>
      </c>
      <c r="D502" s="278" t="str">
        <f>VLOOKUP(A:A,'Master Table'!C:D,2,FALSE)</f>
        <v>2232</v>
      </c>
      <c r="E502" s="291"/>
      <c r="F502" s="90">
        <v>315.64999999999998</v>
      </c>
      <c r="G502" s="91">
        <v>529</v>
      </c>
      <c r="H502" s="92">
        <v>690.15</v>
      </c>
    </row>
    <row r="503" spans="1:8" ht="15" x14ac:dyDescent="0.2">
      <c r="A503" s="89" t="s">
        <v>2402</v>
      </c>
      <c r="B503" s="89" t="s">
        <v>195</v>
      </c>
      <c r="C503" s="89" t="s">
        <v>2404</v>
      </c>
      <c r="D503" s="278" t="str">
        <f>VLOOKUP(A:A,'Master Table'!C:D,2,FALSE)</f>
        <v>2233</v>
      </c>
      <c r="E503" s="291"/>
      <c r="F503" s="90">
        <v>1099.69</v>
      </c>
      <c r="G503" s="91">
        <v>1378.43</v>
      </c>
      <c r="H503" s="92">
        <v>1258.1500000000001</v>
      </c>
    </row>
    <row r="504" spans="1:8" ht="15" x14ac:dyDescent="0.2">
      <c r="A504" s="89" t="s">
        <v>2406</v>
      </c>
      <c r="B504" s="89" t="s">
        <v>195</v>
      </c>
      <c r="C504" s="89" t="s">
        <v>7403</v>
      </c>
      <c r="D504" s="278" t="str">
        <f>VLOOKUP(A:A,'Master Table'!C:D,2,FALSE)</f>
        <v>2234</v>
      </c>
      <c r="E504" s="291"/>
      <c r="F504" s="90">
        <v>675.39</v>
      </c>
      <c r="G504" s="91">
        <v>633.09</v>
      </c>
      <c r="H504" s="92">
        <v>794.86</v>
      </c>
    </row>
    <row r="505" spans="1:8" ht="15" x14ac:dyDescent="0.2">
      <c r="A505" s="89" t="s">
        <v>2412</v>
      </c>
      <c r="B505" s="89" t="s">
        <v>195</v>
      </c>
      <c r="C505" s="89" t="s">
        <v>2414</v>
      </c>
      <c r="D505" s="278" t="str">
        <f>VLOOKUP(A:A,'Master Table'!C:D,2,FALSE)</f>
        <v>2235</v>
      </c>
      <c r="E505" s="291"/>
      <c r="F505" s="90">
        <v>224</v>
      </c>
      <c r="G505" s="91">
        <v>199</v>
      </c>
      <c r="H505" s="92">
        <v>129</v>
      </c>
    </row>
    <row r="506" spans="1:8" ht="15" x14ac:dyDescent="0.2">
      <c r="A506" s="89" t="s">
        <v>2415</v>
      </c>
      <c r="B506" s="89" t="s">
        <v>195</v>
      </c>
      <c r="C506" s="89" t="s">
        <v>158</v>
      </c>
      <c r="D506" s="278" t="str">
        <f>VLOOKUP(A:A,'Master Table'!C:D,2,FALSE)</f>
        <v>2236</v>
      </c>
      <c r="E506" s="291"/>
      <c r="F506" s="90">
        <v>1645</v>
      </c>
      <c r="G506" s="91">
        <v>1595</v>
      </c>
      <c r="H506" s="92">
        <v>1858</v>
      </c>
    </row>
    <row r="507" spans="1:8" ht="15" x14ac:dyDescent="0.2">
      <c r="A507" s="89" t="s">
        <v>7404</v>
      </c>
      <c r="B507" s="89" t="s">
        <v>7405</v>
      </c>
      <c r="C507" s="89" t="s">
        <v>7385</v>
      </c>
      <c r="D507" s="278" t="e">
        <f>VLOOKUP(A:A,'Master Table'!C:D,2,FALSE)</f>
        <v>#N/A</v>
      </c>
      <c r="E507" s="291"/>
      <c r="F507" s="90">
        <v>2304.7399999999998</v>
      </c>
      <c r="G507" s="91">
        <v>2455.48</v>
      </c>
      <c r="H507" s="92">
        <v>2422.46</v>
      </c>
    </row>
    <row r="508" spans="1:8" ht="15" x14ac:dyDescent="0.2">
      <c r="A508" s="89" t="s">
        <v>2426</v>
      </c>
      <c r="B508" s="89" t="s">
        <v>2428</v>
      </c>
      <c r="C508" s="89" t="s">
        <v>5256</v>
      </c>
      <c r="D508" s="278" t="str">
        <f>VLOOKUP(A:A,'Master Table'!C:D,2,FALSE)</f>
        <v>2239</v>
      </c>
      <c r="E508" s="291"/>
      <c r="F508" s="90">
        <v>2035.17</v>
      </c>
      <c r="G508" s="91">
        <v>1171.04</v>
      </c>
      <c r="H508" s="92">
        <v>1430.34</v>
      </c>
    </row>
    <row r="509" spans="1:8" ht="15" x14ac:dyDescent="0.2">
      <c r="A509" s="89" t="s">
        <v>2432</v>
      </c>
      <c r="B509" s="89" t="s">
        <v>2434</v>
      </c>
      <c r="C509" s="89" t="s">
        <v>119</v>
      </c>
      <c r="D509" s="278" t="str">
        <f>VLOOKUP(A:A,'Master Table'!C:D,2,FALSE)</f>
        <v>2240</v>
      </c>
      <c r="E509" s="291"/>
      <c r="F509" s="90">
        <v>1085</v>
      </c>
      <c r="G509" s="91">
        <v>1842</v>
      </c>
      <c r="H509" s="92">
        <v>2603.35</v>
      </c>
    </row>
    <row r="510" spans="1:8" ht="15" x14ac:dyDescent="0.2">
      <c r="A510" s="89" t="s">
        <v>2435</v>
      </c>
      <c r="B510" s="89" t="s">
        <v>2438</v>
      </c>
      <c r="C510" s="89" t="s">
        <v>2437</v>
      </c>
      <c r="D510" s="278" t="str">
        <f>VLOOKUP(A:A,'Master Table'!C:D,2,FALSE)</f>
        <v>2241</v>
      </c>
      <c r="E510" s="291"/>
      <c r="F510" s="90">
        <v>10</v>
      </c>
      <c r="G510" s="91">
        <v>10</v>
      </c>
      <c r="H510" s="92">
        <v>25</v>
      </c>
    </row>
    <row r="511" spans="1:8" ht="15" x14ac:dyDescent="0.2">
      <c r="A511" s="89" t="s">
        <v>2439</v>
      </c>
      <c r="B511" s="89" t="s">
        <v>2441</v>
      </c>
      <c r="C511" s="89" t="s">
        <v>7406</v>
      </c>
      <c r="D511" s="278" t="str">
        <f>VLOOKUP(A:A,'Master Table'!C:D,2,FALSE)</f>
        <v>2242</v>
      </c>
      <c r="E511" s="291"/>
      <c r="F511" s="90">
        <v>10</v>
      </c>
      <c r="G511" s="91">
        <v>10</v>
      </c>
      <c r="H511" s="92">
        <v>10</v>
      </c>
    </row>
    <row r="512" spans="1:8" ht="15" x14ac:dyDescent="0.2">
      <c r="A512" s="89" t="s">
        <v>2442</v>
      </c>
      <c r="B512" s="89" t="s">
        <v>7407</v>
      </c>
      <c r="C512" s="89" t="s">
        <v>7408</v>
      </c>
      <c r="D512" s="278" t="str">
        <f>VLOOKUP(A:A,'Master Table'!C:D,2,FALSE)</f>
        <v>2243</v>
      </c>
      <c r="E512" s="291"/>
      <c r="F512" s="90">
        <v>452.75</v>
      </c>
      <c r="G512" s="91">
        <v>379.29</v>
      </c>
      <c r="H512" s="92">
        <v>396.59000000000003</v>
      </c>
    </row>
    <row r="513" spans="1:8" ht="15" x14ac:dyDescent="0.2">
      <c r="A513" s="89" t="s">
        <v>2445</v>
      </c>
      <c r="B513" s="89" t="s">
        <v>7409</v>
      </c>
      <c r="C513" s="89" t="s">
        <v>2447</v>
      </c>
      <c r="D513" s="278" t="str">
        <f>VLOOKUP(A:A,'Master Table'!C:D,2,FALSE)</f>
        <v>2244</v>
      </c>
      <c r="E513" s="291"/>
      <c r="F513" s="90">
        <v>1663.21</v>
      </c>
      <c r="G513" s="91">
        <v>1276.3400000000001</v>
      </c>
      <c r="H513" s="92">
        <v>1543.6399999999999</v>
      </c>
    </row>
    <row r="514" spans="1:8" ht="15" x14ac:dyDescent="0.2">
      <c r="A514" s="89" t="s">
        <v>2449</v>
      </c>
      <c r="B514" s="89" t="s">
        <v>2452</v>
      </c>
      <c r="C514" s="89" t="s">
        <v>7410</v>
      </c>
      <c r="D514" s="278" t="str">
        <f>VLOOKUP(A:A,'Master Table'!C:D,2,FALSE)</f>
        <v>2245</v>
      </c>
      <c r="E514" s="291"/>
      <c r="F514" s="90">
        <v>1523.16</v>
      </c>
      <c r="G514" s="91">
        <v>1685.59</v>
      </c>
      <c r="H514" s="92">
        <v>1211.51</v>
      </c>
    </row>
    <row r="515" spans="1:8" ht="15" x14ac:dyDescent="0.2">
      <c r="A515" s="89" t="s">
        <v>2453</v>
      </c>
      <c r="B515" s="89" t="s">
        <v>7411</v>
      </c>
      <c r="C515" s="89" t="s">
        <v>7412</v>
      </c>
      <c r="D515" s="278" t="str">
        <f>VLOOKUP(A:A,'Master Table'!C:D,2,FALSE)</f>
        <v>2247</v>
      </c>
      <c r="E515" s="291"/>
      <c r="F515" s="90">
        <v>887.2</v>
      </c>
      <c r="G515" s="91">
        <v>986.07</v>
      </c>
      <c r="H515" s="92">
        <v>940.27</v>
      </c>
    </row>
    <row r="516" spans="1:8" ht="15" x14ac:dyDescent="0.2">
      <c r="A516" s="89" t="s">
        <v>2457</v>
      </c>
      <c r="B516" s="89" t="s">
        <v>2459</v>
      </c>
      <c r="C516" s="89" t="s">
        <v>297</v>
      </c>
      <c r="D516" s="278" t="str">
        <f>VLOOKUP(A:A,'Master Table'!C:D,2,FALSE)</f>
        <v>2248</v>
      </c>
      <c r="E516" s="291"/>
      <c r="F516" s="90">
        <v>252.92</v>
      </c>
      <c r="G516" s="91">
        <v>205.3</v>
      </c>
      <c r="H516" s="92">
        <v>363.45</v>
      </c>
    </row>
    <row r="517" spans="1:8" ht="15" x14ac:dyDescent="0.2">
      <c r="A517" s="89" t="s">
        <v>2460</v>
      </c>
      <c r="B517" s="89" t="s">
        <v>7413</v>
      </c>
      <c r="C517" s="89" t="s">
        <v>7414</v>
      </c>
      <c r="D517" s="278" t="str">
        <f>VLOOKUP(A:A,'Master Table'!C:D,2,FALSE)</f>
        <v>2249</v>
      </c>
      <c r="E517" s="291"/>
      <c r="F517" s="90">
        <v>1297.0999999999999</v>
      </c>
      <c r="G517" s="91">
        <v>1235.51</v>
      </c>
      <c r="H517" s="92">
        <v>1468.75</v>
      </c>
    </row>
    <row r="518" spans="1:8" ht="15" x14ac:dyDescent="0.2">
      <c r="A518" s="89" t="s">
        <v>2465</v>
      </c>
      <c r="B518" s="89" t="s">
        <v>2271</v>
      </c>
      <c r="C518" s="89" t="s">
        <v>2467</v>
      </c>
      <c r="D518" s="278" t="str">
        <f>VLOOKUP(A:A,'Master Table'!C:D,2,FALSE)</f>
        <v>2252</v>
      </c>
      <c r="E518" s="291"/>
      <c r="F518" s="90">
        <v>572.20000000000005</v>
      </c>
      <c r="G518" s="91">
        <v>495.13</v>
      </c>
      <c r="H518" s="92">
        <v>695</v>
      </c>
    </row>
    <row r="519" spans="1:8" ht="15" x14ac:dyDescent="0.2">
      <c r="A519" s="89" t="s">
        <v>2469</v>
      </c>
      <c r="B519" s="89" t="s">
        <v>7415</v>
      </c>
      <c r="C519" s="89" t="s">
        <v>7416</v>
      </c>
      <c r="D519" s="278" t="str">
        <f>VLOOKUP(A:A,'Master Table'!C:D,2,FALSE)</f>
        <v>2253</v>
      </c>
      <c r="E519" s="291"/>
      <c r="F519" s="90">
        <v>647.07000000000005</v>
      </c>
      <c r="G519" s="91">
        <v>703.91</v>
      </c>
      <c r="H519" s="92">
        <v>483.8</v>
      </c>
    </row>
    <row r="520" spans="1:8" ht="15" x14ac:dyDescent="0.2">
      <c r="A520" s="89" t="s">
        <v>2478</v>
      </c>
      <c r="B520" s="89" t="s">
        <v>7417</v>
      </c>
      <c r="C520" s="89" t="s">
        <v>7188</v>
      </c>
      <c r="D520" s="278" t="str">
        <f>VLOOKUP(A:A,'Master Table'!C:D,2,FALSE)</f>
        <v>2254</v>
      </c>
      <c r="E520" s="291"/>
      <c r="F520" s="90">
        <v>269.47000000000003</v>
      </c>
      <c r="G520" s="91">
        <v>269</v>
      </c>
      <c r="H520" s="92">
        <v>338.04</v>
      </c>
    </row>
    <row r="521" spans="1:8" ht="15" x14ac:dyDescent="0.2">
      <c r="A521" s="89" t="s">
        <v>7418</v>
      </c>
      <c r="B521" s="89" t="s">
        <v>7419</v>
      </c>
      <c r="C521" s="89" t="s">
        <v>7261</v>
      </c>
      <c r="D521" s="278" t="e">
        <f>VLOOKUP(A:A,'Master Table'!C:D,2,FALSE)</f>
        <v>#N/A</v>
      </c>
      <c r="E521" s="291"/>
      <c r="F521" s="90">
        <v>1997.17</v>
      </c>
      <c r="G521" s="91">
        <v>2696.6</v>
      </c>
      <c r="H521" s="92">
        <v>903.44</v>
      </c>
    </row>
    <row r="522" spans="1:8" ht="15.75" x14ac:dyDescent="0.2">
      <c r="A522" s="95" t="s">
        <v>307</v>
      </c>
      <c r="B522" s="95"/>
      <c r="C522" s="95"/>
      <c r="D522" s="278"/>
      <c r="E522" s="293"/>
      <c r="F522" s="96">
        <v>86330.73000000001</v>
      </c>
      <c r="G522" s="96">
        <v>94768.439999999959</v>
      </c>
      <c r="H522" s="97">
        <v>95315.82</v>
      </c>
    </row>
    <row r="523" spans="1:8" s="62" customFormat="1" x14ac:dyDescent="0.2">
      <c r="A523" s="60" t="s">
        <v>7262</v>
      </c>
      <c r="B523" s="60"/>
      <c r="C523" s="60"/>
      <c r="D523" s="275"/>
      <c r="E523" s="275"/>
      <c r="F523" s="61"/>
      <c r="G523" s="61"/>
      <c r="H523" s="60"/>
    </row>
    <row r="524" spans="1:8" ht="20.25" x14ac:dyDescent="0.2">
      <c r="A524" s="255" t="s">
        <v>7420</v>
      </c>
      <c r="B524" s="255"/>
      <c r="C524" s="255"/>
      <c r="D524" s="294"/>
      <c r="E524" s="294"/>
      <c r="F524" s="255"/>
      <c r="G524" s="255"/>
      <c r="H524" s="255"/>
    </row>
    <row r="525" spans="1:8" ht="15.75" x14ac:dyDescent="0.2">
      <c r="A525" s="99" t="s">
        <v>1</v>
      </c>
      <c r="B525" s="99" t="s">
        <v>2</v>
      </c>
      <c r="C525" s="99" t="s">
        <v>3</v>
      </c>
      <c r="D525" s="281" t="s">
        <v>8165</v>
      </c>
      <c r="E525" s="281">
        <f>E3</f>
        <v>2019</v>
      </c>
      <c r="F525" s="100">
        <v>2018</v>
      </c>
      <c r="G525" s="100">
        <v>2017</v>
      </c>
      <c r="H525" s="100">
        <v>2016</v>
      </c>
    </row>
    <row r="526" spans="1:8" ht="15" x14ac:dyDescent="0.2">
      <c r="A526" s="78" t="s">
        <v>2503</v>
      </c>
      <c r="B526" s="78" t="s">
        <v>7423</v>
      </c>
      <c r="C526" s="78" t="s">
        <v>942</v>
      </c>
      <c r="D526" s="278" t="str">
        <f>VLOOKUP(A:A,'Master Table'!C:D,2,FALSE)</f>
        <v>2259</v>
      </c>
      <c r="E526" s="295"/>
      <c r="F526" s="77">
        <v>1519</v>
      </c>
      <c r="G526" s="102">
        <v>1415</v>
      </c>
      <c r="H526" s="103">
        <v>1345</v>
      </c>
    </row>
    <row r="527" spans="1:8" ht="15" x14ac:dyDescent="0.2">
      <c r="A527" s="78" t="s">
        <v>2507</v>
      </c>
      <c r="B527" s="78" t="s">
        <v>2509</v>
      </c>
      <c r="C527" s="78" t="s">
        <v>916</v>
      </c>
      <c r="D527" s="278" t="str">
        <f>VLOOKUP(A:A,'Master Table'!C:D,2,FALSE)</f>
        <v>2260</v>
      </c>
      <c r="E527" s="295"/>
      <c r="F527" s="77">
        <v>1214.67</v>
      </c>
      <c r="G527" s="102">
        <v>1193.1100000000001</v>
      </c>
      <c r="H527" s="103">
        <v>1922.19</v>
      </c>
    </row>
    <row r="528" spans="1:8" ht="15" x14ac:dyDescent="0.2">
      <c r="A528" s="78" t="s">
        <v>2510</v>
      </c>
      <c r="B528" s="78" t="s">
        <v>2512</v>
      </c>
      <c r="C528" s="78" t="s">
        <v>226</v>
      </c>
      <c r="D528" s="278" t="str">
        <f>VLOOKUP(A:A,'Master Table'!C:D,2,FALSE)</f>
        <v>2262</v>
      </c>
      <c r="E528" s="295"/>
      <c r="F528" s="77">
        <v>830.57</v>
      </c>
      <c r="G528" s="102">
        <v>1293.8899999999999</v>
      </c>
      <c r="H528" s="103">
        <v>1340.83</v>
      </c>
    </row>
    <row r="529" spans="1:8" ht="15" x14ac:dyDescent="0.2">
      <c r="A529" s="78" t="s">
        <v>2513</v>
      </c>
      <c r="B529" s="78" t="s">
        <v>2512</v>
      </c>
      <c r="C529" s="78" t="s">
        <v>7424</v>
      </c>
      <c r="D529" s="278" t="str">
        <f>VLOOKUP(A:A,'Master Table'!C:D,2,FALSE)</f>
        <v>2263</v>
      </c>
      <c r="E529" s="295"/>
      <c r="F529" s="77">
        <v>1780.91</v>
      </c>
      <c r="G529" s="102">
        <v>1679.16</v>
      </c>
      <c r="H529" s="103">
        <v>1759.54</v>
      </c>
    </row>
    <row r="530" spans="1:8" ht="15" x14ac:dyDescent="0.2">
      <c r="A530" s="78" t="s">
        <v>2520</v>
      </c>
      <c r="B530" s="78" t="s">
        <v>2512</v>
      </c>
      <c r="C530" s="78" t="s">
        <v>1312</v>
      </c>
      <c r="D530" s="278" t="str">
        <f>VLOOKUP(A:A,'Master Table'!C:D,2,FALSE)</f>
        <v>2264</v>
      </c>
      <c r="E530" s="295"/>
      <c r="F530" s="77">
        <v>922.34</v>
      </c>
      <c r="G530" s="102">
        <v>866.38</v>
      </c>
      <c r="H530" s="103">
        <v>1255.08</v>
      </c>
    </row>
    <row r="531" spans="1:8" ht="15" x14ac:dyDescent="0.2">
      <c r="A531" s="78" t="s">
        <v>2523</v>
      </c>
      <c r="B531" s="78" t="s">
        <v>2512</v>
      </c>
      <c r="C531" s="78" t="s">
        <v>942</v>
      </c>
      <c r="D531" s="278" t="str">
        <f>VLOOKUP(A:A,'Master Table'!C:D,2,FALSE)</f>
        <v>2265</v>
      </c>
      <c r="E531" s="295"/>
      <c r="F531" s="77">
        <v>868.05</v>
      </c>
      <c r="G531" s="102">
        <v>1046.3</v>
      </c>
      <c r="H531" s="103">
        <v>1255.43</v>
      </c>
    </row>
    <row r="532" spans="1:8" ht="15" x14ac:dyDescent="0.2">
      <c r="A532" s="78" t="s">
        <v>2528</v>
      </c>
      <c r="B532" s="78" t="s">
        <v>2512</v>
      </c>
      <c r="C532" s="78" t="s">
        <v>2530</v>
      </c>
      <c r="D532" s="278" t="str">
        <f>VLOOKUP(A:A,'Master Table'!C:D,2,FALSE)</f>
        <v>2267</v>
      </c>
      <c r="E532" s="295"/>
      <c r="F532" s="77">
        <v>125.18</v>
      </c>
      <c r="G532" s="102">
        <v>110</v>
      </c>
      <c r="H532" s="103">
        <v>232.02</v>
      </c>
    </row>
    <row r="533" spans="1:8" ht="15" x14ac:dyDescent="0.2">
      <c r="A533" s="78" t="s">
        <v>2532</v>
      </c>
      <c r="B533" s="78" t="s">
        <v>2538</v>
      </c>
      <c r="C533" s="78" t="s">
        <v>1489</v>
      </c>
      <c r="D533" s="278" t="str">
        <f>VLOOKUP(A:A,'Master Table'!C:D,2,FALSE)</f>
        <v>2268</v>
      </c>
      <c r="E533" s="295"/>
      <c r="F533" s="77">
        <v>30</v>
      </c>
      <c r="G533" s="102">
        <v>30</v>
      </c>
      <c r="H533" s="103">
        <v>117.15</v>
      </c>
    </row>
    <row r="534" spans="1:8" ht="15" x14ac:dyDescent="0.2">
      <c r="A534" s="78" t="s">
        <v>2535</v>
      </c>
      <c r="B534" s="78" t="s">
        <v>2538</v>
      </c>
      <c r="C534" s="78" t="s">
        <v>7425</v>
      </c>
      <c r="D534" s="278" t="str">
        <f>VLOOKUP(A:A,'Master Table'!C:D,2,FALSE)</f>
        <v>148005</v>
      </c>
      <c r="E534" s="295"/>
      <c r="F534" s="77">
        <v>620.5</v>
      </c>
      <c r="G534" s="102">
        <v>766</v>
      </c>
      <c r="H534" s="103">
        <v>512.65</v>
      </c>
    </row>
    <row r="535" spans="1:8" ht="15" x14ac:dyDescent="0.2">
      <c r="A535" s="78" t="s">
        <v>2539</v>
      </c>
      <c r="B535" s="78" t="s">
        <v>2542</v>
      </c>
      <c r="C535" s="78" t="s">
        <v>453</v>
      </c>
      <c r="D535" s="278" t="str">
        <f>VLOOKUP(A:A,'Master Table'!C:D,2,FALSE)</f>
        <v>2269</v>
      </c>
      <c r="E535" s="295"/>
      <c r="F535" s="77">
        <v>2131.52</v>
      </c>
      <c r="G535" s="102">
        <v>2094.08</v>
      </c>
      <c r="H535" s="103">
        <v>2429.6999999999998</v>
      </c>
    </row>
    <row r="536" spans="1:8" ht="15" x14ac:dyDescent="0.2">
      <c r="A536" s="78" t="s">
        <v>2544</v>
      </c>
      <c r="B536" s="78" t="s">
        <v>7426</v>
      </c>
      <c r="C536" s="78" t="s">
        <v>7427</v>
      </c>
      <c r="D536" s="278" t="str">
        <f>VLOOKUP(A:A,'Master Table'!C:D,2,FALSE)</f>
        <v>2270</v>
      </c>
      <c r="E536" s="295"/>
      <c r="F536" s="77">
        <v>20</v>
      </c>
      <c r="G536" s="102">
        <v>30</v>
      </c>
      <c r="H536" s="103">
        <v>35</v>
      </c>
    </row>
    <row r="537" spans="1:8" ht="15" x14ac:dyDescent="0.2">
      <c r="A537" s="78" t="s">
        <v>2547</v>
      </c>
      <c r="B537" s="78" t="s">
        <v>2506</v>
      </c>
      <c r="C537" s="78" t="s">
        <v>916</v>
      </c>
      <c r="D537" s="278" t="str">
        <f>VLOOKUP(A:A,'Master Table'!C:D,2,FALSE)</f>
        <v>2271</v>
      </c>
      <c r="E537" s="295"/>
      <c r="F537" s="77">
        <v>1102.67</v>
      </c>
      <c r="G537" s="102">
        <v>797.16</v>
      </c>
      <c r="H537" s="103">
        <v>541</v>
      </c>
    </row>
    <row r="538" spans="1:8" ht="15" x14ac:dyDescent="0.2">
      <c r="A538" s="78" t="s">
        <v>2549</v>
      </c>
      <c r="B538" s="78" t="s">
        <v>2506</v>
      </c>
      <c r="C538" s="78" t="s">
        <v>231</v>
      </c>
      <c r="D538" s="278" t="str">
        <f>VLOOKUP(A:A,'Master Table'!C:D,2,FALSE)</f>
        <v>2272</v>
      </c>
      <c r="E538" s="295"/>
      <c r="F538" s="77">
        <v>3672.99</v>
      </c>
      <c r="G538" s="102">
        <v>2328.59</v>
      </c>
      <c r="H538" s="103">
        <v>2004.55</v>
      </c>
    </row>
    <row r="539" spans="1:8" ht="15" x14ac:dyDescent="0.2">
      <c r="A539" s="78" t="s">
        <v>2552</v>
      </c>
      <c r="B539" s="78" t="s">
        <v>2506</v>
      </c>
      <c r="C539" s="78" t="s">
        <v>2554</v>
      </c>
      <c r="D539" s="278" t="str">
        <f>VLOOKUP(A:A,'Master Table'!C:D,2,FALSE)</f>
        <v>2273</v>
      </c>
      <c r="E539" s="295"/>
      <c r="F539" s="77">
        <v>159.19999999999999</v>
      </c>
      <c r="G539" s="102">
        <v>0</v>
      </c>
      <c r="H539" s="103">
        <v>186.41</v>
      </c>
    </row>
    <row r="540" spans="1:8" ht="15" x14ac:dyDescent="0.2">
      <c r="A540" s="78" t="s">
        <v>2555</v>
      </c>
      <c r="B540" s="78" t="s">
        <v>2506</v>
      </c>
      <c r="C540" s="78" t="s">
        <v>7428</v>
      </c>
      <c r="D540" s="278" t="str">
        <f>VLOOKUP(A:A,'Master Table'!C:D,2,FALSE)</f>
        <v>2274</v>
      </c>
      <c r="E540" s="295"/>
      <c r="F540" s="77">
        <v>795.55</v>
      </c>
      <c r="G540" s="102">
        <v>700.28</v>
      </c>
      <c r="H540" s="103">
        <v>652.76</v>
      </c>
    </row>
    <row r="541" spans="1:8" ht="15" x14ac:dyDescent="0.2">
      <c r="A541" s="78" t="s">
        <v>2561</v>
      </c>
      <c r="B541" s="78" t="s">
        <v>2506</v>
      </c>
      <c r="C541" s="78" t="s">
        <v>7429</v>
      </c>
      <c r="D541" s="278" t="str">
        <f>VLOOKUP(A:A,'Master Table'!C:D,2,FALSE)</f>
        <v>2276</v>
      </c>
      <c r="E541" s="295"/>
      <c r="F541" s="77">
        <v>658.7</v>
      </c>
      <c r="G541" s="102">
        <v>774.95</v>
      </c>
      <c r="H541" s="103">
        <v>616.44000000000005</v>
      </c>
    </row>
    <row r="542" spans="1:8" ht="15" x14ac:dyDescent="0.2">
      <c r="A542" s="78" t="s">
        <v>2564</v>
      </c>
      <c r="B542" s="78" t="s">
        <v>2506</v>
      </c>
      <c r="C542" s="78" t="s">
        <v>7430</v>
      </c>
      <c r="D542" s="278" t="str">
        <f>VLOOKUP(A:A,'Master Table'!C:D,2,FALSE)</f>
        <v>2277</v>
      </c>
      <c r="E542" s="295"/>
      <c r="F542" s="77">
        <v>2052.09</v>
      </c>
      <c r="G542" s="102">
        <v>2253.5</v>
      </c>
      <c r="H542" s="103">
        <v>2304</v>
      </c>
    </row>
    <row r="543" spans="1:8" ht="15" x14ac:dyDescent="0.2">
      <c r="A543" s="78" t="s">
        <v>2567</v>
      </c>
      <c r="B543" s="78" t="s">
        <v>2506</v>
      </c>
      <c r="C543" s="78" t="s">
        <v>6487</v>
      </c>
      <c r="D543" s="278" t="str">
        <f>VLOOKUP(A:A,'Master Table'!C:D,2,FALSE)</f>
        <v>2278</v>
      </c>
      <c r="E543" s="295"/>
      <c r="F543" s="77">
        <v>1227.68</v>
      </c>
      <c r="G543" s="102">
        <v>1112.3899999999999</v>
      </c>
      <c r="H543" s="103">
        <v>1241.45</v>
      </c>
    </row>
    <row r="544" spans="1:8" ht="15" x14ac:dyDescent="0.2">
      <c r="A544" s="78" t="s">
        <v>2570</v>
      </c>
      <c r="B544" s="78" t="s">
        <v>2506</v>
      </c>
      <c r="C544" s="78" t="s">
        <v>7431</v>
      </c>
      <c r="D544" s="278" t="str">
        <f>VLOOKUP(A:A,'Master Table'!C:D,2,FALSE)</f>
        <v>2279</v>
      </c>
      <c r="E544" s="295"/>
      <c r="F544" s="77">
        <v>1379.13</v>
      </c>
      <c r="G544" s="102">
        <v>1741.51</v>
      </c>
      <c r="H544" s="103">
        <v>829.99</v>
      </c>
    </row>
    <row r="545" spans="1:8" ht="15" x14ac:dyDescent="0.2">
      <c r="A545" s="78" t="s">
        <v>2573</v>
      </c>
      <c r="B545" s="78" t="s">
        <v>2506</v>
      </c>
      <c r="C545" s="78" t="s">
        <v>7432</v>
      </c>
      <c r="D545" s="278" t="str">
        <f>VLOOKUP(A:A,'Master Table'!C:D,2,FALSE)</f>
        <v>2280</v>
      </c>
      <c r="E545" s="295"/>
      <c r="F545" s="77">
        <v>739.63</v>
      </c>
      <c r="G545" s="102">
        <v>736.1</v>
      </c>
      <c r="H545" s="103">
        <v>610.42000000000007</v>
      </c>
    </row>
    <row r="546" spans="1:8" ht="15" x14ac:dyDescent="0.2">
      <c r="A546" s="78" t="s">
        <v>2579</v>
      </c>
      <c r="B546" s="78" t="s">
        <v>2506</v>
      </c>
      <c r="C546" s="78" t="s">
        <v>532</v>
      </c>
      <c r="D546" s="278" t="str">
        <f>VLOOKUP(A:A,'Master Table'!C:D,2,FALSE)</f>
        <v>2282</v>
      </c>
      <c r="E546" s="295"/>
      <c r="F546" s="77">
        <v>660</v>
      </c>
      <c r="G546" s="102">
        <v>709.47</v>
      </c>
      <c r="H546" s="103">
        <v>435.74</v>
      </c>
    </row>
    <row r="547" spans="1:8" ht="15" x14ac:dyDescent="0.2">
      <c r="A547" s="78" t="s">
        <v>2581</v>
      </c>
      <c r="B547" s="78" t="s">
        <v>2506</v>
      </c>
      <c r="C547" s="78" t="s">
        <v>2583</v>
      </c>
      <c r="D547" s="278" t="str">
        <f>VLOOKUP(A:A,'Master Table'!C:D,2,FALSE)</f>
        <v>2283</v>
      </c>
      <c r="E547" s="295"/>
      <c r="F547" s="77">
        <v>317.92</v>
      </c>
      <c r="G547" s="102">
        <v>505.75</v>
      </c>
      <c r="H547" s="103">
        <v>405.41</v>
      </c>
    </row>
    <row r="548" spans="1:8" ht="15" x14ac:dyDescent="0.2">
      <c r="A548" s="78" t="s">
        <v>2587</v>
      </c>
      <c r="B548" s="78" t="s">
        <v>2506</v>
      </c>
      <c r="C548" s="78" t="s">
        <v>158</v>
      </c>
      <c r="D548" s="278" t="str">
        <f>VLOOKUP(A:A,'Master Table'!C:D,2,FALSE)</f>
        <v>2284</v>
      </c>
      <c r="E548" s="295"/>
      <c r="F548" s="77">
        <v>2218.15</v>
      </c>
      <c r="G548" s="102">
        <v>2448</v>
      </c>
      <c r="H548" s="103">
        <v>1823.5</v>
      </c>
    </row>
    <row r="549" spans="1:8" ht="15" x14ac:dyDescent="0.2">
      <c r="A549" s="78" t="s">
        <v>2590</v>
      </c>
      <c r="B549" s="78" t="s">
        <v>2506</v>
      </c>
      <c r="C549" s="78" t="s">
        <v>7433</v>
      </c>
      <c r="D549" s="278" t="str">
        <f>VLOOKUP(A:A,'Master Table'!C:D,2,FALSE)</f>
        <v>2285</v>
      </c>
      <c r="E549" s="296"/>
      <c r="F549" s="77">
        <v>1082.6600000000001</v>
      </c>
      <c r="G549" s="102">
        <v>1163.1099999999999</v>
      </c>
      <c r="H549" s="103">
        <v>1456.19</v>
      </c>
    </row>
    <row r="550" spans="1:8" ht="15" x14ac:dyDescent="0.2">
      <c r="A550" s="78" t="s">
        <v>2593</v>
      </c>
      <c r="B550" s="78" t="s">
        <v>2506</v>
      </c>
      <c r="C550" s="78" t="s">
        <v>934</v>
      </c>
      <c r="D550" s="278" t="str">
        <f>VLOOKUP(A:A,'Master Table'!C:D,2,FALSE)</f>
        <v>2286</v>
      </c>
      <c r="E550" s="295"/>
      <c r="F550" s="77">
        <v>491.47</v>
      </c>
      <c r="G550" s="102">
        <v>1411</v>
      </c>
      <c r="H550" s="103">
        <v>1095.47</v>
      </c>
    </row>
    <row r="551" spans="1:8" ht="15" x14ac:dyDescent="0.2">
      <c r="A551" s="78" t="s">
        <v>2595</v>
      </c>
      <c r="B551" s="78" t="s">
        <v>2506</v>
      </c>
      <c r="C551" s="78" t="s">
        <v>246</v>
      </c>
      <c r="D551" s="278" t="str">
        <f>VLOOKUP(A:A,'Master Table'!C:D,2,FALSE)</f>
        <v>2287</v>
      </c>
      <c r="E551" s="282"/>
      <c r="F551" s="77">
        <v>100</v>
      </c>
      <c r="G551" s="102">
        <v>195</v>
      </c>
      <c r="H551" s="103">
        <v>814.67</v>
      </c>
    </row>
    <row r="552" spans="1:8" ht="15" x14ac:dyDescent="0.2">
      <c r="A552" s="78" t="s">
        <v>2601</v>
      </c>
      <c r="B552" s="78" t="s">
        <v>2506</v>
      </c>
      <c r="C552" s="78" t="s">
        <v>2603</v>
      </c>
      <c r="D552" s="278" t="str">
        <f>VLOOKUP(A:A,'Master Table'!C:D,2,FALSE)</f>
        <v>2289</v>
      </c>
      <c r="E552" s="282"/>
      <c r="F552" s="77">
        <v>90</v>
      </c>
      <c r="G552" s="102">
        <v>90</v>
      </c>
      <c r="H552" s="103">
        <v>95</v>
      </c>
    </row>
    <row r="553" spans="1:8" ht="15" x14ac:dyDescent="0.2">
      <c r="A553" s="78" t="s">
        <v>2604</v>
      </c>
      <c r="B553" s="78" t="s">
        <v>2606</v>
      </c>
      <c r="C553" s="78" t="s">
        <v>3516</v>
      </c>
      <c r="D553" s="278" t="str">
        <f>VLOOKUP(A:A,'Master Table'!C:D,2,FALSE)</f>
        <v>2291</v>
      </c>
      <c r="E553" s="295"/>
      <c r="F553" s="77">
        <v>307.94</v>
      </c>
      <c r="G553" s="102">
        <v>486</v>
      </c>
      <c r="H553" s="103">
        <v>393</v>
      </c>
    </row>
    <row r="554" spans="1:8" ht="15" x14ac:dyDescent="0.2">
      <c r="A554" s="78" t="s">
        <v>2607</v>
      </c>
      <c r="B554" s="78" t="s">
        <v>2506</v>
      </c>
      <c r="C554" s="78" t="s">
        <v>2609</v>
      </c>
      <c r="D554" s="278" t="str">
        <f>VLOOKUP(A:A,'Master Table'!C:D,2,FALSE)</f>
        <v>2292</v>
      </c>
      <c r="E554" s="282"/>
      <c r="F554" s="77">
        <v>310</v>
      </c>
      <c r="G554" s="102">
        <v>726</v>
      </c>
      <c r="H554" s="103">
        <v>506.58</v>
      </c>
    </row>
    <row r="555" spans="1:8" ht="15" x14ac:dyDescent="0.2">
      <c r="A555" s="78" t="s">
        <v>2613</v>
      </c>
      <c r="B555" s="78" t="s">
        <v>2616</v>
      </c>
      <c r="C555" s="78" t="s">
        <v>4329</v>
      </c>
      <c r="D555" s="278" t="str">
        <f>VLOOKUP(A:A,'Master Table'!C:D,2,FALSE)</f>
        <v>2293</v>
      </c>
      <c r="E555" s="295"/>
      <c r="F555" s="77">
        <v>183</v>
      </c>
      <c r="G555" s="102">
        <v>167.1</v>
      </c>
      <c r="H555" s="103">
        <v>473.96</v>
      </c>
    </row>
    <row r="556" spans="1:8" ht="15" x14ac:dyDescent="0.2">
      <c r="A556" s="78" t="s">
        <v>2617</v>
      </c>
      <c r="B556" s="78" t="s">
        <v>2620</v>
      </c>
      <c r="C556" s="78" t="s">
        <v>7434</v>
      </c>
      <c r="D556" s="278" t="str">
        <f>VLOOKUP(A:A,'Master Table'!C:D,2,FALSE)</f>
        <v>2294</v>
      </c>
      <c r="E556" s="295"/>
      <c r="F556" s="77">
        <v>823.75</v>
      </c>
      <c r="G556" s="102">
        <v>913.33</v>
      </c>
      <c r="H556" s="103">
        <v>871.6</v>
      </c>
    </row>
    <row r="557" spans="1:8" ht="15" x14ac:dyDescent="0.2">
      <c r="A557" s="78" t="s">
        <v>2621</v>
      </c>
      <c r="B557" s="78" t="s">
        <v>2623</v>
      </c>
      <c r="C557" s="78" t="s">
        <v>1047</v>
      </c>
      <c r="D557" s="278" t="str">
        <f>VLOOKUP(A:A,'Master Table'!C:D,2,FALSE)</f>
        <v>2295</v>
      </c>
      <c r="E557" s="295"/>
      <c r="F557" s="77">
        <v>1614.46</v>
      </c>
      <c r="G557" s="102">
        <v>1957.62</v>
      </c>
      <c r="H557" s="103">
        <v>1626.3</v>
      </c>
    </row>
    <row r="558" spans="1:8" ht="15" x14ac:dyDescent="0.2">
      <c r="A558" s="78" t="s">
        <v>2632</v>
      </c>
      <c r="B558" s="78" t="s">
        <v>2635</v>
      </c>
      <c r="C558" s="78" t="s">
        <v>7435</v>
      </c>
      <c r="D558" s="278" t="str">
        <f>VLOOKUP(A:A,'Master Table'!C:D,2,FALSE)</f>
        <v>2296</v>
      </c>
      <c r="E558" s="295"/>
      <c r="F558" s="77">
        <v>913.31</v>
      </c>
      <c r="G558" s="102">
        <v>1128.76</v>
      </c>
      <c r="H558" s="103">
        <v>910.29</v>
      </c>
    </row>
    <row r="559" spans="1:8" ht="15" x14ac:dyDescent="0.2">
      <c r="A559" s="78" t="s">
        <v>2636</v>
      </c>
      <c r="B559" s="78" t="s">
        <v>2638</v>
      </c>
      <c r="C559" s="78" t="s">
        <v>1588</v>
      </c>
      <c r="D559" s="278" t="str">
        <f>VLOOKUP(A:A,'Master Table'!C:D,2,FALSE)</f>
        <v>2297</v>
      </c>
      <c r="E559" s="295"/>
      <c r="F559" s="77">
        <v>2208.25</v>
      </c>
      <c r="G559" s="102">
        <v>3227.74</v>
      </c>
      <c r="H559" s="103">
        <v>3817.17</v>
      </c>
    </row>
    <row r="560" spans="1:8" ht="15" x14ac:dyDescent="0.2">
      <c r="A560" s="78" t="s">
        <v>2640</v>
      </c>
      <c r="B560" s="78" t="s">
        <v>2638</v>
      </c>
      <c r="C560" s="78" t="s">
        <v>2642</v>
      </c>
      <c r="D560" s="278" t="str">
        <f>VLOOKUP(A:A,'Master Table'!C:D,2,FALSE)</f>
        <v>2298</v>
      </c>
      <c r="E560" s="295"/>
      <c r="F560" s="77">
        <v>4972.45</v>
      </c>
      <c r="G560" s="102">
        <v>4097.43</v>
      </c>
      <c r="H560" s="103">
        <v>4142.79</v>
      </c>
    </row>
    <row r="561" spans="1:8" ht="15" x14ac:dyDescent="0.2">
      <c r="A561" s="78" t="s">
        <v>2643</v>
      </c>
      <c r="B561" s="78" t="s">
        <v>2638</v>
      </c>
      <c r="C561" s="78" t="s">
        <v>453</v>
      </c>
      <c r="D561" s="278" t="str">
        <f>VLOOKUP(A:A,'Master Table'!C:D,2,FALSE)</f>
        <v>2299</v>
      </c>
      <c r="E561" s="295"/>
      <c r="F561" s="77">
        <v>552.04</v>
      </c>
      <c r="G561" s="102">
        <v>819.87</v>
      </c>
      <c r="H561" s="103">
        <v>801.64</v>
      </c>
    </row>
    <row r="562" spans="1:8" ht="15" x14ac:dyDescent="0.2">
      <c r="A562" s="78" t="s">
        <v>2646</v>
      </c>
      <c r="B562" s="78" t="s">
        <v>2648</v>
      </c>
      <c r="C562" s="78" t="s">
        <v>1284</v>
      </c>
      <c r="D562" s="278" t="str">
        <f>VLOOKUP(A:A,'Master Table'!C:D,2,FALSE)</f>
        <v>2300</v>
      </c>
      <c r="E562" s="282"/>
      <c r="F562" s="77">
        <v>367.98</v>
      </c>
      <c r="G562" s="102">
        <v>834.06</v>
      </c>
      <c r="H562" s="103">
        <v>866.31000000000006</v>
      </c>
    </row>
    <row r="563" spans="1:8" ht="15" x14ac:dyDescent="0.2">
      <c r="A563" s="78" t="s">
        <v>2653</v>
      </c>
      <c r="B563" s="78" t="s">
        <v>2656</v>
      </c>
      <c r="C563" s="78" t="s">
        <v>2655</v>
      </c>
      <c r="D563" s="278" t="str">
        <f>VLOOKUP(A:A,'Master Table'!C:D,2,FALSE)</f>
        <v>2302</v>
      </c>
      <c r="E563" s="295"/>
      <c r="F563" s="77">
        <v>3911.59</v>
      </c>
      <c r="G563" s="102">
        <v>2994.58</v>
      </c>
      <c r="H563" s="103">
        <v>3179.07</v>
      </c>
    </row>
    <row r="564" spans="1:8" ht="15" x14ac:dyDescent="0.2">
      <c r="A564" s="78" t="s">
        <v>2657</v>
      </c>
      <c r="B564" s="78" t="s">
        <v>2660</v>
      </c>
      <c r="C564" s="78" t="s">
        <v>7228</v>
      </c>
      <c r="D564" s="278" t="str">
        <f>VLOOKUP(A:A,'Master Table'!C:D,2,FALSE)</f>
        <v>2303</v>
      </c>
      <c r="E564" s="295"/>
      <c r="F564" s="77">
        <v>402.06</v>
      </c>
      <c r="G564" s="102">
        <v>467.16</v>
      </c>
      <c r="H564" s="103">
        <v>586.20000000000005</v>
      </c>
    </row>
    <row r="565" spans="1:8" ht="15" x14ac:dyDescent="0.2">
      <c r="A565" s="78" t="s">
        <v>2661</v>
      </c>
      <c r="B565" s="78" t="s">
        <v>7436</v>
      </c>
      <c r="C565" s="78" t="s">
        <v>7437</v>
      </c>
      <c r="D565" s="278" t="str">
        <f>VLOOKUP(A:A,'Master Table'!C:D,2,FALSE)</f>
        <v>2304</v>
      </c>
      <c r="E565" s="295"/>
      <c r="F565" s="77">
        <v>80</v>
      </c>
      <c r="G565" s="102">
        <v>85</v>
      </c>
      <c r="H565" s="103">
        <v>45</v>
      </c>
    </row>
    <row r="566" spans="1:8" ht="15" x14ac:dyDescent="0.2">
      <c r="A566" s="78" t="s">
        <v>2669</v>
      </c>
      <c r="B566" s="78" t="s">
        <v>2671</v>
      </c>
      <c r="C566" s="78" t="s">
        <v>7438</v>
      </c>
      <c r="D566" s="278" t="str">
        <f>VLOOKUP(A:A,'Master Table'!C:D,2,FALSE)</f>
        <v>2305</v>
      </c>
      <c r="E566" s="295"/>
      <c r="F566" s="77">
        <v>1061.31</v>
      </c>
      <c r="G566" s="102">
        <v>846.98</v>
      </c>
      <c r="H566" s="103">
        <v>892.54</v>
      </c>
    </row>
    <row r="567" spans="1:8" ht="15" x14ac:dyDescent="0.2">
      <c r="A567" s="78" t="s">
        <v>2672</v>
      </c>
      <c r="B567" s="78" t="s">
        <v>7439</v>
      </c>
      <c r="C567" s="78" t="s">
        <v>7440</v>
      </c>
      <c r="D567" s="278" t="str">
        <f>VLOOKUP(A:A,'Master Table'!C:D,2,FALSE)</f>
        <v>2306</v>
      </c>
      <c r="E567" s="295"/>
      <c r="F567" s="77">
        <v>441.76</v>
      </c>
      <c r="G567" s="102">
        <v>570</v>
      </c>
      <c r="H567" s="103">
        <v>644.52</v>
      </c>
    </row>
    <row r="568" spans="1:8" ht="15" x14ac:dyDescent="0.2">
      <c r="A568" s="78" t="s">
        <v>2676</v>
      </c>
      <c r="B568" s="78" t="s">
        <v>2678</v>
      </c>
      <c r="C568" s="78" t="s">
        <v>7441</v>
      </c>
      <c r="D568" s="278" t="str">
        <f>VLOOKUP(A:A,'Master Table'!C:D,2,FALSE)</f>
        <v>2307</v>
      </c>
      <c r="E568" s="295"/>
      <c r="F568" s="77">
        <v>1614.01</v>
      </c>
      <c r="G568" s="102">
        <v>1780.58</v>
      </c>
      <c r="H568" s="103">
        <v>1793.41</v>
      </c>
    </row>
    <row r="569" spans="1:8" ht="15" x14ac:dyDescent="0.2">
      <c r="A569" s="78" t="s">
        <v>2679</v>
      </c>
      <c r="B569" s="78" t="s">
        <v>2682</v>
      </c>
      <c r="C569" s="78" t="s">
        <v>2681</v>
      </c>
      <c r="D569" s="278" t="str">
        <f>VLOOKUP(A:A,'Master Table'!C:D,2,FALSE)</f>
        <v>2308</v>
      </c>
      <c r="E569" s="295"/>
      <c r="F569" s="77">
        <v>564.96</v>
      </c>
      <c r="G569" s="102">
        <v>933.4</v>
      </c>
      <c r="H569" s="103">
        <v>921.77</v>
      </c>
    </row>
    <row r="570" spans="1:8" ht="15" x14ac:dyDescent="0.2">
      <c r="A570" s="78" t="s">
        <v>2687</v>
      </c>
      <c r="B570" s="78" t="s">
        <v>2689</v>
      </c>
      <c r="C570" s="78" t="s">
        <v>938</v>
      </c>
      <c r="D570" s="278" t="str">
        <f>VLOOKUP(A:A,'Master Table'!C:D,2,FALSE)</f>
        <v>2309</v>
      </c>
      <c r="E570" s="295"/>
      <c r="F570" s="77">
        <v>473.36</v>
      </c>
      <c r="G570" s="102">
        <v>685.35</v>
      </c>
      <c r="H570" s="103">
        <v>635.56000000000006</v>
      </c>
    </row>
    <row r="571" spans="1:8" ht="15" x14ac:dyDescent="0.2">
      <c r="A571" s="78" t="s">
        <v>2690</v>
      </c>
      <c r="B571" s="78" t="s">
        <v>7442</v>
      </c>
      <c r="C571" s="78" t="s">
        <v>231</v>
      </c>
      <c r="D571" s="278" t="str">
        <f>VLOOKUP(A:A,'Master Table'!C:D,2,FALSE)</f>
        <v>0444438</v>
      </c>
      <c r="E571" s="282"/>
      <c r="F571" s="77">
        <v>120</v>
      </c>
      <c r="G571" s="102">
        <v>60</v>
      </c>
      <c r="H571" s="103">
        <v>60</v>
      </c>
    </row>
    <row r="572" spans="1:8" ht="15" x14ac:dyDescent="0.2">
      <c r="A572" s="78" t="s">
        <v>2697</v>
      </c>
      <c r="B572" s="78" t="s">
        <v>2699</v>
      </c>
      <c r="C572" s="78" t="s">
        <v>3516</v>
      </c>
      <c r="D572" s="278" t="str">
        <f>VLOOKUP(A:A,'Master Table'!C:D,2,FALSE)</f>
        <v>2310</v>
      </c>
      <c r="E572" s="295"/>
      <c r="F572" s="77">
        <v>500.81</v>
      </c>
      <c r="G572" s="102">
        <v>774.76</v>
      </c>
      <c r="H572" s="103">
        <v>974.07</v>
      </c>
    </row>
    <row r="573" spans="1:8" ht="15" x14ac:dyDescent="0.2">
      <c r="A573" s="78" t="s">
        <v>2701</v>
      </c>
      <c r="B573" s="78" t="s">
        <v>2704</v>
      </c>
      <c r="C573" s="78" t="s">
        <v>2703</v>
      </c>
      <c r="D573" s="278" t="str">
        <f>VLOOKUP(A:A,'Master Table'!C:D,2,FALSE)</f>
        <v>2311</v>
      </c>
      <c r="E573" s="295"/>
      <c r="F573" s="77">
        <v>1835.17</v>
      </c>
      <c r="G573" s="102">
        <v>1537.84</v>
      </c>
      <c r="H573" s="103">
        <v>2205.27</v>
      </c>
    </row>
    <row r="574" spans="1:8" ht="15" x14ac:dyDescent="0.2">
      <c r="A574" s="78" t="s">
        <v>7443</v>
      </c>
      <c r="B574" s="78" t="s">
        <v>2506</v>
      </c>
      <c r="C574" s="78" t="s">
        <v>7444</v>
      </c>
      <c r="D574" s="278" t="e">
        <f>VLOOKUP(A:A,'Master Table'!C:D,2,FALSE)</f>
        <v>#N/A</v>
      </c>
      <c r="E574" s="295"/>
      <c r="F574" s="77">
        <v>1104</v>
      </c>
      <c r="G574" s="102">
        <v>1439</v>
      </c>
      <c r="H574" s="103">
        <v>1352</v>
      </c>
    </row>
    <row r="575" spans="1:8" ht="15" x14ac:dyDescent="0.2">
      <c r="A575" s="78" t="s">
        <v>2714</v>
      </c>
      <c r="B575" s="78" t="s">
        <v>2717</v>
      </c>
      <c r="C575" s="78" t="s">
        <v>2716</v>
      </c>
      <c r="D575" s="278" t="str">
        <f>VLOOKUP(A:A,'Master Table'!C:D,2,FALSE)</f>
        <v>2314</v>
      </c>
      <c r="E575" s="282"/>
      <c r="F575" s="77">
        <v>220</v>
      </c>
      <c r="G575" s="102">
        <v>220</v>
      </c>
      <c r="H575" s="103">
        <v>170</v>
      </c>
    </row>
    <row r="576" spans="1:8" ht="15" x14ac:dyDescent="0.2">
      <c r="A576" s="78" t="s">
        <v>2718</v>
      </c>
      <c r="B576" s="78" t="s">
        <v>2721</v>
      </c>
      <c r="C576" s="78" t="s">
        <v>7445</v>
      </c>
      <c r="D576" s="278" t="str">
        <f>VLOOKUP(A:A,'Master Table'!C:D,2,FALSE)</f>
        <v>2315</v>
      </c>
      <c r="E576" s="282"/>
      <c r="F576" s="77">
        <v>624.55999999999995</v>
      </c>
      <c r="G576" s="102">
        <v>769.28</v>
      </c>
      <c r="H576" s="103">
        <v>919.14</v>
      </c>
    </row>
    <row r="577" spans="1:8" ht="15" x14ac:dyDescent="0.2">
      <c r="A577" s="78" t="s">
        <v>2723</v>
      </c>
      <c r="B577" s="78" t="s">
        <v>2725</v>
      </c>
      <c r="C577" s="78" t="s">
        <v>3295</v>
      </c>
      <c r="D577" s="278" t="str">
        <f>VLOOKUP(A:A,'Master Table'!C:D,2,FALSE)</f>
        <v>2316</v>
      </c>
      <c r="E577" s="282"/>
      <c r="F577" s="77">
        <v>1539.33</v>
      </c>
      <c r="G577" s="102">
        <v>809.33</v>
      </c>
      <c r="H577" s="103">
        <v>928.36</v>
      </c>
    </row>
    <row r="578" spans="1:8" ht="15" x14ac:dyDescent="0.2">
      <c r="A578" s="78" t="s">
        <v>2729</v>
      </c>
      <c r="B578" s="78" t="s">
        <v>2732</v>
      </c>
      <c r="C578" s="78" t="s">
        <v>7228</v>
      </c>
      <c r="D578" s="278" t="str">
        <f>VLOOKUP(A:A,'Master Table'!C:D,2,FALSE)</f>
        <v>2317</v>
      </c>
      <c r="E578" s="282"/>
      <c r="F578" s="77">
        <v>786.84</v>
      </c>
      <c r="G578" s="102">
        <v>1003.39</v>
      </c>
      <c r="H578" s="103">
        <v>437.96</v>
      </c>
    </row>
    <row r="579" spans="1:8" ht="15" x14ac:dyDescent="0.2">
      <c r="A579" s="78" t="s">
        <v>2737</v>
      </c>
      <c r="B579" s="78" t="s">
        <v>2740</v>
      </c>
      <c r="C579" s="78" t="s">
        <v>2739</v>
      </c>
      <c r="D579" s="278" t="str">
        <f>VLOOKUP(A:A,'Master Table'!C:D,2,FALSE)</f>
        <v>2318</v>
      </c>
      <c r="E579" s="282"/>
      <c r="F579" s="77">
        <v>366.46000000000004</v>
      </c>
      <c r="G579" s="102">
        <v>464.57</v>
      </c>
      <c r="H579" s="103">
        <v>664.81</v>
      </c>
    </row>
    <row r="580" spans="1:8" ht="15" x14ac:dyDescent="0.2">
      <c r="A580" s="78" t="s">
        <v>2741</v>
      </c>
      <c r="B580" s="78" t="s">
        <v>2743</v>
      </c>
      <c r="C580" s="78" t="s">
        <v>1065</v>
      </c>
      <c r="D580" s="278" t="str">
        <f>VLOOKUP(A:A,'Master Table'!C:D,2,FALSE)</f>
        <v>2319</v>
      </c>
      <c r="E580" s="282"/>
      <c r="F580" s="77">
        <v>1182.5700000000002</v>
      </c>
      <c r="G580" s="102">
        <v>1584.1</v>
      </c>
      <c r="H580" s="103">
        <v>892.5</v>
      </c>
    </row>
    <row r="581" spans="1:8" ht="15" x14ac:dyDescent="0.2">
      <c r="A581" s="78" t="s">
        <v>2744</v>
      </c>
      <c r="B581" s="78" t="s">
        <v>2743</v>
      </c>
      <c r="C581" s="78" t="s">
        <v>1047</v>
      </c>
      <c r="D581" s="278" t="str">
        <f>VLOOKUP(A:A,'Master Table'!C:D,2,FALSE)</f>
        <v>2320</v>
      </c>
      <c r="E581" s="282"/>
      <c r="F581" s="77">
        <v>564.66000000000008</v>
      </c>
      <c r="G581" s="102">
        <v>887.31</v>
      </c>
      <c r="H581" s="103">
        <v>715.65</v>
      </c>
    </row>
    <row r="582" spans="1:8" ht="15" x14ac:dyDescent="0.2">
      <c r="A582" s="78" t="s">
        <v>2752</v>
      </c>
      <c r="B582" s="78" t="s">
        <v>2755</v>
      </c>
      <c r="C582" s="78" t="s">
        <v>7446</v>
      </c>
      <c r="D582" s="278" t="str">
        <f>VLOOKUP(A:A,'Master Table'!C:D,2,FALSE)</f>
        <v>2322</v>
      </c>
      <c r="E582" s="282"/>
      <c r="F582" s="77">
        <v>983.09</v>
      </c>
      <c r="G582" s="102">
        <v>955.75</v>
      </c>
      <c r="H582" s="103">
        <v>921</v>
      </c>
    </row>
    <row r="583" spans="1:8" ht="15" x14ac:dyDescent="0.2">
      <c r="A583" s="78" t="s">
        <v>2757</v>
      </c>
      <c r="B583" s="78" t="s">
        <v>2760</v>
      </c>
      <c r="C583" s="78" t="s">
        <v>7447</v>
      </c>
      <c r="D583" s="278" t="str">
        <f>VLOOKUP(A:A,'Master Table'!C:D,2,FALSE)</f>
        <v>2323</v>
      </c>
      <c r="E583" s="295"/>
      <c r="F583" s="77">
        <v>786.72</v>
      </c>
      <c r="G583" s="102">
        <v>1749.55</v>
      </c>
      <c r="H583" s="103">
        <v>567.54</v>
      </c>
    </row>
    <row r="584" spans="1:8" ht="15" x14ac:dyDescent="0.2">
      <c r="A584" s="78" t="s">
        <v>2761</v>
      </c>
      <c r="B584" s="78" t="s">
        <v>2763</v>
      </c>
      <c r="C584" s="78" t="s">
        <v>7447</v>
      </c>
      <c r="D584" s="278" t="str">
        <f>VLOOKUP(A:A,'Master Table'!C:D,2,FALSE)</f>
        <v>2324</v>
      </c>
      <c r="E584" s="295"/>
      <c r="F584" s="77">
        <v>836.4</v>
      </c>
      <c r="G584" s="102">
        <v>678.45</v>
      </c>
      <c r="H584" s="103">
        <v>539.54</v>
      </c>
    </row>
    <row r="585" spans="1:8" ht="15" x14ac:dyDescent="0.2">
      <c r="A585" s="78" t="s">
        <v>2768</v>
      </c>
      <c r="B585" s="78" t="s">
        <v>2771</v>
      </c>
      <c r="C585" s="78" t="s">
        <v>7448</v>
      </c>
      <c r="D585" s="278" t="str">
        <f>VLOOKUP(A:A,'Master Table'!C:D,2,FALSE)</f>
        <v>2326</v>
      </c>
      <c r="E585" s="295"/>
      <c r="F585" s="77">
        <v>1756.31</v>
      </c>
      <c r="G585" s="102">
        <v>75</v>
      </c>
      <c r="H585" s="103">
        <v>862.78</v>
      </c>
    </row>
    <row r="586" spans="1:8" ht="15" x14ac:dyDescent="0.2">
      <c r="A586" s="78" t="s">
        <v>2773</v>
      </c>
      <c r="B586" s="78" t="s">
        <v>2775</v>
      </c>
      <c r="C586" s="78" t="s">
        <v>453</v>
      </c>
      <c r="D586" s="278" t="str">
        <f>VLOOKUP(A:A,'Master Table'!C:D,2,FALSE)</f>
        <v>2327</v>
      </c>
      <c r="E586" s="295"/>
      <c r="F586" s="77">
        <v>498.7</v>
      </c>
      <c r="G586" s="102">
        <v>441.89</v>
      </c>
      <c r="H586" s="103">
        <v>424.66</v>
      </c>
    </row>
    <row r="587" spans="1:8" ht="15" x14ac:dyDescent="0.2">
      <c r="A587" s="78" t="s">
        <v>2779</v>
      </c>
      <c r="B587" s="78" t="s">
        <v>2782</v>
      </c>
      <c r="C587" s="78" t="s">
        <v>7449</v>
      </c>
      <c r="D587" s="278" t="str">
        <f>VLOOKUP(A:A,'Master Table'!C:D,2,FALSE)</f>
        <v>2328</v>
      </c>
      <c r="E587" s="295"/>
      <c r="F587" s="77">
        <v>1418.28</v>
      </c>
      <c r="G587" s="102">
        <v>1655.09</v>
      </c>
      <c r="H587" s="103">
        <v>1413.34</v>
      </c>
    </row>
    <row r="588" spans="1:8" ht="15" x14ac:dyDescent="0.2">
      <c r="A588" s="78" t="s">
        <v>2783</v>
      </c>
      <c r="B588" s="78" t="s">
        <v>2785</v>
      </c>
      <c r="C588" s="78" t="s">
        <v>7450</v>
      </c>
      <c r="D588" s="278" t="str">
        <f>VLOOKUP(A:A,'Master Table'!C:D,2,FALSE)</f>
        <v>2329</v>
      </c>
      <c r="E588" s="282"/>
      <c r="F588" s="77">
        <v>180</v>
      </c>
      <c r="G588" s="102">
        <v>446</v>
      </c>
      <c r="H588" s="103">
        <v>260.76</v>
      </c>
    </row>
    <row r="589" spans="1:8" ht="15" x14ac:dyDescent="0.2">
      <c r="A589" s="78" t="s">
        <v>2790</v>
      </c>
      <c r="B589" s="78" t="s">
        <v>2792</v>
      </c>
      <c r="C589" s="78" t="s">
        <v>231</v>
      </c>
      <c r="D589" s="278" t="str">
        <f>VLOOKUP(A:A,'Master Table'!C:D,2,FALSE)</f>
        <v>2331</v>
      </c>
      <c r="E589" s="295"/>
      <c r="F589" s="77">
        <v>543</v>
      </c>
      <c r="G589" s="102">
        <v>942.6</v>
      </c>
      <c r="H589" s="103">
        <v>960</v>
      </c>
    </row>
    <row r="590" spans="1:8" ht="15" x14ac:dyDescent="0.2">
      <c r="A590" s="78" t="s">
        <v>2801</v>
      </c>
      <c r="B590" s="78" t="s">
        <v>2803</v>
      </c>
      <c r="C590" s="78" t="s">
        <v>1366</v>
      </c>
      <c r="D590" s="278" t="str">
        <f>VLOOKUP(A:A,'Master Table'!C:D,2,FALSE)</f>
        <v>2333</v>
      </c>
      <c r="E590" s="295"/>
      <c r="F590" s="77">
        <v>200.51</v>
      </c>
      <c r="G590" s="102">
        <v>247.16</v>
      </c>
      <c r="H590" s="103">
        <v>216.46</v>
      </c>
    </row>
    <row r="591" spans="1:8" ht="15" x14ac:dyDescent="0.2">
      <c r="A591" s="78" t="s">
        <v>2805</v>
      </c>
      <c r="B591" s="78" t="s">
        <v>2506</v>
      </c>
      <c r="C591" s="78" t="s">
        <v>1165</v>
      </c>
      <c r="D591" s="278" t="str">
        <f>VLOOKUP(A:A,'Master Table'!C:D,2,FALSE)</f>
        <v>2334</v>
      </c>
      <c r="E591" s="295"/>
      <c r="F591" s="77">
        <v>1235.03</v>
      </c>
      <c r="G591" s="102">
        <v>1297</v>
      </c>
      <c r="H591" s="103">
        <v>1173</v>
      </c>
    </row>
    <row r="592" spans="1:8" ht="15" x14ac:dyDescent="0.2">
      <c r="A592" s="78" t="s">
        <v>2807</v>
      </c>
      <c r="B592" s="78" t="s">
        <v>2809</v>
      </c>
      <c r="C592" s="78" t="s">
        <v>1366</v>
      </c>
      <c r="D592" s="278" t="str">
        <f>VLOOKUP(A:A,'Master Table'!C:D,2,FALSE)</f>
        <v>2335</v>
      </c>
      <c r="E592" s="295"/>
      <c r="F592" s="77">
        <v>1318.07</v>
      </c>
      <c r="G592" s="102">
        <v>1086.56</v>
      </c>
      <c r="H592" s="103">
        <v>972.17000000000007</v>
      </c>
    </row>
    <row r="593" spans="1:8" ht="15" x14ac:dyDescent="0.2">
      <c r="A593" s="78" t="s">
        <v>2811</v>
      </c>
      <c r="B593" s="78" t="s">
        <v>2813</v>
      </c>
      <c r="C593" s="78" t="s">
        <v>1366</v>
      </c>
      <c r="D593" s="278" t="str">
        <f>VLOOKUP(A:A,'Master Table'!C:D,2,FALSE)</f>
        <v>2336</v>
      </c>
      <c r="E593" s="295"/>
      <c r="F593" s="77">
        <v>2091.1999999999998</v>
      </c>
      <c r="G593" s="102">
        <v>1993.6</v>
      </c>
      <c r="H593" s="103">
        <v>1823.3500000000001</v>
      </c>
    </row>
    <row r="594" spans="1:8" ht="15" x14ac:dyDescent="0.2">
      <c r="A594" s="78" t="s">
        <v>7451</v>
      </c>
      <c r="B594" s="78" t="s">
        <v>2825</v>
      </c>
      <c r="C594" s="78" t="s">
        <v>7452</v>
      </c>
      <c r="D594" s="278" t="e">
        <f>VLOOKUP(A:A,'Master Table'!C:D,2,FALSE)</f>
        <v>#N/A</v>
      </c>
      <c r="E594" s="295"/>
      <c r="F594" s="77">
        <v>2810.41</v>
      </c>
      <c r="G594" s="102">
        <v>3596.4</v>
      </c>
      <c r="H594" s="103">
        <v>3340.5</v>
      </c>
    </row>
    <row r="595" spans="1:8" ht="15" x14ac:dyDescent="0.2">
      <c r="A595" s="78" t="s">
        <v>2829</v>
      </c>
      <c r="B595" s="78" t="s">
        <v>2825</v>
      </c>
      <c r="C595" s="78" t="s">
        <v>7453</v>
      </c>
      <c r="D595" s="278" t="str">
        <f>VLOOKUP(A:A,'Master Table'!C:D,2,FALSE)</f>
        <v>2341</v>
      </c>
      <c r="E595" s="295"/>
      <c r="F595" s="77">
        <v>746.95</v>
      </c>
      <c r="G595" s="102">
        <v>667.73</v>
      </c>
      <c r="H595" s="103">
        <v>585.52</v>
      </c>
    </row>
    <row r="596" spans="1:8" ht="15" x14ac:dyDescent="0.2">
      <c r="A596" s="78" t="s">
        <v>2832</v>
      </c>
      <c r="B596" s="78" t="s">
        <v>2835</v>
      </c>
      <c r="C596" s="78" t="s">
        <v>7356</v>
      </c>
      <c r="D596" s="278" t="str">
        <f>VLOOKUP(A:A,'Master Table'!C:D,2,FALSE)</f>
        <v>2342</v>
      </c>
      <c r="E596" s="295"/>
      <c r="F596" s="77">
        <v>555.66</v>
      </c>
      <c r="G596" s="102">
        <v>563.05999999999995</v>
      </c>
      <c r="H596" s="103">
        <v>491.27</v>
      </c>
    </row>
    <row r="597" spans="1:8" ht="15" x14ac:dyDescent="0.2">
      <c r="A597" s="78" t="s">
        <v>2836</v>
      </c>
      <c r="B597" s="78" t="s">
        <v>2838</v>
      </c>
      <c r="C597" s="78" t="s">
        <v>532</v>
      </c>
      <c r="D597" s="278" t="str">
        <f>VLOOKUP(A:A,'Master Table'!C:D,2,FALSE)</f>
        <v>2343</v>
      </c>
      <c r="E597" s="295"/>
      <c r="F597" s="77">
        <v>1008.58</v>
      </c>
      <c r="G597" s="102">
        <v>765.07</v>
      </c>
      <c r="H597" s="103">
        <v>1320.51</v>
      </c>
    </row>
    <row r="598" spans="1:8" ht="15" x14ac:dyDescent="0.2">
      <c r="A598" s="78" t="s">
        <v>2839</v>
      </c>
      <c r="B598" s="78" t="s">
        <v>2842</v>
      </c>
      <c r="C598" s="78" t="s">
        <v>1266</v>
      </c>
      <c r="D598" s="278" t="str">
        <f>VLOOKUP(A:A,'Master Table'!C:D,2,FALSE)</f>
        <v>2344</v>
      </c>
      <c r="E598" s="295"/>
      <c r="F598" s="77">
        <v>564.54999999999995</v>
      </c>
      <c r="G598" s="102">
        <v>726.8</v>
      </c>
      <c r="H598" s="103">
        <v>868.1</v>
      </c>
    </row>
    <row r="599" spans="1:8" ht="15" x14ac:dyDescent="0.2">
      <c r="A599" s="78" t="s">
        <v>2848</v>
      </c>
      <c r="B599" s="78" t="s">
        <v>2850</v>
      </c>
      <c r="C599" s="78" t="s">
        <v>297</v>
      </c>
      <c r="D599" s="278" t="str">
        <f>VLOOKUP(A:A,'Master Table'!C:D,2,FALSE)</f>
        <v>2346</v>
      </c>
      <c r="E599" s="295"/>
      <c r="F599" s="77">
        <v>2635.47</v>
      </c>
      <c r="G599" s="102">
        <v>2624.35</v>
      </c>
      <c r="H599" s="103">
        <v>2555.71</v>
      </c>
    </row>
    <row r="600" spans="1:8" ht="15" x14ac:dyDescent="0.2">
      <c r="A600" s="78" t="s">
        <v>2859</v>
      </c>
      <c r="B600" s="78" t="s">
        <v>2861</v>
      </c>
      <c r="C600" s="78" t="s">
        <v>5152</v>
      </c>
      <c r="D600" s="278" t="str">
        <f>VLOOKUP(A:A,'Master Table'!C:D,2,FALSE)</f>
        <v>2347</v>
      </c>
      <c r="E600" s="295"/>
      <c r="F600" s="77">
        <v>1520.1799999999998</v>
      </c>
      <c r="G600" s="102">
        <v>1288.95</v>
      </c>
      <c r="H600" s="103">
        <v>1696.27</v>
      </c>
    </row>
    <row r="601" spans="1:8" ht="15" x14ac:dyDescent="0.2">
      <c r="A601" s="78" t="s">
        <v>2862</v>
      </c>
      <c r="B601" s="78" t="s">
        <v>2865</v>
      </c>
      <c r="C601" s="78" t="s">
        <v>7454</v>
      </c>
      <c r="D601" s="278" t="str">
        <f>VLOOKUP(A:A,'Master Table'!C:D,2,FALSE)</f>
        <v>2348</v>
      </c>
      <c r="E601" s="295"/>
      <c r="F601" s="77">
        <v>4022.22</v>
      </c>
      <c r="G601" s="102">
        <v>5795.14</v>
      </c>
      <c r="H601" s="103">
        <v>5710.04</v>
      </c>
    </row>
    <row r="602" spans="1:8" ht="15" x14ac:dyDescent="0.2">
      <c r="A602" s="78" t="s">
        <v>2866</v>
      </c>
      <c r="B602" s="78" t="s">
        <v>2865</v>
      </c>
      <c r="C602" s="78" t="s">
        <v>7318</v>
      </c>
      <c r="D602" s="278" t="str">
        <f>VLOOKUP(A:A,'Master Table'!C:D,2,FALSE)</f>
        <v>2349</v>
      </c>
      <c r="E602" s="295"/>
      <c r="F602" s="77">
        <v>894.22</v>
      </c>
      <c r="G602" s="102">
        <v>1179.9100000000001</v>
      </c>
      <c r="H602" s="103">
        <v>1189.49</v>
      </c>
    </row>
    <row r="603" spans="1:8" ht="15" x14ac:dyDescent="0.2">
      <c r="A603" s="78" t="s">
        <v>2869</v>
      </c>
      <c r="B603" s="78" t="s">
        <v>2865</v>
      </c>
      <c r="C603" s="78" t="s">
        <v>1165</v>
      </c>
      <c r="D603" s="278" t="str">
        <f>VLOOKUP(A:A,'Master Table'!C:D,2,FALSE)</f>
        <v>2350</v>
      </c>
      <c r="E603" s="295"/>
      <c r="F603" s="77">
        <v>957.54</v>
      </c>
      <c r="G603" s="102">
        <v>1692.94</v>
      </c>
      <c r="H603" s="103">
        <v>1495.4</v>
      </c>
    </row>
    <row r="604" spans="1:8" ht="15" x14ac:dyDescent="0.2">
      <c r="A604" s="78" t="s">
        <v>2871</v>
      </c>
      <c r="B604" s="78" t="s">
        <v>2873</v>
      </c>
      <c r="C604" s="78" t="s">
        <v>2900</v>
      </c>
      <c r="D604" s="278" t="str">
        <f>VLOOKUP(A:A,'Master Table'!C:D,2,FALSE)</f>
        <v>2351</v>
      </c>
      <c r="E604" s="295"/>
      <c r="F604" s="77">
        <v>4132.95</v>
      </c>
      <c r="G604" s="102">
        <v>4313.29</v>
      </c>
      <c r="H604" s="103">
        <v>4116.88</v>
      </c>
    </row>
    <row r="605" spans="1:8" ht="15" x14ac:dyDescent="0.2">
      <c r="A605" s="78" t="s">
        <v>2874</v>
      </c>
      <c r="B605" s="78" t="s">
        <v>2873</v>
      </c>
      <c r="C605" s="78" t="s">
        <v>659</v>
      </c>
      <c r="D605" s="278" t="str">
        <f>VLOOKUP(A:A,'Master Table'!C:D,2,FALSE)</f>
        <v>2352</v>
      </c>
      <c r="E605" s="295"/>
      <c r="F605" s="77">
        <v>1008.21</v>
      </c>
      <c r="G605" s="102">
        <v>1323.41</v>
      </c>
      <c r="H605" s="103">
        <v>1029.43</v>
      </c>
    </row>
    <row r="606" spans="1:8" ht="15" x14ac:dyDescent="0.2">
      <c r="A606" s="78" t="s">
        <v>2876</v>
      </c>
      <c r="B606" s="78" t="s">
        <v>2878</v>
      </c>
      <c r="C606" s="78" t="s">
        <v>7356</v>
      </c>
      <c r="D606" s="278" t="str">
        <f>VLOOKUP(A:A,'Master Table'!C:D,2,FALSE)</f>
        <v>2353</v>
      </c>
      <c r="E606" s="295"/>
      <c r="F606" s="77">
        <v>351.05</v>
      </c>
      <c r="G606" s="102">
        <v>432</v>
      </c>
      <c r="H606" s="103">
        <v>652.75</v>
      </c>
    </row>
    <row r="607" spans="1:8" ht="15" x14ac:dyDescent="0.2">
      <c r="A607" s="78" t="s">
        <v>2879</v>
      </c>
      <c r="B607" s="78" t="s">
        <v>2881</v>
      </c>
      <c r="C607" s="78" t="s">
        <v>1366</v>
      </c>
      <c r="D607" s="278" t="str">
        <f>VLOOKUP(A:A,'Master Table'!C:D,2,FALSE)</f>
        <v>2354</v>
      </c>
      <c r="E607" s="282"/>
      <c r="F607" s="77">
        <v>299.08999999999997</v>
      </c>
      <c r="G607" s="102">
        <v>503</v>
      </c>
      <c r="H607" s="103">
        <v>499.8</v>
      </c>
    </row>
    <row r="608" spans="1:8" ht="15" x14ac:dyDescent="0.2">
      <c r="A608" s="78" t="s">
        <v>2882</v>
      </c>
      <c r="B608" s="78" t="s">
        <v>7455</v>
      </c>
      <c r="C608" s="78" t="s">
        <v>916</v>
      </c>
      <c r="D608" s="278" t="str">
        <f>VLOOKUP(A:A,'Master Table'!C:D,2,FALSE)</f>
        <v>2355</v>
      </c>
      <c r="E608" s="295"/>
      <c r="F608" s="77">
        <v>1073.9299999999998</v>
      </c>
      <c r="G608" s="102">
        <v>1137.76</v>
      </c>
      <c r="H608" s="103">
        <v>1232.1000000000001</v>
      </c>
    </row>
    <row r="609" spans="1:8" ht="15" x14ac:dyDescent="0.2">
      <c r="A609" s="78" t="s">
        <v>2884</v>
      </c>
      <c r="B609" s="78" t="s">
        <v>2886</v>
      </c>
      <c r="C609" s="78" t="s">
        <v>7456</v>
      </c>
      <c r="D609" s="278" t="str">
        <f>VLOOKUP(A:A,'Master Table'!C:D,2,FALSE)</f>
        <v>2356</v>
      </c>
      <c r="E609" s="295"/>
      <c r="F609" s="77">
        <v>578.52</v>
      </c>
      <c r="G609" s="102">
        <v>600.54</v>
      </c>
      <c r="H609" s="103">
        <v>546.34</v>
      </c>
    </row>
    <row r="610" spans="1:8" ht="15" x14ac:dyDescent="0.2">
      <c r="A610" s="78" t="s">
        <v>2891</v>
      </c>
      <c r="B610" s="78" t="s">
        <v>2240</v>
      </c>
      <c r="C610" s="78" t="s">
        <v>1008</v>
      </c>
      <c r="D610" s="278" t="str">
        <f>VLOOKUP(A:A,'Master Table'!C:D,2,FALSE)</f>
        <v>2357</v>
      </c>
      <c r="E610" s="295"/>
      <c r="F610" s="77">
        <v>3400.15</v>
      </c>
      <c r="G610" s="102">
        <v>3251.31</v>
      </c>
      <c r="H610" s="103">
        <v>3223.9700000000003</v>
      </c>
    </row>
    <row r="611" spans="1:8" ht="15" x14ac:dyDescent="0.2">
      <c r="A611" s="78" t="s">
        <v>2898</v>
      </c>
      <c r="B611" s="78" t="s">
        <v>2901</v>
      </c>
      <c r="C611" s="78" t="s">
        <v>2900</v>
      </c>
      <c r="D611" s="278" t="str">
        <f>VLOOKUP(A:A,'Master Table'!C:D,2,FALSE)</f>
        <v>2358</v>
      </c>
      <c r="E611" s="295"/>
      <c r="F611" s="77">
        <v>1454.01</v>
      </c>
      <c r="G611" s="102">
        <v>1216.53</v>
      </c>
      <c r="H611" s="103">
        <v>1332.05</v>
      </c>
    </row>
    <row r="612" spans="1:8" ht="15" x14ac:dyDescent="0.2">
      <c r="A612" s="78" t="s">
        <v>2902</v>
      </c>
      <c r="B612" s="78" t="s">
        <v>2904</v>
      </c>
      <c r="C612" s="78" t="s">
        <v>2578</v>
      </c>
      <c r="D612" s="278" t="str">
        <f>VLOOKUP(A:A,'Master Table'!C:D,2,FALSE)</f>
        <v>2359</v>
      </c>
      <c r="E612" s="295"/>
      <c r="F612" s="77">
        <v>640.13</v>
      </c>
      <c r="G612" s="102">
        <v>665.32999999999993</v>
      </c>
      <c r="H612" s="103">
        <v>571.40000000000009</v>
      </c>
    </row>
    <row r="613" spans="1:8" ht="15" x14ac:dyDescent="0.2">
      <c r="A613" s="78" t="s">
        <v>2909</v>
      </c>
      <c r="B613" s="78" t="s">
        <v>2912</v>
      </c>
      <c r="C613" s="78" t="s">
        <v>2911</v>
      </c>
      <c r="D613" s="278" t="str">
        <f>VLOOKUP(A:A,'Master Table'!C:D,2,FALSE)</f>
        <v>2360</v>
      </c>
      <c r="E613" s="295"/>
      <c r="F613" s="77">
        <v>446.55</v>
      </c>
      <c r="G613" s="102">
        <v>450.63</v>
      </c>
      <c r="H613" s="103">
        <v>453.49</v>
      </c>
    </row>
    <row r="614" spans="1:8" ht="15" x14ac:dyDescent="0.2">
      <c r="A614" s="78" t="s">
        <v>2913</v>
      </c>
      <c r="B614" s="78" t="s">
        <v>2915</v>
      </c>
      <c r="C614" s="78" t="s">
        <v>7216</v>
      </c>
      <c r="D614" s="278" t="str">
        <f>VLOOKUP(A:A,'Master Table'!C:D,2,FALSE)</f>
        <v>2361</v>
      </c>
      <c r="E614" s="295"/>
      <c r="F614" s="77">
        <v>1405.2</v>
      </c>
      <c r="G614" s="102">
        <v>1422.27</v>
      </c>
      <c r="H614" s="103">
        <v>2063.5</v>
      </c>
    </row>
    <row r="615" spans="1:8" ht="15" x14ac:dyDescent="0.2">
      <c r="A615" s="78" t="s">
        <v>2917</v>
      </c>
      <c r="B615" s="78" t="s">
        <v>2915</v>
      </c>
      <c r="C615" s="78" t="s">
        <v>1203</v>
      </c>
      <c r="D615" s="278" t="str">
        <f>VLOOKUP(A:A,'Master Table'!C:D,2,FALSE)</f>
        <v>2362</v>
      </c>
      <c r="E615" s="295"/>
      <c r="F615" s="77">
        <v>2414.7399999999998</v>
      </c>
      <c r="G615" s="102">
        <v>2789.37</v>
      </c>
      <c r="H615" s="103">
        <v>3443.2000000000003</v>
      </c>
    </row>
    <row r="616" spans="1:8" ht="15" x14ac:dyDescent="0.2">
      <c r="A616" s="78" t="s">
        <v>2920</v>
      </c>
      <c r="B616" s="78" t="s">
        <v>2915</v>
      </c>
      <c r="C616" s="78" t="s">
        <v>532</v>
      </c>
      <c r="D616" s="278" t="str">
        <f>VLOOKUP(A:A,'Master Table'!C:D,2,FALSE)</f>
        <v>2363</v>
      </c>
      <c r="E616" s="295"/>
      <c r="F616" s="77">
        <v>428.53</v>
      </c>
      <c r="G616" s="102">
        <v>516.39</v>
      </c>
      <c r="H616" s="103">
        <v>503.37</v>
      </c>
    </row>
    <row r="617" spans="1:8" ht="15" x14ac:dyDescent="0.2">
      <c r="A617" s="78" t="s">
        <v>2922</v>
      </c>
      <c r="B617" s="78" t="s">
        <v>2925</v>
      </c>
      <c r="C617" s="78" t="s">
        <v>2924</v>
      </c>
      <c r="D617" s="278" t="str">
        <f>VLOOKUP(A:A,'Master Table'!C:D,2,FALSE)</f>
        <v>2364</v>
      </c>
      <c r="E617" s="295"/>
      <c r="F617" s="77">
        <v>2300</v>
      </c>
      <c r="G617" s="102">
        <v>3026.8</v>
      </c>
      <c r="H617" s="103">
        <v>2315</v>
      </c>
    </row>
    <row r="618" spans="1:8" ht="15" x14ac:dyDescent="0.2">
      <c r="A618" s="78" t="s">
        <v>2929</v>
      </c>
      <c r="B618" s="78" t="s">
        <v>2931</v>
      </c>
      <c r="C618" s="78" t="s">
        <v>7346</v>
      </c>
      <c r="D618" s="278" t="str">
        <f>VLOOKUP(A:A,'Master Table'!C:D,2,FALSE)</f>
        <v>2365</v>
      </c>
      <c r="E618" s="295"/>
      <c r="F618" s="77">
        <v>1325.66</v>
      </c>
      <c r="G618" s="102">
        <v>1617.9</v>
      </c>
      <c r="H618" s="103">
        <v>1703.31</v>
      </c>
    </row>
    <row r="619" spans="1:8" ht="15" x14ac:dyDescent="0.2">
      <c r="A619" s="78" t="s">
        <v>2936</v>
      </c>
      <c r="B619" s="78" t="s">
        <v>2939</v>
      </c>
      <c r="C619" s="78" t="s">
        <v>2938</v>
      </c>
      <c r="D619" s="278" t="str">
        <f>VLOOKUP(A:A,'Master Table'!C:D,2,FALSE)</f>
        <v>2366</v>
      </c>
      <c r="E619" s="295"/>
      <c r="F619" s="77">
        <v>324.42</v>
      </c>
      <c r="G619" s="102">
        <v>717.85</v>
      </c>
      <c r="H619" s="103">
        <v>802.52</v>
      </c>
    </row>
    <row r="620" spans="1:8" ht="15" x14ac:dyDescent="0.2">
      <c r="A620" s="78" t="s">
        <v>2940</v>
      </c>
      <c r="B620" s="78" t="s">
        <v>7457</v>
      </c>
      <c r="C620" s="78" t="s">
        <v>1284</v>
      </c>
      <c r="D620" s="278" t="str">
        <f>VLOOKUP(A:A,'Master Table'!C:D,2,FALSE)</f>
        <v>2367</v>
      </c>
      <c r="E620" s="295"/>
      <c r="F620" s="77">
        <v>231.27</v>
      </c>
      <c r="G620" s="102">
        <v>373.5</v>
      </c>
      <c r="H620" s="103">
        <v>400.07</v>
      </c>
    </row>
    <row r="621" spans="1:8" ht="15" x14ac:dyDescent="0.2">
      <c r="A621" s="78" t="s">
        <v>2943</v>
      </c>
      <c r="B621" s="78" t="s">
        <v>2945</v>
      </c>
      <c r="C621" s="78" t="s">
        <v>1349</v>
      </c>
      <c r="D621" s="278" t="str">
        <f>VLOOKUP(A:A,'Master Table'!C:D,2,FALSE)</f>
        <v>2368</v>
      </c>
      <c r="E621" s="295"/>
      <c r="F621" s="77">
        <v>188.11</v>
      </c>
      <c r="G621" s="102">
        <v>165</v>
      </c>
      <c r="H621" s="103">
        <v>380.33000000000004</v>
      </c>
    </row>
    <row r="622" spans="1:8" ht="15" x14ac:dyDescent="0.2">
      <c r="A622" s="78" t="s">
        <v>2946</v>
      </c>
      <c r="B622" s="78" t="s">
        <v>2948</v>
      </c>
      <c r="C622" s="78" t="s">
        <v>1366</v>
      </c>
      <c r="D622" s="278" t="str">
        <f>VLOOKUP(A:A,'Master Table'!C:D,2,FALSE)</f>
        <v>2369</v>
      </c>
      <c r="E622" s="295"/>
      <c r="F622" s="77">
        <v>464.44</v>
      </c>
      <c r="G622" s="102">
        <v>0</v>
      </c>
      <c r="H622" s="103">
        <v>5</v>
      </c>
    </row>
    <row r="623" spans="1:8" ht="15" x14ac:dyDescent="0.2">
      <c r="A623" s="78" t="s">
        <v>2950</v>
      </c>
      <c r="B623" s="78" t="s">
        <v>2952</v>
      </c>
      <c r="C623" s="78" t="s">
        <v>7199</v>
      </c>
      <c r="D623" s="278" t="str">
        <f>VLOOKUP(A:A,'Master Table'!C:D,2,FALSE)</f>
        <v>2370</v>
      </c>
      <c r="E623" s="295"/>
      <c r="F623" s="77">
        <v>2381.3900000000003</v>
      </c>
      <c r="G623" s="102">
        <v>2893.38</v>
      </c>
      <c r="H623" s="103">
        <v>2729.59</v>
      </c>
    </row>
    <row r="624" spans="1:8" ht="15" x14ac:dyDescent="0.2">
      <c r="A624" s="78" t="s">
        <v>2957</v>
      </c>
      <c r="B624" s="78" t="s">
        <v>2865</v>
      </c>
      <c r="C624" s="78" t="s">
        <v>1065</v>
      </c>
      <c r="D624" s="278" t="str">
        <f>VLOOKUP(A:A,'Master Table'!C:D,2,FALSE)</f>
        <v>2371</v>
      </c>
      <c r="E624" s="295"/>
      <c r="F624" s="77">
        <v>2081</v>
      </c>
      <c r="G624" s="102">
        <v>1992</v>
      </c>
      <c r="H624" s="103">
        <v>1855</v>
      </c>
    </row>
    <row r="625" spans="1:8" ht="60" x14ac:dyDescent="0.2">
      <c r="A625" s="105" t="s">
        <v>7458</v>
      </c>
      <c r="B625" s="105" t="s">
        <v>7459</v>
      </c>
      <c r="C625" s="105" t="s">
        <v>7460</v>
      </c>
      <c r="D625" s="278" t="e">
        <f>VLOOKUP(A:A,'Master Table'!C:D,2,FALSE)</f>
        <v>#N/A</v>
      </c>
      <c r="E625" s="282"/>
      <c r="F625" s="77">
        <v>1827.84</v>
      </c>
      <c r="G625" s="102">
        <v>2521.6400000000003</v>
      </c>
      <c r="H625" s="103">
        <v>1920.77</v>
      </c>
    </row>
    <row r="626" spans="1:8" ht="15" x14ac:dyDescent="0.2">
      <c r="A626" s="78" t="s">
        <v>7461</v>
      </c>
      <c r="B626" s="78" t="s">
        <v>7462</v>
      </c>
      <c r="C626" s="78" t="s">
        <v>7261</v>
      </c>
      <c r="D626" s="278" t="e">
        <f>VLOOKUP(A:A,'Master Table'!C:D,2,FALSE)</f>
        <v>#N/A</v>
      </c>
      <c r="E626" s="295"/>
      <c r="F626" s="77">
        <v>2269.66</v>
      </c>
      <c r="G626" s="102">
        <v>779.09</v>
      </c>
      <c r="H626" s="103">
        <v>2463.66</v>
      </c>
    </row>
    <row r="627" spans="1:8" ht="15.75" x14ac:dyDescent="0.2">
      <c r="A627" s="249" t="s">
        <v>7463</v>
      </c>
      <c r="B627" s="250"/>
      <c r="C627" s="250"/>
      <c r="D627" s="297"/>
      <c r="E627" s="297"/>
      <c r="F627" s="252">
        <v>117214.08</v>
      </c>
      <c r="G627" s="252">
        <v>122939.26000000001</v>
      </c>
      <c r="H627" s="253">
        <v>123376.00000000003</v>
      </c>
    </row>
    <row r="628" spans="1:8" s="62" customFormat="1" x14ac:dyDescent="0.2">
      <c r="A628" s="60" t="s">
        <v>7262</v>
      </c>
      <c r="B628" s="60"/>
      <c r="C628" s="60"/>
      <c r="D628" s="275"/>
      <c r="E628" s="275"/>
      <c r="F628" s="61"/>
      <c r="G628" s="61"/>
      <c r="H628" s="60"/>
    </row>
    <row r="629" spans="1:8" ht="20.25" customHeight="1" x14ac:dyDescent="0.2">
      <c r="A629" s="217" t="s">
        <v>7562</v>
      </c>
      <c r="B629" s="217"/>
      <c r="C629" s="217"/>
      <c r="D629" s="298"/>
      <c r="E629" s="298"/>
      <c r="F629" s="217"/>
      <c r="G629" s="217"/>
      <c r="H629" s="217"/>
    </row>
    <row r="630" spans="1:8" ht="15.75" x14ac:dyDescent="0.2">
      <c r="A630" s="126" t="s">
        <v>1</v>
      </c>
      <c r="B630" s="127" t="s">
        <v>2</v>
      </c>
      <c r="C630" s="127" t="s">
        <v>3</v>
      </c>
      <c r="D630" s="290" t="s">
        <v>8165</v>
      </c>
      <c r="E630" s="290">
        <f>E3</f>
        <v>2019</v>
      </c>
      <c r="F630" s="127">
        <v>2018</v>
      </c>
      <c r="G630" s="128">
        <v>2017</v>
      </c>
      <c r="H630" s="129">
        <v>2016</v>
      </c>
    </row>
    <row r="631" spans="1:8" ht="15" x14ac:dyDescent="0.2">
      <c r="A631" s="130" t="s">
        <v>2966</v>
      </c>
      <c r="B631" s="89" t="s">
        <v>7563</v>
      </c>
      <c r="C631" s="89" t="s">
        <v>1008</v>
      </c>
      <c r="D631" s="278" t="str">
        <f>VLOOKUP(A:A,'Master Table'!C:D,2,FALSE)</f>
        <v>2377</v>
      </c>
      <c r="E631" s="291"/>
      <c r="F631" s="90">
        <v>1498.4</v>
      </c>
      <c r="G631" s="132">
        <v>582.74</v>
      </c>
      <c r="H631" s="133">
        <v>1053.8600000000001</v>
      </c>
    </row>
    <row r="632" spans="1:8" ht="15" x14ac:dyDescent="0.2">
      <c r="A632" s="130" t="s">
        <v>2973</v>
      </c>
      <c r="B632" s="89" t="s">
        <v>7564</v>
      </c>
      <c r="C632" s="89" t="s">
        <v>7565</v>
      </c>
      <c r="D632" s="278" t="str">
        <f>VLOOKUP(A:A,'Master Table'!C:D,2,FALSE)</f>
        <v>2378</v>
      </c>
      <c r="E632" s="291"/>
      <c r="F632" s="90">
        <v>333.36</v>
      </c>
      <c r="G632" s="132">
        <v>273.93</v>
      </c>
      <c r="H632" s="133">
        <v>263.60000000000002</v>
      </c>
    </row>
    <row r="633" spans="1:8" ht="15" x14ac:dyDescent="0.2">
      <c r="A633" s="130" t="s">
        <v>2976</v>
      </c>
      <c r="B633" s="89" t="s">
        <v>2968</v>
      </c>
      <c r="C633" s="89" t="s">
        <v>2900</v>
      </c>
      <c r="D633" s="278" t="str">
        <f>VLOOKUP(A:A,'Master Table'!C:D,2,FALSE)</f>
        <v>2380</v>
      </c>
      <c r="E633" s="291"/>
      <c r="F633" s="90">
        <v>1201.72</v>
      </c>
      <c r="G633" s="132">
        <v>1963.15</v>
      </c>
      <c r="H633" s="133">
        <v>814.02</v>
      </c>
    </row>
    <row r="634" spans="1:8" ht="15" x14ac:dyDescent="0.2">
      <c r="A634" s="130" t="s">
        <v>2987</v>
      </c>
      <c r="B634" s="89" t="s">
        <v>7566</v>
      </c>
      <c r="C634" s="89" t="s">
        <v>7567</v>
      </c>
      <c r="D634" s="278" t="str">
        <f>VLOOKUP(A:A,'Master Table'!C:D,2,FALSE)</f>
        <v>2382</v>
      </c>
      <c r="E634" s="291"/>
      <c r="F634" s="90">
        <v>442.06</v>
      </c>
      <c r="G634" s="132">
        <v>590.41</v>
      </c>
      <c r="H634" s="133">
        <v>204.21</v>
      </c>
    </row>
    <row r="635" spans="1:8" ht="15" x14ac:dyDescent="0.2">
      <c r="A635" s="130" t="s">
        <v>2994</v>
      </c>
      <c r="B635" s="89" t="s">
        <v>2997</v>
      </c>
      <c r="C635" s="89" t="s">
        <v>2996</v>
      </c>
      <c r="D635" s="278" t="str">
        <f>VLOOKUP(A:A,'Master Table'!C:D,2,FALSE)</f>
        <v>2383</v>
      </c>
      <c r="E635" s="291"/>
      <c r="F635" s="90">
        <v>848</v>
      </c>
      <c r="G635" s="132">
        <v>928.98</v>
      </c>
      <c r="H635" s="133">
        <v>561.97</v>
      </c>
    </row>
    <row r="636" spans="1:8" ht="15" x14ac:dyDescent="0.2">
      <c r="A636" s="130" t="s">
        <v>3005</v>
      </c>
      <c r="B636" s="89" t="s">
        <v>7568</v>
      </c>
      <c r="C636" s="89" t="s">
        <v>3007</v>
      </c>
      <c r="D636" s="278" t="str">
        <f>VLOOKUP(A:A,'Master Table'!C:D,2,FALSE)</f>
        <v>2385</v>
      </c>
      <c r="E636" s="291"/>
      <c r="F636" s="90">
        <v>875.67</v>
      </c>
      <c r="G636" s="132">
        <v>1047.47</v>
      </c>
      <c r="H636" s="133">
        <v>733.03</v>
      </c>
    </row>
    <row r="637" spans="1:8" ht="15" x14ac:dyDescent="0.2">
      <c r="A637" s="130" t="s">
        <v>3013</v>
      </c>
      <c r="B637" s="89" t="s">
        <v>7569</v>
      </c>
      <c r="C637" s="89" t="s">
        <v>3880</v>
      </c>
      <c r="D637" s="278" t="str">
        <f>VLOOKUP(A:A,'Master Table'!C:D,2,FALSE)</f>
        <v>2386</v>
      </c>
      <c r="E637" s="291"/>
      <c r="F637" s="90">
        <v>75</v>
      </c>
      <c r="G637" s="132">
        <v>45</v>
      </c>
      <c r="H637" s="133">
        <v>145</v>
      </c>
    </row>
    <row r="638" spans="1:8" ht="15" x14ac:dyDescent="0.2">
      <c r="A638" s="130" t="s">
        <v>3017</v>
      </c>
      <c r="B638" s="89" t="s">
        <v>3020</v>
      </c>
      <c r="C638" s="89" t="s">
        <v>7570</v>
      </c>
      <c r="D638" s="278" t="str">
        <f>VLOOKUP(A:A,'Master Table'!C:D,2,FALSE)</f>
        <v>2387</v>
      </c>
      <c r="E638" s="291"/>
      <c r="F638" s="90">
        <v>824.22</v>
      </c>
      <c r="G638" s="132">
        <v>762.23</v>
      </c>
      <c r="H638" s="133">
        <v>358.19</v>
      </c>
    </row>
    <row r="639" spans="1:8" ht="15" x14ac:dyDescent="0.2">
      <c r="A639" s="130" t="s">
        <v>3027</v>
      </c>
      <c r="B639" s="89" t="s">
        <v>3030</v>
      </c>
      <c r="C639" s="89" t="s">
        <v>3029</v>
      </c>
      <c r="D639" s="278" t="str">
        <f>VLOOKUP(A:A,'Master Table'!C:D,2,FALSE)</f>
        <v>2389</v>
      </c>
      <c r="E639" s="291"/>
      <c r="F639" s="90">
        <v>1341.19</v>
      </c>
      <c r="G639" s="132">
        <v>1515</v>
      </c>
      <c r="H639" s="133">
        <v>1988.23</v>
      </c>
    </row>
    <row r="640" spans="1:8" ht="15" x14ac:dyDescent="0.2">
      <c r="A640" s="130" t="s">
        <v>3039</v>
      </c>
      <c r="B640" s="89" t="s">
        <v>3041</v>
      </c>
      <c r="C640" s="89" t="s">
        <v>2615</v>
      </c>
      <c r="D640" s="278" t="str">
        <f>VLOOKUP(A:A,'Master Table'!C:D,2,FALSE)</f>
        <v>2390</v>
      </c>
      <c r="E640" s="291"/>
      <c r="F640" s="90">
        <v>543</v>
      </c>
      <c r="G640" s="132">
        <v>577.16</v>
      </c>
      <c r="H640" s="133">
        <v>1021.16</v>
      </c>
    </row>
    <row r="641" spans="1:8" ht="15" x14ac:dyDescent="0.2">
      <c r="A641" s="130" t="s">
        <v>3050</v>
      </c>
      <c r="B641" s="89" t="s">
        <v>3041</v>
      </c>
      <c r="C641" s="89" t="s">
        <v>7571</v>
      </c>
      <c r="D641" s="278" t="str">
        <f>VLOOKUP(A:A,'Master Table'!C:D,2,FALSE)</f>
        <v>2393</v>
      </c>
      <c r="E641" s="291"/>
      <c r="F641" s="90">
        <v>2839.67</v>
      </c>
      <c r="G641" s="132">
        <v>3219.6</v>
      </c>
      <c r="H641" s="133">
        <v>2847.28</v>
      </c>
    </row>
    <row r="642" spans="1:8" ht="15" x14ac:dyDescent="0.2">
      <c r="A642" s="130" t="s">
        <v>3056</v>
      </c>
      <c r="B642" s="89" t="s">
        <v>3041</v>
      </c>
      <c r="C642" s="89" t="s">
        <v>7572</v>
      </c>
      <c r="D642" s="278" t="str">
        <f>VLOOKUP(A:A,'Master Table'!C:D,2,FALSE)</f>
        <v>2394</v>
      </c>
      <c r="E642" s="291"/>
      <c r="F642" s="90">
        <v>2416.27</v>
      </c>
      <c r="G642" s="132">
        <v>728.87</v>
      </c>
      <c r="H642" s="133">
        <v>929.62</v>
      </c>
    </row>
    <row r="643" spans="1:8" ht="15" x14ac:dyDescent="0.2">
      <c r="A643" s="130" t="s">
        <v>3059</v>
      </c>
      <c r="B643" s="89" t="s">
        <v>3062</v>
      </c>
      <c r="C643" s="89" t="s">
        <v>3061</v>
      </c>
      <c r="D643" s="278" t="str">
        <f>VLOOKUP(A:A,'Master Table'!C:D,2,FALSE)</f>
        <v>2396</v>
      </c>
      <c r="E643" s="299"/>
      <c r="F643" s="90">
        <v>578.41000000000008</v>
      </c>
      <c r="G643" s="132"/>
      <c r="H643" s="133"/>
    </row>
    <row r="644" spans="1:8" ht="15" x14ac:dyDescent="0.2">
      <c r="A644" s="130" t="s">
        <v>3067</v>
      </c>
      <c r="B644" s="89" t="s">
        <v>7573</v>
      </c>
      <c r="C644" s="89" t="s">
        <v>7574</v>
      </c>
      <c r="D644" s="278" t="str">
        <f>VLOOKUP(A:A,'Master Table'!C:D,2,FALSE)</f>
        <v>2397</v>
      </c>
      <c r="E644" s="291"/>
      <c r="F644" s="90">
        <v>2197.09</v>
      </c>
      <c r="G644" s="132">
        <v>1826.88</v>
      </c>
      <c r="H644" s="133">
        <v>1470.01</v>
      </c>
    </row>
    <row r="645" spans="1:8" ht="15" x14ac:dyDescent="0.2">
      <c r="A645" s="130" t="s">
        <v>3074</v>
      </c>
      <c r="B645" s="89" t="s">
        <v>7575</v>
      </c>
      <c r="C645" s="89" t="s">
        <v>7570</v>
      </c>
      <c r="D645" s="278" t="str">
        <f>VLOOKUP(A:A,'Master Table'!C:D,2,FALSE)</f>
        <v>2399</v>
      </c>
      <c r="E645" s="291"/>
      <c r="F645" s="90">
        <v>288</v>
      </c>
      <c r="G645" s="132">
        <v>1021.24</v>
      </c>
      <c r="H645" s="133">
        <v>1214.6600000000001</v>
      </c>
    </row>
    <row r="646" spans="1:8" ht="15" x14ac:dyDescent="0.2">
      <c r="A646" s="130" t="s">
        <v>3078</v>
      </c>
      <c r="B646" s="89" t="s">
        <v>3081</v>
      </c>
      <c r="C646" s="89" t="s">
        <v>7445</v>
      </c>
      <c r="D646" s="278" t="str">
        <f>VLOOKUP(A:A,'Master Table'!C:D,2,FALSE)</f>
        <v>2400</v>
      </c>
      <c r="E646" s="291"/>
      <c r="F646" s="90">
        <v>207.32</v>
      </c>
      <c r="G646" s="132">
        <v>254</v>
      </c>
      <c r="H646" s="133">
        <v>248.8</v>
      </c>
    </row>
    <row r="647" spans="1:8" ht="15" x14ac:dyDescent="0.2">
      <c r="A647" s="130" t="s">
        <v>3082</v>
      </c>
      <c r="B647" s="89" t="s">
        <v>3085</v>
      </c>
      <c r="C647" s="89" t="s">
        <v>846</v>
      </c>
      <c r="D647" s="278" t="str">
        <f>VLOOKUP(A:A,'Master Table'!C:D,2,FALSE)</f>
        <v>2401</v>
      </c>
      <c r="E647" s="291"/>
      <c r="F647" s="90">
        <v>818</v>
      </c>
      <c r="G647" s="132">
        <v>992</v>
      </c>
      <c r="H647" s="133">
        <v>1172</v>
      </c>
    </row>
    <row r="648" spans="1:8" ht="15" x14ac:dyDescent="0.2">
      <c r="A648" s="130" t="s">
        <v>3090</v>
      </c>
      <c r="B648" s="89" t="s">
        <v>3093</v>
      </c>
      <c r="C648" s="89" t="s">
        <v>7576</v>
      </c>
      <c r="D648" s="278" t="str">
        <f>VLOOKUP(A:A,'Master Table'!C:D,2,FALSE)</f>
        <v>2403</v>
      </c>
      <c r="E648" s="291"/>
      <c r="F648" s="90">
        <v>1636.83</v>
      </c>
      <c r="G648" s="132">
        <v>1194.7</v>
      </c>
      <c r="H648" s="133">
        <v>1219.5</v>
      </c>
    </row>
    <row r="649" spans="1:8" ht="15" x14ac:dyDescent="0.2">
      <c r="A649" s="130" t="s">
        <v>3094</v>
      </c>
      <c r="B649" s="89" t="s">
        <v>3097</v>
      </c>
      <c r="C649" s="89" t="s">
        <v>7450</v>
      </c>
      <c r="D649" s="278" t="str">
        <f>VLOOKUP(A:A,'Master Table'!C:D,2,FALSE)</f>
        <v>2404</v>
      </c>
      <c r="E649" s="291"/>
      <c r="F649" s="90">
        <v>2705.77</v>
      </c>
      <c r="G649" s="132">
        <v>2652.83</v>
      </c>
      <c r="H649" s="133">
        <v>2625.9</v>
      </c>
    </row>
    <row r="650" spans="1:8" ht="15" x14ac:dyDescent="0.2">
      <c r="A650" s="130" t="s">
        <v>3098</v>
      </c>
      <c r="B650" s="89" t="s">
        <v>3101</v>
      </c>
      <c r="C650" s="89" t="s">
        <v>7577</v>
      </c>
      <c r="D650" s="278" t="str">
        <f>VLOOKUP(A:A,'Master Table'!C:D,2,FALSE)</f>
        <v>2405</v>
      </c>
      <c r="E650" s="291"/>
      <c r="F650" s="90">
        <v>691</v>
      </c>
      <c r="G650" s="132">
        <v>671.32</v>
      </c>
      <c r="H650" s="133">
        <v>559.99</v>
      </c>
    </row>
    <row r="651" spans="1:8" ht="15" x14ac:dyDescent="0.2">
      <c r="A651" s="130" t="s">
        <v>3108</v>
      </c>
      <c r="B651" s="89" t="s">
        <v>7578</v>
      </c>
      <c r="C651" s="89" t="s">
        <v>1065</v>
      </c>
      <c r="D651" s="278" t="str">
        <f>VLOOKUP(A:A,'Master Table'!C:D,2,FALSE)</f>
        <v>2407</v>
      </c>
      <c r="E651" s="291"/>
      <c r="F651" s="90">
        <v>741.09</v>
      </c>
      <c r="G651" s="132">
        <v>1163.5</v>
      </c>
      <c r="H651" s="133">
        <v>1038.32</v>
      </c>
    </row>
    <row r="652" spans="1:8" ht="15" x14ac:dyDescent="0.2">
      <c r="A652" s="135" t="s">
        <v>3114</v>
      </c>
      <c r="B652" s="131" t="s">
        <v>3117</v>
      </c>
      <c r="C652" s="131" t="s">
        <v>7577</v>
      </c>
      <c r="D652" s="278" t="str">
        <f>VLOOKUP(A:A,'Master Table'!C:D,2,FALSE)</f>
        <v>2409</v>
      </c>
      <c r="E652" s="291"/>
      <c r="F652" s="90">
        <v>594</v>
      </c>
      <c r="G652" s="132">
        <v>420.59000000000003</v>
      </c>
      <c r="H652" s="133">
        <v>415.01</v>
      </c>
    </row>
    <row r="653" spans="1:8" ht="15" x14ac:dyDescent="0.2">
      <c r="A653" s="135" t="s">
        <v>3118</v>
      </c>
      <c r="B653" s="131" t="s">
        <v>7579</v>
      </c>
      <c r="C653" s="131" t="s">
        <v>7580</v>
      </c>
      <c r="D653" s="278" t="str">
        <f>VLOOKUP(A:A,'Master Table'!C:D,2,FALSE)</f>
        <v>2411</v>
      </c>
      <c r="E653" s="291"/>
      <c r="F653" s="90">
        <v>1010.81</v>
      </c>
      <c r="G653" s="132">
        <v>1008.08</v>
      </c>
      <c r="H653" s="133">
        <v>855.87</v>
      </c>
    </row>
    <row r="654" spans="1:8" ht="15" x14ac:dyDescent="0.2">
      <c r="A654" s="135" t="s">
        <v>3122</v>
      </c>
      <c r="B654" s="131" t="s">
        <v>3125</v>
      </c>
      <c r="C654" s="131" t="s">
        <v>3124</v>
      </c>
      <c r="D654" s="278" t="str">
        <f>VLOOKUP(A:A,'Master Table'!C:D,2,FALSE)</f>
        <v>2412</v>
      </c>
      <c r="E654" s="299"/>
      <c r="F654" s="90">
        <v>745.52</v>
      </c>
      <c r="G654" s="132">
        <v>609</v>
      </c>
      <c r="H654" s="133">
        <v>410</v>
      </c>
    </row>
    <row r="655" spans="1:8" ht="15" x14ac:dyDescent="0.2">
      <c r="A655" s="135" t="s">
        <v>3130</v>
      </c>
      <c r="B655" s="131" t="s">
        <v>3113</v>
      </c>
      <c r="C655" s="131" t="s">
        <v>7581</v>
      </c>
      <c r="D655" s="278" t="str">
        <f>VLOOKUP(A:A,'Master Table'!C:D,2,FALSE)</f>
        <v>2413</v>
      </c>
      <c r="E655" s="291"/>
      <c r="F655" s="90">
        <v>895</v>
      </c>
      <c r="G655" s="132">
        <v>1261.6500000000001</v>
      </c>
      <c r="H655" s="133">
        <v>999.94</v>
      </c>
    </row>
    <row r="656" spans="1:8" ht="15" x14ac:dyDescent="0.2">
      <c r="A656" s="135" t="s">
        <v>3133</v>
      </c>
      <c r="B656" s="131" t="s">
        <v>3113</v>
      </c>
      <c r="C656" s="131" t="s">
        <v>226</v>
      </c>
      <c r="D656" s="278" t="str">
        <f>VLOOKUP(A:A,'Master Table'!C:D,2,FALSE)</f>
        <v>2414</v>
      </c>
      <c r="E656" s="291"/>
      <c r="F656" s="90">
        <v>2980.8</v>
      </c>
      <c r="G656" s="132">
        <v>3108.0299999999997</v>
      </c>
      <c r="H656" s="133">
        <v>2414.42</v>
      </c>
    </row>
    <row r="657" spans="1:8" ht="15" x14ac:dyDescent="0.2">
      <c r="A657" s="135" t="s">
        <v>3140</v>
      </c>
      <c r="B657" s="131" t="s">
        <v>3113</v>
      </c>
      <c r="C657" s="131" t="s">
        <v>7582</v>
      </c>
      <c r="D657" s="278" t="str">
        <f>VLOOKUP(A:A,'Master Table'!C:D,2,FALSE)</f>
        <v>2416</v>
      </c>
      <c r="E657" s="291"/>
      <c r="F657" s="90">
        <v>444.03</v>
      </c>
      <c r="G657" s="132">
        <v>662.9</v>
      </c>
      <c r="H657" s="133">
        <v>900.7</v>
      </c>
    </row>
    <row r="658" spans="1:8" ht="15" x14ac:dyDescent="0.2">
      <c r="A658" s="135" t="s">
        <v>3143</v>
      </c>
      <c r="B658" s="131" t="s">
        <v>3113</v>
      </c>
      <c r="C658" s="131" t="s">
        <v>7583</v>
      </c>
      <c r="D658" s="278" t="str">
        <f>VLOOKUP(A:A,'Master Table'!C:D,2,FALSE)</f>
        <v>2417</v>
      </c>
      <c r="E658" s="291"/>
      <c r="F658" s="90">
        <v>1142.44</v>
      </c>
      <c r="G658" s="132">
        <v>1286.53</v>
      </c>
      <c r="H658" s="133">
        <v>1197.53</v>
      </c>
    </row>
    <row r="659" spans="1:8" ht="15" x14ac:dyDescent="0.2">
      <c r="A659" s="135" t="s">
        <v>3146</v>
      </c>
      <c r="B659" s="131" t="s">
        <v>3113</v>
      </c>
      <c r="C659" s="131" t="s">
        <v>7584</v>
      </c>
      <c r="D659" s="278" t="str">
        <f>VLOOKUP(A:A,'Master Table'!C:D,2,FALSE)</f>
        <v>2418</v>
      </c>
      <c r="E659" s="291"/>
      <c r="F659" s="90">
        <v>1248.1500000000001</v>
      </c>
      <c r="G659" s="132">
        <v>1381.5</v>
      </c>
      <c r="H659" s="133">
        <v>1073</v>
      </c>
    </row>
    <row r="660" spans="1:8" ht="15" x14ac:dyDescent="0.2">
      <c r="A660" s="135" t="s">
        <v>3151</v>
      </c>
      <c r="B660" s="131" t="s">
        <v>7585</v>
      </c>
      <c r="C660" s="131" t="s">
        <v>7586</v>
      </c>
      <c r="D660" s="278" t="str">
        <f>VLOOKUP(A:A,'Master Table'!C:D,2,FALSE)</f>
        <v>2419</v>
      </c>
      <c r="E660" s="291"/>
      <c r="F660" s="90">
        <v>3300.65</v>
      </c>
      <c r="G660" s="132">
        <v>1595.84</v>
      </c>
      <c r="H660" s="133">
        <v>1540.29</v>
      </c>
    </row>
    <row r="661" spans="1:8" ht="15" x14ac:dyDescent="0.2">
      <c r="A661" s="135" t="s">
        <v>3159</v>
      </c>
      <c r="B661" s="131" t="s">
        <v>7587</v>
      </c>
      <c r="C661" s="131" t="s">
        <v>7588</v>
      </c>
      <c r="D661" s="278" t="str">
        <f>VLOOKUP(A:A,'Master Table'!C:D,2,FALSE)</f>
        <v>2420</v>
      </c>
      <c r="E661" s="299"/>
      <c r="F661" s="90">
        <v>2000</v>
      </c>
      <c r="G661" s="132">
        <v>2499</v>
      </c>
      <c r="H661" s="133"/>
    </row>
    <row r="662" spans="1:8" ht="15" x14ac:dyDescent="0.2">
      <c r="A662" s="130" t="s">
        <v>3163</v>
      </c>
      <c r="B662" s="89" t="s">
        <v>3165</v>
      </c>
      <c r="C662" s="89" t="s">
        <v>119</v>
      </c>
      <c r="D662" s="278" t="str">
        <f>VLOOKUP(A:A,'Master Table'!C:D,2,FALSE)</f>
        <v>2421</v>
      </c>
      <c r="E662" s="291"/>
      <c r="F662" s="90">
        <v>930.4</v>
      </c>
      <c r="G662" s="132">
        <v>633.04999999999995</v>
      </c>
      <c r="H662" s="133">
        <v>664.82</v>
      </c>
    </row>
    <row r="663" spans="1:8" ht="15" x14ac:dyDescent="0.2">
      <c r="A663" s="130" t="s">
        <v>3171</v>
      </c>
      <c r="B663" s="89" t="s">
        <v>3173</v>
      </c>
      <c r="C663" s="89" t="s">
        <v>2816</v>
      </c>
      <c r="D663" s="278" t="str">
        <f>VLOOKUP(A:A,'Master Table'!C:D,2,FALSE)</f>
        <v>2422</v>
      </c>
      <c r="E663" s="291"/>
      <c r="F663" s="90">
        <v>1742</v>
      </c>
      <c r="G663" s="132">
        <v>1640</v>
      </c>
      <c r="H663" s="133">
        <v>1550</v>
      </c>
    </row>
    <row r="664" spans="1:8" ht="15" x14ac:dyDescent="0.2">
      <c r="A664" s="130" t="s">
        <v>3178</v>
      </c>
      <c r="B664" s="89" t="s">
        <v>3162</v>
      </c>
      <c r="C664" s="89" t="s">
        <v>3180</v>
      </c>
      <c r="D664" s="278" t="str">
        <f>VLOOKUP(A:A,'Master Table'!C:D,2,FALSE)</f>
        <v>2424</v>
      </c>
      <c r="E664" s="291"/>
      <c r="F664" s="90">
        <v>1319</v>
      </c>
      <c r="G664" s="132">
        <v>1345.6</v>
      </c>
      <c r="H664" s="133">
        <v>622.4</v>
      </c>
    </row>
    <row r="665" spans="1:8" ht="15" x14ac:dyDescent="0.2">
      <c r="A665" s="130" t="s">
        <v>3182</v>
      </c>
      <c r="B665" s="89" t="s">
        <v>3184</v>
      </c>
      <c r="C665" s="89" t="s">
        <v>1284</v>
      </c>
      <c r="D665" s="278" t="str">
        <f>VLOOKUP(A:A,'Master Table'!C:D,2,FALSE)</f>
        <v>2425</v>
      </c>
      <c r="E665" s="291"/>
      <c r="F665" s="90">
        <v>945.02</v>
      </c>
      <c r="G665" s="132">
        <v>1076.28</v>
      </c>
      <c r="H665" s="133">
        <v>1279.3</v>
      </c>
    </row>
    <row r="666" spans="1:8" ht="15" x14ac:dyDescent="0.2">
      <c r="A666" s="130" t="s">
        <v>3192</v>
      </c>
      <c r="B666" s="89" t="s">
        <v>7589</v>
      </c>
      <c r="C666" s="89" t="s">
        <v>3194</v>
      </c>
      <c r="D666" s="278" t="str">
        <f>VLOOKUP(A:A,'Master Table'!C:D,2,FALSE)</f>
        <v>2426</v>
      </c>
      <c r="E666" s="291"/>
      <c r="F666" s="90">
        <v>1774.98</v>
      </c>
      <c r="G666" s="132">
        <v>1999</v>
      </c>
      <c r="H666" s="133">
        <v>1494.59</v>
      </c>
    </row>
    <row r="667" spans="1:8" ht="15" x14ac:dyDescent="0.2">
      <c r="A667" s="130" t="s">
        <v>3197</v>
      </c>
      <c r="B667" s="89" t="s">
        <v>3195</v>
      </c>
      <c r="C667" s="89" t="s">
        <v>7590</v>
      </c>
      <c r="D667" s="278" t="str">
        <f>VLOOKUP(A:A,'Master Table'!C:D,2,FALSE)</f>
        <v>2427</v>
      </c>
      <c r="E667" s="291"/>
      <c r="F667" s="90">
        <v>380</v>
      </c>
      <c r="G667" s="132">
        <v>839.62</v>
      </c>
      <c r="H667" s="133">
        <v>798.68000000000006</v>
      </c>
    </row>
    <row r="668" spans="1:8" ht="15" x14ac:dyDescent="0.2">
      <c r="A668" s="130" t="s">
        <v>3206</v>
      </c>
      <c r="B668" s="89" t="s">
        <v>3195</v>
      </c>
      <c r="C668" s="89" t="s">
        <v>299</v>
      </c>
      <c r="D668" s="278" t="str">
        <f>VLOOKUP(A:A,'Master Table'!C:D,2,FALSE)</f>
        <v>2431</v>
      </c>
      <c r="E668" s="291"/>
      <c r="F668" s="90">
        <v>1244.01</v>
      </c>
      <c r="G668" s="132">
        <v>1596</v>
      </c>
      <c r="H668" s="133">
        <v>769.94</v>
      </c>
    </row>
    <row r="669" spans="1:8" ht="15" x14ac:dyDescent="0.2">
      <c r="A669" s="130" t="s">
        <v>3213</v>
      </c>
      <c r="B669" s="89" t="s">
        <v>7591</v>
      </c>
      <c r="C669" s="89" t="s">
        <v>3215</v>
      </c>
      <c r="D669" s="278" t="str">
        <f>VLOOKUP(A:A,'Master Table'!C:D,2,FALSE)</f>
        <v>2432</v>
      </c>
      <c r="E669" s="291"/>
      <c r="F669" s="90">
        <v>25</v>
      </c>
      <c r="G669" s="132">
        <v>25</v>
      </c>
      <c r="H669" s="133">
        <v>57.89</v>
      </c>
    </row>
    <row r="670" spans="1:8" ht="15" x14ac:dyDescent="0.2">
      <c r="A670" s="130" t="s">
        <v>3220</v>
      </c>
      <c r="B670" s="89" t="s">
        <v>7592</v>
      </c>
      <c r="C670" s="89" t="s">
        <v>3222</v>
      </c>
      <c r="D670" s="278" t="str">
        <f>VLOOKUP(A:A,'Master Table'!C:D,2,FALSE)</f>
        <v>2433</v>
      </c>
      <c r="E670" s="291"/>
      <c r="F670" s="90">
        <v>0</v>
      </c>
      <c r="G670" s="132">
        <v>30</v>
      </c>
      <c r="H670" s="133">
        <v>30</v>
      </c>
    </row>
    <row r="671" spans="1:8" ht="15" x14ac:dyDescent="0.2">
      <c r="A671" s="130" t="s">
        <v>3223</v>
      </c>
      <c r="B671" s="89" t="s">
        <v>7593</v>
      </c>
      <c r="C671" s="89" t="s">
        <v>6593</v>
      </c>
      <c r="D671" s="278" t="str">
        <f>VLOOKUP(A:A,'Master Table'!C:D,2,FALSE)</f>
        <v>2434</v>
      </c>
      <c r="E671" s="291"/>
      <c r="F671" s="90">
        <v>86.5</v>
      </c>
      <c r="G671" s="132">
        <v>79.38</v>
      </c>
      <c r="H671" s="133">
        <v>198.42000000000002</v>
      </c>
    </row>
    <row r="672" spans="1:8" ht="15" x14ac:dyDescent="0.2">
      <c r="A672" s="130" t="s">
        <v>3226</v>
      </c>
      <c r="B672" s="89" t="s">
        <v>3228</v>
      </c>
      <c r="C672" s="89" t="s">
        <v>1284</v>
      </c>
      <c r="D672" s="278" t="str">
        <f>VLOOKUP(A:A,'Master Table'!C:D,2,FALSE)</f>
        <v>2435</v>
      </c>
      <c r="E672" s="291"/>
      <c r="F672" s="90">
        <v>1180.98</v>
      </c>
      <c r="G672" s="132">
        <v>1893.3200000000002</v>
      </c>
      <c r="H672" s="133">
        <v>1156.32</v>
      </c>
    </row>
    <row r="673" spans="1:8" ht="15" x14ac:dyDescent="0.2">
      <c r="A673" s="130" t="s">
        <v>3231</v>
      </c>
      <c r="B673" s="89" t="s">
        <v>7594</v>
      </c>
      <c r="C673" s="89" t="s">
        <v>532</v>
      </c>
      <c r="D673" s="278" t="str">
        <f>VLOOKUP(A:A,'Master Table'!C:D,2,FALSE)</f>
        <v>2436</v>
      </c>
      <c r="E673" s="291"/>
      <c r="F673" s="90">
        <v>1087.67</v>
      </c>
      <c r="G673" s="132">
        <v>930.12</v>
      </c>
      <c r="H673" s="133">
        <v>826.78</v>
      </c>
    </row>
    <row r="674" spans="1:8" ht="15" x14ac:dyDescent="0.2">
      <c r="A674" s="130" t="s">
        <v>3233</v>
      </c>
      <c r="B674" s="89" t="s">
        <v>7595</v>
      </c>
      <c r="C674" s="89" t="s">
        <v>1203</v>
      </c>
      <c r="D674" s="278" t="str">
        <f>VLOOKUP(A:A,'Master Table'!C:D,2,FALSE)</f>
        <v>2437</v>
      </c>
      <c r="E674" s="291"/>
      <c r="F674" s="90">
        <v>887.13</v>
      </c>
      <c r="G674" s="132">
        <v>1496.5</v>
      </c>
      <c r="H674" s="133">
        <v>937.5</v>
      </c>
    </row>
    <row r="675" spans="1:8" ht="15" x14ac:dyDescent="0.2">
      <c r="A675" s="130" t="s">
        <v>7596</v>
      </c>
      <c r="B675" s="89" t="s">
        <v>7597</v>
      </c>
      <c r="C675" s="89" t="s">
        <v>7598</v>
      </c>
      <c r="D675" s="278" t="e">
        <f>VLOOKUP(A:A,'Master Table'!C:D,2,FALSE)</f>
        <v>#N/A</v>
      </c>
      <c r="E675" s="291"/>
      <c r="F675" s="90">
        <v>1960.94</v>
      </c>
      <c r="G675" s="132">
        <v>1467.87</v>
      </c>
      <c r="H675" s="133">
        <v>1397.06</v>
      </c>
    </row>
    <row r="676" spans="1:8" ht="15" x14ac:dyDescent="0.2">
      <c r="A676" s="130" t="s">
        <v>3241</v>
      </c>
      <c r="B676" s="89" t="s">
        <v>3243</v>
      </c>
      <c r="C676" s="89" t="s">
        <v>1284</v>
      </c>
      <c r="D676" s="278" t="str">
        <f>VLOOKUP(A:A,'Master Table'!C:D,2,FALSE)</f>
        <v>2439</v>
      </c>
      <c r="E676" s="291"/>
      <c r="F676" s="90">
        <v>180</v>
      </c>
      <c r="G676" s="132">
        <v>352.36</v>
      </c>
      <c r="H676" s="133">
        <v>115</v>
      </c>
    </row>
    <row r="677" spans="1:8" ht="15" x14ac:dyDescent="0.2">
      <c r="A677" s="130" t="s">
        <v>3248</v>
      </c>
      <c r="B677" s="89" t="s">
        <v>3251</v>
      </c>
      <c r="C677" s="89" t="s">
        <v>1355</v>
      </c>
      <c r="D677" s="278" t="str">
        <f>VLOOKUP(A:A,'Master Table'!C:D,2,FALSE)</f>
        <v>2440</v>
      </c>
      <c r="E677" s="291"/>
      <c r="F677" s="90">
        <v>1115.49</v>
      </c>
      <c r="G677" s="132">
        <v>1120.17</v>
      </c>
      <c r="H677" s="133">
        <v>749.29</v>
      </c>
    </row>
    <row r="678" spans="1:8" ht="15" x14ac:dyDescent="0.2">
      <c r="A678" s="130" t="s">
        <v>7599</v>
      </c>
      <c r="B678" s="89" t="s">
        <v>3259</v>
      </c>
      <c r="C678" s="89" t="s">
        <v>7600</v>
      </c>
      <c r="D678" s="278" t="e">
        <f>VLOOKUP(A:A,'Master Table'!C:D,2,FALSE)</f>
        <v>#N/A</v>
      </c>
      <c r="E678" s="291"/>
      <c r="F678" s="90">
        <v>1556.44</v>
      </c>
      <c r="G678" s="132">
        <v>1852.68</v>
      </c>
      <c r="H678" s="133">
        <v>1978.01</v>
      </c>
    </row>
    <row r="679" spans="1:8" ht="15" x14ac:dyDescent="0.2">
      <c r="A679" s="130" t="s">
        <v>3260</v>
      </c>
      <c r="B679" s="89" t="s">
        <v>3263</v>
      </c>
      <c r="C679" s="89" t="s">
        <v>5063</v>
      </c>
      <c r="D679" s="278" t="str">
        <f>VLOOKUP(A:A,'Master Table'!C:D,2,FALSE)</f>
        <v>2442</v>
      </c>
      <c r="E679" s="291"/>
      <c r="F679" s="90">
        <v>706.24</v>
      </c>
      <c r="G679" s="132">
        <v>913.38</v>
      </c>
      <c r="H679" s="133">
        <v>778.18000000000006</v>
      </c>
    </row>
    <row r="680" spans="1:8" ht="15" x14ac:dyDescent="0.2">
      <c r="A680" s="130" t="s">
        <v>3272</v>
      </c>
      <c r="B680" s="89" t="s">
        <v>3274</v>
      </c>
      <c r="C680" s="89" t="s">
        <v>7318</v>
      </c>
      <c r="D680" s="278" t="str">
        <f>VLOOKUP(A:A,'Master Table'!C:D,2,FALSE)</f>
        <v>2443</v>
      </c>
      <c r="E680" s="291"/>
      <c r="F680" s="90">
        <v>486.8</v>
      </c>
      <c r="G680" s="132">
        <v>991.72</v>
      </c>
      <c r="H680" s="133">
        <v>754.92</v>
      </c>
    </row>
    <row r="681" spans="1:8" ht="15" x14ac:dyDescent="0.2">
      <c r="A681" s="130" t="s">
        <v>3289</v>
      </c>
      <c r="B681" s="89" t="s">
        <v>3292</v>
      </c>
      <c r="C681" s="89" t="s">
        <v>7601</v>
      </c>
      <c r="D681" s="278" t="str">
        <f>VLOOKUP(A:A,'Master Table'!C:D,2,FALSE)</f>
        <v>2448</v>
      </c>
      <c r="E681" s="291"/>
      <c r="F681" s="90">
        <v>1102.1299999999999</v>
      </c>
      <c r="G681" s="132">
        <v>673</v>
      </c>
      <c r="H681" s="133">
        <v>840.04</v>
      </c>
    </row>
    <row r="682" spans="1:8" ht="15" x14ac:dyDescent="0.2">
      <c r="A682" s="130" t="s">
        <v>7602</v>
      </c>
      <c r="B682" s="89" t="s">
        <v>7603</v>
      </c>
      <c r="C682" s="89" t="s">
        <v>78</v>
      </c>
      <c r="D682" s="278" t="e">
        <f>VLOOKUP(A:A,'Master Table'!C:D,2,FALSE)</f>
        <v>#N/A</v>
      </c>
      <c r="E682" s="291"/>
      <c r="F682" s="90">
        <v>817.26</v>
      </c>
      <c r="G682" s="132">
        <v>544.87</v>
      </c>
      <c r="H682" s="133">
        <v>588.9</v>
      </c>
    </row>
    <row r="683" spans="1:8" ht="15" x14ac:dyDescent="0.2">
      <c r="A683" s="130" t="s">
        <v>3296</v>
      </c>
      <c r="B683" s="89" t="s">
        <v>3299</v>
      </c>
      <c r="C683" s="89" t="s">
        <v>7604</v>
      </c>
      <c r="D683" s="278" t="str">
        <f>VLOOKUP(A:A,'Master Table'!C:D,2,FALSE)</f>
        <v>2450</v>
      </c>
      <c r="E683" s="291"/>
      <c r="F683" s="90">
        <v>1800.58</v>
      </c>
      <c r="G683" s="132">
        <v>1280.29</v>
      </c>
      <c r="H683" s="133">
        <v>928.80000000000007</v>
      </c>
    </row>
    <row r="684" spans="1:8" ht="15" x14ac:dyDescent="0.2">
      <c r="A684" s="130" t="s">
        <v>3304</v>
      </c>
      <c r="B684" s="89" t="s">
        <v>3110</v>
      </c>
      <c r="C684" s="89" t="s">
        <v>226</v>
      </c>
      <c r="D684" s="278" t="str">
        <f>VLOOKUP(A:A,'Master Table'!C:D,2,FALSE)</f>
        <v>2451</v>
      </c>
      <c r="E684" s="291"/>
      <c r="F684" s="90">
        <v>421.3</v>
      </c>
      <c r="G684" s="132">
        <v>443.68</v>
      </c>
      <c r="H684" s="133">
        <v>200</v>
      </c>
    </row>
    <row r="685" spans="1:8" ht="15" x14ac:dyDescent="0.2">
      <c r="A685" s="130" t="s">
        <v>3315</v>
      </c>
      <c r="B685" s="89" t="s">
        <v>7605</v>
      </c>
      <c r="C685" s="89" t="s">
        <v>3047</v>
      </c>
      <c r="D685" s="278" t="str">
        <f>VLOOKUP(A:A,'Master Table'!C:D,2,FALSE)</f>
        <v>225969</v>
      </c>
      <c r="E685" s="291"/>
      <c r="F685" s="90">
        <v>10</v>
      </c>
      <c r="G685" s="132">
        <v>0</v>
      </c>
      <c r="H685" s="133">
        <v>138.35</v>
      </c>
    </row>
    <row r="686" spans="1:8" ht="15" x14ac:dyDescent="0.2">
      <c r="A686" s="130" t="s">
        <v>7606</v>
      </c>
      <c r="B686" s="89" t="s">
        <v>7607</v>
      </c>
      <c r="C686" s="89" t="s">
        <v>7261</v>
      </c>
      <c r="D686" s="278" t="e">
        <f>VLOOKUP(A:A,'Master Table'!C:D,2,FALSE)</f>
        <v>#N/A</v>
      </c>
      <c r="E686" s="291"/>
      <c r="F686" s="90">
        <v>355.95</v>
      </c>
      <c r="G686" s="132">
        <v>270</v>
      </c>
      <c r="H686" s="133">
        <v>203</v>
      </c>
    </row>
    <row r="687" spans="1:8" ht="16.5" thickBot="1" x14ac:dyDescent="0.25">
      <c r="A687" s="136" t="s">
        <v>307</v>
      </c>
      <c r="B687" s="137"/>
      <c r="C687" s="137"/>
      <c r="D687" s="293"/>
      <c r="E687" s="293"/>
      <c r="F687" s="139">
        <v>59579.270000000004</v>
      </c>
      <c r="G687" s="139">
        <v>59338.020000000011</v>
      </c>
      <c r="H687" s="140">
        <v>49334.3</v>
      </c>
    </row>
    <row r="688" spans="1:8" s="62" customFormat="1" x14ac:dyDescent="0.2">
      <c r="A688" s="60" t="s">
        <v>7262</v>
      </c>
      <c r="B688" s="60"/>
      <c r="C688" s="60"/>
      <c r="D688" s="275"/>
      <c r="E688" s="275"/>
      <c r="F688" s="61"/>
      <c r="G688" s="61"/>
      <c r="H688" s="60"/>
    </row>
    <row r="689" spans="1:8" ht="20.25" x14ac:dyDescent="0.2">
      <c r="A689" s="256" t="s">
        <v>7608</v>
      </c>
      <c r="B689" s="256"/>
      <c r="C689" s="256"/>
      <c r="D689" s="300"/>
      <c r="E689" s="300"/>
      <c r="F689" s="256"/>
      <c r="G689" s="256"/>
      <c r="H689" s="86"/>
    </row>
    <row r="690" spans="1:8" ht="15.75" x14ac:dyDescent="0.2">
      <c r="A690" s="141" t="s">
        <v>1</v>
      </c>
      <c r="B690" s="141" t="s">
        <v>2</v>
      </c>
      <c r="C690" s="141" t="s">
        <v>3</v>
      </c>
      <c r="D690" s="301" t="s">
        <v>8165</v>
      </c>
      <c r="E690" s="302">
        <f>E3</f>
        <v>2019</v>
      </c>
      <c r="F690" s="142">
        <v>2018</v>
      </c>
      <c r="G690" s="144">
        <v>2017</v>
      </c>
      <c r="H690" s="145" t="s">
        <v>7178</v>
      </c>
    </row>
    <row r="691" spans="1:8" ht="15" x14ac:dyDescent="0.2">
      <c r="A691" s="89" t="s">
        <v>3323</v>
      </c>
      <c r="B691" s="89" t="s">
        <v>7609</v>
      </c>
      <c r="C691" s="89" t="s">
        <v>3325</v>
      </c>
      <c r="D691" s="278" t="str">
        <f>VLOOKUP(A:A,'Master Table'!C:D,2,FALSE)</f>
        <v>215</v>
      </c>
      <c r="E691" s="291"/>
      <c r="F691" s="90">
        <v>94</v>
      </c>
      <c r="G691" s="147">
        <v>134</v>
      </c>
      <c r="H691" s="148">
        <v>114</v>
      </c>
    </row>
    <row r="692" spans="1:8" ht="15" x14ac:dyDescent="0.2">
      <c r="A692" s="89" t="s">
        <v>3327</v>
      </c>
      <c r="B692" s="89" t="s">
        <v>3326</v>
      </c>
      <c r="C692" s="89" t="s">
        <v>1203</v>
      </c>
      <c r="D692" s="278" t="str">
        <f>VLOOKUP(A:A,'Master Table'!C:D,2,FALSE)</f>
        <v>216</v>
      </c>
      <c r="E692" s="291"/>
      <c r="F692" s="90">
        <v>20</v>
      </c>
      <c r="G692" s="147"/>
      <c r="H692" s="148"/>
    </row>
    <row r="693" spans="1:8" ht="15" x14ac:dyDescent="0.2">
      <c r="A693" s="89" t="s">
        <v>3330</v>
      </c>
      <c r="B693" s="89" t="s">
        <v>3326</v>
      </c>
      <c r="C693" s="89" t="s">
        <v>119</v>
      </c>
      <c r="D693" s="278" t="str">
        <f>VLOOKUP(A:A,'Master Table'!C:D,2,FALSE)</f>
        <v>217</v>
      </c>
      <c r="E693" s="291"/>
      <c r="F693" s="90">
        <v>1613.3200000000002</v>
      </c>
      <c r="G693" s="147">
        <v>1518.83</v>
      </c>
      <c r="H693" s="148">
        <v>1216.3600000000001</v>
      </c>
    </row>
    <row r="694" spans="1:8" ht="15" x14ac:dyDescent="0.2">
      <c r="A694" s="89" t="s">
        <v>3333</v>
      </c>
      <c r="B694" s="89" t="s">
        <v>3326</v>
      </c>
      <c r="C694" s="89" t="s">
        <v>7610</v>
      </c>
      <c r="D694" s="278" t="str">
        <f>VLOOKUP(A:A,'Master Table'!C:D,2,FALSE)</f>
        <v>218</v>
      </c>
      <c r="E694" s="291"/>
      <c r="F694" s="90">
        <v>519.16999999999996</v>
      </c>
      <c r="G694" s="147">
        <v>755.26</v>
      </c>
      <c r="H694" s="148">
        <v>629.82000000000005</v>
      </c>
    </row>
    <row r="695" spans="1:8" ht="15" x14ac:dyDescent="0.2">
      <c r="A695" s="89" t="s">
        <v>3336</v>
      </c>
      <c r="B695" s="89" t="s">
        <v>3326</v>
      </c>
      <c r="C695" s="89" t="s">
        <v>5211</v>
      </c>
      <c r="D695" s="278" t="str">
        <f>VLOOKUP(A:A,'Master Table'!C:D,2,FALSE)</f>
        <v>219</v>
      </c>
      <c r="E695" s="291"/>
      <c r="F695" s="90">
        <v>818.23</v>
      </c>
      <c r="G695" s="147">
        <v>959.14</v>
      </c>
      <c r="H695" s="148">
        <v>959.55000000000007</v>
      </c>
    </row>
    <row r="696" spans="1:8" ht="15" x14ac:dyDescent="0.2">
      <c r="A696" s="89" t="s">
        <v>3339</v>
      </c>
      <c r="B696" s="89" t="s">
        <v>3326</v>
      </c>
      <c r="C696" s="89" t="s">
        <v>3341</v>
      </c>
      <c r="D696" s="278" t="str">
        <f>VLOOKUP(A:A,'Master Table'!C:D,2,FALSE)</f>
        <v>220</v>
      </c>
      <c r="E696" s="291"/>
      <c r="F696" s="90">
        <v>510.29</v>
      </c>
      <c r="G696" s="147">
        <v>442.73</v>
      </c>
      <c r="H696" s="148">
        <v>712.09</v>
      </c>
    </row>
    <row r="697" spans="1:8" ht="15" x14ac:dyDescent="0.2">
      <c r="A697" s="89" t="s">
        <v>3342</v>
      </c>
      <c r="B697" s="89" t="s">
        <v>3326</v>
      </c>
      <c r="C697" s="89" t="s">
        <v>7611</v>
      </c>
      <c r="D697" s="278" t="str">
        <f>VLOOKUP(A:A,'Master Table'!C:D,2,FALSE)</f>
        <v>222</v>
      </c>
      <c r="E697" s="291"/>
      <c r="F697" s="90">
        <v>1001.92</v>
      </c>
      <c r="G697" s="147">
        <v>613.65</v>
      </c>
      <c r="H697" s="148">
        <v>409.03000000000003</v>
      </c>
    </row>
    <row r="698" spans="1:8" ht="15" x14ac:dyDescent="0.2">
      <c r="A698" s="89" t="s">
        <v>3345</v>
      </c>
      <c r="B698" s="89" t="s">
        <v>3326</v>
      </c>
      <c r="C698" s="89" t="s">
        <v>3347</v>
      </c>
      <c r="D698" s="278" t="str">
        <f>VLOOKUP(A:A,'Master Table'!C:D,2,FALSE)</f>
        <v>223</v>
      </c>
      <c r="E698" s="291"/>
      <c r="F698" s="90">
        <v>310</v>
      </c>
      <c r="G698" s="147">
        <v>578</v>
      </c>
      <c r="H698" s="148">
        <v>1037</v>
      </c>
    </row>
    <row r="699" spans="1:8" ht="15" x14ac:dyDescent="0.2">
      <c r="A699" s="89" t="s">
        <v>3348</v>
      </c>
      <c r="B699" s="89" t="s">
        <v>3326</v>
      </c>
      <c r="C699" s="89" t="s">
        <v>1065</v>
      </c>
      <c r="D699" s="278" t="str">
        <f>VLOOKUP(A:A,'Master Table'!C:D,2,FALSE)</f>
        <v>224</v>
      </c>
      <c r="E699" s="291"/>
      <c r="F699" s="90">
        <v>641</v>
      </c>
      <c r="G699" s="147">
        <v>660</v>
      </c>
      <c r="H699" s="148">
        <v>302.61</v>
      </c>
    </row>
    <row r="700" spans="1:8" ht="15" x14ac:dyDescent="0.2">
      <c r="A700" s="89" t="s">
        <v>3350</v>
      </c>
      <c r="B700" s="89" t="s">
        <v>3326</v>
      </c>
      <c r="C700" s="89" t="s">
        <v>1284</v>
      </c>
      <c r="D700" s="278" t="str">
        <f>VLOOKUP(A:A,'Master Table'!C:D,2,FALSE)</f>
        <v>225</v>
      </c>
      <c r="E700" s="291"/>
      <c r="F700" s="90">
        <v>328.36</v>
      </c>
      <c r="G700" s="147">
        <v>539.02</v>
      </c>
      <c r="H700" s="148">
        <v>1107.3399999999999</v>
      </c>
    </row>
    <row r="701" spans="1:8" ht="15" x14ac:dyDescent="0.2">
      <c r="A701" s="89" t="s">
        <v>3352</v>
      </c>
      <c r="B701" s="89" t="s">
        <v>3355</v>
      </c>
      <c r="C701" s="89" t="s">
        <v>7612</v>
      </c>
      <c r="D701" s="278" t="str">
        <f>VLOOKUP(A:A,'Master Table'!C:D,2,FALSE)</f>
        <v>226</v>
      </c>
      <c r="E701" s="291"/>
      <c r="F701" s="90">
        <v>817.02</v>
      </c>
      <c r="G701" s="147">
        <v>823.75</v>
      </c>
      <c r="H701" s="148">
        <v>1395.6200000000001</v>
      </c>
    </row>
    <row r="702" spans="1:8" ht="15" x14ac:dyDescent="0.2">
      <c r="A702" s="89" t="s">
        <v>7613</v>
      </c>
      <c r="B702" s="89" t="s">
        <v>7614</v>
      </c>
      <c r="C702" s="89" t="s">
        <v>7615</v>
      </c>
      <c r="D702" s="278" t="e">
        <f>VLOOKUP(A:A,'Master Table'!C:D,2,FALSE)</f>
        <v>#N/A</v>
      </c>
      <c r="E702" s="291"/>
      <c r="F702" s="90">
        <v>309</v>
      </c>
      <c r="G702" s="147">
        <v>987.4</v>
      </c>
      <c r="H702" s="148">
        <v>912.32</v>
      </c>
    </row>
    <row r="703" spans="1:8" ht="15" x14ac:dyDescent="0.2">
      <c r="A703" s="89" t="s">
        <v>7616</v>
      </c>
      <c r="B703" s="89" t="s">
        <v>7617</v>
      </c>
      <c r="C703" s="89" t="s">
        <v>7618</v>
      </c>
      <c r="D703" s="278" t="e">
        <f>VLOOKUP(A:A,'Master Table'!C:D,2,FALSE)</f>
        <v>#N/A</v>
      </c>
      <c r="E703" s="291"/>
      <c r="F703" s="90">
        <v>761.18</v>
      </c>
      <c r="G703" s="147">
        <v>744.78</v>
      </c>
      <c r="H703" s="148">
        <v>761.38</v>
      </c>
    </row>
    <row r="704" spans="1:8" ht="15" x14ac:dyDescent="0.2">
      <c r="A704" s="89" t="s">
        <v>3364</v>
      </c>
      <c r="B704" s="89" t="s">
        <v>7619</v>
      </c>
      <c r="C704" s="89" t="s">
        <v>127</v>
      </c>
      <c r="D704" s="278" t="str">
        <f>VLOOKUP(A:A,'Master Table'!C:D,2,FALSE)</f>
        <v>230</v>
      </c>
      <c r="E704" s="291"/>
      <c r="F704" s="90">
        <v>364.2</v>
      </c>
      <c r="G704" s="147">
        <v>675.94</v>
      </c>
      <c r="H704" s="148">
        <v>373.52</v>
      </c>
    </row>
    <row r="705" spans="1:8" ht="15" x14ac:dyDescent="0.2">
      <c r="A705" s="89" t="s">
        <v>3367</v>
      </c>
      <c r="B705" s="89" t="s">
        <v>3369</v>
      </c>
      <c r="C705" s="89" t="s">
        <v>119</v>
      </c>
      <c r="D705" s="278" t="str">
        <f>VLOOKUP(A:A,'Master Table'!C:D,2,FALSE)</f>
        <v>231</v>
      </c>
      <c r="E705" s="291"/>
      <c r="F705" s="90">
        <v>1092.8699999999999</v>
      </c>
      <c r="G705" s="147">
        <v>20</v>
      </c>
      <c r="H705" s="148">
        <v>0</v>
      </c>
    </row>
    <row r="706" spans="1:8" ht="15" x14ac:dyDescent="0.2">
      <c r="A706" s="89" t="s">
        <v>3374</v>
      </c>
      <c r="B706" s="89" t="s">
        <v>7620</v>
      </c>
      <c r="C706" s="89" t="s">
        <v>7621</v>
      </c>
      <c r="D706" s="278" t="str">
        <f>VLOOKUP(A:A,'Master Table'!C:D,2,FALSE)</f>
        <v>233</v>
      </c>
      <c r="E706" s="291"/>
      <c r="F706" s="90">
        <v>1037.3900000000001</v>
      </c>
      <c r="G706" s="147">
        <v>1065.0899999999999</v>
      </c>
      <c r="H706" s="148">
        <v>1033.5</v>
      </c>
    </row>
    <row r="707" spans="1:8" ht="15" x14ac:dyDescent="0.2">
      <c r="A707" s="89" t="s">
        <v>3382</v>
      </c>
      <c r="B707" s="89" t="s">
        <v>3384</v>
      </c>
      <c r="C707" s="89" t="s">
        <v>7622</v>
      </c>
      <c r="D707" s="278" t="str">
        <f>VLOOKUP(A:A,'Master Table'!C:D,2,FALSE)</f>
        <v>234</v>
      </c>
      <c r="E707" s="291"/>
      <c r="F707" s="90">
        <v>1135.3399999999999</v>
      </c>
      <c r="G707" s="147">
        <v>1088.81</v>
      </c>
      <c r="H707" s="148">
        <v>1187.6600000000001</v>
      </c>
    </row>
    <row r="708" spans="1:8" ht="15" x14ac:dyDescent="0.2">
      <c r="A708" s="89" t="s">
        <v>3389</v>
      </c>
      <c r="B708" s="89" t="s">
        <v>7623</v>
      </c>
      <c r="C708" s="89" t="s">
        <v>7624</v>
      </c>
      <c r="D708" s="278" t="str">
        <f>VLOOKUP(A:A,'Master Table'!C:D,2,FALSE)</f>
        <v>235</v>
      </c>
      <c r="E708" s="291"/>
      <c r="F708" s="90">
        <v>240</v>
      </c>
      <c r="G708" s="147">
        <v>0</v>
      </c>
      <c r="H708" s="148">
        <v>421.64</v>
      </c>
    </row>
    <row r="709" spans="1:8" ht="15" x14ac:dyDescent="0.2">
      <c r="A709" s="89" t="s">
        <v>3394</v>
      </c>
      <c r="B709" s="89" t="s">
        <v>7625</v>
      </c>
      <c r="C709" s="89" t="s">
        <v>7626</v>
      </c>
      <c r="D709" s="278" t="str">
        <f>VLOOKUP(A:A,'Master Table'!C:D,2,FALSE)</f>
        <v>237</v>
      </c>
      <c r="E709" s="291"/>
      <c r="F709" s="90">
        <v>204.49</v>
      </c>
      <c r="G709" s="147">
        <v>137.37</v>
      </c>
      <c r="H709" s="148">
        <v>110</v>
      </c>
    </row>
    <row r="710" spans="1:8" ht="15" x14ac:dyDescent="0.2">
      <c r="A710" s="89" t="s">
        <v>3398</v>
      </c>
      <c r="B710" s="89" t="s">
        <v>7627</v>
      </c>
      <c r="C710" s="89" t="s">
        <v>3400</v>
      </c>
      <c r="D710" s="278" t="str">
        <f>VLOOKUP(A:A,'Master Table'!C:D,2,FALSE)</f>
        <v>238</v>
      </c>
      <c r="E710" s="291"/>
      <c r="F710" s="90">
        <v>225</v>
      </c>
      <c r="G710" s="147">
        <v>267</v>
      </c>
      <c r="H710" s="148">
        <v>530</v>
      </c>
    </row>
    <row r="711" spans="1:8" ht="15" x14ac:dyDescent="0.2">
      <c r="A711" s="89" t="s">
        <v>3401</v>
      </c>
      <c r="B711" s="89" t="s">
        <v>3404</v>
      </c>
      <c r="C711" s="89" t="s">
        <v>3403</v>
      </c>
      <c r="D711" s="278" t="str">
        <f>VLOOKUP(A:A,'Master Table'!C:D,2,FALSE)</f>
        <v>239</v>
      </c>
      <c r="E711" s="291"/>
      <c r="F711" s="90">
        <v>1997</v>
      </c>
      <c r="G711" s="147">
        <v>2186</v>
      </c>
      <c r="H711" s="148">
        <v>2143</v>
      </c>
    </row>
    <row r="712" spans="1:8" ht="15" x14ac:dyDescent="0.2">
      <c r="A712" s="89" t="s">
        <v>3409</v>
      </c>
      <c r="B712" s="89" t="s">
        <v>7628</v>
      </c>
      <c r="C712" s="89" t="s">
        <v>532</v>
      </c>
      <c r="D712" s="278" t="str">
        <f>VLOOKUP(A:A,'Master Table'!C:D,2,FALSE)</f>
        <v>240</v>
      </c>
      <c r="E712" s="291"/>
      <c r="F712" s="90">
        <v>587.06999999999994</v>
      </c>
      <c r="G712" s="147">
        <v>614.83999999999992</v>
      </c>
      <c r="H712" s="148">
        <v>753.77</v>
      </c>
    </row>
    <row r="713" spans="1:8" ht="15" x14ac:dyDescent="0.2">
      <c r="A713" s="89" t="s">
        <v>7629</v>
      </c>
      <c r="B713" s="89" t="s">
        <v>7630</v>
      </c>
      <c r="C713" s="89" t="s">
        <v>3222</v>
      </c>
      <c r="D713" s="278" t="e">
        <f>VLOOKUP(A:A,'Master Table'!C:D,2,FALSE)</f>
        <v>#N/A</v>
      </c>
      <c r="E713" s="291"/>
      <c r="F713" s="90">
        <v>117</v>
      </c>
      <c r="G713" s="147">
        <v>293.62</v>
      </c>
      <c r="H713" s="148">
        <v>108</v>
      </c>
    </row>
    <row r="714" spans="1:8" ht="15" x14ac:dyDescent="0.2">
      <c r="A714" s="89" t="s">
        <v>3415</v>
      </c>
      <c r="B714" s="89" t="s">
        <v>3417</v>
      </c>
      <c r="C714" s="89" t="s">
        <v>1349</v>
      </c>
      <c r="D714" s="278" t="str">
        <f>VLOOKUP(A:A,'Master Table'!C:D,2,FALSE)</f>
        <v>148014</v>
      </c>
      <c r="E714" s="291"/>
      <c r="F714" s="90">
        <v>249.08</v>
      </c>
      <c r="G714" s="147">
        <v>273.14999999999998</v>
      </c>
      <c r="H714" s="148">
        <v>360.66</v>
      </c>
    </row>
    <row r="715" spans="1:8" ht="15" x14ac:dyDescent="0.2">
      <c r="A715" s="89" t="s">
        <v>3418</v>
      </c>
      <c r="B715" s="89" t="s">
        <v>3421</v>
      </c>
      <c r="C715" s="89" t="s">
        <v>7631</v>
      </c>
      <c r="D715" s="278" t="str">
        <f>VLOOKUP(A:A,'Master Table'!C:D,2,FALSE)</f>
        <v>243</v>
      </c>
      <c r="E715" s="291"/>
      <c r="F715" s="90">
        <v>368.65</v>
      </c>
      <c r="G715" s="147"/>
      <c r="H715" s="148"/>
    </row>
    <row r="716" spans="1:8" ht="15" x14ac:dyDescent="0.2">
      <c r="A716" s="89" t="s">
        <v>3425</v>
      </c>
      <c r="B716" s="89" t="s">
        <v>3428</v>
      </c>
      <c r="C716" s="89" t="s">
        <v>7632</v>
      </c>
      <c r="D716" s="278" t="str">
        <f>VLOOKUP(A:A,'Master Table'!C:D,2,FALSE)</f>
        <v>245</v>
      </c>
      <c r="E716" s="291"/>
      <c r="F716" s="90">
        <v>787.03</v>
      </c>
      <c r="G716" s="147">
        <v>844.96</v>
      </c>
      <c r="H716" s="148">
        <v>665.97</v>
      </c>
    </row>
    <row r="717" spans="1:8" ht="15" x14ac:dyDescent="0.2">
      <c r="A717" s="89" t="s">
        <v>3434</v>
      </c>
      <c r="B717" s="89" t="s">
        <v>3388</v>
      </c>
      <c r="C717" s="89" t="s">
        <v>1823</v>
      </c>
      <c r="D717" s="278" t="str">
        <f>VLOOKUP(A:A,'Master Table'!C:D,2,FALSE)</f>
        <v>246</v>
      </c>
      <c r="E717" s="291"/>
      <c r="F717" s="90">
        <v>4807.99</v>
      </c>
      <c r="G717" s="147">
        <v>4844.6099999999997</v>
      </c>
      <c r="H717" s="148">
        <v>4475.4800000000005</v>
      </c>
    </row>
    <row r="718" spans="1:8" ht="15" x14ac:dyDescent="0.2">
      <c r="A718" s="89" t="s">
        <v>3437</v>
      </c>
      <c r="B718" s="89" t="s">
        <v>3439</v>
      </c>
      <c r="C718" s="89" t="s">
        <v>896</v>
      </c>
      <c r="D718" s="278" t="str">
        <f>VLOOKUP(A:A,'Master Table'!C:D,2,FALSE)</f>
        <v>247</v>
      </c>
      <c r="E718" s="291"/>
      <c r="F718" s="90">
        <v>1357.29</v>
      </c>
      <c r="G718" s="147">
        <v>1265</v>
      </c>
      <c r="H718" s="148">
        <v>1294.1000000000001</v>
      </c>
    </row>
    <row r="719" spans="1:8" ht="15" x14ac:dyDescent="0.2">
      <c r="A719" s="89" t="s">
        <v>3440</v>
      </c>
      <c r="B719" s="89" t="s">
        <v>3366</v>
      </c>
      <c r="C719" s="89" t="s">
        <v>532</v>
      </c>
      <c r="D719" s="278" t="str">
        <f>VLOOKUP(A:A,'Master Table'!C:D,2,FALSE)</f>
        <v>248</v>
      </c>
      <c r="E719" s="291"/>
      <c r="F719" s="90">
        <v>1158.3800000000001</v>
      </c>
      <c r="G719" s="147">
        <v>1209.79</v>
      </c>
      <c r="H719" s="148">
        <v>1332.1100000000001</v>
      </c>
    </row>
    <row r="720" spans="1:8" ht="15" x14ac:dyDescent="0.2">
      <c r="A720" s="89" t="s">
        <v>3445</v>
      </c>
      <c r="B720" s="89" t="s">
        <v>3447</v>
      </c>
      <c r="C720" s="89" t="s">
        <v>1823</v>
      </c>
      <c r="D720" s="278" t="str">
        <f>VLOOKUP(A:A,'Master Table'!C:D,2,FALSE)</f>
        <v>249</v>
      </c>
      <c r="E720" s="291"/>
      <c r="F720" s="90">
        <v>148.52000000000001</v>
      </c>
      <c r="G720" s="147">
        <v>124</v>
      </c>
      <c r="H720" s="148">
        <v>343.44</v>
      </c>
    </row>
    <row r="721" spans="1:9" ht="15" x14ac:dyDescent="0.2">
      <c r="A721" s="89" t="s">
        <v>3448</v>
      </c>
      <c r="B721" s="89" t="s">
        <v>3450</v>
      </c>
      <c r="C721" s="89" t="s">
        <v>226</v>
      </c>
      <c r="D721" s="278" t="str">
        <f>VLOOKUP(A:A,'Master Table'!C:D,2,FALSE)</f>
        <v>251</v>
      </c>
      <c r="E721" s="291"/>
      <c r="F721" s="90">
        <v>361.54</v>
      </c>
      <c r="G721" s="147">
        <v>1122.9100000000001</v>
      </c>
      <c r="H721" s="148">
        <v>218.13</v>
      </c>
    </row>
    <row r="722" spans="1:9" ht="15" x14ac:dyDescent="0.2">
      <c r="A722" s="89" t="s">
        <v>3454</v>
      </c>
      <c r="B722" s="89" t="s">
        <v>7633</v>
      </c>
      <c r="C722" s="89" t="s">
        <v>3456</v>
      </c>
      <c r="D722" s="278" t="str">
        <f>VLOOKUP(A:A,'Master Table'!C:D,2,FALSE)</f>
        <v>147993</v>
      </c>
      <c r="E722" s="291"/>
      <c r="F722" s="90">
        <v>769.21</v>
      </c>
      <c r="G722" s="147">
        <v>622.63</v>
      </c>
      <c r="H722" s="148">
        <v>505.8</v>
      </c>
    </row>
    <row r="723" spans="1:9" ht="15" x14ac:dyDescent="0.2">
      <c r="A723" s="89" t="s">
        <v>3457</v>
      </c>
      <c r="B723" s="89" t="s">
        <v>3460</v>
      </c>
      <c r="C723" s="89" t="s">
        <v>7634</v>
      </c>
      <c r="D723" s="278" t="str">
        <f>VLOOKUP(A:A,'Master Table'!C:D,2,FALSE)</f>
        <v>252</v>
      </c>
      <c r="E723" s="291"/>
      <c r="F723" s="90">
        <v>2052</v>
      </c>
      <c r="G723" s="147">
        <v>1939</v>
      </c>
      <c r="H723" s="148">
        <v>1503</v>
      </c>
    </row>
    <row r="724" spans="1:9" ht="15" x14ac:dyDescent="0.2">
      <c r="A724" s="89" t="s">
        <v>3465</v>
      </c>
      <c r="B724" s="89" t="s">
        <v>3460</v>
      </c>
      <c r="C724" s="89" t="s">
        <v>1366</v>
      </c>
      <c r="D724" s="278" t="str">
        <f>VLOOKUP(A:A,'Master Table'!C:D,2,FALSE)</f>
        <v>253</v>
      </c>
      <c r="E724" s="291"/>
      <c r="F724" s="90">
        <v>1805</v>
      </c>
      <c r="G724" s="147">
        <v>1930</v>
      </c>
      <c r="H724" s="148">
        <v>1880</v>
      </c>
    </row>
    <row r="725" spans="1:9" ht="15" x14ac:dyDescent="0.2">
      <c r="A725" s="89" t="s">
        <v>3471</v>
      </c>
      <c r="B725" s="89" t="s">
        <v>3460</v>
      </c>
      <c r="C725" s="89" t="s">
        <v>3473</v>
      </c>
      <c r="D725" s="278" t="str">
        <f>VLOOKUP(A:A,'Master Table'!C:D,2,FALSE)</f>
        <v>254</v>
      </c>
      <c r="E725" s="291"/>
      <c r="F725" s="90">
        <v>788.34</v>
      </c>
      <c r="G725" s="147">
        <v>1169.19</v>
      </c>
      <c r="H725" s="148">
        <v>885.09</v>
      </c>
    </row>
    <row r="726" spans="1:9" ht="15" x14ac:dyDescent="0.2">
      <c r="A726" s="89" t="s">
        <v>3474</v>
      </c>
      <c r="B726" s="89" t="s">
        <v>7635</v>
      </c>
      <c r="C726" s="89" t="s">
        <v>3476</v>
      </c>
      <c r="D726" s="278" t="str">
        <f>VLOOKUP(A:A,'Master Table'!C:D,2,FALSE)</f>
        <v>255</v>
      </c>
      <c r="E726" s="291"/>
      <c r="F726" s="90">
        <v>454</v>
      </c>
      <c r="G726" s="147">
        <v>210</v>
      </c>
      <c r="H726" s="148">
        <v>275</v>
      </c>
    </row>
    <row r="727" spans="1:9" ht="15" x14ac:dyDescent="0.2">
      <c r="A727" s="89" t="s">
        <v>3478</v>
      </c>
      <c r="B727" s="89" t="s">
        <v>3480</v>
      </c>
      <c r="C727" s="89" t="s">
        <v>896</v>
      </c>
      <c r="D727" s="278" t="str">
        <f>VLOOKUP(A:A,'Master Table'!C:D,2,FALSE)</f>
        <v>256</v>
      </c>
      <c r="E727" s="291"/>
      <c r="F727" s="90">
        <v>60</v>
      </c>
      <c r="G727" s="147">
        <v>80</v>
      </c>
      <c r="H727" s="148">
        <v>60</v>
      </c>
    </row>
    <row r="728" spans="1:9" ht="15" x14ac:dyDescent="0.2">
      <c r="A728" s="89" t="s">
        <v>3485</v>
      </c>
      <c r="B728" s="89" t="s">
        <v>7636</v>
      </c>
      <c r="C728" s="89" t="s">
        <v>3487</v>
      </c>
      <c r="D728" s="278" t="str">
        <f>VLOOKUP(A:A,'Master Table'!C:D,2,FALSE)</f>
        <v>257</v>
      </c>
      <c r="E728" s="291"/>
      <c r="F728" s="90">
        <v>1365.48</v>
      </c>
      <c r="G728" s="147">
        <v>1279.81</v>
      </c>
      <c r="H728" s="148">
        <v>1591.72</v>
      </c>
    </row>
    <row r="729" spans="1:9" ht="15" x14ac:dyDescent="0.2">
      <c r="A729" s="89" t="s">
        <v>3493</v>
      </c>
      <c r="B729" s="89" t="s">
        <v>7637</v>
      </c>
      <c r="C729" s="89" t="s">
        <v>231</v>
      </c>
      <c r="D729" s="278" t="str">
        <f>VLOOKUP(A:A,'Master Table'!C:D,2,FALSE)</f>
        <v>258</v>
      </c>
      <c r="E729" s="291"/>
      <c r="F729" s="90">
        <v>10</v>
      </c>
      <c r="G729" s="147">
        <v>0</v>
      </c>
      <c r="H729" s="148">
        <v>10</v>
      </c>
    </row>
    <row r="730" spans="1:9" ht="15" x14ac:dyDescent="0.2">
      <c r="A730" s="89" t="s">
        <v>3497</v>
      </c>
      <c r="B730" s="89" t="s">
        <v>7261</v>
      </c>
      <c r="C730" s="89" t="s">
        <v>7638</v>
      </c>
      <c r="D730" s="278" t="str">
        <f>VLOOKUP(A:A,'Master Table'!C:D,2,FALSE)</f>
        <v>262</v>
      </c>
      <c r="E730" s="291"/>
      <c r="F730" s="90">
        <v>331</v>
      </c>
      <c r="G730" s="91">
        <v>21.72</v>
      </c>
      <c r="H730" s="149"/>
    </row>
    <row r="731" spans="1:9" ht="15.75" x14ac:dyDescent="0.2">
      <c r="A731" s="150" t="s">
        <v>7639</v>
      </c>
      <c r="B731" s="150"/>
      <c r="C731" s="150"/>
      <c r="D731" s="303"/>
      <c r="E731" s="303"/>
      <c r="F731" s="151">
        <v>31617.360000000001</v>
      </c>
      <c r="G731" s="152">
        <v>32042.000000000004</v>
      </c>
      <c r="H731" s="153"/>
    </row>
    <row r="732" spans="1:9" s="62" customFormat="1" x14ac:dyDescent="0.2">
      <c r="A732" s="60" t="s">
        <v>7262</v>
      </c>
      <c r="B732" s="60"/>
      <c r="C732" s="60"/>
      <c r="D732" s="275"/>
      <c r="E732" s="275"/>
      <c r="F732" s="61"/>
      <c r="G732" s="61"/>
      <c r="H732" s="60"/>
    </row>
    <row r="733" spans="1:9" ht="20.25" x14ac:dyDescent="0.2">
      <c r="A733" s="248" t="s">
        <v>7640</v>
      </c>
      <c r="B733" s="248"/>
      <c r="C733" s="248"/>
      <c r="D733" s="289"/>
      <c r="E733" s="289"/>
      <c r="F733" s="248"/>
      <c r="G733" s="248"/>
      <c r="H733" s="156"/>
      <c r="I733" s="156"/>
    </row>
    <row r="734" spans="1:9" ht="15.75" x14ac:dyDescent="0.2">
      <c r="A734" s="157" t="s">
        <v>1</v>
      </c>
      <c r="B734" s="157" t="s">
        <v>2</v>
      </c>
      <c r="C734" s="157" t="s">
        <v>3</v>
      </c>
      <c r="D734" s="290" t="s">
        <v>8165</v>
      </c>
      <c r="E734" s="290">
        <f>E3</f>
        <v>2019</v>
      </c>
      <c r="F734" s="157">
        <v>2018</v>
      </c>
      <c r="G734" s="157">
        <v>2017</v>
      </c>
      <c r="H734" s="157">
        <v>2016</v>
      </c>
      <c r="I734" s="157">
        <v>2015</v>
      </c>
    </row>
    <row r="735" spans="1:9" ht="15" x14ac:dyDescent="0.2">
      <c r="A735" s="130" t="s">
        <v>3501</v>
      </c>
      <c r="B735" s="89" t="s">
        <v>7641</v>
      </c>
      <c r="C735" s="89" t="s">
        <v>7642</v>
      </c>
      <c r="D735" s="278" t="str">
        <f>VLOOKUP(A:A,'Master Table'!C:D,2,FALSE)</f>
        <v>369</v>
      </c>
      <c r="E735" s="291"/>
      <c r="F735" s="90">
        <v>393.26</v>
      </c>
      <c r="G735" s="91">
        <v>663</v>
      </c>
      <c r="H735" s="159">
        <v>656.75</v>
      </c>
      <c r="I735" s="160">
        <v>308</v>
      </c>
    </row>
    <row r="736" spans="1:9" ht="15" x14ac:dyDescent="0.2">
      <c r="A736" s="130" t="s">
        <v>3505</v>
      </c>
      <c r="B736" s="89" t="s">
        <v>3504</v>
      </c>
      <c r="C736" s="89" t="s">
        <v>3507</v>
      </c>
      <c r="D736" s="278" t="str">
        <f>VLOOKUP(A:A,'Master Table'!C:D,2,FALSE)</f>
        <v>370</v>
      </c>
      <c r="E736" s="291"/>
      <c r="F736" s="90">
        <v>210</v>
      </c>
      <c r="G736" s="91">
        <v>1102.6600000000001</v>
      </c>
      <c r="H736" s="159">
        <v>923</v>
      </c>
      <c r="I736" s="160">
        <v>60</v>
      </c>
    </row>
    <row r="737" spans="1:9" ht="15" x14ac:dyDescent="0.2">
      <c r="A737" s="130" t="s">
        <v>3508</v>
      </c>
      <c r="B737" s="89" t="s">
        <v>3504</v>
      </c>
      <c r="C737" s="89" t="s">
        <v>3510</v>
      </c>
      <c r="D737" s="278" t="str">
        <f>VLOOKUP(A:A,'Master Table'!C:D,2,FALSE)</f>
        <v>371</v>
      </c>
      <c r="E737" s="291"/>
      <c r="F737" s="90">
        <v>2478.65</v>
      </c>
      <c r="G737" s="91">
        <v>2618.63</v>
      </c>
      <c r="H737" s="159">
        <v>2388.5</v>
      </c>
      <c r="I737" s="160">
        <v>2386</v>
      </c>
    </row>
    <row r="738" spans="1:9" ht="15" x14ac:dyDescent="0.2">
      <c r="A738" s="130" t="s">
        <v>3512</v>
      </c>
      <c r="B738" s="89" t="s">
        <v>3504</v>
      </c>
      <c r="C738" s="89" t="s">
        <v>1284</v>
      </c>
      <c r="D738" s="278" t="str">
        <f>VLOOKUP(A:A,'Master Table'!C:D,2,FALSE)</f>
        <v>373</v>
      </c>
      <c r="E738" s="291"/>
      <c r="F738" s="90">
        <v>929.44</v>
      </c>
      <c r="G738" s="91">
        <v>1112.02</v>
      </c>
      <c r="H738" s="159">
        <v>889.13</v>
      </c>
      <c r="I738" s="160">
        <v>907</v>
      </c>
    </row>
    <row r="739" spans="1:9" ht="15" x14ac:dyDescent="0.2">
      <c r="A739" s="130" t="s">
        <v>3514</v>
      </c>
      <c r="B739" s="89" t="s">
        <v>3504</v>
      </c>
      <c r="C739" s="89" t="s">
        <v>158</v>
      </c>
      <c r="D739" s="278" t="str">
        <f>VLOOKUP(A:A,'Master Table'!C:D,2,FALSE)</f>
        <v>374</v>
      </c>
      <c r="E739" s="291"/>
      <c r="F739" s="90">
        <v>366</v>
      </c>
      <c r="G739" s="91">
        <v>624</v>
      </c>
      <c r="H739" s="159">
        <v>1185.1200000000001</v>
      </c>
      <c r="I739" s="160">
        <v>615</v>
      </c>
    </row>
    <row r="740" spans="1:9" ht="15" x14ac:dyDescent="0.2">
      <c r="A740" s="130" t="s">
        <v>3523</v>
      </c>
      <c r="B740" s="89" t="s">
        <v>3526</v>
      </c>
      <c r="C740" s="89" t="s">
        <v>3525</v>
      </c>
      <c r="D740" s="278" t="str">
        <f>VLOOKUP(A:A,'Master Table'!C:D,2,FALSE)</f>
        <v>377</v>
      </c>
      <c r="E740" s="291"/>
      <c r="F740" s="90">
        <v>376</v>
      </c>
      <c r="G740" s="91">
        <v>854.08999999999992</v>
      </c>
      <c r="H740" s="159">
        <v>688.66000000000008</v>
      </c>
      <c r="I740" s="160">
        <v>345</v>
      </c>
    </row>
    <row r="741" spans="1:9" ht="15" x14ac:dyDescent="0.2">
      <c r="A741" s="130" t="s">
        <v>3527</v>
      </c>
      <c r="B741" s="89" t="s">
        <v>3529</v>
      </c>
      <c r="C741" s="89" t="s">
        <v>231</v>
      </c>
      <c r="D741" s="278" t="str">
        <f>VLOOKUP(A:A,'Master Table'!C:D,2,FALSE)</f>
        <v>378</v>
      </c>
      <c r="E741" s="291"/>
      <c r="F741" s="90">
        <v>2718.23</v>
      </c>
      <c r="G741" s="91">
        <v>2669.5299999999997</v>
      </c>
      <c r="H741" s="159">
        <v>2666.0299999999997</v>
      </c>
      <c r="I741" s="160">
        <v>2596</v>
      </c>
    </row>
    <row r="742" spans="1:9" ht="15" x14ac:dyDescent="0.2">
      <c r="A742" s="130" t="s">
        <v>7643</v>
      </c>
      <c r="B742" s="89" t="s">
        <v>7644</v>
      </c>
      <c r="C742" s="89" t="s">
        <v>1627</v>
      </c>
      <c r="D742" s="278" t="e">
        <f>VLOOKUP(A:A,'Master Table'!C:D,2,FALSE)</f>
        <v>#N/A</v>
      </c>
      <c r="E742" s="291"/>
      <c r="F742" s="90">
        <v>1143.1599999999999</v>
      </c>
      <c r="G742" s="91">
        <v>774.98</v>
      </c>
      <c r="H742" s="159">
        <v>50</v>
      </c>
      <c r="I742" s="160"/>
    </row>
    <row r="743" spans="1:9" ht="15" x14ac:dyDescent="0.2">
      <c r="A743" s="130" t="s">
        <v>3539</v>
      </c>
      <c r="B743" s="89" t="s">
        <v>3541</v>
      </c>
      <c r="C743" s="89" t="s">
        <v>7645</v>
      </c>
      <c r="D743" s="278" t="str">
        <f>VLOOKUP(A:A,'Master Table'!C:D,2,FALSE)</f>
        <v>380</v>
      </c>
      <c r="E743" s="291"/>
      <c r="F743" s="90">
        <v>2055.73</v>
      </c>
      <c r="G743" s="91">
        <v>1689</v>
      </c>
      <c r="H743" s="159">
        <v>1665.42</v>
      </c>
      <c r="I743" s="160">
        <v>623</v>
      </c>
    </row>
    <row r="744" spans="1:9" ht="15" x14ac:dyDescent="0.2">
      <c r="A744" s="130" t="s">
        <v>3545</v>
      </c>
      <c r="B744" s="89" t="s">
        <v>3541</v>
      </c>
      <c r="C744" s="89" t="s">
        <v>1203</v>
      </c>
      <c r="D744" s="278" t="str">
        <f>VLOOKUP(A:A,'Master Table'!C:D,2,FALSE)</f>
        <v>381</v>
      </c>
      <c r="E744" s="291"/>
      <c r="F744" s="90">
        <v>2133.4</v>
      </c>
      <c r="G744" s="91">
        <v>2307.56</v>
      </c>
      <c r="H744" s="159">
        <v>2228.96</v>
      </c>
      <c r="I744" s="160">
        <v>1270</v>
      </c>
    </row>
    <row r="745" spans="1:9" ht="15" x14ac:dyDescent="0.2">
      <c r="A745" s="130" t="s">
        <v>3547</v>
      </c>
      <c r="B745" s="89" t="s">
        <v>3541</v>
      </c>
      <c r="C745" s="89" t="s">
        <v>7646</v>
      </c>
      <c r="D745" s="278" t="str">
        <f>VLOOKUP(A:A,'Master Table'!C:D,2,FALSE)</f>
        <v>382</v>
      </c>
      <c r="E745" s="291"/>
      <c r="F745" s="90">
        <v>178.75</v>
      </c>
      <c r="G745" s="91">
        <v>358.5</v>
      </c>
      <c r="H745" s="159">
        <v>186.91</v>
      </c>
      <c r="I745" s="160">
        <v>252</v>
      </c>
    </row>
    <row r="746" spans="1:9" ht="15" x14ac:dyDescent="0.2">
      <c r="A746" s="130" t="s">
        <v>7647</v>
      </c>
      <c r="B746" s="89" t="s">
        <v>7648</v>
      </c>
      <c r="C746" s="89" t="s">
        <v>7649</v>
      </c>
      <c r="D746" s="278" t="e">
        <f>VLOOKUP(A:A,'Master Table'!C:D,2,FALSE)</f>
        <v>#N/A</v>
      </c>
      <c r="E746" s="291"/>
      <c r="F746" s="90">
        <v>1094.6199999999999</v>
      </c>
      <c r="G746" s="91">
        <v>431.9</v>
      </c>
      <c r="H746" s="159">
        <v>285</v>
      </c>
      <c r="I746" s="160">
        <v>285</v>
      </c>
    </row>
    <row r="747" spans="1:9" ht="15" x14ac:dyDescent="0.2">
      <c r="A747" s="130" t="s">
        <v>3559</v>
      </c>
      <c r="B747" s="89" t="s">
        <v>3557</v>
      </c>
      <c r="C747" s="89" t="s">
        <v>916</v>
      </c>
      <c r="D747" s="278" t="str">
        <f>VLOOKUP(A:A,'Master Table'!C:D,2,FALSE)</f>
        <v>386</v>
      </c>
      <c r="E747" s="291"/>
      <c r="F747" s="90">
        <v>1040</v>
      </c>
      <c r="G747" s="91">
        <v>969.55</v>
      </c>
      <c r="H747" s="159">
        <v>854.4</v>
      </c>
      <c r="I747" s="160">
        <v>676</v>
      </c>
    </row>
    <row r="748" spans="1:9" ht="15" x14ac:dyDescent="0.2">
      <c r="A748" s="130" t="s">
        <v>7650</v>
      </c>
      <c r="B748" s="89" t="s">
        <v>3557</v>
      </c>
      <c r="C748" s="89" t="s">
        <v>7651</v>
      </c>
      <c r="D748" s="278" t="e">
        <f>VLOOKUP(A:A,'Master Table'!C:D,2,FALSE)</f>
        <v>#N/A</v>
      </c>
      <c r="E748" s="291"/>
      <c r="F748" s="90">
        <v>1932.93</v>
      </c>
      <c r="G748" s="91">
        <v>1177.47</v>
      </c>
      <c r="H748" s="159">
        <v>469.73</v>
      </c>
      <c r="I748" s="160">
        <v>1557</v>
      </c>
    </row>
    <row r="749" spans="1:9" ht="15" x14ac:dyDescent="0.2">
      <c r="A749" s="130" t="s">
        <v>3576</v>
      </c>
      <c r="B749" s="89" t="s">
        <v>3578</v>
      </c>
      <c r="C749" s="89" t="s">
        <v>1065</v>
      </c>
      <c r="D749" s="278" t="str">
        <f>VLOOKUP(A:A,'Master Table'!C:D,2,FALSE)</f>
        <v>391</v>
      </c>
      <c r="E749" s="291"/>
      <c r="F749" s="90">
        <v>135</v>
      </c>
      <c r="G749" s="91">
        <v>65</v>
      </c>
      <c r="H749" s="159">
        <v>68.58</v>
      </c>
      <c r="I749" s="160">
        <v>433</v>
      </c>
    </row>
    <row r="750" spans="1:9" ht="15" x14ac:dyDescent="0.2">
      <c r="A750" s="130" t="s">
        <v>3579</v>
      </c>
      <c r="B750" s="89" t="s">
        <v>3581</v>
      </c>
      <c r="C750" s="89" t="s">
        <v>2759</v>
      </c>
      <c r="D750" s="278" t="str">
        <f>VLOOKUP(A:A,'Master Table'!C:D,2,FALSE)</f>
        <v>392</v>
      </c>
      <c r="E750" s="291"/>
      <c r="F750" s="90">
        <v>165</v>
      </c>
      <c r="G750" s="91">
        <v>520</v>
      </c>
      <c r="H750" s="159">
        <v>500</v>
      </c>
      <c r="I750" s="160">
        <v>550</v>
      </c>
    </row>
    <row r="751" spans="1:9" ht="15" x14ac:dyDescent="0.2">
      <c r="A751" s="130" t="s">
        <v>3582</v>
      </c>
      <c r="B751" s="89" t="s">
        <v>3585</v>
      </c>
      <c r="C751" s="89" t="s">
        <v>7652</v>
      </c>
      <c r="D751" s="278" t="str">
        <f>VLOOKUP(A:A,'Master Table'!C:D,2,FALSE)</f>
        <v>393</v>
      </c>
      <c r="E751" s="291"/>
      <c r="F751" s="90">
        <v>230</v>
      </c>
      <c r="G751" s="91">
        <v>810</v>
      </c>
      <c r="H751" s="159">
        <v>873.56000000000006</v>
      </c>
      <c r="I751" s="160">
        <v>734</v>
      </c>
    </row>
    <row r="752" spans="1:9" ht="15" x14ac:dyDescent="0.2">
      <c r="A752" s="130" t="s">
        <v>3589</v>
      </c>
      <c r="B752" s="89" t="s">
        <v>3592</v>
      </c>
      <c r="C752" s="89" t="s">
        <v>1823</v>
      </c>
      <c r="D752" s="278" t="str">
        <f>VLOOKUP(A:A,'Master Table'!C:D,2,FALSE)</f>
        <v>394</v>
      </c>
      <c r="E752" s="291"/>
      <c r="F752" s="90">
        <v>4661.42</v>
      </c>
      <c r="G752" s="91">
        <v>4573.18</v>
      </c>
      <c r="H752" s="159">
        <v>3613.54</v>
      </c>
      <c r="I752" s="160">
        <v>2263</v>
      </c>
    </row>
    <row r="753" spans="1:9" ht="15" x14ac:dyDescent="0.2">
      <c r="A753" s="130" t="s">
        <v>3601</v>
      </c>
      <c r="B753" s="89" t="s">
        <v>3604</v>
      </c>
      <c r="C753" s="89" t="s">
        <v>301</v>
      </c>
      <c r="D753" s="278" t="str">
        <f>VLOOKUP(A:A,'Master Table'!C:D,2,FALSE)</f>
        <v>395</v>
      </c>
      <c r="E753" s="291"/>
      <c r="F753" s="90">
        <v>1628</v>
      </c>
      <c r="G753" s="91">
        <v>1438.21</v>
      </c>
      <c r="H753" s="159">
        <v>1709.8700000000001</v>
      </c>
      <c r="I753" s="160">
        <v>909</v>
      </c>
    </row>
    <row r="754" spans="1:9" ht="15" x14ac:dyDescent="0.2">
      <c r="A754" s="130" t="s">
        <v>3606</v>
      </c>
      <c r="B754" s="89" t="s">
        <v>3608</v>
      </c>
      <c r="C754" s="89" t="s">
        <v>1032</v>
      </c>
      <c r="D754" s="278" t="str">
        <f>VLOOKUP(A:A,'Master Table'!C:D,2,FALSE)</f>
        <v>396</v>
      </c>
      <c r="E754" s="291"/>
      <c r="F754" s="90">
        <v>328.75</v>
      </c>
      <c r="G754" s="91">
        <v>480.62</v>
      </c>
      <c r="H754" s="159">
        <v>405.72</v>
      </c>
      <c r="I754" s="160">
        <v>533</v>
      </c>
    </row>
    <row r="755" spans="1:9" ht="15" x14ac:dyDescent="0.2">
      <c r="A755" s="130" t="s">
        <v>3609</v>
      </c>
      <c r="B755" s="89" t="s">
        <v>3612</v>
      </c>
      <c r="C755" s="89" t="s">
        <v>207</v>
      </c>
      <c r="D755" s="278" t="str">
        <f>VLOOKUP(A:A,'Master Table'!C:D,2,FALSE)</f>
        <v>397</v>
      </c>
      <c r="E755" s="291"/>
      <c r="F755" s="90">
        <v>1640.75</v>
      </c>
      <c r="G755" s="91">
        <v>2161.06</v>
      </c>
      <c r="H755" s="159">
        <v>1770.95</v>
      </c>
      <c r="I755" s="160">
        <v>1582</v>
      </c>
    </row>
    <row r="756" spans="1:9" ht="15" x14ac:dyDescent="0.2">
      <c r="A756" s="130" t="s">
        <v>3613</v>
      </c>
      <c r="B756" s="89" t="s">
        <v>3612</v>
      </c>
      <c r="C756" s="89" t="s">
        <v>7653</v>
      </c>
      <c r="D756" s="278" t="str">
        <f>VLOOKUP(A:A,'Master Table'!C:D,2,FALSE)</f>
        <v>398</v>
      </c>
      <c r="E756" s="291"/>
      <c r="F756" s="90">
        <v>335.98</v>
      </c>
      <c r="G756" s="91">
        <v>304</v>
      </c>
      <c r="H756" s="159">
        <v>237.82</v>
      </c>
      <c r="I756" s="160">
        <v>581</v>
      </c>
    </row>
    <row r="757" spans="1:9" ht="15" x14ac:dyDescent="0.2">
      <c r="A757" s="130" t="s">
        <v>3616</v>
      </c>
      <c r="B757" s="89" t="s">
        <v>3612</v>
      </c>
      <c r="C757" s="89" t="s">
        <v>158</v>
      </c>
      <c r="D757" s="278" t="str">
        <f>VLOOKUP(A:A,'Master Table'!C:D,2,FALSE)</f>
        <v>399</v>
      </c>
      <c r="E757" s="291"/>
      <c r="F757" s="90">
        <v>400</v>
      </c>
      <c r="G757" s="91">
        <v>699.26</v>
      </c>
      <c r="H757" s="159">
        <v>676.56999999999994</v>
      </c>
      <c r="I757" s="160">
        <v>670</v>
      </c>
    </row>
    <row r="758" spans="1:9" ht="15" x14ac:dyDescent="0.2">
      <c r="A758" s="130" t="s">
        <v>3618</v>
      </c>
      <c r="B758" s="89" t="s">
        <v>7654</v>
      </c>
      <c r="C758" s="89" t="s">
        <v>7655</v>
      </c>
      <c r="D758" s="278" t="str">
        <f>VLOOKUP(A:A,'Master Table'!C:D,2,FALSE)</f>
        <v>400</v>
      </c>
      <c r="E758" s="291"/>
      <c r="F758" s="90">
        <v>575</v>
      </c>
      <c r="G758" s="91">
        <v>481</v>
      </c>
      <c r="H758" s="159">
        <v>310</v>
      </c>
      <c r="I758" s="160">
        <v>195</v>
      </c>
    </row>
    <row r="759" spans="1:9" ht="15" x14ac:dyDescent="0.2">
      <c r="A759" s="130" t="s">
        <v>7656</v>
      </c>
      <c r="B759" s="89" t="s">
        <v>3627</v>
      </c>
      <c r="C759" s="89" t="s">
        <v>3626</v>
      </c>
      <c r="D759" s="278" t="e">
        <f>VLOOKUP(A:A,'Master Table'!C:D,2,FALSE)</f>
        <v>#N/A</v>
      </c>
      <c r="E759" s="291"/>
      <c r="F759" s="90">
        <v>255</v>
      </c>
      <c r="G759" s="91">
        <v>442.9</v>
      </c>
      <c r="H759" s="159">
        <v>499.51</v>
      </c>
      <c r="I759" s="160">
        <v>60</v>
      </c>
    </row>
    <row r="760" spans="1:9" ht="15" x14ac:dyDescent="0.2">
      <c r="A760" s="130" t="s">
        <v>7657</v>
      </c>
      <c r="B760" s="89" t="s">
        <v>7658</v>
      </c>
      <c r="C760" s="89" t="s">
        <v>7659</v>
      </c>
      <c r="D760" s="278" t="e">
        <f>VLOOKUP(A:A,'Master Table'!C:D,2,FALSE)</f>
        <v>#N/A</v>
      </c>
      <c r="E760" s="291"/>
      <c r="F760" s="90">
        <v>764.76</v>
      </c>
      <c r="G760" s="91">
        <v>415.69</v>
      </c>
      <c r="H760" s="159">
        <v>512.03</v>
      </c>
      <c r="I760" s="160">
        <v>521</v>
      </c>
    </row>
    <row r="761" spans="1:9" ht="15" x14ac:dyDescent="0.2">
      <c r="A761" s="130" t="s">
        <v>3643</v>
      </c>
      <c r="B761" s="89" t="s">
        <v>3646</v>
      </c>
      <c r="C761" s="89" t="s">
        <v>7660</v>
      </c>
      <c r="D761" s="278" t="str">
        <f>VLOOKUP(A:A,'Master Table'!C:D,2,FALSE)</f>
        <v>405</v>
      </c>
      <c r="E761" s="291"/>
      <c r="F761" s="90">
        <v>68.33</v>
      </c>
      <c r="G761" s="91">
        <v>10</v>
      </c>
      <c r="H761" s="159">
        <v>10</v>
      </c>
      <c r="I761" s="160">
        <v>18</v>
      </c>
    </row>
    <row r="762" spans="1:9" ht="15" x14ac:dyDescent="0.2">
      <c r="A762" s="130" t="s">
        <v>7661</v>
      </c>
      <c r="B762" s="89" t="s">
        <v>7662</v>
      </c>
      <c r="C762" s="94" t="s">
        <v>7663</v>
      </c>
      <c r="D762" s="278" t="e">
        <f>VLOOKUP(A:A,'Master Table'!C:D,2,FALSE)</f>
        <v>#N/A</v>
      </c>
      <c r="E762" s="291"/>
      <c r="F762" s="90">
        <v>5433.6</v>
      </c>
      <c r="G762" s="91">
        <v>4180.8599999999997</v>
      </c>
      <c r="H762" s="159">
        <v>4031.84</v>
      </c>
      <c r="I762" s="160">
        <v>2864</v>
      </c>
    </row>
    <row r="763" spans="1:9" ht="15" x14ac:dyDescent="0.2">
      <c r="A763" s="130" t="s">
        <v>3654</v>
      </c>
      <c r="B763" s="89" t="s">
        <v>3656</v>
      </c>
      <c r="C763" s="89" t="s">
        <v>1032</v>
      </c>
      <c r="D763" s="278" t="str">
        <f>VLOOKUP(A:A,'Master Table'!C:D,2,FALSE)</f>
        <v>0439506</v>
      </c>
      <c r="E763" s="291"/>
      <c r="F763" s="90">
        <v>296</v>
      </c>
      <c r="G763" s="91">
        <v>420</v>
      </c>
      <c r="H763" s="159">
        <v>255</v>
      </c>
      <c r="I763" s="160">
        <v>280</v>
      </c>
    </row>
    <row r="764" spans="1:9" ht="15" x14ac:dyDescent="0.2">
      <c r="A764" s="130" t="s">
        <v>3660</v>
      </c>
      <c r="B764" s="89" t="s">
        <v>3663</v>
      </c>
      <c r="C764" s="89" t="s">
        <v>3662</v>
      </c>
      <c r="D764" s="278" t="str">
        <f>VLOOKUP(A:A,'Master Table'!C:D,2,FALSE)</f>
        <v>409</v>
      </c>
      <c r="E764" s="291"/>
      <c r="F764" s="90">
        <v>798.84</v>
      </c>
      <c r="G764" s="91">
        <v>704</v>
      </c>
      <c r="H764" s="159">
        <v>993</v>
      </c>
      <c r="I764" s="160">
        <v>355</v>
      </c>
    </row>
    <row r="765" spans="1:9" ht="15" x14ac:dyDescent="0.2">
      <c r="A765" s="130" t="s">
        <v>7664</v>
      </c>
      <c r="B765" s="89" t="s">
        <v>7665</v>
      </c>
      <c r="C765" s="94" t="s">
        <v>7666</v>
      </c>
      <c r="D765" s="278" t="e">
        <f>VLOOKUP(A:A,'Master Table'!C:D,2,FALSE)</f>
        <v>#N/A</v>
      </c>
      <c r="E765" s="291"/>
      <c r="F765" s="90">
        <v>205</v>
      </c>
      <c r="G765" s="91">
        <v>178</v>
      </c>
      <c r="H765" s="159">
        <v>572.08999999999992</v>
      </c>
      <c r="I765" s="160">
        <v>343</v>
      </c>
    </row>
    <row r="766" spans="1:9" ht="15" x14ac:dyDescent="0.2">
      <c r="A766" s="130" t="s">
        <v>3667</v>
      </c>
      <c r="B766" s="89" t="s">
        <v>3670</v>
      </c>
      <c r="C766" s="89" t="s">
        <v>1584</v>
      </c>
      <c r="D766" s="278" t="str">
        <f>VLOOKUP(A:A,'Master Table'!C:D,2,FALSE)</f>
        <v>0444558</v>
      </c>
      <c r="E766" s="291"/>
      <c r="F766" s="90">
        <v>30</v>
      </c>
      <c r="G766" s="91">
        <v>285.72000000000003</v>
      </c>
      <c r="H766" s="159">
        <v>400.32</v>
      </c>
      <c r="I766" s="160">
        <v>538</v>
      </c>
    </row>
    <row r="767" spans="1:9" ht="15" x14ac:dyDescent="0.2">
      <c r="A767" s="130" t="s">
        <v>3671</v>
      </c>
      <c r="B767" s="89" t="s">
        <v>3674</v>
      </c>
      <c r="C767" s="89" t="s">
        <v>3876</v>
      </c>
      <c r="D767" s="278" t="str">
        <f>VLOOKUP(A:A,'Master Table'!C:D,2,FALSE)</f>
        <v>412</v>
      </c>
      <c r="E767" s="291"/>
      <c r="F767" s="90">
        <v>1664.22</v>
      </c>
      <c r="G767" s="91">
        <v>2710.14</v>
      </c>
      <c r="H767" s="159">
        <v>986.72</v>
      </c>
      <c r="I767" s="160">
        <v>1022</v>
      </c>
    </row>
    <row r="768" spans="1:9" ht="15" x14ac:dyDescent="0.2">
      <c r="A768" s="130" t="s">
        <v>3675</v>
      </c>
      <c r="B768" s="89" t="s">
        <v>3674</v>
      </c>
      <c r="C768" s="89" t="s">
        <v>7667</v>
      </c>
      <c r="D768" s="278" t="str">
        <f>VLOOKUP(A:A,'Master Table'!C:D,2,FALSE)</f>
        <v>413</v>
      </c>
      <c r="E768" s="291"/>
      <c r="F768" s="90">
        <v>602.76</v>
      </c>
      <c r="G768" s="91">
        <v>505.8</v>
      </c>
      <c r="H768" s="159">
        <v>420.45</v>
      </c>
      <c r="I768" s="160">
        <v>628</v>
      </c>
    </row>
    <row r="769" spans="1:9" ht="15" x14ac:dyDescent="0.2">
      <c r="A769" s="130" t="s">
        <v>3678</v>
      </c>
      <c r="B769" s="89" t="s">
        <v>3674</v>
      </c>
      <c r="C769" s="89" t="s">
        <v>3680</v>
      </c>
      <c r="D769" s="278" t="str">
        <f>VLOOKUP(A:A,'Master Table'!C:D,2,FALSE)</f>
        <v>414</v>
      </c>
      <c r="E769" s="291"/>
      <c r="F769" s="90">
        <v>806.61</v>
      </c>
      <c r="G769" s="91">
        <v>457.74</v>
      </c>
      <c r="H769" s="159">
        <v>441.05</v>
      </c>
      <c r="I769" s="160">
        <v>233</v>
      </c>
    </row>
    <row r="770" spans="1:9" ht="15" x14ac:dyDescent="0.2">
      <c r="A770" s="130" t="s">
        <v>3681</v>
      </c>
      <c r="B770" s="89" t="s">
        <v>7668</v>
      </c>
      <c r="C770" s="89" t="s">
        <v>246</v>
      </c>
      <c r="D770" s="278" t="str">
        <f>VLOOKUP(A:A,'Master Table'!C:D,2,FALSE)</f>
        <v>148048</v>
      </c>
      <c r="E770" s="291"/>
      <c r="F770" s="90">
        <v>0</v>
      </c>
      <c r="G770" s="91">
        <v>0</v>
      </c>
      <c r="H770" s="159">
        <v>329.34000000000003</v>
      </c>
      <c r="I770" s="160">
        <v>20</v>
      </c>
    </row>
    <row r="771" spans="1:9" ht="15" x14ac:dyDescent="0.2">
      <c r="A771" s="130" t="s">
        <v>3685</v>
      </c>
      <c r="B771" s="89" t="s">
        <v>7669</v>
      </c>
      <c r="C771" s="89" t="s">
        <v>7670</v>
      </c>
      <c r="D771" s="278" t="str">
        <f>VLOOKUP(A:A,'Master Table'!C:D,2,FALSE)</f>
        <v>415</v>
      </c>
      <c r="E771" s="291"/>
      <c r="F771" s="90">
        <v>0</v>
      </c>
      <c r="G771" s="91">
        <v>0</v>
      </c>
      <c r="H771" s="159">
        <v>57.309999999999995</v>
      </c>
      <c r="I771" s="160">
        <v>0</v>
      </c>
    </row>
    <row r="772" spans="1:9" ht="15" x14ac:dyDescent="0.2">
      <c r="A772" s="130" t="s">
        <v>7671</v>
      </c>
      <c r="B772" s="89" t="s">
        <v>7672</v>
      </c>
      <c r="C772" s="89" t="s">
        <v>7673</v>
      </c>
      <c r="D772" s="278" t="e">
        <f>VLOOKUP(A:A,'Master Table'!C:D,2,FALSE)</f>
        <v>#N/A</v>
      </c>
      <c r="E772" s="291"/>
      <c r="F772" s="90">
        <v>1858.65</v>
      </c>
      <c r="G772" s="91">
        <v>2093.2799999999997</v>
      </c>
      <c r="H772" s="159">
        <v>2191.67</v>
      </c>
      <c r="I772" s="160">
        <v>1884</v>
      </c>
    </row>
    <row r="773" spans="1:9" ht="15" x14ac:dyDescent="0.2">
      <c r="A773" s="130" t="s">
        <v>3695</v>
      </c>
      <c r="B773" s="89" t="s">
        <v>7674</v>
      </c>
      <c r="C773" s="89" t="s">
        <v>72</v>
      </c>
      <c r="D773" s="278" t="str">
        <f>VLOOKUP(A:A,'Master Table'!C:D,2,FALSE)</f>
        <v>417</v>
      </c>
      <c r="E773" s="291"/>
      <c r="F773" s="90">
        <v>1744.08</v>
      </c>
      <c r="G773" s="91">
        <v>1193</v>
      </c>
      <c r="H773" s="159">
        <v>2000.27</v>
      </c>
      <c r="I773" s="160">
        <v>1023</v>
      </c>
    </row>
    <row r="774" spans="1:9" ht="15" x14ac:dyDescent="0.2">
      <c r="A774" s="130" t="s">
        <v>3710</v>
      </c>
      <c r="B774" s="89" t="s">
        <v>3712</v>
      </c>
      <c r="C774" s="89" t="s">
        <v>1284</v>
      </c>
      <c r="D774" s="278" t="str">
        <f>VLOOKUP(A:A,'Master Table'!C:D,2,FALSE)</f>
        <v>419</v>
      </c>
      <c r="E774" s="291"/>
      <c r="F774" s="90">
        <v>530</v>
      </c>
      <c r="G774" s="91">
        <v>470</v>
      </c>
      <c r="H774" s="159">
        <v>538.6</v>
      </c>
      <c r="I774" s="160">
        <v>370</v>
      </c>
    </row>
    <row r="775" spans="1:9" ht="15" x14ac:dyDescent="0.2">
      <c r="A775" s="130" t="s">
        <v>3713</v>
      </c>
      <c r="B775" s="89" t="s">
        <v>3716</v>
      </c>
      <c r="C775" s="89" t="s">
        <v>3715</v>
      </c>
      <c r="D775" s="278" t="str">
        <f>VLOOKUP(A:A,'Master Table'!C:D,2,FALSE)</f>
        <v>420</v>
      </c>
      <c r="E775" s="291"/>
      <c r="F775" s="90">
        <v>300</v>
      </c>
      <c r="G775" s="91">
        <v>315</v>
      </c>
      <c r="H775" s="159">
        <v>324.62</v>
      </c>
      <c r="I775" s="160">
        <v>230</v>
      </c>
    </row>
    <row r="776" spans="1:9" ht="15" x14ac:dyDescent="0.2">
      <c r="A776" s="130" t="s">
        <v>3721</v>
      </c>
      <c r="B776" s="89" t="s">
        <v>3723</v>
      </c>
      <c r="C776" s="89" t="s">
        <v>783</v>
      </c>
      <c r="D776" s="278" t="str">
        <f>VLOOKUP(A:A,'Master Table'!C:D,2,FALSE)</f>
        <v>422</v>
      </c>
      <c r="E776" s="291"/>
      <c r="F776" s="90">
        <v>346.21000000000004</v>
      </c>
      <c r="G776" s="91">
        <v>587.20000000000005</v>
      </c>
      <c r="H776" s="159">
        <v>272</v>
      </c>
      <c r="I776" s="160">
        <v>281</v>
      </c>
    </row>
    <row r="777" spans="1:9" ht="15" x14ac:dyDescent="0.2">
      <c r="A777" s="130" t="s">
        <v>3724</v>
      </c>
      <c r="B777" s="89" t="s">
        <v>3723</v>
      </c>
      <c r="C777" s="89" t="s">
        <v>7199</v>
      </c>
      <c r="D777" s="278" t="str">
        <f>VLOOKUP(A:A,'Master Table'!C:D,2,FALSE)</f>
        <v>423</v>
      </c>
      <c r="E777" s="291"/>
      <c r="F777" s="90">
        <v>966.34</v>
      </c>
      <c r="G777" s="91">
        <v>680</v>
      </c>
      <c r="H777" s="159">
        <v>423.95</v>
      </c>
      <c r="I777" s="160">
        <v>10</v>
      </c>
    </row>
    <row r="778" spans="1:9" ht="15" x14ac:dyDescent="0.2">
      <c r="A778" s="130" t="s">
        <v>3726</v>
      </c>
      <c r="B778" s="89" t="s">
        <v>3723</v>
      </c>
      <c r="C778" s="89" t="s">
        <v>1284</v>
      </c>
      <c r="D778" s="278" t="str">
        <f>VLOOKUP(A:A,'Master Table'!C:D,2,FALSE)</f>
        <v>424</v>
      </c>
      <c r="E778" s="291"/>
      <c r="F778" s="90">
        <v>1877.54</v>
      </c>
      <c r="G778" s="91">
        <v>1939.07</v>
      </c>
      <c r="H778" s="159">
        <v>1550.34</v>
      </c>
      <c r="I778" s="160">
        <v>1395</v>
      </c>
    </row>
    <row r="779" spans="1:9" ht="15" x14ac:dyDescent="0.2">
      <c r="A779" s="130" t="s">
        <v>7675</v>
      </c>
      <c r="B779" s="89" t="s">
        <v>3723</v>
      </c>
      <c r="C779" s="89" t="s">
        <v>7676</v>
      </c>
      <c r="D779" s="278" t="e">
        <f>VLOOKUP(A:A,'Master Table'!C:D,2,FALSE)</f>
        <v>#N/A</v>
      </c>
      <c r="E779" s="291"/>
      <c r="F779" s="90">
        <v>783.79</v>
      </c>
      <c r="G779" s="91">
        <v>1706.3</v>
      </c>
      <c r="H779" s="159">
        <v>1999</v>
      </c>
      <c r="I779" s="160">
        <v>2075</v>
      </c>
    </row>
    <row r="780" spans="1:9" ht="15" x14ac:dyDescent="0.2">
      <c r="A780" s="130" t="s">
        <v>3732</v>
      </c>
      <c r="B780" s="89" t="s">
        <v>3723</v>
      </c>
      <c r="C780" s="89" t="s">
        <v>532</v>
      </c>
      <c r="D780" s="278" t="str">
        <f>VLOOKUP(A:A,'Master Table'!C:D,2,FALSE)</f>
        <v>426</v>
      </c>
      <c r="E780" s="291"/>
      <c r="F780" s="90">
        <v>1929.58</v>
      </c>
      <c r="G780" s="91">
        <v>1344</v>
      </c>
      <c r="H780" s="159">
        <v>1186.99</v>
      </c>
      <c r="I780" s="160">
        <v>799</v>
      </c>
    </row>
    <row r="781" spans="1:9" ht="15" x14ac:dyDescent="0.2">
      <c r="A781" s="130" t="s">
        <v>3734</v>
      </c>
      <c r="B781" s="89" t="s">
        <v>3723</v>
      </c>
      <c r="C781" s="89" t="s">
        <v>7677</v>
      </c>
      <c r="D781" s="278" t="str">
        <f>VLOOKUP(A:A,'Master Table'!C:D,2,FALSE)</f>
        <v>428</v>
      </c>
      <c r="E781" s="291"/>
      <c r="F781" s="90">
        <v>2160.63</v>
      </c>
      <c r="G781" s="91">
        <v>2226</v>
      </c>
      <c r="H781" s="159">
        <v>2102.1000000000004</v>
      </c>
      <c r="I781" s="160">
        <v>2258</v>
      </c>
    </row>
    <row r="782" spans="1:9" ht="15" x14ac:dyDescent="0.2">
      <c r="A782" s="130" t="s">
        <v>3740</v>
      </c>
      <c r="B782" s="89" t="s">
        <v>3723</v>
      </c>
      <c r="C782" s="89" t="s">
        <v>7678</v>
      </c>
      <c r="D782" s="278" t="str">
        <f>VLOOKUP(A:A,'Master Table'!C:D,2,FALSE)</f>
        <v>429</v>
      </c>
      <c r="E782" s="291"/>
      <c r="F782" s="90">
        <v>2993.5</v>
      </c>
      <c r="G782" s="91">
        <v>235</v>
      </c>
      <c r="H782" s="159">
        <v>394.15</v>
      </c>
      <c r="I782" s="160">
        <v>235</v>
      </c>
    </row>
    <row r="783" spans="1:9" ht="15" x14ac:dyDescent="0.2">
      <c r="A783" s="130" t="s">
        <v>3745</v>
      </c>
      <c r="B783" s="89" t="s">
        <v>3747</v>
      </c>
      <c r="C783" s="89" t="s">
        <v>1065</v>
      </c>
      <c r="D783" s="278" t="str">
        <f>VLOOKUP(A:A,'Master Table'!C:D,2,FALSE)</f>
        <v>431</v>
      </c>
      <c r="E783" s="291"/>
      <c r="F783" s="90">
        <v>596.98</v>
      </c>
      <c r="G783" s="91">
        <v>572.07999999999993</v>
      </c>
      <c r="H783" s="159">
        <v>100</v>
      </c>
      <c r="I783" s="160">
        <v>110</v>
      </c>
    </row>
    <row r="784" spans="1:9" ht="15" x14ac:dyDescent="0.2">
      <c r="A784" s="130" t="s">
        <v>3748</v>
      </c>
      <c r="B784" s="89" t="s">
        <v>3750</v>
      </c>
      <c r="C784" s="89" t="s">
        <v>7317</v>
      </c>
      <c r="D784" s="278" t="str">
        <f>VLOOKUP(A:A,'Master Table'!C:D,2,FALSE)</f>
        <v>432</v>
      </c>
      <c r="E784" s="291"/>
      <c r="F784" s="90">
        <v>35</v>
      </c>
      <c r="G784" s="91">
        <v>50</v>
      </c>
      <c r="H784" s="159">
        <v>30</v>
      </c>
      <c r="I784" s="160">
        <v>60</v>
      </c>
    </row>
    <row r="785" spans="1:9" ht="15" x14ac:dyDescent="0.2">
      <c r="A785" s="130" t="s">
        <v>3754</v>
      </c>
      <c r="B785" s="89" t="s">
        <v>3750</v>
      </c>
      <c r="C785" s="89" t="s">
        <v>1160</v>
      </c>
      <c r="D785" s="278" t="str">
        <f>VLOOKUP(A:A,'Master Table'!C:D,2,FALSE)</f>
        <v>433</v>
      </c>
      <c r="E785" s="291"/>
      <c r="F785" s="90">
        <v>1245</v>
      </c>
      <c r="G785" s="91">
        <v>824</v>
      </c>
      <c r="H785" s="159">
        <v>822</v>
      </c>
      <c r="I785" s="160">
        <v>1045</v>
      </c>
    </row>
    <row r="786" spans="1:9" ht="15" x14ac:dyDescent="0.2">
      <c r="A786" s="130" t="s">
        <v>3757</v>
      </c>
      <c r="B786" s="89" t="s">
        <v>3750</v>
      </c>
      <c r="C786" s="89" t="s">
        <v>7679</v>
      </c>
      <c r="D786" s="278" t="str">
        <f>VLOOKUP(A:A,'Master Table'!C:D,2,FALSE)</f>
        <v>435</v>
      </c>
      <c r="E786" s="291"/>
      <c r="F786" s="90">
        <v>2129</v>
      </c>
      <c r="G786" s="91">
        <v>415</v>
      </c>
      <c r="H786" s="159">
        <v>560</v>
      </c>
      <c r="I786" s="160">
        <v>412</v>
      </c>
    </row>
    <row r="787" spans="1:9" ht="15" x14ac:dyDescent="0.2">
      <c r="A787" s="130" t="s">
        <v>3763</v>
      </c>
      <c r="B787" s="89" t="s">
        <v>3750</v>
      </c>
      <c r="C787" s="89" t="s">
        <v>7680</v>
      </c>
      <c r="D787" s="278" t="str">
        <f>VLOOKUP(A:A,'Master Table'!C:D,2,FALSE)</f>
        <v>436</v>
      </c>
      <c r="E787" s="291"/>
      <c r="F787" s="90">
        <v>1172.96</v>
      </c>
      <c r="G787" s="91">
        <v>1505.24</v>
      </c>
      <c r="H787" s="159">
        <v>1119.6199999999999</v>
      </c>
      <c r="I787" s="160">
        <v>897</v>
      </c>
    </row>
    <row r="788" spans="1:9" ht="15" x14ac:dyDescent="0.2">
      <c r="A788" s="130" t="s">
        <v>3769</v>
      </c>
      <c r="B788" s="89" t="s">
        <v>3750</v>
      </c>
      <c r="C788" s="89" t="s">
        <v>3771</v>
      </c>
      <c r="D788" s="278" t="str">
        <f>VLOOKUP(A:A,'Master Table'!C:D,2,FALSE)</f>
        <v>437</v>
      </c>
      <c r="E788" s="291"/>
      <c r="F788" s="90">
        <v>842.09999999999991</v>
      </c>
      <c r="G788" s="91">
        <v>446</v>
      </c>
      <c r="H788" s="159">
        <v>659.47</v>
      </c>
      <c r="I788" s="160">
        <v>536</v>
      </c>
    </row>
    <row r="789" spans="1:9" ht="15" x14ac:dyDescent="0.2">
      <c r="A789" s="130" t="s">
        <v>3772</v>
      </c>
      <c r="B789" s="89" t="s">
        <v>3775</v>
      </c>
      <c r="C789" s="89" t="s">
        <v>7681</v>
      </c>
      <c r="D789" s="278" t="str">
        <f>VLOOKUP(A:A,'Master Table'!C:D,2,FALSE)</f>
        <v>439</v>
      </c>
      <c r="E789" s="291"/>
      <c r="F789" s="90">
        <v>429.95</v>
      </c>
      <c r="G789" s="91">
        <v>465</v>
      </c>
      <c r="H789" s="159">
        <v>445</v>
      </c>
      <c r="I789" s="160">
        <v>1476</v>
      </c>
    </row>
    <row r="790" spans="1:9" ht="15" x14ac:dyDescent="0.2">
      <c r="A790" s="130" t="s">
        <v>3778</v>
      </c>
      <c r="B790" s="89" t="s">
        <v>3781</v>
      </c>
      <c r="C790" s="89" t="s">
        <v>7682</v>
      </c>
      <c r="D790" s="278" t="str">
        <f>VLOOKUP(A:A,'Master Table'!C:D,2,FALSE)</f>
        <v>440</v>
      </c>
      <c r="E790" s="291"/>
      <c r="F790" s="90">
        <v>1209.6300000000001</v>
      </c>
      <c r="G790" s="91">
        <v>1191.29</v>
      </c>
      <c r="H790" s="159">
        <v>1037.27</v>
      </c>
      <c r="I790" s="160">
        <v>1103</v>
      </c>
    </row>
    <row r="791" spans="1:9" ht="15" x14ac:dyDescent="0.2">
      <c r="A791" s="130" t="s">
        <v>3782</v>
      </c>
      <c r="B791" s="89" t="s">
        <v>3785</v>
      </c>
      <c r="C791" s="89" t="s">
        <v>3784</v>
      </c>
      <c r="D791" s="278" t="str">
        <f>VLOOKUP(A:A,'Master Table'!C:D,2,FALSE)</f>
        <v>441</v>
      </c>
      <c r="E791" s="291"/>
      <c r="F791" s="90">
        <v>618.71</v>
      </c>
      <c r="G791" s="91">
        <v>215</v>
      </c>
      <c r="H791" s="159">
        <v>886</v>
      </c>
      <c r="I791" s="160">
        <v>225</v>
      </c>
    </row>
    <row r="792" spans="1:9" ht="15" x14ac:dyDescent="0.2">
      <c r="A792" s="130" t="s">
        <v>3786</v>
      </c>
      <c r="B792" s="89" t="s">
        <v>3788</v>
      </c>
      <c r="C792" s="89" t="s">
        <v>934</v>
      </c>
      <c r="D792" s="278" t="str">
        <f>VLOOKUP(A:A,'Master Table'!C:D,2,FALSE)</f>
        <v>442</v>
      </c>
      <c r="E792" s="291"/>
      <c r="F792" s="90">
        <v>1394.14</v>
      </c>
      <c r="G792" s="91">
        <v>890.73</v>
      </c>
      <c r="H792" s="159">
        <v>323</v>
      </c>
      <c r="I792" s="160">
        <v>300</v>
      </c>
    </row>
    <row r="793" spans="1:9" ht="15" x14ac:dyDescent="0.2">
      <c r="A793" s="130" t="s">
        <v>3789</v>
      </c>
      <c r="B793" s="89" t="s">
        <v>3792</v>
      </c>
      <c r="C793" s="89" t="s">
        <v>1065</v>
      </c>
      <c r="D793" s="278" t="str">
        <f>VLOOKUP(A:A,'Master Table'!C:D,2,FALSE)</f>
        <v>443</v>
      </c>
      <c r="E793" s="291"/>
      <c r="F793" s="90">
        <v>696.26</v>
      </c>
      <c r="G793" s="91">
        <v>773.12</v>
      </c>
      <c r="H793" s="159">
        <v>650.03</v>
      </c>
      <c r="I793" s="160">
        <v>578</v>
      </c>
    </row>
    <row r="794" spans="1:9" ht="15" x14ac:dyDescent="0.2">
      <c r="A794" s="130" t="s">
        <v>3793</v>
      </c>
      <c r="B794" s="89" t="s">
        <v>3795</v>
      </c>
      <c r="C794" s="89" t="s">
        <v>896</v>
      </c>
      <c r="D794" s="278" t="str">
        <f>VLOOKUP(A:A,'Master Table'!C:D,2,FALSE)</f>
        <v>444</v>
      </c>
      <c r="E794" s="291"/>
      <c r="F794" s="90">
        <v>312.74</v>
      </c>
      <c r="G794" s="91">
        <v>250.51</v>
      </c>
      <c r="H794" s="159">
        <v>336.25</v>
      </c>
      <c r="I794" s="160">
        <v>200</v>
      </c>
    </row>
    <row r="795" spans="1:9" ht="15" x14ac:dyDescent="0.2">
      <c r="A795" s="130" t="s">
        <v>3796</v>
      </c>
      <c r="B795" s="89" t="s">
        <v>3646</v>
      </c>
      <c r="C795" s="89" t="s">
        <v>3798</v>
      </c>
      <c r="D795" s="278" t="str">
        <f>VLOOKUP(A:A,'Master Table'!C:D,2,FALSE)</f>
        <v>445</v>
      </c>
      <c r="E795" s="291"/>
      <c r="F795" s="90">
        <v>544.30999999999995</v>
      </c>
      <c r="G795" s="91">
        <v>941.5</v>
      </c>
      <c r="H795" s="159">
        <v>1372</v>
      </c>
      <c r="I795" s="160">
        <v>80</v>
      </c>
    </row>
    <row r="796" spans="1:9" ht="15" x14ac:dyDescent="0.2">
      <c r="A796" s="130" t="s">
        <v>3800</v>
      </c>
      <c r="B796" s="89" t="s">
        <v>3646</v>
      </c>
      <c r="C796" s="89" t="s">
        <v>1584</v>
      </c>
      <c r="D796" s="278" t="str">
        <f>VLOOKUP(A:A,'Master Table'!C:D,2,FALSE)</f>
        <v>447</v>
      </c>
      <c r="E796" s="291"/>
      <c r="F796" s="90">
        <v>1349.1399999999999</v>
      </c>
      <c r="G796" s="91">
        <v>1783</v>
      </c>
      <c r="H796" s="159">
        <v>1702.12</v>
      </c>
      <c r="I796" s="160">
        <v>1489</v>
      </c>
    </row>
    <row r="797" spans="1:9" ht="15" x14ac:dyDescent="0.2">
      <c r="A797" s="130" t="s">
        <v>3802</v>
      </c>
      <c r="B797" s="89" t="s">
        <v>3805</v>
      </c>
      <c r="C797" s="89" t="s">
        <v>4670</v>
      </c>
      <c r="D797" s="278" t="str">
        <f>VLOOKUP(A:A,'Master Table'!C:D,2,FALSE)</f>
        <v>448</v>
      </c>
      <c r="E797" s="291"/>
      <c r="F797" s="90">
        <v>881.14</v>
      </c>
      <c r="G797" s="91">
        <v>1232.47</v>
      </c>
      <c r="H797" s="159">
        <v>666.94</v>
      </c>
      <c r="I797" s="160">
        <v>936</v>
      </c>
    </row>
    <row r="798" spans="1:9" ht="15" x14ac:dyDescent="0.2">
      <c r="A798" s="130" t="s">
        <v>3808</v>
      </c>
      <c r="B798" s="89" t="s">
        <v>3810</v>
      </c>
      <c r="C798" s="89" t="s">
        <v>453</v>
      </c>
      <c r="D798" s="278" t="str">
        <f>VLOOKUP(A:A,'Master Table'!C:D,2,FALSE)</f>
        <v>449</v>
      </c>
      <c r="E798" s="291"/>
      <c r="F798" s="90">
        <v>902</v>
      </c>
      <c r="G798" s="91">
        <v>508</v>
      </c>
      <c r="H798" s="159">
        <v>553</v>
      </c>
      <c r="I798" s="160">
        <v>200</v>
      </c>
    </row>
    <row r="799" spans="1:9" ht="15" x14ac:dyDescent="0.2">
      <c r="A799" s="130" t="s">
        <v>3811</v>
      </c>
      <c r="B799" s="89" t="s">
        <v>3813</v>
      </c>
      <c r="C799" s="89" t="s">
        <v>1696</v>
      </c>
      <c r="D799" s="278" t="str">
        <f>VLOOKUP(A:A,'Master Table'!C:D,2,FALSE)</f>
        <v>450</v>
      </c>
      <c r="E799" s="291"/>
      <c r="F799" s="90">
        <v>456.96</v>
      </c>
      <c r="G799" s="91">
        <v>1115</v>
      </c>
      <c r="H799" s="159">
        <v>501.11</v>
      </c>
      <c r="I799" s="160">
        <v>1144</v>
      </c>
    </row>
    <row r="800" spans="1:9" ht="15" x14ac:dyDescent="0.2">
      <c r="A800" s="130" t="s">
        <v>3820</v>
      </c>
      <c r="B800" s="89" t="s">
        <v>3822</v>
      </c>
      <c r="C800" s="89" t="s">
        <v>7683</v>
      </c>
      <c r="D800" s="278" t="str">
        <f>VLOOKUP(A:A,'Master Table'!C:D,2,FALSE)</f>
        <v>0444533</v>
      </c>
      <c r="E800" s="291"/>
      <c r="F800" s="90">
        <v>260</v>
      </c>
      <c r="G800" s="91">
        <v>260</v>
      </c>
      <c r="H800" s="159"/>
      <c r="I800" s="160">
        <v>860</v>
      </c>
    </row>
    <row r="801" spans="1:9" ht="15" x14ac:dyDescent="0.2">
      <c r="A801" s="130" t="s">
        <v>3823</v>
      </c>
      <c r="B801" s="89" t="s">
        <v>3826</v>
      </c>
      <c r="C801" s="89" t="s">
        <v>7684</v>
      </c>
      <c r="D801" s="278" t="str">
        <f>VLOOKUP(A:A,'Master Table'!C:D,2,FALSE)</f>
        <v>451</v>
      </c>
      <c r="E801" s="291"/>
      <c r="F801" s="90">
        <v>680</v>
      </c>
      <c r="G801" s="91">
        <v>165</v>
      </c>
      <c r="H801" s="159">
        <v>140</v>
      </c>
      <c r="I801" s="160">
        <v>95</v>
      </c>
    </row>
    <row r="802" spans="1:9" ht="15" x14ac:dyDescent="0.2">
      <c r="A802" s="130" t="s">
        <v>3827</v>
      </c>
      <c r="B802" s="89" t="s">
        <v>3829</v>
      </c>
      <c r="C802" s="89" t="s">
        <v>226</v>
      </c>
      <c r="D802" s="278" t="str">
        <f>VLOOKUP(A:A,'Master Table'!C:D,2,FALSE)</f>
        <v>452</v>
      </c>
      <c r="E802" s="291"/>
      <c r="F802" s="90">
        <v>579</v>
      </c>
      <c r="G802" s="91">
        <v>742</v>
      </c>
      <c r="H802" s="159">
        <v>644.22</v>
      </c>
      <c r="I802" s="160">
        <v>925</v>
      </c>
    </row>
    <row r="803" spans="1:9" ht="15" x14ac:dyDescent="0.2">
      <c r="A803" s="130" t="s">
        <v>3833</v>
      </c>
      <c r="B803" s="89" t="s">
        <v>3612</v>
      </c>
      <c r="C803" s="89" t="s">
        <v>7685</v>
      </c>
      <c r="D803" s="278" t="str">
        <f>VLOOKUP(A:A,'Master Table'!C:D,2,FALSE)</f>
        <v>454</v>
      </c>
      <c r="E803" s="291"/>
      <c r="F803" s="90">
        <v>143.74</v>
      </c>
      <c r="G803" s="91">
        <v>134.18</v>
      </c>
      <c r="H803" s="159">
        <v>247.58</v>
      </c>
      <c r="I803" s="160">
        <v>279</v>
      </c>
    </row>
    <row r="804" spans="1:9" ht="15" x14ac:dyDescent="0.2">
      <c r="A804" s="130" t="s">
        <v>3836</v>
      </c>
      <c r="B804" s="89" t="s">
        <v>3646</v>
      </c>
      <c r="C804" s="89" t="s">
        <v>3838</v>
      </c>
      <c r="D804" s="278" t="str">
        <f>VLOOKUP(A:A,'Master Table'!C:D,2,FALSE)</f>
        <v>455</v>
      </c>
      <c r="E804" s="291"/>
      <c r="F804" s="90">
        <v>490.82</v>
      </c>
      <c r="G804" s="91">
        <v>294</v>
      </c>
      <c r="H804" s="159">
        <v>839.65000000000009</v>
      </c>
      <c r="I804" s="160">
        <v>289</v>
      </c>
    </row>
    <row r="805" spans="1:9" ht="15" x14ac:dyDescent="0.2">
      <c r="A805" s="161" t="s">
        <v>7261</v>
      </c>
      <c r="B805" s="162" t="s">
        <v>7261</v>
      </c>
      <c r="C805" s="162" t="s">
        <v>7261</v>
      </c>
      <c r="D805" s="278" t="e">
        <f>VLOOKUP(A:A,'Master Table'!C:D,2,FALSE)</f>
        <v>#N/A</v>
      </c>
      <c r="E805" s="291"/>
      <c r="F805" s="90">
        <v>1949.79</v>
      </c>
      <c r="G805" s="91">
        <v>1848.08</v>
      </c>
      <c r="H805" s="159">
        <v>3346.82</v>
      </c>
      <c r="I805" s="160">
        <v>3819</v>
      </c>
    </row>
    <row r="806" spans="1:9" ht="16.5" thickBot="1" x14ac:dyDescent="0.25">
      <c r="A806" s="136" t="s">
        <v>307</v>
      </c>
      <c r="B806" s="163"/>
      <c r="C806" s="163"/>
      <c r="D806" s="293"/>
      <c r="E806" s="293"/>
      <c r="F806" s="139">
        <v>72484.88</v>
      </c>
      <c r="G806" s="139">
        <v>68606.12000000001</v>
      </c>
      <c r="H806" s="164">
        <v>65424.25</v>
      </c>
      <c r="I806" s="165">
        <v>54830</v>
      </c>
    </row>
    <row r="807" spans="1:9" s="62" customFormat="1" ht="15" thickBot="1" x14ac:dyDescent="0.25">
      <c r="A807" s="60" t="s">
        <v>7262</v>
      </c>
      <c r="B807" s="60"/>
      <c r="C807" s="60"/>
      <c r="D807" s="275"/>
      <c r="E807" s="275"/>
      <c r="F807" s="61"/>
      <c r="G807" s="61"/>
      <c r="H807" s="60"/>
    </row>
    <row r="808" spans="1:9" ht="20.25" x14ac:dyDescent="0.2">
      <c r="A808" s="257" t="s">
        <v>7686</v>
      </c>
      <c r="B808" s="258"/>
      <c r="C808" s="258"/>
      <c r="D808" s="304"/>
      <c r="E808" s="304"/>
      <c r="F808" s="258"/>
      <c r="G808" s="258"/>
      <c r="H808" s="169"/>
      <c r="I808" s="170"/>
    </row>
    <row r="809" spans="1:9" ht="15.75" x14ac:dyDescent="0.25">
      <c r="A809" s="157" t="s">
        <v>1</v>
      </c>
      <c r="B809" s="157" t="s">
        <v>2</v>
      </c>
      <c r="C809" s="157" t="s">
        <v>3</v>
      </c>
      <c r="D809" s="290" t="s">
        <v>8165</v>
      </c>
      <c r="E809" s="305">
        <f>E3</f>
        <v>2019</v>
      </c>
      <c r="F809" s="157">
        <v>2018</v>
      </c>
      <c r="G809" s="171">
        <v>2017</v>
      </c>
      <c r="H809" s="172" t="s">
        <v>7689</v>
      </c>
      <c r="I809" s="173">
        <v>2016</v>
      </c>
    </row>
    <row r="810" spans="1:9" ht="15" x14ac:dyDescent="0.2">
      <c r="A810" s="89" t="s">
        <v>3843</v>
      </c>
      <c r="B810" s="89" t="s">
        <v>3846</v>
      </c>
      <c r="C810" s="89" t="s">
        <v>5806</v>
      </c>
      <c r="D810" s="278" t="str">
        <f>VLOOKUP(A:A,'Master Table'!C:D,2,FALSE)</f>
        <v>459</v>
      </c>
      <c r="E810" s="306"/>
      <c r="F810" s="175">
        <v>2522.7600000000002</v>
      </c>
      <c r="G810" s="176">
        <v>2941.1</v>
      </c>
      <c r="H810" s="177">
        <v>1281.0999999999999</v>
      </c>
      <c r="I810" s="178">
        <v>2616.66</v>
      </c>
    </row>
    <row r="811" spans="1:9" ht="15" x14ac:dyDescent="0.2">
      <c r="A811" s="89" t="s">
        <v>3848</v>
      </c>
      <c r="B811" s="89" t="s">
        <v>3850</v>
      </c>
      <c r="C811" s="89" t="s">
        <v>7216</v>
      </c>
      <c r="D811" s="278" t="str">
        <f>VLOOKUP(A:A,'Master Table'!C:D,2,FALSE)</f>
        <v>460</v>
      </c>
      <c r="E811" s="291"/>
      <c r="F811" s="175">
        <v>121.94</v>
      </c>
      <c r="G811" s="176">
        <v>160.43</v>
      </c>
      <c r="H811" s="177">
        <v>110.43</v>
      </c>
      <c r="I811" s="178">
        <v>362.95</v>
      </c>
    </row>
    <row r="812" spans="1:9" ht="15" x14ac:dyDescent="0.2">
      <c r="A812" s="89" t="s">
        <v>7690</v>
      </c>
      <c r="B812" s="89" t="s">
        <v>7691</v>
      </c>
      <c r="C812" s="89" t="s">
        <v>7692</v>
      </c>
      <c r="D812" s="278" t="e">
        <f>VLOOKUP(A:A,'Master Table'!C:D,2,FALSE)</f>
        <v>#N/A</v>
      </c>
      <c r="E812" s="306"/>
      <c r="F812" s="175">
        <v>1217.48</v>
      </c>
      <c r="G812" s="176">
        <v>1431.86</v>
      </c>
      <c r="H812" s="177">
        <v>766.8599999999999</v>
      </c>
      <c r="I812" s="178">
        <v>1920.8700000000001</v>
      </c>
    </row>
    <row r="813" spans="1:9" ht="15" x14ac:dyDescent="0.2">
      <c r="A813" s="89" t="s">
        <v>3853</v>
      </c>
      <c r="B813" s="89" t="s">
        <v>3850</v>
      </c>
      <c r="C813" s="89" t="s">
        <v>7693</v>
      </c>
      <c r="D813" s="278" t="str">
        <f>VLOOKUP(A:A,'Master Table'!C:D,2,FALSE)</f>
        <v>463</v>
      </c>
      <c r="E813" s="306"/>
      <c r="F813" s="175">
        <v>1109.96</v>
      </c>
      <c r="G813" s="176">
        <v>1244.48</v>
      </c>
      <c r="H813" s="177">
        <v>721.48</v>
      </c>
      <c r="I813" s="178">
        <v>1545.97</v>
      </c>
    </row>
    <row r="814" spans="1:9" ht="15" x14ac:dyDescent="0.2">
      <c r="A814" s="89" t="s">
        <v>3855</v>
      </c>
      <c r="B814" s="89" t="s">
        <v>3850</v>
      </c>
      <c r="C814" s="89" t="s">
        <v>7694</v>
      </c>
      <c r="D814" s="278" t="str">
        <f>VLOOKUP(A:A,'Master Table'!C:D,2,FALSE)</f>
        <v>464</v>
      </c>
      <c r="E814" s="307"/>
      <c r="F814" s="175">
        <v>2381.1999999999998</v>
      </c>
      <c r="G814" s="176">
        <v>2513</v>
      </c>
      <c r="H814" s="177">
        <v>947</v>
      </c>
      <c r="I814" s="178">
        <v>2784</v>
      </c>
    </row>
    <row r="815" spans="1:9" ht="15" x14ac:dyDescent="0.2">
      <c r="A815" s="89" t="s">
        <v>3859</v>
      </c>
      <c r="B815" s="89" t="s">
        <v>3850</v>
      </c>
      <c r="C815" s="89" t="s">
        <v>7511</v>
      </c>
      <c r="D815" s="278" t="str">
        <f>VLOOKUP(A:A,'Master Table'!C:D,2,FALSE)</f>
        <v>465</v>
      </c>
      <c r="E815" s="307"/>
      <c r="F815" s="175">
        <v>922.69999999999993</v>
      </c>
      <c r="G815" s="176">
        <v>1263</v>
      </c>
      <c r="H815" s="177">
        <v>859</v>
      </c>
      <c r="I815" s="178">
        <v>1444.7</v>
      </c>
    </row>
    <row r="816" spans="1:9" ht="15" x14ac:dyDescent="0.2">
      <c r="A816" s="89" t="s">
        <v>3862</v>
      </c>
      <c r="B816" s="89" t="s">
        <v>3850</v>
      </c>
      <c r="C816" s="89" t="s">
        <v>3864</v>
      </c>
      <c r="D816" s="278" t="str">
        <f>VLOOKUP(A:A,'Master Table'!C:D,2,FALSE)</f>
        <v>466</v>
      </c>
      <c r="E816" s="291"/>
      <c r="F816" s="175">
        <v>60</v>
      </c>
      <c r="G816" s="176">
        <v>60</v>
      </c>
      <c r="H816" s="177">
        <v>0</v>
      </c>
      <c r="I816" s="178">
        <v>60</v>
      </c>
    </row>
    <row r="817" spans="1:9" ht="15" x14ac:dyDescent="0.2">
      <c r="A817" s="89" t="s">
        <v>3865</v>
      </c>
      <c r="B817" s="89" t="s">
        <v>3850</v>
      </c>
      <c r="C817" s="89" t="s">
        <v>1032</v>
      </c>
      <c r="D817" s="278" t="str">
        <f>VLOOKUP(A:A,'Master Table'!C:D,2,FALSE)</f>
        <v>467</v>
      </c>
      <c r="E817" s="291"/>
      <c r="F817" s="175">
        <v>398.5</v>
      </c>
      <c r="G817" s="176">
        <v>210</v>
      </c>
      <c r="H817" s="177">
        <v>0</v>
      </c>
      <c r="I817" s="178">
        <v>367</v>
      </c>
    </row>
    <row r="818" spans="1:9" ht="15" x14ac:dyDescent="0.2">
      <c r="A818" s="89" t="s">
        <v>3868</v>
      </c>
      <c r="B818" s="89" t="s">
        <v>3850</v>
      </c>
      <c r="C818" s="89" t="s">
        <v>3870</v>
      </c>
      <c r="D818" s="278" t="str">
        <f>VLOOKUP(A:A,'Master Table'!C:D,2,FALSE)</f>
        <v>468</v>
      </c>
      <c r="E818" s="291"/>
      <c r="F818" s="175">
        <v>0</v>
      </c>
      <c r="G818" s="176">
        <v>15</v>
      </c>
      <c r="H818" s="177">
        <v>0</v>
      </c>
      <c r="I818" s="178">
        <v>20</v>
      </c>
    </row>
    <row r="819" spans="1:9" ht="15" x14ac:dyDescent="0.2">
      <c r="A819" s="89" t="s">
        <v>3874</v>
      </c>
      <c r="B819" s="89" t="s">
        <v>3850</v>
      </c>
      <c r="C819" s="89" t="s">
        <v>7449</v>
      </c>
      <c r="D819" s="278" t="str">
        <f>VLOOKUP(A:A,'Master Table'!C:D,2,FALSE)</f>
        <v>471</v>
      </c>
      <c r="E819" s="307"/>
      <c r="F819" s="175">
        <v>298.7</v>
      </c>
      <c r="G819" s="176">
        <v>301.27</v>
      </c>
      <c r="H819" s="177">
        <v>241.27</v>
      </c>
      <c r="I819" s="178">
        <v>317.49</v>
      </c>
    </row>
    <row r="820" spans="1:9" ht="15" x14ac:dyDescent="0.2">
      <c r="A820" s="89" t="s">
        <v>3878</v>
      </c>
      <c r="B820" s="89" t="s">
        <v>3850</v>
      </c>
      <c r="C820" s="89" t="s">
        <v>3880</v>
      </c>
      <c r="D820" s="278" t="str">
        <f>VLOOKUP(A:A,'Master Table'!C:D,2,FALSE)</f>
        <v>473</v>
      </c>
      <c r="E820" s="307"/>
      <c r="F820" s="175">
        <v>280.15999999999997</v>
      </c>
      <c r="G820" s="176">
        <v>151.84</v>
      </c>
      <c r="H820" s="177">
        <v>46.84</v>
      </c>
      <c r="I820" s="178">
        <v>199.08</v>
      </c>
    </row>
    <row r="821" spans="1:9" ht="15" x14ac:dyDescent="0.2">
      <c r="A821" s="89" t="s">
        <v>7695</v>
      </c>
      <c r="B821" s="89" t="s">
        <v>3850</v>
      </c>
      <c r="C821" s="89" t="s">
        <v>7696</v>
      </c>
      <c r="D821" s="278" t="e">
        <f>VLOOKUP(A:A,'Master Table'!C:D,2,FALSE)</f>
        <v>#N/A</v>
      </c>
      <c r="E821" s="291"/>
      <c r="F821" s="175">
        <v>1545</v>
      </c>
      <c r="G821" s="176">
        <v>503</v>
      </c>
      <c r="H821" s="177">
        <v>0</v>
      </c>
      <c r="I821" s="178">
        <v>225</v>
      </c>
    </row>
    <row r="822" spans="1:9" ht="15" x14ac:dyDescent="0.2">
      <c r="A822" s="89" t="s">
        <v>3885</v>
      </c>
      <c r="B822" s="89" t="s">
        <v>3850</v>
      </c>
      <c r="C822" s="89" t="s">
        <v>659</v>
      </c>
      <c r="D822" s="278" t="str">
        <f>VLOOKUP(A:A,'Master Table'!C:D,2,FALSE)</f>
        <v>475</v>
      </c>
      <c r="E822" s="291"/>
      <c r="F822" s="175">
        <v>858.7</v>
      </c>
      <c r="G822" s="176">
        <v>589</v>
      </c>
      <c r="H822" s="177">
        <v>0</v>
      </c>
      <c r="I822" s="178">
        <v>604.94000000000005</v>
      </c>
    </row>
    <row r="823" spans="1:9" ht="15" x14ac:dyDescent="0.2">
      <c r="A823" s="89" t="s">
        <v>3887</v>
      </c>
      <c r="B823" s="89" t="s">
        <v>3850</v>
      </c>
      <c r="C823" s="89" t="s">
        <v>453</v>
      </c>
      <c r="D823" s="278" t="str">
        <f>VLOOKUP(A:A,'Master Table'!C:D,2,FALSE)</f>
        <v>476</v>
      </c>
      <c r="E823" s="307"/>
      <c r="F823" s="175">
        <v>275.45</v>
      </c>
      <c r="G823" s="176">
        <v>147.93</v>
      </c>
      <c r="H823" s="177">
        <v>127.93</v>
      </c>
      <c r="I823" s="178">
        <v>176.87</v>
      </c>
    </row>
    <row r="824" spans="1:9" ht="15" x14ac:dyDescent="0.2">
      <c r="A824" s="89" t="s">
        <v>3889</v>
      </c>
      <c r="B824" s="89" t="s">
        <v>3850</v>
      </c>
      <c r="C824" s="89" t="s">
        <v>7697</v>
      </c>
      <c r="D824" s="278" t="str">
        <f>VLOOKUP(A:A,'Master Table'!C:D,2,FALSE)</f>
        <v>477</v>
      </c>
      <c r="E824" s="291"/>
      <c r="F824" s="175">
        <v>275</v>
      </c>
      <c r="G824" s="176">
        <v>251</v>
      </c>
      <c r="H824" s="177">
        <v>0</v>
      </c>
      <c r="I824" s="178">
        <v>232</v>
      </c>
    </row>
    <row r="825" spans="1:9" ht="15" x14ac:dyDescent="0.2">
      <c r="A825" s="89" t="s">
        <v>3892</v>
      </c>
      <c r="B825" s="89" t="s">
        <v>3894</v>
      </c>
      <c r="C825" s="89" t="s">
        <v>916</v>
      </c>
      <c r="D825" s="278" t="str">
        <f>VLOOKUP(A:A,'Master Table'!C:D,2,FALSE)</f>
        <v>479</v>
      </c>
      <c r="E825" s="291"/>
      <c r="F825" s="175">
        <v>75</v>
      </c>
      <c r="G825" s="176">
        <v>860</v>
      </c>
      <c r="H825" s="177">
        <v>0</v>
      </c>
      <c r="I825" s="178">
        <v>125</v>
      </c>
    </row>
    <row r="826" spans="1:9" ht="15" x14ac:dyDescent="0.2">
      <c r="A826" s="89" t="s">
        <v>3895</v>
      </c>
      <c r="B826" s="89" t="s">
        <v>3898</v>
      </c>
      <c r="C826" s="89" t="s">
        <v>7698</v>
      </c>
      <c r="D826" s="278" t="str">
        <f>VLOOKUP(A:A,'Master Table'!C:D,2,FALSE)</f>
        <v>480</v>
      </c>
      <c r="E826" s="307"/>
      <c r="F826" s="175">
        <v>738</v>
      </c>
      <c r="G826" s="176">
        <v>680</v>
      </c>
      <c r="H826" s="177">
        <v>670</v>
      </c>
      <c r="I826" s="178">
        <v>561</v>
      </c>
    </row>
    <row r="827" spans="1:9" ht="15" x14ac:dyDescent="0.2">
      <c r="A827" s="89" t="s">
        <v>3899</v>
      </c>
      <c r="B827" s="89" t="s">
        <v>3901</v>
      </c>
      <c r="C827" s="89" t="s">
        <v>1871</v>
      </c>
      <c r="D827" s="278" t="str">
        <f>VLOOKUP(A:A,'Master Table'!C:D,2,FALSE)</f>
        <v>481</v>
      </c>
      <c r="E827" s="291"/>
      <c r="F827" s="175">
        <v>272</v>
      </c>
      <c r="G827" s="176">
        <v>214.25</v>
      </c>
      <c r="H827" s="177">
        <v>0</v>
      </c>
      <c r="I827" s="178">
        <v>395.5</v>
      </c>
    </row>
    <row r="828" spans="1:9" ht="15" x14ac:dyDescent="0.2">
      <c r="A828" s="89" t="s">
        <v>7699</v>
      </c>
      <c r="B828" s="89" t="s">
        <v>7700</v>
      </c>
      <c r="C828" s="89" t="s">
        <v>7701</v>
      </c>
      <c r="D828" s="278" t="e">
        <f>VLOOKUP(A:A,'Master Table'!C:D,2,FALSE)</f>
        <v>#N/A</v>
      </c>
      <c r="E828" s="307"/>
      <c r="F828" s="175">
        <v>537.34</v>
      </c>
      <c r="G828" s="176">
        <v>682.12</v>
      </c>
      <c r="H828" s="177">
        <v>282.12</v>
      </c>
      <c r="I828" s="178">
        <v>1410.33</v>
      </c>
    </row>
    <row r="829" spans="1:9" ht="15" x14ac:dyDescent="0.2">
      <c r="A829" s="89" t="s">
        <v>3907</v>
      </c>
      <c r="B829" s="89" t="s">
        <v>7702</v>
      </c>
      <c r="C829" s="89" t="s">
        <v>3909</v>
      </c>
      <c r="D829" s="278" t="str">
        <f>VLOOKUP(A:A,'Master Table'!C:D,2,FALSE)</f>
        <v>483</v>
      </c>
      <c r="E829" s="307"/>
      <c r="F829" s="175">
        <v>820.74</v>
      </c>
      <c r="G829" s="176">
        <v>751.91</v>
      </c>
      <c r="H829" s="177">
        <v>631.91</v>
      </c>
      <c r="I829" s="178">
        <v>605.04</v>
      </c>
    </row>
    <row r="830" spans="1:9" ht="15" x14ac:dyDescent="0.2">
      <c r="A830" s="89" t="s">
        <v>3912</v>
      </c>
      <c r="B830" s="89" t="s">
        <v>3915</v>
      </c>
      <c r="C830" s="89" t="s">
        <v>7703</v>
      </c>
      <c r="D830" s="278" t="str">
        <f>VLOOKUP(A:A,'Master Table'!C:D,2,FALSE)</f>
        <v>484</v>
      </c>
      <c r="E830" s="307"/>
      <c r="F830" s="175">
        <v>3415.83</v>
      </c>
      <c r="G830" s="176">
        <v>3482.54</v>
      </c>
      <c r="H830" s="177">
        <v>1007.54</v>
      </c>
      <c r="I830" s="178">
        <v>2245.23</v>
      </c>
    </row>
    <row r="831" spans="1:9" ht="15" x14ac:dyDescent="0.2">
      <c r="A831" s="89" t="s">
        <v>3920</v>
      </c>
      <c r="B831" s="89" t="s">
        <v>3923</v>
      </c>
      <c r="C831" s="89" t="s">
        <v>5155</v>
      </c>
      <c r="D831" s="278" t="str">
        <f>VLOOKUP(A:A,'Master Table'!C:D,2,FALSE)</f>
        <v>485</v>
      </c>
      <c r="E831" s="307"/>
      <c r="F831" s="175">
        <v>3635</v>
      </c>
      <c r="G831" s="176">
        <v>3575</v>
      </c>
      <c r="H831" s="177">
        <v>3530</v>
      </c>
      <c r="I831" s="178">
        <v>3380</v>
      </c>
    </row>
    <row r="832" spans="1:9" ht="15" x14ac:dyDescent="0.2">
      <c r="A832" s="89" t="s">
        <v>3928</v>
      </c>
      <c r="B832" s="89" t="s">
        <v>3931</v>
      </c>
      <c r="C832" s="89" t="s">
        <v>7704</v>
      </c>
      <c r="D832" s="278" t="str">
        <f>VLOOKUP(A:A,'Master Table'!C:D,2,FALSE)</f>
        <v>486</v>
      </c>
      <c r="E832" s="307"/>
      <c r="F832" s="175">
        <v>323.75</v>
      </c>
      <c r="G832" s="176">
        <v>519.11</v>
      </c>
      <c r="H832" s="177">
        <v>309.11</v>
      </c>
      <c r="I832" s="178">
        <v>463.40000000000003</v>
      </c>
    </row>
    <row r="833" spans="1:9" ht="15" x14ac:dyDescent="0.2">
      <c r="A833" s="89" t="s">
        <v>3932</v>
      </c>
      <c r="B833" s="89" t="s">
        <v>3935</v>
      </c>
      <c r="C833" s="89" t="s">
        <v>226</v>
      </c>
      <c r="D833" s="278" t="str">
        <f>VLOOKUP(A:A,'Master Table'!C:D,2,FALSE)</f>
        <v>487</v>
      </c>
      <c r="E833" s="307"/>
      <c r="F833" s="175">
        <v>1352.1299999999999</v>
      </c>
      <c r="G833" s="176">
        <v>1332.3</v>
      </c>
      <c r="H833" s="177">
        <v>1148.3</v>
      </c>
      <c r="I833" s="178">
        <v>1236.6300000000001</v>
      </c>
    </row>
    <row r="834" spans="1:9" ht="15" x14ac:dyDescent="0.2">
      <c r="A834" s="89" t="s">
        <v>3936</v>
      </c>
      <c r="B834" s="89" t="s">
        <v>3939</v>
      </c>
      <c r="C834" s="89" t="s">
        <v>7705</v>
      </c>
      <c r="D834" s="278" t="str">
        <f>VLOOKUP(A:A,'Master Table'!C:D,2,FALSE)</f>
        <v>488</v>
      </c>
      <c r="E834" s="307"/>
      <c r="F834" s="175">
        <v>1214.17</v>
      </c>
      <c r="G834" s="176">
        <v>996.49</v>
      </c>
      <c r="H834" s="177">
        <v>646.49</v>
      </c>
      <c r="I834" s="178">
        <v>1095.55</v>
      </c>
    </row>
    <row r="835" spans="1:9" ht="15" x14ac:dyDescent="0.2">
      <c r="A835" s="89" t="s">
        <v>3945</v>
      </c>
      <c r="B835" s="89" t="s">
        <v>3947</v>
      </c>
      <c r="C835" s="89" t="s">
        <v>226</v>
      </c>
      <c r="D835" s="278" t="str">
        <f>VLOOKUP(A:A,'Master Table'!C:D,2,FALSE)</f>
        <v>489</v>
      </c>
      <c r="E835" s="307"/>
      <c r="F835" s="175">
        <v>3605.9199999999996</v>
      </c>
      <c r="G835" s="176">
        <v>3620.81</v>
      </c>
      <c r="H835" s="177">
        <v>3430.81</v>
      </c>
      <c r="I835" s="178">
        <v>3132.14</v>
      </c>
    </row>
    <row r="836" spans="1:9" ht="15" x14ac:dyDescent="0.2">
      <c r="A836" s="89" t="s">
        <v>3948</v>
      </c>
      <c r="B836" s="89" t="s">
        <v>1092</v>
      </c>
      <c r="C836" s="89" t="s">
        <v>7706</v>
      </c>
      <c r="D836" s="278" t="str">
        <f>VLOOKUP(A:A,'Master Table'!C:D,2,FALSE)</f>
        <v>490</v>
      </c>
      <c r="E836" s="307"/>
      <c r="F836" s="175">
        <v>488.34</v>
      </c>
      <c r="G836" s="176">
        <v>584.67000000000007</v>
      </c>
      <c r="H836" s="177">
        <v>424.67</v>
      </c>
      <c r="I836" s="178">
        <v>622.93000000000006</v>
      </c>
    </row>
    <row r="837" spans="1:9" ht="15" x14ac:dyDescent="0.2">
      <c r="A837" s="89" t="s">
        <v>3952</v>
      </c>
      <c r="B837" s="89" t="s">
        <v>3954</v>
      </c>
      <c r="C837" s="89" t="s">
        <v>839</v>
      </c>
      <c r="D837" s="278" t="str">
        <f>VLOOKUP(A:A,'Master Table'!C:D,2,FALSE)</f>
        <v>491</v>
      </c>
      <c r="E837" s="307"/>
      <c r="F837" s="175">
        <v>552.20000000000005</v>
      </c>
      <c r="G837" s="176">
        <v>238</v>
      </c>
      <c r="H837" s="177">
        <v>22</v>
      </c>
      <c r="I837" s="178">
        <v>195</v>
      </c>
    </row>
    <row r="838" spans="1:9" ht="15" x14ac:dyDescent="0.2">
      <c r="A838" s="89" t="s">
        <v>3955</v>
      </c>
      <c r="B838" s="89" t="s">
        <v>3957</v>
      </c>
      <c r="C838" s="89" t="s">
        <v>1087</v>
      </c>
      <c r="D838" s="278" t="str">
        <f>VLOOKUP(A:A,'Master Table'!C:D,2,FALSE)</f>
        <v>493</v>
      </c>
      <c r="E838" s="291"/>
      <c r="F838" s="175">
        <v>595.79999999999995</v>
      </c>
      <c r="G838" s="176">
        <v>280</v>
      </c>
      <c r="H838" s="177">
        <v>0</v>
      </c>
      <c r="I838" s="178">
        <v>446.72</v>
      </c>
    </row>
    <row r="839" spans="1:9" ht="15" x14ac:dyDescent="0.2">
      <c r="A839" s="89" t="s">
        <v>3961</v>
      </c>
      <c r="B839" s="89" t="s">
        <v>3963</v>
      </c>
      <c r="C839" s="89" t="s">
        <v>7216</v>
      </c>
      <c r="D839" s="278" t="str">
        <f>VLOOKUP(A:A,'Master Table'!C:D,2,FALSE)</f>
        <v>494</v>
      </c>
      <c r="E839" s="307"/>
      <c r="F839" s="175">
        <v>904.39</v>
      </c>
      <c r="G839" s="176">
        <v>867.6</v>
      </c>
      <c r="H839" s="177">
        <v>727.6</v>
      </c>
      <c r="I839" s="178">
        <v>1004.26</v>
      </c>
    </row>
    <row r="840" spans="1:9" ht="15" x14ac:dyDescent="0.2">
      <c r="A840" s="89" t="s">
        <v>3964</v>
      </c>
      <c r="B840" s="89" t="s">
        <v>3967</v>
      </c>
      <c r="C840" s="89" t="s">
        <v>3966</v>
      </c>
      <c r="D840" s="278" t="str">
        <f>VLOOKUP(A:A,'Master Table'!C:D,2,FALSE)</f>
        <v>495</v>
      </c>
      <c r="E840" s="291"/>
      <c r="F840" s="175">
        <v>551.83000000000004</v>
      </c>
      <c r="G840" s="176">
        <v>704.22</v>
      </c>
      <c r="H840" s="177">
        <v>165.22</v>
      </c>
      <c r="I840" s="178">
        <v>686.74</v>
      </c>
    </row>
    <row r="841" spans="1:9" ht="15" x14ac:dyDescent="0.2">
      <c r="A841" s="89" t="s">
        <v>3968</v>
      </c>
      <c r="B841" s="89" t="s">
        <v>3970</v>
      </c>
      <c r="C841" s="89" t="s">
        <v>63</v>
      </c>
      <c r="D841" s="278" t="str">
        <f>VLOOKUP(A:A,'Master Table'!C:D,2,FALSE)</f>
        <v>496</v>
      </c>
      <c r="E841" s="307"/>
      <c r="F841" s="175">
        <v>640.27</v>
      </c>
      <c r="G841" s="176">
        <v>738.3</v>
      </c>
      <c r="H841" s="177">
        <v>583.29999999999995</v>
      </c>
      <c r="I841" s="178">
        <v>575.6</v>
      </c>
    </row>
    <row r="842" spans="1:9" ht="15" x14ac:dyDescent="0.2">
      <c r="A842" s="94" t="s">
        <v>3972</v>
      </c>
      <c r="B842" s="89"/>
      <c r="C842" s="89" t="s">
        <v>3974</v>
      </c>
      <c r="D842" s="350" t="str">
        <f>VLOOKUP(A:A,'Master Table'!C:D,2,FALSE)</f>
        <v>497</v>
      </c>
      <c r="E842" s="307"/>
      <c r="F842" s="175">
        <v>130</v>
      </c>
      <c r="G842" s="176"/>
      <c r="H842" s="182"/>
      <c r="I842" s="178"/>
    </row>
    <row r="843" spans="1:9" ht="15" x14ac:dyDescent="0.2">
      <c r="A843" s="89" t="s">
        <v>3976</v>
      </c>
      <c r="B843" s="89" t="s">
        <v>3979</v>
      </c>
      <c r="C843" s="89" t="s">
        <v>7708</v>
      </c>
      <c r="D843" s="278" t="str">
        <f>VLOOKUP(A:A,'Master Table'!C:D,2,FALSE)</f>
        <v>498</v>
      </c>
      <c r="E843" s="291"/>
      <c r="F843" s="175">
        <v>97.96</v>
      </c>
      <c r="G843" s="176">
        <v>154</v>
      </c>
      <c r="H843" s="182">
        <v>0</v>
      </c>
      <c r="I843" s="178">
        <v>282.69</v>
      </c>
    </row>
    <row r="844" spans="1:9" ht="15" x14ac:dyDescent="0.2">
      <c r="A844" s="89" t="s">
        <v>3980</v>
      </c>
      <c r="B844" s="89" t="s">
        <v>3982</v>
      </c>
      <c r="C844" s="89" t="s">
        <v>226</v>
      </c>
      <c r="D844" s="278" t="str">
        <f>VLOOKUP(A:A,'Master Table'!C:D,2,FALSE)</f>
        <v>499</v>
      </c>
      <c r="E844" s="307"/>
      <c r="F844" s="175">
        <v>2969.84</v>
      </c>
      <c r="G844" s="176">
        <v>3332.0299999999997</v>
      </c>
      <c r="H844" s="177">
        <v>1810.03</v>
      </c>
      <c r="I844" s="178">
        <v>2927.67</v>
      </c>
    </row>
    <row r="845" spans="1:9" ht="15" x14ac:dyDescent="0.2">
      <c r="A845" s="89" t="s">
        <v>3984</v>
      </c>
      <c r="B845" s="89" t="s">
        <v>3982</v>
      </c>
      <c r="C845" s="89" t="s">
        <v>532</v>
      </c>
      <c r="D845" s="278" t="str">
        <f>VLOOKUP(A:A,'Master Table'!C:D,2,FALSE)</f>
        <v>500</v>
      </c>
      <c r="E845" s="307"/>
      <c r="F845" s="175">
        <v>1122.6299999999999</v>
      </c>
      <c r="G845" s="176">
        <v>1613</v>
      </c>
      <c r="H845" s="177">
        <v>1528</v>
      </c>
      <c r="I845" s="178">
        <v>1449</v>
      </c>
    </row>
    <row r="846" spans="1:9" ht="15" x14ac:dyDescent="0.2">
      <c r="A846" s="89" t="s">
        <v>3986</v>
      </c>
      <c r="B846" s="89" t="s">
        <v>3982</v>
      </c>
      <c r="C846" s="89" t="s">
        <v>3988</v>
      </c>
      <c r="D846" s="278" t="str">
        <f>VLOOKUP(A:A,'Master Table'!C:D,2,FALSE)</f>
        <v>2727</v>
      </c>
      <c r="E846" s="307"/>
      <c r="F846" s="175">
        <v>1096.25</v>
      </c>
      <c r="G846" s="176">
        <v>630</v>
      </c>
      <c r="H846" s="177">
        <v>565</v>
      </c>
      <c r="I846" s="178">
        <v>655</v>
      </c>
    </row>
    <row r="847" spans="1:9" ht="15" x14ac:dyDescent="0.2">
      <c r="A847" s="89" t="s">
        <v>3993</v>
      </c>
      <c r="B847" s="89" t="s">
        <v>3982</v>
      </c>
      <c r="C847" s="89" t="s">
        <v>1047</v>
      </c>
      <c r="D847" s="278" t="str">
        <f>VLOOKUP(A:A,'Master Table'!C:D,2,FALSE)</f>
        <v>501</v>
      </c>
      <c r="E847" s="307"/>
      <c r="F847" s="175">
        <v>3491.66</v>
      </c>
      <c r="G847" s="176">
        <v>3627.26</v>
      </c>
      <c r="H847" s="177">
        <v>1835.26</v>
      </c>
      <c r="I847" s="178">
        <v>2836.42</v>
      </c>
    </row>
    <row r="848" spans="1:9" ht="15" x14ac:dyDescent="0.2">
      <c r="A848" s="89" t="s">
        <v>3998</v>
      </c>
      <c r="B848" s="89" t="s">
        <v>3982</v>
      </c>
      <c r="C848" s="89" t="s">
        <v>5256</v>
      </c>
      <c r="D848" s="278" t="str">
        <f>VLOOKUP(A:A,'Master Table'!C:D,2,FALSE)</f>
        <v>502</v>
      </c>
      <c r="E848" s="291"/>
      <c r="F848" s="175">
        <v>25</v>
      </c>
      <c r="G848" s="176">
        <v>272</v>
      </c>
      <c r="H848" s="177">
        <v>0</v>
      </c>
      <c r="I848" s="178">
        <v>45</v>
      </c>
    </row>
    <row r="849" spans="1:9" ht="15" x14ac:dyDescent="0.2">
      <c r="A849" s="89" t="s">
        <v>4005</v>
      </c>
      <c r="B849" s="89" t="s">
        <v>3982</v>
      </c>
      <c r="C849" s="89" t="s">
        <v>916</v>
      </c>
      <c r="D849" s="278" t="str">
        <f>VLOOKUP(A:A,'Master Table'!C:D,2,FALSE)</f>
        <v>503</v>
      </c>
      <c r="E849" s="291"/>
      <c r="F849" s="175">
        <v>50</v>
      </c>
      <c r="G849" s="176">
        <v>45</v>
      </c>
      <c r="H849" s="177">
        <v>0</v>
      </c>
      <c r="I849" s="178">
        <v>45</v>
      </c>
    </row>
    <row r="850" spans="1:9" ht="15" x14ac:dyDescent="0.2">
      <c r="A850" s="89" t="s">
        <v>4007</v>
      </c>
      <c r="B850" s="89" t="s">
        <v>3982</v>
      </c>
      <c r="C850" s="89" t="s">
        <v>1165</v>
      </c>
      <c r="D850" s="278" t="str">
        <f>VLOOKUP(A:A,'Master Table'!C:D,2,FALSE)</f>
        <v>504</v>
      </c>
      <c r="E850" s="307"/>
      <c r="F850" s="175">
        <v>436</v>
      </c>
      <c r="G850" s="176">
        <v>460</v>
      </c>
      <c r="H850" s="177">
        <v>84</v>
      </c>
      <c r="I850" s="178">
        <v>652.41</v>
      </c>
    </row>
    <row r="851" spans="1:9" ht="15" x14ac:dyDescent="0.2">
      <c r="A851" s="89" t="s">
        <v>4009</v>
      </c>
      <c r="B851" s="89" t="s">
        <v>4011</v>
      </c>
      <c r="C851" s="89" t="s">
        <v>942</v>
      </c>
      <c r="D851" s="278" t="str">
        <f>VLOOKUP(A:A,'Master Table'!C:D,2,FALSE)</f>
        <v>507</v>
      </c>
      <c r="E851" s="291"/>
      <c r="F851" s="175">
        <v>257.14</v>
      </c>
      <c r="G851" s="176">
        <v>30</v>
      </c>
      <c r="H851" s="177">
        <v>0</v>
      </c>
      <c r="I851" s="178">
        <v>50</v>
      </c>
    </row>
    <row r="852" spans="1:9" ht="15" x14ac:dyDescent="0.2">
      <c r="A852" s="89" t="s">
        <v>4012</v>
      </c>
      <c r="B852" s="89" t="s">
        <v>4014</v>
      </c>
      <c r="C852" s="89" t="s">
        <v>1376</v>
      </c>
      <c r="D852" s="278" t="str">
        <f>VLOOKUP(A:A,'Master Table'!C:D,2,FALSE)</f>
        <v>508</v>
      </c>
      <c r="E852" s="307"/>
      <c r="F852" s="175">
        <v>620.65</v>
      </c>
      <c r="G852" s="176">
        <v>496.95</v>
      </c>
      <c r="H852" s="177">
        <v>206.95</v>
      </c>
      <c r="I852" s="178">
        <v>495.98</v>
      </c>
    </row>
    <row r="853" spans="1:9" ht="15" x14ac:dyDescent="0.2">
      <c r="A853" s="89" t="s">
        <v>4015</v>
      </c>
      <c r="B853" s="89" t="s">
        <v>4018</v>
      </c>
      <c r="C853" s="89" t="s">
        <v>4017</v>
      </c>
      <c r="D853" s="278" t="str">
        <f>VLOOKUP(A:A,'Master Table'!C:D,2,FALSE)</f>
        <v>509</v>
      </c>
      <c r="E853" s="307"/>
      <c r="F853" s="175">
        <v>440.62</v>
      </c>
      <c r="G853" s="176">
        <v>736.67</v>
      </c>
      <c r="H853" s="177">
        <v>591.66999999999996</v>
      </c>
      <c r="I853" s="178">
        <v>332.88</v>
      </c>
    </row>
    <row r="854" spans="1:9" ht="15" x14ac:dyDescent="0.2">
      <c r="A854" s="89" t="s">
        <v>4019</v>
      </c>
      <c r="B854" s="89" t="s">
        <v>4021</v>
      </c>
      <c r="C854" s="89" t="s">
        <v>78</v>
      </c>
      <c r="D854" s="278" t="str">
        <f>VLOOKUP(A:A,'Master Table'!C:D,2,FALSE)</f>
        <v>510</v>
      </c>
      <c r="E854" s="307"/>
      <c r="F854" s="175">
        <v>857.81999999999994</v>
      </c>
      <c r="G854" s="176">
        <v>774.25</v>
      </c>
      <c r="H854" s="177">
        <v>669.25</v>
      </c>
      <c r="I854" s="178">
        <v>1058.6100000000001</v>
      </c>
    </row>
    <row r="855" spans="1:9" ht="15" x14ac:dyDescent="0.2">
      <c r="A855" s="89" t="s">
        <v>4029</v>
      </c>
      <c r="B855" s="89" t="s">
        <v>4032</v>
      </c>
      <c r="C855" s="89" t="s">
        <v>7709</v>
      </c>
      <c r="D855" s="278" t="str">
        <f>VLOOKUP(A:A,'Master Table'!C:D,2,FALSE)</f>
        <v>512</v>
      </c>
      <c r="E855" s="307"/>
      <c r="F855" s="175">
        <v>5448</v>
      </c>
      <c r="G855" s="176">
        <v>5229</v>
      </c>
      <c r="H855" s="177">
        <v>5164</v>
      </c>
      <c r="I855" s="178">
        <v>4000</v>
      </c>
    </row>
    <row r="856" spans="1:9" ht="15" x14ac:dyDescent="0.2">
      <c r="A856" s="89" t="s">
        <v>4033</v>
      </c>
      <c r="B856" s="131" t="s">
        <v>4032</v>
      </c>
      <c r="C856" s="131" t="s">
        <v>1871</v>
      </c>
      <c r="D856" s="278" t="str">
        <f>VLOOKUP(A:A,'Master Table'!C:D,2,FALSE)</f>
        <v>513</v>
      </c>
      <c r="E856" s="307"/>
      <c r="F856" s="175">
        <v>242.98</v>
      </c>
      <c r="G856" s="176">
        <v>584.96</v>
      </c>
      <c r="H856" s="177">
        <v>459.96</v>
      </c>
      <c r="I856" s="178">
        <v>178.88</v>
      </c>
    </row>
    <row r="857" spans="1:9" ht="15" x14ac:dyDescent="0.2">
      <c r="A857" s="89" t="s">
        <v>4035</v>
      </c>
      <c r="B857" s="89" t="s">
        <v>4038</v>
      </c>
      <c r="C857" s="89" t="s">
        <v>4037</v>
      </c>
      <c r="D857" s="278" t="str">
        <f>VLOOKUP(A:A,'Master Table'!C:D,2,FALSE)</f>
        <v>514</v>
      </c>
      <c r="E857" s="291"/>
      <c r="F857" s="175">
        <v>784.34</v>
      </c>
      <c r="G857" s="176">
        <v>1003</v>
      </c>
      <c r="H857" s="177">
        <v>0</v>
      </c>
      <c r="I857" s="178">
        <v>874.49</v>
      </c>
    </row>
    <row r="858" spans="1:9" ht="15" x14ac:dyDescent="0.2">
      <c r="A858" s="89" t="s">
        <v>4039</v>
      </c>
      <c r="B858" s="89" t="s">
        <v>4042</v>
      </c>
      <c r="C858" s="89" t="s">
        <v>7710</v>
      </c>
      <c r="D858" s="278" t="str">
        <f>VLOOKUP(A:A,'Master Table'!C:D,2,FALSE)</f>
        <v>515</v>
      </c>
      <c r="E858" s="307"/>
      <c r="F858" s="175">
        <v>1080.5</v>
      </c>
      <c r="G858" s="176">
        <v>1056.9000000000001</v>
      </c>
      <c r="H858" s="177">
        <v>925.9</v>
      </c>
      <c r="I858" s="178">
        <v>1010.47</v>
      </c>
    </row>
    <row r="859" spans="1:9" ht="15" x14ac:dyDescent="0.2">
      <c r="A859" s="89" t="s">
        <v>4045</v>
      </c>
      <c r="B859" s="89" t="s">
        <v>4048</v>
      </c>
      <c r="C859" s="89" t="s">
        <v>7433</v>
      </c>
      <c r="D859" s="278" t="str">
        <f>VLOOKUP(A:A,'Master Table'!C:D,2,FALSE)</f>
        <v>516</v>
      </c>
      <c r="E859" s="291"/>
      <c r="F859" s="175">
        <v>20</v>
      </c>
      <c r="G859" s="176">
        <v>254</v>
      </c>
      <c r="H859" s="177"/>
      <c r="I859" s="178">
        <v>231.88</v>
      </c>
    </row>
    <row r="860" spans="1:9" ht="30" x14ac:dyDescent="0.2">
      <c r="A860" s="330" t="s">
        <v>7711</v>
      </c>
      <c r="B860" s="183" t="s">
        <v>7712</v>
      </c>
      <c r="C860" s="183" t="s">
        <v>7713</v>
      </c>
      <c r="D860" s="278" t="e">
        <f>VLOOKUP(A:A,'Master Table'!C:D,2,FALSE)</f>
        <v>#N/A</v>
      </c>
      <c r="E860" s="307"/>
      <c r="F860" s="175">
        <v>1226</v>
      </c>
      <c r="G860" s="176">
        <v>2155</v>
      </c>
      <c r="H860" s="177">
        <v>1580</v>
      </c>
      <c r="I860" s="178">
        <v>2113.1999999999998</v>
      </c>
    </row>
    <row r="861" spans="1:9" ht="15" x14ac:dyDescent="0.2">
      <c r="A861" s="89" t="s">
        <v>4052</v>
      </c>
      <c r="B861" s="131" t="s">
        <v>4054</v>
      </c>
      <c r="C861" s="131" t="s">
        <v>1871</v>
      </c>
      <c r="D861" s="278" t="str">
        <f>VLOOKUP(A:A,'Master Table'!C:D,2,FALSE)</f>
        <v>518</v>
      </c>
      <c r="E861" s="291"/>
      <c r="F861" s="175">
        <v>705</v>
      </c>
      <c r="G861" s="176">
        <v>785</v>
      </c>
      <c r="H861" s="177">
        <v>0</v>
      </c>
      <c r="I861" s="178">
        <v>1032.5</v>
      </c>
    </row>
    <row r="862" spans="1:9" ht="15" x14ac:dyDescent="0.2">
      <c r="A862" s="89" t="s">
        <v>4058</v>
      </c>
      <c r="B862" s="89" t="s">
        <v>4060</v>
      </c>
      <c r="C862" s="89" t="s">
        <v>1065</v>
      </c>
      <c r="D862" s="278" t="str">
        <f>VLOOKUP(A:A,'Master Table'!C:D,2,FALSE)</f>
        <v>519</v>
      </c>
      <c r="E862" s="307"/>
      <c r="F862" s="175">
        <v>2667.95</v>
      </c>
      <c r="G862" s="176">
        <v>2363.73</v>
      </c>
      <c r="H862" s="177">
        <v>1532.73</v>
      </c>
      <c r="I862" s="178">
        <v>1926.25</v>
      </c>
    </row>
    <row r="863" spans="1:9" ht="15" x14ac:dyDescent="0.2">
      <c r="A863" s="89" t="s">
        <v>4061</v>
      </c>
      <c r="B863" s="89" t="s">
        <v>4063</v>
      </c>
      <c r="C863" s="89" t="s">
        <v>1371</v>
      </c>
      <c r="D863" s="278" t="str">
        <f>VLOOKUP(A:A,'Master Table'!C:D,2,FALSE)</f>
        <v>520</v>
      </c>
      <c r="E863" s="291"/>
      <c r="F863" s="175">
        <v>529.91999999999996</v>
      </c>
      <c r="G863" s="176">
        <v>50</v>
      </c>
      <c r="H863" s="177">
        <v>0</v>
      </c>
      <c r="I863" s="178">
        <v>141.64000000000001</v>
      </c>
    </row>
    <row r="864" spans="1:9" ht="15" x14ac:dyDescent="0.2">
      <c r="A864" s="89" t="s">
        <v>4064</v>
      </c>
      <c r="B864" s="89" t="s">
        <v>4066</v>
      </c>
      <c r="C864" s="89" t="s">
        <v>1349</v>
      </c>
      <c r="D864" s="278" t="str">
        <f>VLOOKUP(A:A,'Master Table'!C:D,2,FALSE)</f>
        <v>521</v>
      </c>
      <c r="E864" s="307"/>
      <c r="F864" s="175">
        <v>917.94</v>
      </c>
      <c r="G864" s="176">
        <v>853.43</v>
      </c>
      <c r="H864" s="177">
        <v>609.42999999999995</v>
      </c>
      <c r="I864" s="178">
        <v>823.61</v>
      </c>
    </row>
    <row r="865" spans="1:9" ht="15" x14ac:dyDescent="0.2">
      <c r="A865" s="89" t="s">
        <v>4067</v>
      </c>
      <c r="B865" s="89" t="s">
        <v>4070</v>
      </c>
      <c r="C865" s="89" t="s">
        <v>4069</v>
      </c>
      <c r="D865" s="278" t="str">
        <f>VLOOKUP(A:A,'Master Table'!C:D,2,FALSE)</f>
        <v>522</v>
      </c>
      <c r="E865" s="307"/>
      <c r="F865" s="175">
        <v>744.32</v>
      </c>
      <c r="G865" s="176">
        <v>145</v>
      </c>
      <c r="H865" s="177">
        <v>0</v>
      </c>
      <c r="I865" s="178">
        <v>150</v>
      </c>
    </row>
    <row r="866" spans="1:9" ht="15" x14ac:dyDescent="0.2">
      <c r="A866" s="89" t="s">
        <v>4071</v>
      </c>
      <c r="B866" s="89" t="s">
        <v>4073</v>
      </c>
      <c r="C866" s="89" t="s">
        <v>119</v>
      </c>
      <c r="D866" s="278" t="str">
        <f>VLOOKUP(A:A,'Master Table'!C:D,2,FALSE)</f>
        <v>523</v>
      </c>
      <c r="E866" s="307"/>
      <c r="F866" s="175">
        <v>221.2</v>
      </c>
      <c r="G866" s="176">
        <v>135.75</v>
      </c>
      <c r="H866" s="177">
        <v>120.75</v>
      </c>
      <c r="I866" s="178">
        <v>57.5</v>
      </c>
    </row>
    <row r="867" spans="1:9" ht="15" x14ac:dyDescent="0.2">
      <c r="A867" s="89" t="s">
        <v>4074</v>
      </c>
      <c r="B867" s="89" t="s">
        <v>4076</v>
      </c>
      <c r="C867" s="89" t="s">
        <v>783</v>
      </c>
      <c r="D867" s="278" t="str">
        <f>VLOOKUP(A:A,'Master Table'!C:D,2,FALSE)</f>
        <v>524</v>
      </c>
      <c r="E867" s="291"/>
      <c r="F867" s="175">
        <v>90</v>
      </c>
      <c r="G867" s="176">
        <v>165</v>
      </c>
      <c r="H867" s="177">
        <v>80</v>
      </c>
      <c r="I867" s="178">
        <v>213.94</v>
      </c>
    </row>
    <row r="868" spans="1:9" ht="15" x14ac:dyDescent="0.2">
      <c r="A868" s="89" t="s">
        <v>4084</v>
      </c>
      <c r="B868" s="89" t="s">
        <v>4080</v>
      </c>
      <c r="C868" s="89" t="s">
        <v>7366</v>
      </c>
      <c r="D868" s="278" t="str">
        <f>VLOOKUP(A:A,'Master Table'!C:D,2,FALSE)</f>
        <v>528</v>
      </c>
      <c r="E868" s="291"/>
      <c r="F868" s="175">
        <v>1265</v>
      </c>
      <c r="G868" s="176">
        <v>1450</v>
      </c>
      <c r="H868" s="177">
        <v>0</v>
      </c>
      <c r="I868" s="178">
        <v>1985.39</v>
      </c>
    </row>
    <row r="869" spans="1:9" ht="15" x14ac:dyDescent="0.2">
      <c r="A869" s="89" t="s">
        <v>4087</v>
      </c>
      <c r="B869" s="89" t="s">
        <v>4080</v>
      </c>
      <c r="C869" s="89" t="s">
        <v>231</v>
      </c>
      <c r="D869" s="278" t="str">
        <f>VLOOKUP(A:A,'Master Table'!C:D,2,FALSE)</f>
        <v>530</v>
      </c>
      <c r="E869" s="291"/>
      <c r="F869" s="175">
        <v>304.55</v>
      </c>
      <c r="G869" s="176">
        <v>313</v>
      </c>
      <c r="H869" s="177">
        <v>0</v>
      </c>
      <c r="I869" s="178">
        <v>326.08</v>
      </c>
    </row>
    <row r="870" spans="1:9" ht="15" x14ac:dyDescent="0.2">
      <c r="A870" s="89" t="s">
        <v>4091</v>
      </c>
      <c r="B870" s="89" t="s">
        <v>4080</v>
      </c>
      <c r="C870" s="89" t="s">
        <v>7714</v>
      </c>
      <c r="D870" s="278" t="str">
        <f>VLOOKUP(A:A,'Master Table'!C:D,2,FALSE)</f>
        <v>531</v>
      </c>
      <c r="E870" s="307"/>
      <c r="F870" s="175">
        <v>819.47</v>
      </c>
      <c r="G870" s="176">
        <v>436.43</v>
      </c>
      <c r="H870" s="177">
        <v>251.43</v>
      </c>
      <c r="I870" s="178">
        <v>510.65000000000003</v>
      </c>
    </row>
    <row r="871" spans="1:9" ht="15" x14ac:dyDescent="0.2">
      <c r="A871" s="89" t="s">
        <v>4095</v>
      </c>
      <c r="B871" s="89" t="s">
        <v>4080</v>
      </c>
      <c r="C871" s="89" t="s">
        <v>4017</v>
      </c>
      <c r="D871" s="278" t="str">
        <f>VLOOKUP(A:A,'Master Table'!C:D,2,FALSE)</f>
        <v>532</v>
      </c>
      <c r="E871" s="307"/>
      <c r="F871" s="175">
        <v>497.08</v>
      </c>
      <c r="G871" s="176">
        <v>35.75</v>
      </c>
      <c r="H871" s="177">
        <v>25.75</v>
      </c>
      <c r="I871" s="178">
        <v>191.09</v>
      </c>
    </row>
    <row r="872" spans="1:9" ht="15" x14ac:dyDescent="0.2">
      <c r="A872" s="89" t="s">
        <v>4097</v>
      </c>
      <c r="B872" s="89" t="s">
        <v>4080</v>
      </c>
      <c r="C872" s="89" t="s">
        <v>3771</v>
      </c>
      <c r="D872" s="278" t="str">
        <f>VLOOKUP(A:A,'Master Table'!C:D,2,FALSE)</f>
        <v>533</v>
      </c>
      <c r="E872" s="307"/>
      <c r="F872" s="175">
        <v>799.71</v>
      </c>
      <c r="G872" s="176">
        <v>56</v>
      </c>
      <c r="H872" s="177">
        <v>0</v>
      </c>
      <c r="I872" s="178">
        <v>382.28000000000003</v>
      </c>
    </row>
    <row r="873" spans="1:9" ht="15" x14ac:dyDescent="0.2">
      <c r="A873" s="89" t="s">
        <v>4101</v>
      </c>
      <c r="B873" s="89" t="s">
        <v>4080</v>
      </c>
      <c r="C873" s="89" t="s">
        <v>3463</v>
      </c>
      <c r="D873" s="278" t="str">
        <f>VLOOKUP(A:A,'Master Table'!C:D,2,FALSE)</f>
        <v>536</v>
      </c>
      <c r="E873" s="307"/>
      <c r="F873" s="175">
        <v>2689.32</v>
      </c>
      <c r="G873" s="176">
        <v>1745.55</v>
      </c>
      <c r="H873" s="177">
        <v>985.55</v>
      </c>
      <c r="I873" s="178">
        <v>1285.3700000000001</v>
      </c>
    </row>
    <row r="874" spans="1:9" ht="15" x14ac:dyDescent="0.2">
      <c r="A874" s="89" t="s">
        <v>4107</v>
      </c>
      <c r="B874" s="89" t="s">
        <v>4080</v>
      </c>
      <c r="C874" s="89" t="s">
        <v>3516</v>
      </c>
      <c r="D874" s="278" t="str">
        <f>VLOOKUP(A:A,'Master Table'!C:D,2,FALSE)</f>
        <v>537</v>
      </c>
      <c r="E874" s="291"/>
      <c r="F874" s="175">
        <v>120</v>
      </c>
      <c r="G874" s="176">
        <v>496.02</v>
      </c>
      <c r="H874" s="177">
        <v>351.02</v>
      </c>
      <c r="I874" s="178">
        <v>276.95</v>
      </c>
    </row>
    <row r="875" spans="1:9" ht="15" x14ac:dyDescent="0.2">
      <c r="A875" s="89" t="s">
        <v>4110</v>
      </c>
      <c r="B875" s="89" t="s">
        <v>4080</v>
      </c>
      <c r="C875" s="89" t="s">
        <v>7441</v>
      </c>
      <c r="D875" s="278" t="str">
        <f>VLOOKUP(A:A,'Master Table'!C:D,2,FALSE)</f>
        <v>538</v>
      </c>
      <c r="E875" s="291"/>
      <c r="F875" s="175">
        <v>72</v>
      </c>
      <c r="G875" s="176">
        <v>57</v>
      </c>
      <c r="H875" s="177">
        <v>0</v>
      </c>
      <c r="I875" s="178">
        <v>21.900000000000002</v>
      </c>
    </row>
    <row r="876" spans="1:9" ht="15" x14ac:dyDescent="0.2">
      <c r="A876" s="89" t="s">
        <v>4112</v>
      </c>
      <c r="B876" s="89" t="s">
        <v>4080</v>
      </c>
      <c r="C876" s="89" t="s">
        <v>453</v>
      </c>
      <c r="D876" s="278" t="str">
        <f>VLOOKUP(A:A,'Master Table'!C:D,2,FALSE)</f>
        <v>539</v>
      </c>
      <c r="E876" s="307"/>
      <c r="F876" s="175">
        <v>1751.45</v>
      </c>
      <c r="G876" s="176">
        <v>1208.0900000000001</v>
      </c>
      <c r="H876" s="177">
        <v>718.09</v>
      </c>
      <c r="I876" s="178">
        <v>2090</v>
      </c>
    </row>
    <row r="877" spans="1:9" ht="15" x14ac:dyDescent="0.2">
      <c r="A877" s="89" t="s">
        <v>4115</v>
      </c>
      <c r="B877" s="89" t="s">
        <v>4118</v>
      </c>
      <c r="C877" s="89" t="s">
        <v>7715</v>
      </c>
      <c r="D877" s="278" t="str">
        <f>VLOOKUP(A:A,'Master Table'!C:D,2,FALSE)</f>
        <v>540</v>
      </c>
      <c r="E877" s="307"/>
      <c r="F877" s="175">
        <v>1545.3000000000002</v>
      </c>
      <c r="G877" s="176">
        <v>1430.94</v>
      </c>
      <c r="H877" s="177">
        <v>1200.94</v>
      </c>
      <c r="I877" s="178">
        <v>1820.97</v>
      </c>
    </row>
    <row r="878" spans="1:9" ht="15" x14ac:dyDescent="0.2">
      <c r="A878" s="89" t="s">
        <v>4124</v>
      </c>
      <c r="B878" s="89" t="s">
        <v>4118</v>
      </c>
      <c r="C878" s="89" t="s">
        <v>7716</v>
      </c>
      <c r="D878" s="278" t="str">
        <f>VLOOKUP(A:A,'Master Table'!C:D,2,FALSE)</f>
        <v>542</v>
      </c>
      <c r="E878" s="307"/>
      <c r="F878" s="175">
        <v>1682.5199999999998</v>
      </c>
      <c r="G878" s="176">
        <v>1715.17</v>
      </c>
      <c r="H878" s="177">
        <v>1397.17</v>
      </c>
      <c r="I878" s="178">
        <v>1992.3300000000002</v>
      </c>
    </row>
    <row r="879" spans="1:9" ht="15" x14ac:dyDescent="0.2">
      <c r="A879" s="89" t="s">
        <v>4127</v>
      </c>
      <c r="B879" s="89" t="s">
        <v>4118</v>
      </c>
      <c r="C879" s="89" t="s">
        <v>942</v>
      </c>
      <c r="D879" s="278" t="str">
        <f>VLOOKUP(A:A,'Master Table'!C:D,2,FALSE)</f>
        <v>543</v>
      </c>
      <c r="E879" s="307"/>
      <c r="F879" s="175">
        <v>858.78</v>
      </c>
      <c r="G879" s="176">
        <v>852.99</v>
      </c>
      <c r="H879" s="177">
        <v>588.99</v>
      </c>
      <c r="I879" s="178">
        <v>759.64</v>
      </c>
    </row>
    <row r="880" spans="1:9" ht="15" x14ac:dyDescent="0.2">
      <c r="A880" s="89" t="s">
        <v>4129</v>
      </c>
      <c r="B880" s="89" t="s">
        <v>4131</v>
      </c>
      <c r="C880" s="89" t="s">
        <v>896</v>
      </c>
      <c r="D880" s="278" t="str">
        <f>VLOOKUP(A:A,'Master Table'!C:D,2,FALSE)</f>
        <v>544</v>
      </c>
      <c r="E880" s="307"/>
      <c r="F880" s="175">
        <v>647.88</v>
      </c>
      <c r="G880" s="176">
        <v>567.4</v>
      </c>
      <c r="H880" s="177">
        <v>257.39999999999998</v>
      </c>
      <c r="I880" s="178">
        <v>941</v>
      </c>
    </row>
    <row r="881" spans="1:9" ht="15" x14ac:dyDescent="0.2">
      <c r="A881" s="89" t="s">
        <v>4132</v>
      </c>
      <c r="B881" s="89" t="s">
        <v>4134</v>
      </c>
      <c r="C881" s="89" t="s">
        <v>7318</v>
      </c>
      <c r="D881" s="278" t="str">
        <f>VLOOKUP(A:A,'Master Table'!C:D,2,FALSE)</f>
        <v>545</v>
      </c>
      <c r="E881" s="307"/>
      <c r="F881" s="175">
        <v>559.75</v>
      </c>
      <c r="G881" s="176">
        <v>497.95</v>
      </c>
      <c r="H881" s="177">
        <v>264.95</v>
      </c>
      <c r="I881" s="178">
        <v>505.76</v>
      </c>
    </row>
    <row r="882" spans="1:9" ht="15" x14ac:dyDescent="0.2">
      <c r="A882" s="89" t="s">
        <v>4135</v>
      </c>
      <c r="B882" s="89" t="s">
        <v>4134</v>
      </c>
      <c r="C882" s="89" t="s">
        <v>231</v>
      </c>
      <c r="D882" s="278" t="str">
        <f>VLOOKUP(A:A,'Master Table'!C:D,2,FALSE)</f>
        <v>547</v>
      </c>
      <c r="E882" s="307"/>
      <c r="F882" s="175">
        <v>367.69</v>
      </c>
      <c r="G882" s="176">
        <v>458.5</v>
      </c>
      <c r="H882" s="177">
        <v>190.5</v>
      </c>
      <c r="I882" s="178">
        <v>450.90000000000003</v>
      </c>
    </row>
    <row r="883" spans="1:9" ht="15" x14ac:dyDescent="0.2">
      <c r="A883" s="89" t="s">
        <v>4137</v>
      </c>
      <c r="B883" s="89" t="s">
        <v>4139</v>
      </c>
      <c r="C883" s="89" t="s">
        <v>226</v>
      </c>
      <c r="D883" s="278" t="str">
        <f>VLOOKUP(A:A,'Master Table'!C:D,2,FALSE)</f>
        <v>548</v>
      </c>
      <c r="E883" s="307"/>
      <c r="F883" s="175">
        <v>840.28</v>
      </c>
      <c r="G883" s="176">
        <v>848</v>
      </c>
      <c r="H883" s="177">
        <v>528</v>
      </c>
      <c r="I883" s="178">
        <v>875</v>
      </c>
    </row>
    <row r="884" spans="1:9" ht="15" x14ac:dyDescent="0.2">
      <c r="A884" s="89" t="s">
        <v>4140</v>
      </c>
      <c r="B884" s="89" t="s">
        <v>4143</v>
      </c>
      <c r="C884" s="89" t="s">
        <v>4142</v>
      </c>
      <c r="D884" s="278" t="str">
        <f>VLOOKUP(A:A,'Master Table'!C:D,2,FALSE)</f>
        <v>549</v>
      </c>
      <c r="E884" s="307"/>
      <c r="F884" s="175">
        <v>707.42000000000007</v>
      </c>
      <c r="G884" s="176">
        <v>361.86</v>
      </c>
      <c r="H884" s="177">
        <v>101.86</v>
      </c>
      <c r="I884" s="178">
        <v>410</v>
      </c>
    </row>
    <row r="885" spans="1:9" ht="15" x14ac:dyDescent="0.2">
      <c r="A885" s="89" t="s">
        <v>4144</v>
      </c>
      <c r="B885" s="89" t="s">
        <v>4146</v>
      </c>
      <c r="C885" s="89" t="s">
        <v>532</v>
      </c>
      <c r="D885" s="278" t="str">
        <f>VLOOKUP(A:A,'Master Table'!C:D,2,FALSE)</f>
        <v>550</v>
      </c>
      <c r="E885" s="307"/>
      <c r="F885" s="175">
        <v>451.55</v>
      </c>
      <c r="G885" s="176">
        <v>595.35</v>
      </c>
      <c r="H885" s="177">
        <v>360.35</v>
      </c>
      <c r="I885" s="178">
        <v>636.20000000000005</v>
      </c>
    </row>
    <row r="886" spans="1:9" ht="15" x14ac:dyDescent="0.2">
      <c r="A886" s="89" t="s">
        <v>4147</v>
      </c>
      <c r="B886" s="89" t="s">
        <v>4150</v>
      </c>
      <c r="C886" s="89" t="s">
        <v>7717</v>
      </c>
      <c r="D886" s="278" t="str">
        <f>VLOOKUP(A:A,'Master Table'!C:D,2,FALSE)</f>
        <v>551</v>
      </c>
      <c r="E886" s="291"/>
      <c r="F886" s="175">
        <v>256</v>
      </c>
      <c r="G886" s="176">
        <v>526.78</v>
      </c>
      <c r="H886" s="177">
        <v>188.78</v>
      </c>
      <c r="I886" s="178">
        <v>572.77</v>
      </c>
    </row>
    <row r="887" spans="1:9" ht="15" x14ac:dyDescent="0.2">
      <c r="A887" s="89" t="s">
        <v>7718</v>
      </c>
      <c r="B887" s="89" t="s">
        <v>7719</v>
      </c>
      <c r="C887" s="89" t="s">
        <v>7720</v>
      </c>
      <c r="D887" s="278" t="e">
        <f>VLOOKUP(A:A,'Master Table'!C:D,2,FALSE)</f>
        <v>#N/A</v>
      </c>
      <c r="E887" s="307"/>
      <c r="F887" s="175">
        <v>636.43999999999994</v>
      </c>
      <c r="G887" s="176">
        <v>1053.4299999999998</v>
      </c>
      <c r="H887" s="177">
        <v>596.42999999999995</v>
      </c>
      <c r="I887" s="178">
        <v>563.11</v>
      </c>
    </row>
    <row r="888" spans="1:9" ht="15" x14ac:dyDescent="0.2">
      <c r="A888" s="89" t="s">
        <v>4157</v>
      </c>
      <c r="B888" s="89" t="s">
        <v>4159</v>
      </c>
      <c r="C888" s="89" t="s">
        <v>2674</v>
      </c>
      <c r="D888" s="278" t="str">
        <f>VLOOKUP(A:A,'Master Table'!C:D,2,FALSE)</f>
        <v>554</v>
      </c>
      <c r="E888" s="307"/>
      <c r="F888" s="175">
        <v>1148</v>
      </c>
      <c r="G888" s="176">
        <v>1494.35</v>
      </c>
      <c r="H888" s="177">
        <v>1230.3499999999999</v>
      </c>
      <c r="I888" s="178">
        <v>1584</v>
      </c>
    </row>
    <row r="889" spans="1:9" ht="15" x14ac:dyDescent="0.2">
      <c r="A889" s="89" t="s">
        <v>4163</v>
      </c>
      <c r="B889" s="89" t="s">
        <v>4166</v>
      </c>
      <c r="C889" s="89" t="s">
        <v>7454</v>
      </c>
      <c r="D889" s="278" t="str">
        <f>VLOOKUP(A:A,'Master Table'!C:D,2,FALSE)</f>
        <v>555</v>
      </c>
      <c r="E889" s="291"/>
      <c r="F889" s="175">
        <v>85</v>
      </c>
      <c r="G889" s="176">
        <v>294.8</v>
      </c>
      <c r="H889" s="177">
        <v>119.8</v>
      </c>
      <c r="I889" s="178">
        <v>56</v>
      </c>
    </row>
    <row r="890" spans="1:9" ht="15" x14ac:dyDescent="0.2">
      <c r="A890" s="89" t="s">
        <v>4176</v>
      </c>
      <c r="B890" s="89" t="s">
        <v>7721</v>
      </c>
      <c r="C890" s="89" t="s">
        <v>226</v>
      </c>
      <c r="D890" s="278" t="str">
        <f>VLOOKUP(A:A,'Master Table'!C:D,2,FALSE)</f>
        <v>556</v>
      </c>
      <c r="E890" s="307"/>
      <c r="F890" s="175">
        <v>1070.98</v>
      </c>
      <c r="G890" s="176">
        <v>728.15</v>
      </c>
      <c r="H890" s="177">
        <v>348.15</v>
      </c>
      <c r="I890" s="178">
        <v>990.69</v>
      </c>
    </row>
    <row r="891" spans="1:9" ht="15" x14ac:dyDescent="0.2">
      <c r="A891" s="89" t="s">
        <v>4179</v>
      </c>
      <c r="B891" s="89" t="s">
        <v>4181</v>
      </c>
      <c r="C891" s="89" t="s">
        <v>3238</v>
      </c>
      <c r="D891" s="278" t="str">
        <f>VLOOKUP(A:A,'Master Table'!C:D,2,FALSE)</f>
        <v>557</v>
      </c>
      <c r="E891" s="307"/>
      <c r="F891" s="175">
        <v>1006.45</v>
      </c>
      <c r="G891" s="176">
        <v>979.08999999999992</v>
      </c>
      <c r="H891" s="177">
        <v>476.09</v>
      </c>
      <c r="I891" s="178">
        <v>1511.2</v>
      </c>
    </row>
    <row r="892" spans="1:9" ht="15" x14ac:dyDescent="0.2">
      <c r="A892" s="89" t="s">
        <v>4186</v>
      </c>
      <c r="B892" s="89" t="s">
        <v>7722</v>
      </c>
      <c r="C892" s="89" t="s">
        <v>812</v>
      </c>
      <c r="D892" s="278" t="str">
        <f>VLOOKUP(A:A,'Master Table'!C:D,2,FALSE)</f>
        <v>559</v>
      </c>
      <c r="E892" s="291"/>
      <c r="F892" s="175">
        <v>0</v>
      </c>
      <c r="G892" s="176">
        <v>0</v>
      </c>
      <c r="H892" s="177">
        <v>0</v>
      </c>
      <c r="I892" s="178">
        <v>40</v>
      </c>
    </row>
    <row r="893" spans="1:9" ht="15" x14ac:dyDescent="0.2">
      <c r="A893" s="89" t="s">
        <v>4190</v>
      </c>
      <c r="B893" s="89" t="s">
        <v>7723</v>
      </c>
      <c r="C893" s="89" t="s">
        <v>7724</v>
      </c>
      <c r="D893" s="278" t="str">
        <f>VLOOKUP(A:A,'Master Table'!C:D,2,FALSE)</f>
        <v>560</v>
      </c>
      <c r="E893" s="307"/>
      <c r="F893" s="175">
        <v>466</v>
      </c>
      <c r="G893" s="176">
        <v>477</v>
      </c>
      <c r="H893" s="177">
        <v>377</v>
      </c>
      <c r="I893" s="178">
        <v>637.98</v>
      </c>
    </row>
    <row r="894" spans="1:9" ht="15" x14ac:dyDescent="0.2">
      <c r="A894" s="89" t="s">
        <v>4198</v>
      </c>
      <c r="B894" s="89" t="s">
        <v>4200</v>
      </c>
      <c r="C894" s="89" t="s">
        <v>7725</v>
      </c>
      <c r="D894" s="278" t="str">
        <f>VLOOKUP(A:A,'Master Table'!C:D,2,FALSE)</f>
        <v>561</v>
      </c>
      <c r="E894" s="291"/>
      <c r="F894" s="175">
        <v>148.86000000000001</v>
      </c>
      <c r="G894" s="176">
        <v>238</v>
      </c>
      <c r="H894" s="177">
        <v>0</v>
      </c>
      <c r="I894" s="178">
        <v>215</v>
      </c>
    </row>
    <row r="895" spans="1:9" ht="15" x14ac:dyDescent="0.2">
      <c r="A895" s="89" t="s">
        <v>4206</v>
      </c>
      <c r="B895" s="89" t="s">
        <v>3982</v>
      </c>
      <c r="C895" s="89" t="s">
        <v>1203</v>
      </c>
      <c r="D895" s="278" t="str">
        <f>VLOOKUP(A:A,'Master Table'!C:D,2,FALSE)</f>
        <v>565</v>
      </c>
      <c r="E895" s="307"/>
      <c r="F895" s="175">
        <v>2563.85</v>
      </c>
      <c r="G895" s="176">
        <v>2490.8000000000002</v>
      </c>
      <c r="H895" s="177">
        <v>1596.8</v>
      </c>
      <c r="I895" s="178">
        <v>2157</v>
      </c>
    </row>
    <row r="896" spans="1:9" ht="15" x14ac:dyDescent="0.2">
      <c r="A896" s="89" t="s">
        <v>4211</v>
      </c>
      <c r="B896" s="89" t="s">
        <v>4213</v>
      </c>
      <c r="C896" s="89" t="s">
        <v>5069</v>
      </c>
      <c r="D896" s="278" t="str">
        <f>VLOOKUP(A:A,'Master Table'!C:D,2,FALSE)</f>
        <v>567</v>
      </c>
      <c r="E896" s="307"/>
      <c r="F896" s="175">
        <v>493.57</v>
      </c>
      <c r="G896" s="176">
        <v>425.81</v>
      </c>
      <c r="H896" s="177">
        <v>177.81</v>
      </c>
      <c r="I896" s="178">
        <v>506.78000000000003</v>
      </c>
    </row>
    <row r="897" spans="1:9" ht="15" x14ac:dyDescent="0.2">
      <c r="A897" s="89" t="s">
        <v>4215</v>
      </c>
      <c r="B897" s="89" t="s">
        <v>4217</v>
      </c>
      <c r="C897" s="89" t="s">
        <v>1371</v>
      </c>
      <c r="D897" s="278" t="str">
        <f>VLOOKUP(A:A,'Master Table'!C:D,2,FALSE)</f>
        <v>568</v>
      </c>
      <c r="E897" s="307"/>
      <c r="F897" s="175">
        <v>2041.8400000000001</v>
      </c>
      <c r="G897" s="176">
        <v>2679.48</v>
      </c>
      <c r="H897" s="177">
        <v>2280.48</v>
      </c>
      <c r="I897" s="178">
        <v>2131.21</v>
      </c>
    </row>
    <row r="898" spans="1:9" ht="15" x14ac:dyDescent="0.2">
      <c r="A898" s="89" t="s">
        <v>4218</v>
      </c>
      <c r="B898" s="89" t="s">
        <v>4220</v>
      </c>
      <c r="C898" s="89" t="s">
        <v>186</v>
      </c>
      <c r="D898" s="278" t="str">
        <f>VLOOKUP(A:A,'Master Table'!C:D,2,FALSE)</f>
        <v>569</v>
      </c>
      <c r="E898" s="307"/>
      <c r="F898" s="175">
        <v>1201</v>
      </c>
      <c r="G898" s="176">
        <v>1183.0999999999999</v>
      </c>
      <c r="H898" s="177">
        <v>1083.0999999999999</v>
      </c>
      <c r="I898" s="178">
        <v>925.4</v>
      </c>
    </row>
    <row r="899" spans="1:9" ht="15" x14ac:dyDescent="0.2">
      <c r="A899" s="89" t="s">
        <v>4221</v>
      </c>
      <c r="B899" s="89" t="s">
        <v>7726</v>
      </c>
      <c r="C899" s="89" t="s">
        <v>532</v>
      </c>
      <c r="D899" s="278" t="str">
        <f>VLOOKUP(A:A,'Master Table'!C:D,2,FALSE)</f>
        <v>570</v>
      </c>
      <c r="E899" s="291"/>
      <c r="F899" s="175">
        <v>45</v>
      </c>
      <c r="G899" s="176">
        <v>0</v>
      </c>
      <c r="H899" s="177">
        <v>0</v>
      </c>
      <c r="I899" s="178">
        <v>120</v>
      </c>
    </row>
    <row r="900" spans="1:9" ht="15" x14ac:dyDescent="0.2">
      <c r="A900" s="89" t="s">
        <v>4225</v>
      </c>
      <c r="B900" s="89" t="s">
        <v>4080</v>
      </c>
      <c r="C900" s="89" t="s">
        <v>4227</v>
      </c>
      <c r="D900" s="278" t="str">
        <f>VLOOKUP(A:A,'Master Table'!C:D,2,FALSE)</f>
        <v>571</v>
      </c>
      <c r="E900" s="307"/>
      <c r="F900" s="175">
        <v>524.30999999999995</v>
      </c>
      <c r="G900" s="176">
        <v>694.45</v>
      </c>
      <c r="H900" s="177">
        <v>457.45</v>
      </c>
      <c r="I900" s="178">
        <v>518.28</v>
      </c>
    </row>
    <row r="901" spans="1:9" ht="15" x14ac:dyDescent="0.2">
      <c r="A901" s="89" t="s">
        <v>4229</v>
      </c>
      <c r="B901" s="89" t="s">
        <v>4231</v>
      </c>
      <c r="C901" s="89" t="s">
        <v>532</v>
      </c>
      <c r="D901" s="278" t="str">
        <f>VLOOKUP(A:A,'Master Table'!C:D,2,FALSE)</f>
        <v>572</v>
      </c>
      <c r="E901" s="307"/>
      <c r="F901" s="175">
        <v>745.06000000000006</v>
      </c>
      <c r="G901" s="176">
        <v>685.83</v>
      </c>
      <c r="H901" s="177">
        <v>570.83000000000004</v>
      </c>
      <c r="I901" s="178">
        <v>937.80000000000007</v>
      </c>
    </row>
    <row r="902" spans="1:9" ht="15" x14ac:dyDescent="0.2">
      <c r="A902" s="89" t="s">
        <v>4235</v>
      </c>
      <c r="B902" s="89" t="s">
        <v>4238</v>
      </c>
      <c r="C902" s="89" t="s">
        <v>839</v>
      </c>
      <c r="D902" s="278" t="str">
        <f>VLOOKUP(A:A,'Master Table'!C:D,2,FALSE)</f>
        <v>573</v>
      </c>
      <c r="E902" s="291"/>
      <c r="F902" s="175">
        <v>1750.53</v>
      </c>
      <c r="G902" s="176">
        <v>1428</v>
      </c>
      <c r="H902" s="177">
        <v>0</v>
      </c>
      <c r="I902" s="178">
        <v>1425</v>
      </c>
    </row>
    <row r="903" spans="1:9" ht="15" x14ac:dyDescent="0.2">
      <c r="A903" s="89" t="s">
        <v>4243</v>
      </c>
      <c r="B903" s="89" t="s">
        <v>4245</v>
      </c>
      <c r="C903" s="89" t="s">
        <v>532</v>
      </c>
      <c r="D903" s="278" t="str">
        <f>VLOOKUP(A:A,'Master Table'!C:D,2,FALSE)</f>
        <v>574</v>
      </c>
      <c r="E903" s="307"/>
      <c r="F903" s="175">
        <v>360.4</v>
      </c>
      <c r="G903" s="176">
        <v>409.09</v>
      </c>
      <c r="H903" s="177">
        <v>294.08999999999997</v>
      </c>
      <c r="I903" s="178">
        <v>545.18000000000006</v>
      </c>
    </row>
    <row r="904" spans="1:9" ht="15" x14ac:dyDescent="0.2">
      <c r="A904" s="89" t="s">
        <v>4246</v>
      </c>
      <c r="B904" s="89" t="s">
        <v>4249</v>
      </c>
      <c r="C904" s="89" t="s">
        <v>2896</v>
      </c>
      <c r="D904" s="278" t="str">
        <f>VLOOKUP(A:A,'Master Table'!C:D,2,FALSE)</f>
        <v>575</v>
      </c>
      <c r="E904" s="307"/>
      <c r="F904" s="175">
        <v>3454.7200000000003</v>
      </c>
      <c r="G904" s="176">
        <v>4122.46</v>
      </c>
      <c r="H904" s="177">
        <v>3637.46</v>
      </c>
      <c r="I904" s="178">
        <v>2956.79</v>
      </c>
    </row>
    <row r="905" spans="1:9" ht="15" x14ac:dyDescent="0.2">
      <c r="A905" s="89" t="s">
        <v>4250</v>
      </c>
      <c r="B905" s="89" t="s">
        <v>4249</v>
      </c>
      <c r="C905" s="89" t="s">
        <v>7727</v>
      </c>
      <c r="D905" s="278" t="str">
        <f>VLOOKUP(A:A,'Master Table'!C:D,2,FALSE)</f>
        <v>576</v>
      </c>
      <c r="E905" s="291"/>
      <c r="F905" s="175">
        <v>1612.45</v>
      </c>
      <c r="G905" s="176">
        <v>313</v>
      </c>
      <c r="H905" s="177">
        <v>0</v>
      </c>
      <c r="I905" s="178">
        <v>923.30000000000007</v>
      </c>
    </row>
    <row r="906" spans="1:9" ht="15" x14ac:dyDescent="0.2">
      <c r="A906" s="89" t="s">
        <v>4256</v>
      </c>
      <c r="B906" s="89" t="s">
        <v>4259</v>
      </c>
      <c r="C906" s="89" t="s">
        <v>5066</v>
      </c>
      <c r="D906" s="278" t="str">
        <f>VLOOKUP(A:A,'Master Table'!C:D,2,FALSE)</f>
        <v>577</v>
      </c>
      <c r="E906" s="307"/>
      <c r="F906" s="175">
        <v>830.14</v>
      </c>
      <c r="G906" s="176">
        <v>662.11</v>
      </c>
      <c r="H906" s="177">
        <v>462.11</v>
      </c>
      <c r="I906" s="178">
        <v>747.81000000000006</v>
      </c>
    </row>
    <row r="907" spans="1:9" ht="15" x14ac:dyDescent="0.2">
      <c r="A907" s="89" t="s">
        <v>4260</v>
      </c>
      <c r="B907" s="89" t="s">
        <v>4262</v>
      </c>
      <c r="C907" s="89" t="s">
        <v>532</v>
      </c>
      <c r="D907" s="278" t="str">
        <f>VLOOKUP(A:A,'Master Table'!C:D,2,FALSE)</f>
        <v>578</v>
      </c>
      <c r="E907" s="291"/>
      <c r="F907" s="175">
        <v>52</v>
      </c>
      <c r="G907" s="176">
        <v>10</v>
      </c>
      <c r="H907" s="177">
        <v>0</v>
      </c>
      <c r="I907" s="178">
        <v>25</v>
      </c>
    </row>
    <row r="908" spans="1:9" ht="15" x14ac:dyDescent="0.2">
      <c r="A908" s="89" t="s">
        <v>4266</v>
      </c>
      <c r="B908" s="89" t="s">
        <v>4269</v>
      </c>
      <c r="C908" s="89" t="s">
        <v>476</v>
      </c>
      <c r="D908" s="278" t="str">
        <f>VLOOKUP(A:A,'Master Table'!C:D,2,FALSE)</f>
        <v>579</v>
      </c>
      <c r="E908" s="307"/>
      <c r="F908" s="175">
        <v>620</v>
      </c>
      <c r="G908" s="176">
        <v>839.72</v>
      </c>
      <c r="H908" s="177">
        <v>478.72</v>
      </c>
      <c r="I908" s="178">
        <v>749.06000000000006</v>
      </c>
    </row>
    <row r="909" spans="1:9" ht="15" x14ac:dyDescent="0.2">
      <c r="A909" s="89" t="s">
        <v>4270</v>
      </c>
      <c r="B909" s="89" t="s">
        <v>4272</v>
      </c>
      <c r="C909" s="89" t="s">
        <v>1284</v>
      </c>
      <c r="D909" s="278" t="str">
        <f>VLOOKUP(A:A,'Master Table'!C:D,2,FALSE)</f>
        <v>580</v>
      </c>
      <c r="E909" s="291"/>
      <c r="F909" s="175">
        <v>984.72</v>
      </c>
      <c r="G909" s="176">
        <v>790</v>
      </c>
      <c r="H909" s="177">
        <v>0</v>
      </c>
      <c r="I909" s="178">
        <v>585</v>
      </c>
    </row>
    <row r="910" spans="1:9" ht="15" x14ac:dyDescent="0.2">
      <c r="A910" s="89" t="s">
        <v>4273</v>
      </c>
      <c r="B910" s="89" t="s">
        <v>4275</v>
      </c>
      <c r="C910" s="89" t="s">
        <v>4017</v>
      </c>
      <c r="D910" s="278" t="str">
        <f>VLOOKUP(A:A,'Master Table'!C:D,2,FALSE)</f>
        <v>581</v>
      </c>
      <c r="E910" s="307"/>
      <c r="F910" s="175">
        <v>384.97</v>
      </c>
      <c r="G910" s="176">
        <v>377.53</v>
      </c>
      <c r="H910" s="177">
        <v>142.53</v>
      </c>
      <c r="I910" s="178">
        <v>446.85</v>
      </c>
    </row>
    <row r="911" spans="1:9" ht="15" x14ac:dyDescent="0.2">
      <c r="A911" s="89" t="s">
        <v>4279</v>
      </c>
      <c r="B911" s="89" t="s">
        <v>4282</v>
      </c>
      <c r="C911" s="89" t="s">
        <v>2674</v>
      </c>
      <c r="D911" s="278" t="str">
        <f>VLOOKUP(A:A,'Master Table'!C:D,2,FALSE)</f>
        <v>582</v>
      </c>
      <c r="E911" s="291"/>
      <c r="F911" s="175">
        <v>460</v>
      </c>
      <c r="G911" s="176">
        <v>626</v>
      </c>
      <c r="H911" s="177">
        <v>0</v>
      </c>
      <c r="I911" s="178">
        <v>1226</v>
      </c>
    </row>
    <row r="912" spans="1:9" ht="15" x14ac:dyDescent="0.2">
      <c r="A912" s="89" t="s">
        <v>4283</v>
      </c>
      <c r="B912" s="89" t="s">
        <v>4286</v>
      </c>
      <c r="C912" s="89" t="s">
        <v>7660</v>
      </c>
      <c r="D912" s="278" t="str">
        <f>VLOOKUP(A:A,'Master Table'!C:D,2,FALSE)</f>
        <v>583</v>
      </c>
      <c r="E912" s="307"/>
      <c r="F912" s="175">
        <v>290.75</v>
      </c>
      <c r="G912" s="176">
        <v>394.55</v>
      </c>
      <c r="H912" s="177">
        <v>279.55</v>
      </c>
      <c r="I912" s="178">
        <v>313.43</v>
      </c>
    </row>
    <row r="913" spans="1:9" ht="15" x14ac:dyDescent="0.2">
      <c r="A913" s="89" t="s">
        <v>7728</v>
      </c>
      <c r="B913" s="183" t="s">
        <v>7729</v>
      </c>
      <c r="C913" s="89" t="s">
        <v>7730</v>
      </c>
      <c r="D913" s="278" t="e">
        <f>VLOOKUP(A:A,'Master Table'!C:D,2,FALSE)</f>
        <v>#N/A</v>
      </c>
      <c r="E913" s="291"/>
      <c r="F913" s="175">
        <v>350</v>
      </c>
      <c r="G913" s="176">
        <v>843.24</v>
      </c>
      <c r="H913" s="177">
        <v>668.24</v>
      </c>
      <c r="I913" s="178">
        <v>1054.99</v>
      </c>
    </row>
    <row r="914" spans="1:9" ht="15" x14ac:dyDescent="0.2">
      <c r="A914" s="89" t="s">
        <v>4290</v>
      </c>
      <c r="B914" s="89" t="s">
        <v>4293</v>
      </c>
      <c r="C914" s="89" t="s">
        <v>4292</v>
      </c>
      <c r="D914" s="278" t="str">
        <f>VLOOKUP(A:A,'Master Table'!C:D,2,FALSE)</f>
        <v>585</v>
      </c>
      <c r="E914" s="307"/>
      <c r="F914" s="175">
        <v>741.66000000000008</v>
      </c>
      <c r="G914" s="176">
        <v>701.39</v>
      </c>
      <c r="H914" s="177">
        <v>601.39</v>
      </c>
      <c r="I914" s="178">
        <v>856.67000000000007</v>
      </c>
    </row>
    <row r="915" spans="1:9" ht="15" x14ac:dyDescent="0.2">
      <c r="A915" s="89" t="s">
        <v>4294</v>
      </c>
      <c r="B915" s="89" t="s">
        <v>4297</v>
      </c>
      <c r="C915" s="89" t="s">
        <v>4296</v>
      </c>
      <c r="D915" s="278" t="str">
        <f>VLOOKUP(A:A,'Master Table'!C:D,2,FALSE)</f>
        <v>586</v>
      </c>
      <c r="E915" s="291"/>
      <c r="F915" s="175">
        <v>780</v>
      </c>
      <c r="G915" s="176">
        <v>1594</v>
      </c>
      <c r="H915" s="177">
        <v>0</v>
      </c>
      <c r="I915" s="178">
        <v>672</v>
      </c>
    </row>
    <row r="916" spans="1:9" ht="15" x14ac:dyDescent="0.2">
      <c r="A916" s="89" t="s">
        <v>4298</v>
      </c>
      <c r="B916" s="89" t="s">
        <v>3850</v>
      </c>
      <c r="C916" s="89" t="s">
        <v>164</v>
      </c>
      <c r="D916" s="278" t="str">
        <f>VLOOKUP(A:A,'Master Table'!C:D,2,FALSE)</f>
        <v>587</v>
      </c>
      <c r="E916" s="307"/>
      <c r="F916" s="175">
        <v>560.52</v>
      </c>
      <c r="G916" s="176">
        <v>573.73</v>
      </c>
      <c r="H916" s="177">
        <v>343.73</v>
      </c>
      <c r="I916" s="178">
        <v>700.08</v>
      </c>
    </row>
    <row r="917" spans="1:9" ht="15" x14ac:dyDescent="0.2">
      <c r="A917" s="89" t="s">
        <v>4305</v>
      </c>
      <c r="B917" s="89" t="s">
        <v>4308</v>
      </c>
      <c r="C917" s="89" t="s">
        <v>942</v>
      </c>
      <c r="D917" s="278" t="str">
        <f>VLOOKUP(A:A,'Master Table'!C:D,2,FALSE)</f>
        <v>589</v>
      </c>
      <c r="E917" s="291"/>
      <c r="F917" s="175">
        <v>290.11</v>
      </c>
      <c r="G917" s="176">
        <v>354</v>
      </c>
      <c r="H917" s="177">
        <v>0</v>
      </c>
      <c r="I917" s="178">
        <v>391.77</v>
      </c>
    </row>
    <row r="918" spans="1:9" ht="15" x14ac:dyDescent="0.2">
      <c r="A918" s="89" t="s">
        <v>4309</v>
      </c>
      <c r="B918" s="89" t="s">
        <v>4312</v>
      </c>
      <c r="C918" s="89" t="s">
        <v>4311</v>
      </c>
      <c r="D918" s="278" t="str">
        <f>VLOOKUP(A:A,'Master Table'!C:D,2,FALSE)</f>
        <v>590</v>
      </c>
      <c r="E918" s="307"/>
      <c r="F918" s="175">
        <v>852.83999999999992</v>
      </c>
      <c r="G918" s="176">
        <v>773.06999999999994</v>
      </c>
      <c r="H918" s="177">
        <v>373.07</v>
      </c>
      <c r="I918" s="178">
        <v>752.43000000000006</v>
      </c>
    </row>
    <row r="919" spans="1:9" ht="15" x14ac:dyDescent="0.2">
      <c r="A919" s="89" t="s">
        <v>4317</v>
      </c>
      <c r="B919" s="89" t="s">
        <v>4319</v>
      </c>
      <c r="C919" s="89" t="s">
        <v>1349</v>
      </c>
      <c r="D919" s="278" t="str">
        <f>VLOOKUP(A:A,'Master Table'!C:D,2,FALSE)</f>
        <v>592</v>
      </c>
      <c r="E919" s="307"/>
      <c r="F919" s="175">
        <v>2463.6499999999996</v>
      </c>
      <c r="G919" s="176">
        <v>2467</v>
      </c>
      <c r="H919" s="177">
        <v>2417</v>
      </c>
      <c r="I919" s="178">
        <v>2462.19</v>
      </c>
    </row>
    <row r="920" spans="1:9" ht="15" x14ac:dyDescent="0.2">
      <c r="A920" s="89" t="s">
        <v>4320</v>
      </c>
      <c r="B920" s="89" t="s">
        <v>4322</v>
      </c>
      <c r="C920" s="89" t="s">
        <v>2816</v>
      </c>
      <c r="D920" s="278" t="str">
        <f>VLOOKUP(A:A,'Master Table'!C:D,2,FALSE)</f>
        <v>593</v>
      </c>
      <c r="E920" s="307"/>
      <c r="F920" s="175">
        <v>1026.72</v>
      </c>
      <c r="G920" s="176">
        <v>717.37</v>
      </c>
      <c r="H920" s="177">
        <v>457.37</v>
      </c>
      <c r="I920" s="178">
        <v>607.79</v>
      </c>
    </row>
    <row r="921" spans="1:9" ht="15" x14ac:dyDescent="0.2">
      <c r="A921" s="89" t="s">
        <v>4327</v>
      </c>
      <c r="B921" s="89" t="s">
        <v>4330</v>
      </c>
      <c r="C921" s="89" t="s">
        <v>4329</v>
      </c>
      <c r="D921" s="278" t="str">
        <f>VLOOKUP(A:A,'Master Table'!C:D,2,FALSE)</f>
        <v>147921</v>
      </c>
      <c r="E921" s="291"/>
      <c r="F921" s="175">
        <v>259.27</v>
      </c>
      <c r="G921" s="176">
        <v>393</v>
      </c>
      <c r="H921" s="177">
        <v>0</v>
      </c>
      <c r="I921" s="178">
        <v>70.23</v>
      </c>
    </row>
    <row r="922" spans="1:9" ht="15" x14ac:dyDescent="0.2">
      <c r="A922" s="89" t="s">
        <v>4331</v>
      </c>
      <c r="B922" s="89" t="s">
        <v>7731</v>
      </c>
      <c r="C922" s="89" t="s">
        <v>7732</v>
      </c>
      <c r="D922" s="278" t="str">
        <f>VLOOKUP(A:A,'Master Table'!C:D,2,FALSE)</f>
        <v>249426</v>
      </c>
      <c r="E922" s="307"/>
      <c r="F922" s="175">
        <v>211.04000000000002</v>
      </c>
      <c r="G922" s="176">
        <v>198.8</v>
      </c>
      <c r="H922" s="177">
        <v>98.8</v>
      </c>
      <c r="I922" s="178">
        <v>164.98</v>
      </c>
    </row>
    <row r="923" spans="1:9" ht="15" x14ac:dyDescent="0.2">
      <c r="A923" s="89" t="s">
        <v>7733</v>
      </c>
      <c r="B923" s="89" t="s">
        <v>305</v>
      </c>
      <c r="C923" s="89" t="s">
        <v>7261</v>
      </c>
      <c r="D923" s="278" t="e">
        <f>VLOOKUP(A:A,'Master Table'!C:D,2,FALSE)</f>
        <v>#N/A</v>
      </c>
      <c r="E923" s="307"/>
      <c r="F923" s="175">
        <v>198.15</v>
      </c>
      <c r="G923" s="176">
        <v>608.95000000000005</v>
      </c>
      <c r="H923" s="177">
        <v>376.95</v>
      </c>
      <c r="I923" s="178">
        <v>674.98</v>
      </c>
    </row>
    <row r="924" spans="1:9" ht="16.5" thickBot="1" x14ac:dyDescent="0.3">
      <c r="A924" s="95" t="s">
        <v>7463</v>
      </c>
      <c r="B924" s="95"/>
      <c r="C924" s="95"/>
      <c r="D924" s="308"/>
      <c r="E924" s="308"/>
      <c r="F924" s="96">
        <v>105156.97999999998</v>
      </c>
      <c r="G924" s="185">
        <v>105136.23999999999</v>
      </c>
      <c r="H924" s="186">
        <v>63799.989999999991</v>
      </c>
      <c r="I924" s="187">
        <v>101923.87999999996</v>
      </c>
    </row>
    <row r="925" spans="1:9" s="62" customFormat="1" x14ac:dyDescent="0.2">
      <c r="A925" s="60" t="s">
        <v>7262</v>
      </c>
      <c r="B925" s="60"/>
      <c r="C925" s="60"/>
      <c r="D925" s="275"/>
      <c r="E925" s="275"/>
      <c r="F925" s="61"/>
      <c r="G925" s="61"/>
      <c r="H925" s="60"/>
    </row>
    <row r="926" spans="1:9" ht="20.25" x14ac:dyDescent="0.2">
      <c r="A926" s="248" t="s">
        <v>7734</v>
      </c>
      <c r="B926" s="248"/>
      <c r="C926" s="248"/>
      <c r="D926" s="289"/>
      <c r="E926" s="289"/>
      <c r="F926" s="248"/>
      <c r="G926" s="248"/>
      <c r="H926" s="188"/>
      <c r="I926" s="188"/>
    </row>
    <row r="927" spans="1:9" ht="15.75" x14ac:dyDescent="0.2">
      <c r="A927" s="189" t="s">
        <v>1</v>
      </c>
      <c r="B927" s="189" t="s">
        <v>7735</v>
      </c>
      <c r="C927" s="189" t="s">
        <v>3</v>
      </c>
      <c r="D927" s="277" t="s">
        <v>8165</v>
      </c>
      <c r="E927" s="290">
        <f>E3</f>
        <v>2019</v>
      </c>
      <c r="F927" s="191">
        <v>2018</v>
      </c>
      <c r="G927" s="191">
        <v>2017</v>
      </c>
      <c r="H927" s="192" t="s">
        <v>7178</v>
      </c>
      <c r="I927" s="188"/>
    </row>
    <row r="928" spans="1:9" ht="30" x14ac:dyDescent="0.2">
      <c r="A928" s="193" t="s">
        <v>7737</v>
      </c>
      <c r="B928" s="193" t="s">
        <v>7738</v>
      </c>
      <c r="C928" s="193" t="s">
        <v>7739</v>
      </c>
      <c r="D928" s="278" t="e">
        <f>VLOOKUP(A:A,'Master Table'!C:D,2,FALSE)</f>
        <v>#N/A</v>
      </c>
      <c r="E928" s="309"/>
      <c r="F928" s="195">
        <v>2155.63</v>
      </c>
      <c r="G928" s="195">
        <v>3736.5099999999998</v>
      </c>
      <c r="H928" s="196">
        <v>1801.8</v>
      </c>
      <c r="I928" s="188"/>
    </row>
    <row r="929" spans="1:9" ht="15" x14ac:dyDescent="0.2">
      <c r="A929" s="193" t="s">
        <v>4347</v>
      </c>
      <c r="B929" s="193" t="s">
        <v>4345</v>
      </c>
      <c r="C929" s="193" t="s">
        <v>916</v>
      </c>
      <c r="D929" s="278" t="str">
        <f>VLOOKUP(A:A,'Master Table'!C:D,2,FALSE)</f>
        <v>0479482</v>
      </c>
      <c r="E929" s="309"/>
      <c r="F929" s="195">
        <v>110</v>
      </c>
      <c r="G929" s="195">
        <v>100</v>
      </c>
      <c r="H929" s="196">
        <v>50</v>
      </c>
      <c r="I929" s="188"/>
    </row>
    <row r="930" spans="1:9" ht="15" x14ac:dyDescent="0.2">
      <c r="A930" s="193" t="s">
        <v>4352</v>
      </c>
      <c r="B930" s="193" t="s">
        <v>4345</v>
      </c>
      <c r="C930" s="193" t="s">
        <v>7740</v>
      </c>
      <c r="D930" s="278" t="str">
        <f>VLOOKUP(A:A,'Master Table'!C:D,2,FALSE)</f>
        <v>601</v>
      </c>
      <c r="E930" s="309"/>
      <c r="F930" s="195">
        <v>778.9</v>
      </c>
      <c r="G930" s="195">
        <v>644.85</v>
      </c>
      <c r="H930" s="196">
        <v>42</v>
      </c>
      <c r="I930" s="188"/>
    </row>
    <row r="931" spans="1:9" ht="15" x14ac:dyDescent="0.2">
      <c r="A931" s="193" t="s">
        <v>4355</v>
      </c>
      <c r="B931" s="193" t="s">
        <v>4345</v>
      </c>
      <c r="C931" s="193" t="s">
        <v>7741</v>
      </c>
      <c r="D931" s="278" t="str">
        <f>VLOOKUP(A:A,'Master Table'!C:D,2,FALSE)</f>
        <v>602</v>
      </c>
      <c r="E931" s="309"/>
      <c r="F931" s="195">
        <v>413.46000000000004</v>
      </c>
      <c r="G931" s="195">
        <v>295.45</v>
      </c>
      <c r="H931" s="196">
        <v>340.6</v>
      </c>
      <c r="I931" s="188"/>
    </row>
    <row r="932" spans="1:9" ht="15" x14ac:dyDescent="0.2">
      <c r="A932" s="193" t="s">
        <v>4358</v>
      </c>
      <c r="B932" s="193" t="s">
        <v>4345</v>
      </c>
      <c r="C932" s="193" t="s">
        <v>72</v>
      </c>
      <c r="D932" s="278" t="str">
        <f>VLOOKUP(A:A,'Master Table'!C:D,2,FALSE)</f>
        <v>603</v>
      </c>
      <c r="E932" s="309"/>
      <c r="F932" s="195">
        <v>1276.9100000000001</v>
      </c>
      <c r="G932" s="195">
        <v>1459.21</v>
      </c>
      <c r="H932" s="196">
        <v>1462.58</v>
      </c>
      <c r="I932" s="188"/>
    </row>
    <row r="933" spans="1:9" ht="15" x14ac:dyDescent="0.2">
      <c r="A933" s="193" t="s">
        <v>4364</v>
      </c>
      <c r="B933" s="193" t="s">
        <v>4345</v>
      </c>
      <c r="C933" s="193" t="s">
        <v>7742</v>
      </c>
      <c r="D933" s="278" t="str">
        <f>VLOOKUP(A:A,'Master Table'!C:D,2,FALSE)</f>
        <v>605</v>
      </c>
      <c r="E933" s="309"/>
      <c r="F933" s="195">
        <v>955.41</v>
      </c>
      <c r="G933" s="195">
        <v>880.05</v>
      </c>
      <c r="H933" s="196">
        <v>878.06000000000006</v>
      </c>
      <c r="I933" s="188"/>
    </row>
    <row r="934" spans="1:9" ht="15" x14ac:dyDescent="0.2">
      <c r="A934" s="193" t="s">
        <v>4367</v>
      </c>
      <c r="B934" s="193" t="s">
        <v>4345</v>
      </c>
      <c r="C934" s="193" t="s">
        <v>1065</v>
      </c>
      <c r="D934" s="278" t="str">
        <f>VLOOKUP(A:A,'Master Table'!C:D,2,FALSE)</f>
        <v>606</v>
      </c>
      <c r="E934" s="309"/>
      <c r="F934" s="195">
        <v>2093.02</v>
      </c>
      <c r="G934" s="195">
        <v>3028.95</v>
      </c>
      <c r="H934" s="196">
        <v>2557.15</v>
      </c>
      <c r="I934" s="188"/>
    </row>
    <row r="935" spans="1:9" ht="15" x14ac:dyDescent="0.2">
      <c r="A935" s="193" t="s">
        <v>4369</v>
      </c>
      <c r="B935" s="193" t="s">
        <v>4345</v>
      </c>
      <c r="C935" s="193" t="s">
        <v>4371</v>
      </c>
      <c r="D935" s="278" t="str">
        <f>VLOOKUP(A:A,'Master Table'!C:D,2,FALSE)</f>
        <v>607</v>
      </c>
      <c r="E935" s="309"/>
      <c r="F935" s="195">
        <v>280.07</v>
      </c>
      <c r="G935" s="195">
        <v>421.98</v>
      </c>
      <c r="H935" s="196">
        <v>437.77</v>
      </c>
      <c r="I935" s="188"/>
    </row>
    <row r="936" spans="1:9" ht="15" x14ac:dyDescent="0.2">
      <c r="A936" s="193" t="s">
        <v>4373</v>
      </c>
      <c r="B936" s="193" t="s">
        <v>4345</v>
      </c>
      <c r="C936" s="193" t="s">
        <v>453</v>
      </c>
      <c r="D936" s="278" t="str">
        <f>VLOOKUP(A:A,'Master Table'!C:D,2,FALSE)</f>
        <v>0441997</v>
      </c>
      <c r="E936" s="309"/>
      <c r="F936" s="195">
        <v>342.47</v>
      </c>
      <c r="G936" s="195">
        <v>52.14</v>
      </c>
      <c r="H936" s="196">
        <v>62</v>
      </c>
      <c r="I936" s="188"/>
    </row>
    <row r="937" spans="1:9" ht="15" x14ac:dyDescent="0.2">
      <c r="A937" s="193" t="s">
        <v>4375</v>
      </c>
      <c r="B937" s="193" t="s">
        <v>4345</v>
      </c>
      <c r="C937" s="193" t="s">
        <v>1203</v>
      </c>
      <c r="D937" s="278" t="str">
        <f>VLOOKUP(A:A,'Master Table'!C:D,2,FALSE)</f>
        <v>609</v>
      </c>
      <c r="E937" s="309"/>
      <c r="F937" s="195">
        <v>1626.22</v>
      </c>
      <c r="G937" s="195">
        <v>1452.25</v>
      </c>
      <c r="H937" s="196">
        <v>1435.66</v>
      </c>
      <c r="I937" s="188"/>
    </row>
    <row r="938" spans="1:9" ht="15" x14ac:dyDescent="0.2">
      <c r="A938" s="193" t="s">
        <v>4377</v>
      </c>
      <c r="B938" s="193" t="s">
        <v>4345</v>
      </c>
      <c r="C938" s="193" t="s">
        <v>938</v>
      </c>
      <c r="D938" s="278" t="str">
        <f>VLOOKUP(A:A,'Master Table'!C:D,2,FALSE)</f>
        <v>610</v>
      </c>
      <c r="E938" s="309"/>
      <c r="F938" s="195">
        <v>819.62</v>
      </c>
      <c r="G938" s="195">
        <v>876.15</v>
      </c>
      <c r="H938" s="196">
        <v>1057.6300000000001</v>
      </c>
      <c r="I938" s="188"/>
    </row>
    <row r="939" spans="1:9" ht="15" x14ac:dyDescent="0.2">
      <c r="A939" s="193" t="s">
        <v>4380</v>
      </c>
      <c r="B939" s="193" t="s">
        <v>4382</v>
      </c>
      <c r="C939" s="193" t="s">
        <v>226</v>
      </c>
      <c r="D939" s="278" t="str">
        <f>VLOOKUP(A:A,'Master Table'!C:D,2,FALSE)</f>
        <v>611</v>
      </c>
      <c r="E939" s="309"/>
      <c r="F939" s="195">
        <v>300</v>
      </c>
      <c r="G939" s="195">
        <v>275</v>
      </c>
      <c r="H939" s="196">
        <v>524.48</v>
      </c>
      <c r="I939" s="188"/>
    </row>
    <row r="940" spans="1:9" ht="15" x14ac:dyDescent="0.2">
      <c r="A940" s="193" t="s">
        <v>7743</v>
      </c>
      <c r="B940" s="193" t="s">
        <v>7744</v>
      </c>
      <c r="C940" s="193" t="s">
        <v>7745</v>
      </c>
      <c r="D940" s="278" t="e">
        <f>VLOOKUP(A:A,'Master Table'!C:D,2,FALSE)</f>
        <v>#N/A</v>
      </c>
      <c r="E940" s="309"/>
      <c r="F940" s="195">
        <v>2443.25</v>
      </c>
      <c r="G940" s="195">
        <v>3129.98</v>
      </c>
      <c r="H940" s="196">
        <v>2551.59</v>
      </c>
      <c r="I940" s="188"/>
    </row>
    <row r="941" spans="1:9" ht="15" x14ac:dyDescent="0.2">
      <c r="A941" s="197" t="s">
        <v>4391</v>
      </c>
      <c r="B941" s="197" t="s">
        <v>7746</v>
      </c>
      <c r="C941" s="197" t="s">
        <v>7747</v>
      </c>
      <c r="D941" s="278" t="str">
        <f>VLOOKUP(A:A,'Master Table'!C:D,2,FALSE)</f>
        <v>613</v>
      </c>
      <c r="E941" s="309"/>
      <c r="F941" s="195">
        <v>870</v>
      </c>
      <c r="G941" s="195">
        <v>120</v>
      </c>
      <c r="H941" s="196">
        <v>60</v>
      </c>
    </row>
    <row r="942" spans="1:9" ht="15" x14ac:dyDescent="0.2">
      <c r="A942" s="193" t="s">
        <v>4395</v>
      </c>
      <c r="B942" s="193" t="s">
        <v>4397</v>
      </c>
      <c r="C942" s="193" t="s">
        <v>1284</v>
      </c>
      <c r="D942" s="278" t="str">
        <f>VLOOKUP(A:A,'Master Table'!C:D,2,FALSE)</f>
        <v>614</v>
      </c>
      <c r="E942" s="309"/>
      <c r="F942" s="195">
        <v>314.7</v>
      </c>
      <c r="G942" s="195">
        <v>626.07999999999993</v>
      </c>
      <c r="H942" s="196">
        <v>544.32000000000005</v>
      </c>
      <c r="I942" s="188"/>
    </row>
    <row r="943" spans="1:9" ht="15" x14ac:dyDescent="0.2">
      <c r="A943" s="193" t="s">
        <v>4398</v>
      </c>
      <c r="B943" s="193" t="s">
        <v>4397</v>
      </c>
      <c r="C943" s="193" t="s">
        <v>1165</v>
      </c>
      <c r="D943" s="278" t="str">
        <f>VLOOKUP(A:A,'Master Table'!C:D,2,FALSE)</f>
        <v>147962</v>
      </c>
      <c r="E943" s="309"/>
      <c r="F943" s="195">
        <v>239.49</v>
      </c>
      <c r="G943" s="195">
        <v>472.86</v>
      </c>
      <c r="H943" s="196">
        <v>362.14</v>
      </c>
      <c r="I943" s="188"/>
    </row>
    <row r="944" spans="1:9" ht="15" x14ac:dyDescent="0.2">
      <c r="A944" s="193" t="s">
        <v>4401</v>
      </c>
      <c r="B944" s="193" t="s">
        <v>4404</v>
      </c>
      <c r="C944" s="193" t="s">
        <v>4403</v>
      </c>
      <c r="D944" s="278" t="str">
        <f>VLOOKUP(A:A,'Master Table'!C:D,2,FALSE)</f>
        <v>615</v>
      </c>
      <c r="E944" s="309"/>
      <c r="F944" s="195">
        <v>1040.3499999999999</v>
      </c>
      <c r="G944" s="195">
        <v>963.3</v>
      </c>
      <c r="H944" s="196">
        <v>1033.8600000000001</v>
      </c>
      <c r="I944" s="188"/>
    </row>
    <row r="945" spans="1:9" ht="15" x14ac:dyDescent="0.2">
      <c r="A945" s="193" t="s">
        <v>4405</v>
      </c>
      <c r="B945" s="193" t="s">
        <v>4407</v>
      </c>
      <c r="C945" s="193" t="s">
        <v>226</v>
      </c>
      <c r="D945" s="278" t="str">
        <f>VLOOKUP(A:A,'Master Table'!C:D,2,FALSE)</f>
        <v>616</v>
      </c>
      <c r="E945" s="309"/>
      <c r="F945" s="195">
        <v>495</v>
      </c>
      <c r="G945" s="195">
        <v>1083.3499999999999</v>
      </c>
      <c r="H945" s="196">
        <v>155</v>
      </c>
      <c r="I945" s="188"/>
    </row>
    <row r="946" spans="1:9" ht="15" x14ac:dyDescent="0.2">
      <c r="A946" s="193" t="s">
        <v>4408</v>
      </c>
      <c r="B946" s="193" t="s">
        <v>4411</v>
      </c>
      <c r="C946" s="193" t="s">
        <v>1489</v>
      </c>
      <c r="D946" s="278" t="str">
        <f>VLOOKUP(A:A,'Master Table'!C:D,2,FALSE)</f>
        <v>617</v>
      </c>
      <c r="E946" s="309"/>
      <c r="F946" s="195">
        <v>182.93</v>
      </c>
      <c r="G946" s="195">
        <v>155</v>
      </c>
      <c r="H946" s="196">
        <v>204.9</v>
      </c>
      <c r="I946" s="188"/>
    </row>
    <row r="947" spans="1:9" ht="15" x14ac:dyDescent="0.2">
      <c r="A947" s="193" t="s">
        <v>4412</v>
      </c>
      <c r="B947" s="193" t="s">
        <v>4415</v>
      </c>
      <c r="C947" s="193" t="s">
        <v>4414</v>
      </c>
      <c r="D947" s="278" t="str">
        <f>VLOOKUP(A:A,'Master Table'!C:D,2,FALSE)</f>
        <v>618</v>
      </c>
      <c r="E947" s="309"/>
      <c r="F947" s="195">
        <v>108.06</v>
      </c>
      <c r="G947" s="195">
        <v>216.27</v>
      </c>
      <c r="H947" s="196">
        <v>196.55</v>
      </c>
      <c r="I947" s="188"/>
    </row>
    <row r="948" spans="1:9" ht="15" x14ac:dyDescent="0.2">
      <c r="A948" s="193" t="s">
        <v>4417</v>
      </c>
      <c r="B948" s="193" t="s">
        <v>49</v>
      </c>
      <c r="C948" s="193" t="s">
        <v>7278</v>
      </c>
      <c r="D948" s="278" t="str">
        <f>VLOOKUP(A:A,'Master Table'!C:D,2,FALSE)</f>
        <v>619</v>
      </c>
      <c r="E948" s="309"/>
      <c r="F948" s="195">
        <v>404.93</v>
      </c>
      <c r="G948" s="195">
        <v>401.5</v>
      </c>
      <c r="H948" s="196">
        <v>565</v>
      </c>
      <c r="I948" s="188"/>
    </row>
    <row r="949" spans="1:9" ht="15" x14ac:dyDescent="0.2">
      <c r="A949" s="193" t="s">
        <v>4420</v>
      </c>
      <c r="B949" s="193" t="s">
        <v>49</v>
      </c>
      <c r="C949" s="193" t="s">
        <v>2674</v>
      </c>
      <c r="D949" s="278" t="str">
        <f>VLOOKUP(A:A,'Master Table'!C:D,2,FALSE)</f>
        <v>620</v>
      </c>
      <c r="E949" s="309"/>
      <c r="F949" s="195">
        <v>405.5</v>
      </c>
      <c r="G949" s="195">
        <v>613.58999999999992</v>
      </c>
      <c r="H949" s="196">
        <v>647.5</v>
      </c>
      <c r="I949" s="188"/>
    </row>
    <row r="950" spans="1:9" ht="15" x14ac:dyDescent="0.2">
      <c r="A950" s="193" t="s">
        <v>4423</v>
      </c>
      <c r="B950" s="193" t="s">
        <v>7748</v>
      </c>
      <c r="C950" s="193" t="s">
        <v>3992</v>
      </c>
      <c r="D950" s="278" t="str">
        <f>VLOOKUP(A:A,'Master Table'!C:D,2,FALSE)</f>
        <v>622</v>
      </c>
      <c r="E950" s="309"/>
      <c r="F950" s="195">
        <v>471.82</v>
      </c>
      <c r="G950" s="195">
        <v>602.44000000000005</v>
      </c>
      <c r="H950" s="196">
        <v>618.79</v>
      </c>
      <c r="I950" s="188"/>
    </row>
    <row r="951" spans="1:9" ht="30" x14ac:dyDescent="0.2">
      <c r="A951" s="349" t="s">
        <v>7749</v>
      </c>
      <c r="B951" s="193" t="s">
        <v>7750</v>
      </c>
      <c r="C951" s="193" t="s">
        <v>7751</v>
      </c>
      <c r="D951" s="278" t="e">
        <f>VLOOKUP(A:A,'Master Table'!C:D,2,FALSE)</f>
        <v>#N/A</v>
      </c>
      <c r="E951" s="309"/>
      <c r="F951" s="195">
        <v>835.36</v>
      </c>
      <c r="G951" s="195">
        <v>656.38</v>
      </c>
      <c r="H951" s="196">
        <v>808.82</v>
      </c>
      <c r="I951" s="188"/>
    </row>
    <row r="952" spans="1:9" ht="15" x14ac:dyDescent="0.2">
      <c r="A952" s="197" t="s">
        <v>4432</v>
      </c>
      <c r="B952" s="197" t="s">
        <v>4435</v>
      </c>
      <c r="C952" s="197" t="s">
        <v>7752</v>
      </c>
      <c r="D952" s="278" t="str">
        <f>VLOOKUP(A:A,'Master Table'!C:D,2,FALSE)</f>
        <v>624</v>
      </c>
      <c r="E952" s="309"/>
      <c r="F952" s="195">
        <v>1747.36</v>
      </c>
      <c r="G952" s="195">
        <v>1753.09</v>
      </c>
      <c r="H952" s="196">
        <v>1104.56</v>
      </c>
      <c r="I952" s="188"/>
    </row>
    <row r="953" spans="1:9" ht="15" x14ac:dyDescent="0.2">
      <c r="A953" s="193" t="s">
        <v>4441</v>
      </c>
      <c r="B953" s="193" t="s">
        <v>4443</v>
      </c>
      <c r="C953" s="193" t="s">
        <v>119</v>
      </c>
      <c r="D953" s="278" t="str">
        <f>VLOOKUP(A:A,'Master Table'!C:D,2,FALSE)</f>
        <v>625</v>
      </c>
      <c r="E953" s="309"/>
      <c r="F953" s="195">
        <v>490.55</v>
      </c>
      <c r="G953" s="195">
        <v>602.62</v>
      </c>
      <c r="H953" s="196">
        <v>610.97</v>
      </c>
      <c r="I953" s="188"/>
    </row>
    <row r="954" spans="1:9" ht="15" x14ac:dyDescent="0.2">
      <c r="A954" s="193" t="s">
        <v>4444</v>
      </c>
      <c r="B954" s="193" t="s">
        <v>4447</v>
      </c>
      <c r="C954" s="193" t="s">
        <v>226</v>
      </c>
      <c r="D954" s="278" t="str">
        <f>VLOOKUP(A:A,'Master Table'!C:D,2,FALSE)</f>
        <v>626</v>
      </c>
      <c r="E954" s="309"/>
      <c r="F954" s="195">
        <v>295</v>
      </c>
      <c r="G954" s="195">
        <v>577.36</v>
      </c>
      <c r="H954" s="196">
        <v>265</v>
      </c>
      <c r="I954" s="188"/>
    </row>
    <row r="955" spans="1:9" ht="15" x14ac:dyDescent="0.2">
      <c r="A955" s="193" t="s">
        <v>4449</v>
      </c>
      <c r="B955" s="193" t="s">
        <v>7753</v>
      </c>
      <c r="C955" s="193" t="s">
        <v>1065</v>
      </c>
      <c r="D955" s="278" t="str">
        <f>VLOOKUP(A:A,'Master Table'!C:D,2,FALSE)</f>
        <v>627</v>
      </c>
      <c r="E955" s="309"/>
      <c r="F955" s="195">
        <v>920</v>
      </c>
      <c r="G955" s="195">
        <v>905</v>
      </c>
      <c r="H955" s="196">
        <v>780</v>
      </c>
      <c r="I955" s="188"/>
    </row>
    <row r="956" spans="1:9" ht="15" x14ac:dyDescent="0.2">
      <c r="A956" s="193" t="s">
        <v>4452</v>
      </c>
      <c r="B956" s="193" t="s">
        <v>7754</v>
      </c>
      <c r="C956" s="193" t="s">
        <v>771</v>
      </c>
      <c r="D956" s="278" t="str">
        <f>VLOOKUP(A:A,'Master Table'!C:D,2,FALSE)</f>
        <v>628</v>
      </c>
      <c r="E956" s="309"/>
      <c r="F956" s="195">
        <v>125.39</v>
      </c>
      <c r="G956" s="195">
        <v>140.80000000000001</v>
      </c>
      <c r="H956" s="196">
        <v>205.93</v>
      </c>
      <c r="I956" s="188"/>
    </row>
    <row r="957" spans="1:9" ht="15" x14ac:dyDescent="0.2">
      <c r="A957" s="193" t="s">
        <v>4456</v>
      </c>
      <c r="B957" s="193" t="s">
        <v>4459</v>
      </c>
      <c r="C957" s="193" t="s">
        <v>4458</v>
      </c>
      <c r="D957" s="278" t="str">
        <f>VLOOKUP(A:A,'Master Table'!C:D,2,FALSE)</f>
        <v>629</v>
      </c>
      <c r="E957" s="309"/>
      <c r="F957" s="195">
        <v>414.29</v>
      </c>
      <c r="G957" s="195">
        <v>479.9</v>
      </c>
      <c r="H957" s="196">
        <v>313.06</v>
      </c>
      <c r="I957" s="188"/>
    </row>
    <row r="958" spans="1:9" ht="15" x14ac:dyDescent="0.2">
      <c r="A958" s="193" t="s">
        <v>4461</v>
      </c>
      <c r="B958" s="193" t="s">
        <v>7755</v>
      </c>
      <c r="C958" s="193" t="s">
        <v>7756</v>
      </c>
      <c r="D958" s="278" t="str">
        <f>VLOOKUP(A:A,'Master Table'!C:D,2,FALSE)</f>
        <v>630</v>
      </c>
      <c r="E958" s="309"/>
      <c r="F958" s="195">
        <v>90.79</v>
      </c>
      <c r="G958" s="195">
        <v>168.64</v>
      </c>
      <c r="H958" s="196">
        <v>126.44</v>
      </c>
      <c r="I958" s="188"/>
    </row>
    <row r="959" spans="1:9" ht="15" x14ac:dyDescent="0.2">
      <c r="A959" s="193" t="s">
        <v>4464</v>
      </c>
      <c r="B959" s="193" t="s">
        <v>7757</v>
      </c>
      <c r="C959" s="193" t="s">
        <v>2981</v>
      </c>
      <c r="D959" s="278" t="str">
        <f>VLOOKUP(A:A,'Master Table'!C:D,2,FALSE)</f>
        <v>147997</v>
      </c>
      <c r="E959" s="309"/>
      <c r="F959" s="195">
        <v>242.48</v>
      </c>
      <c r="G959" s="195">
        <v>714.66</v>
      </c>
      <c r="H959" s="196">
        <v>476.66</v>
      </c>
      <c r="I959" s="188"/>
    </row>
    <row r="960" spans="1:9" ht="15" x14ac:dyDescent="0.2">
      <c r="A960" s="193" t="s">
        <v>4468</v>
      </c>
      <c r="B960" s="193" t="s">
        <v>7758</v>
      </c>
      <c r="C960" s="193" t="s">
        <v>7759</v>
      </c>
      <c r="D960" s="278" t="str">
        <f>VLOOKUP(A:A,'Master Table'!C:D,2,FALSE)</f>
        <v>631</v>
      </c>
      <c r="E960" s="309"/>
      <c r="F960" s="195">
        <v>55</v>
      </c>
      <c r="G960" s="195"/>
      <c r="H960" s="196">
        <v>5</v>
      </c>
      <c r="I960" s="188"/>
    </row>
    <row r="961" spans="1:9" ht="15" x14ac:dyDescent="0.2">
      <c r="A961" s="193" t="s">
        <v>4472</v>
      </c>
      <c r="B961" s="193" t="s">
        <v>4474</v>
      </c>
      <c r="C961" s="193" t="s">
        <v>1008</v>
      </c>
      <c r="D961" s="278" t="str">
        <f>VLOOKUP(A:A,'Master Table'!C:D,2,FALSE)</f>
        <v>632</v>
      </c>
      <c r="E961" s="309"/>
      <c r="F961" s="195">
        <v>184.5</v>
      </c>
      <c r="G961" s="195">
        <v>244.4</v>
      </c>
      <c r="H961" s="196">
        <v>227</v>
      </c>
      <c r="I961" s="188"/>
    </row>
    <row r="962" spans="1:9" ht="15" x14ac:dyDescent="0.2">
      <c r="A962" s="193" t="s">
        <v>4475</v>
      </c>
      <c r="B962" s="193" t="s">
        <v>4477</v>
      </c>
      <c r="C962" s="193" t="s">
        <v>4476</v>
      </c>
      <c r="D962" s="278">
        <f>VLOOKUP(A:A,'Master Table'!C:D,2,FALSE)</f>
        <v>633</v>
      </c>
      <c r="E962" s="309"/>
      <c r="F962" s="195">
        <v>242.27</v>
      </c>
      <c r="G962" s="195">
        <v>216.69</v>
      </c>
      <c r="H962" s="196">
        <v>389.12</v>
      </c>
      <c r="I962" s="188"/>
    </row>
    <row r="963" spans="1:9" ht="15" x14ac:dyDescent="0.2">
      <c r="A963" s="193" t="s">
        <v>4479</v>
      </c>
      <c r="B963" s="193" t="s">
        <v>4481</v>
      </c>
      <c r="C963" s="193" t="s">
        <v>1371</v>
      </c>
      <c r="D963" s="278" t="str">
        <f>VLOOKUP(A:A,'Master Table'!C:D,2,FALSE)</f>
        <v>634</v>
      </c>
      <c r="E963" s="309"/>
      <c r="F963" s="195">
        <v>1724.47</v>
      </c>
      <c r="G963" s="195">
        <v>1094.99</v>
      </c>
      <c r="H963" s="196">
        <v>1016.5600000000001</v>
      </c>
      <c r="I963" s="188"/>
    </row>
    <row r="964" spans="1:9" ht="15" x14ac:dyDescent="0.2">
      <c r="A964" s="193" t="s">
        <v>4482</v>
      </c>
      <c r="B964" s="193" t="s">
        <v>4484</v>
      </c>
      <c r="C964" s="193" t="s">
        <v>231</v>
      </c>
      <c r="D964" s="278" t="str">
        <f>VLOOKUP(A:A,'Master Table'!C:D,2,FALSE)</f>
        <v>635</v>
      </c>
      <c r="E964" s="309"/>
      <c r="F964" s="195">
        <v>1033</v>
      </c>
      <c r="G964" s="195">
        <v>670</v>
      </c>
      <c r="H964" s="196">
        <v>1367</v>
      </c>
      <c r="I964" s="188"/>
    </row>
    <row r="965" spans="1:9" ht="15" x14ac:dyDescent="0.2">
      <c r="A965" s="193" t="s">
        <v>4486</v>
      </c>
      <c r="B965" s="193" t="s">
        <v>4484</v>
      </c>
      <c r="C965" s="193" t="s">
        <v>7366</v>
      </c>
      <c r="D965" s="278" t="str">
        <f>VLOOKUP(A:A,'Master Table'!C:D,2,FALSE)</f>
        <v>636</v>
      </c>
      <c r="E965" s="309"/>
      <c r="F965" s="195">
        <v>746.14</v>
      </c>
      <c r="G965" s="195">
        <v>255</v>
      </c>
      <c r="H965" s="196">
        <v>526.84</v>
      </c>
      <c r="I965" s="188"/>
    </row>
    <row r="966" spans="1:9" ht="15" x14ac:dyDescent="0.2">
      <c r="A966" s="193" t="s">
        <v>4488</v>
      </c>
      <c r="B966" s="193" t="s">
        <v>4491</v>
      </c>
      <c r="C966" s="193" t="s">
        <v>7199</v>
      </c>
      <c r="D966" s="278" t="str">
        <f>VLOOKUP(A:A,'Master Table'!C:D,2,FALSE)</f>
        <v>638</v>
      </c>
      <c r="E966" s="309"/>
      <c r="F966" s="195">
        <v>432</v>
      </c>
      <c r="G966" s="195">
        <v>691</v>
      </c>
      <c r="H966" s="196">
        <v>382</v>
      </c>
      <c r="I966" s="188"/>
    </row>
    <row r="967" spans="1:9" ht="15" x14ac:dyDescent="0.2">
      <c r="A967" s="193" t="s">
        <v>4492</v>
      </c>
      <c r="B967" s="193" t="s">
        <v>4495</v>
      </c>
      <c r="C967" s="193" t="s">
        <v>1670</v>
      </c>
      <c r="D967" s="278" t="str">
        <f>VLOOKUP(A:A,'Master Table'!C:D,2,FALSE)</f>
        <v>639</v>
      </c>
      <c r="E967" s="309"/>
      <c r="F967" s="195">
        <v>1734.22</v>
      </c>
      <c r="G967" s="195">
        <v>1861.63</v>
      </c>
      <c r="H967" s="196">
        <v>2057.9900000000002</v>
      </c>
      <c r="I967" s="188"/>
    </row>
    <row r="968" spans="1:9" ht="15" x14ac:dyDescent="0.2">
      <c r="A968" s="193" t="s">
        <v>4500</v>
      </c>
      <c r="B968" s="193" t="s">
        <v>4503</v>
      </c>
      <c r="C968" s="193" t="s">
        <v>532</v>
      </c>
      <c r="D968" s="278" t="str">
        <f>VLOOKUP(A:A,'Master Table'!C:D,2,FALSE)</f>
        <v>640</v>
      </c>
      <c r="E968" s="309"/>
      <c r="F968" s="195">
        <v>207.03</v>
      </c>
      <c r="G968" s="195">
        <v>88.57</v>
      </c>
      <c r="H968" s="196">
        <v>166.1</v>
      </c>
      <c r="I968" s="188"/>
    </row>
    <row r="969" spans="1:9" ht="15" x14ac:dyDescent="0.2">
      <c r="A969" s="193" t="s">
        <v>4507</v>
      </c>
      <c r="B969" s="193" t="s">
        <v>7760</v>
      </c>
      <c r="C969" s="193" t="s">
        <v>226</v>
      </c>
      <c r="D969" s="278" t="str">
        <f>VLOOKUP(A:A,'Master Table'!C:D,2,FALSE)</f>
        <v>641</v>
      </c>
      <c r="E969" s="309"/>
      <c r="F969" s="195">
        <v>465</v>
      </c>
      <c r="G969" s="195">
        <v>436.8</v>
      </c>
      <c r="H969" s="196">
        <v>483.55</v>
      </c>
      <c r="I969" s="188"/>
    </row>
    <row r="970" spans="1:9" ht="15" x14ac:dyDescent="0.2">
      <c r="A970" s="193" t="s">
        <v>4513</v>
      </c>
      <c r="B970" s="193" t="s">
        <v>7761</v>
      </c>
      <c r="C970" s="193" t="s">
        <v>1584</v>
      </c>
      <c r="D970" s="278" t="str">
        <f>VLOOKUP(A:A,'Master Table'!C:D,2,FALSE)</f>
        <v>642</v>
      </c>
      <c r="E970" s="309"/>
      <c r="F970" s="195">
        <v>506.81</v>
      </c>
      <c r="G970" s="195">
        <v>716.53</v>
      </c>
      <c r="H970" s="196">
        <v>724.80000000000007</v>
      </c>
      <c r="I970" s="188"/>
    </row>
    <row r="971" spans="1:9" ht="15" x14ac:dyDescent="0.2">
      <c r="A971" s="193" t="s">
        <v>4516</v>
      </c>
      <c r="B971" s="193" t="s">
        <v>7762</v>
      </c>
      <c r="C971" s="193" t="s">
        <v>7763</v>
      </c>
      <c r="D971" s="278" t="str">
        <f>VLOOKUP(A:A,'Master Table'!C:D,2,FALSE)</f>
        <v>643</v>
      </c>
      <c r="E971" s="309"/>
      <c r="F971" s="195">
        <v>75</v>
      </c>
      <c r="G971" s="195">
        <v>0</v>
      </c>
      <c r="H971" s="196">
        <v>45</v>
      </c>
      <c r="I971" s="188"/>
    </row>
    <row r="972" spans="1:9" ht="15" x14ac:dyDescent="0.2">
      <c r="A972" s="193" t="s">
        <v>4521</v>
      </c>
      <c r="B972" s="193" t="s">
        <v>7764</v>
      </c>
      <c r="C972" s="193" t="s">
        <v>7765</v>
      </c>
      <c r="D972" s="278" t="str">
        <f>VLOOKUP(A:A,'Master Table'!C:D,2,FALSE)</f>
        <v>644</v>
      </c>
      <c r="E972" s="309"/>
      <c r="F972" s="195">
        <v>290.39999999999998</v>
      </c>
      <c r="G972" s="195">
        <v>702.21</v>
      </c>
      <c r="H972" s="196">
        <v>280.41000000000003</v>
      </c>
      <c r="I972" s="188"/>
    </row>
    <row r="973" spans="1:9" ht="15" x14ac:dyDescent="0.2">
      <c r="A973" s="193" t="s">
        <v>4528</v>
      </c>
      <c r="B973" s="193" t="s">
        <v>7766</v>
      </c>
      <c r="C973" s="193" t="s">
        <v>7767</v>
      </c>
      <c r="D973" s="278" t="str">
        <f>VLOOKUP(A:A,'Master Table'!C:D,2,FALSE)</f>
        <v>645</v>
      </c>
      <c r="E973" s="309"/>
      <c r="F973" s="195">
        <v>420.53</v>
      </c>
      <c r="G973" s="195">
        <v>994.48</v>
      </c>
      <c r="H973" s="196">
        <v>758.83</v>
      </c>
      <c r="I973" s="188"/>
    </row>
    <row r="974" spans="1:9" ht="15" x14ac:dyDescent="0.2">
      <c r="A974" s="193" t="s">
        <v>4536</v>
      </c>
      <c r="B974" s="193" t="s">
        <v>7768</v>
      </c>
      <c r="C974" s="193" t="s">
        <v>7769</v>
      </c>
      <c r="D974" s="278" t="str">
        <f>VLOOKUP(A:A,'Master Table'!C:D,2,FALSE)</f>
        <v>647</v>
      </c>
      <c r="E974" s="309"/>
      <c r="F974" s="195">
        <v>1109.96</v>
      </c>
      <c r="G974" s="195">
        <v>596.44000000000005</v>
      </c>
      <c r="H974" s="196">
        <v>407.84000000000003</v>
      </c>
      <c r="I974" s="188"/>
    </row>
    <row r="975" spans="1:9" ht="15" x14ac:dyDescent="0.2">
      <c r="A975" s="193" t="s">
        <v>4539</v>
      </c>
      <c r="B975" s="193" t="s">
        <v>4542</v>
      </c>
      <c r="C975" s="193" t="s">
        <v>7770</v>
      </c>
      <c r="D975" s="278" t="str">
        <f>VLOOKUP(A:A,'Master Table'!C:D,2,FALSE)</f>
        <v>648</v>
      </c>
      <c r="E975" s="309"/>
      <c r="F975" s="195">
        <v>576.73</v>
      </c>
      <c r="G975" s="195">
        <v>754.22</v>
      </c>
      <c r="H975" s="196">
        <v>465.61</v>
      </c>
      <c r="I975" s="188"/>
    </row>
    <row r="976" spans="1:9" ht="15" x14ac:dyDescent="0.2">
      <c r="A976" s="193" t="s">
        <v>4544</v>
      </c>
      <c r="B976" s="193" t="s">
        <v>7771</v>
      </c>
      <c r="C976" s="193" t="s">
        <v>7772</v>
      </c>
      <c r="D976" s="278" t="str">
        <f>VLOOKUP(A:A,'Master Table'!C:D,2,FALSE)</f>
        <v>649</v>
      </c>
      <c r="E976" s="309"/>
      <c r="F976" s="195">
        <v>531.93000000000006</v>
      </c>
      <c r="G976" s="195">
        <v>507.54</v>
      </c>
      <c r="H976" s="196">
        <v>524.26</v>
      </c>
      <c r="I976" s="188"/>
    </row>
    <row r="977" spans="1:9" ht="15" x14ac:dyDescent="0.2">
      <c r="A977" s="193" t="s">
        <v>4551</v>
      </c>
      <c r="B977" s="193" t="s">
        <v>4554</v>
      </c>
      <c r="C977" s="193" t="s">
        <v>4553</v>
      </c>
      <c r="D977" s="278" t="str">
        <f>VLOOKUP(A:A,'Master Table'!C:D,2,FALSE)</f>
        <v>650</v>
      </c>
      <c r="E977" s="309"/>
      <c r="F977" s="195">
        <v>814.33</v>
      </c>
      <c r="G977" s="195">
        <v>873.61</v>
      </c>
      <c r="H977" s="196">
        <v>675.67</v>
      </c>
      <c r="I977" s="188"/>
    </row>
    <row r="978" spans="1:9" ht="15" x14ac:dyDescent="0.2">
      <c r="A978" s="342" t="s">
        <v>7773</v>
      </c>
      <c r="B978" s="193" t="s">
        <v>7774</v>
      </c>
      <c r="C978" s="193" t="s">
        <v>7775</v>
      </c>
      <c r="D978" s="343">
        <f>VLOOKUP(A:A,'Master Table'!C:D,2,FALSE)</f>
        <v>0</v>
      </c>
      <c r="E978" s="309"/>
      <c r="F978" s="195">
        <v>0</v>
      </c>
      <c r="G978" s="195">
        <v>0</v>
      </c>
      <c r="H978" s="196">
        <v>99</v>
      </c>
      <c r="I978" s="188"/>
    </row>
    <row r="979" spans="1:9" ht="15" x14ac:dyDescent="0.2">
      <c r="A979" s="193" t="s">
        <v>4558</v>
      </c>
      <c r="B979" s="193" t="s">
        <v>7776</v>
      </c>
      <c r="C979" s="193" t="s">
        <v>1355</v>
      </c>
      <c r="D979" s="278" t="str">
        <f>VLOOKUP(A:A,'Master Table'!C:D,2,FALSE)</f>
        <v>652</v>
      </c>
      <c r="E979" s="309"/>
      <c r="F979" s="195">
        <v>1070.6500000000001</v>
      </c>
      <c r="G979" s="195">
        <v>1951.28</v>
      </c>
      <c r="H979" s="196">
        <v>1884.1000000000001</v>
      </c>
      <c r="I979" s="188"/>
    </row>
    <row r="980" spans="1:9" ht="15" x14ac:dyDescent="0.2">
      <c r="A980" s="193" t="s">
        <v>4565</v>
      </c>
      <c r="B980" s="193" t="s">
        <v>7777</v>
      </c>
      <c r="C980" s="193" t="s">
        <v>7778</v>
      </c>
      <c r="D980" s="278" t="str">
        <f>VLOOKUP(A:A,'Master Table'!C:D,2,FALSE)</f>
        <v>653</v>
      </c>
      <c r="E980" s="309"/>
      <c r="F980" s="195">
        <v>7174.59</v>
      </c>
      <c r="G980" s="195">
        <v>6995.5499999999993</v>
      </c>
      <c r="H980" s="196">
        <v>7955.13</v>
      </c>
      <c r="I980" s="188"/>
    </row>
    <row r="981" spans="1:9" ht="15" x14ac:dyDescent="0.2">
      <c r="A981" s="193" t="s">
        <v>4572</v>
      </c>
      <c r="B981" s="193" t="s">
        <v>4426</v>
      </c>
      <c r="C981" s="193" t="s">
        <v>532</v>
      </c>
      <c r="D981" s="278" t="str">
        <f>VLOOKUP(A:A,'Master Table'!C:D,2,FALSE)</f>
        <v>654</v>
      </c>
      <c r="E981" s="309"/>
      <c r="F981" s="195">
        <v>4215.09</v>
      </c>
      <c r="G981" s="195">
        <v>4319.1000000000004</v>
      </c>
      <c r="H981" s="196">
        <v>4695.66</v>
      </c>
      <c r="I981" s="188"/>
    </row>
    <row r="982" spans="1:9" ht="15" x14ac:dyDescent="0.2">
      <c r="A982" s="193" t="s">
        <v>4580</v>
      </c>
      <c r="B982" s="193" t="s">
        <v>4582</v>
      </c>
      <c r="C982" s="193" t="s">
        <v>2981</v>
      </c>
      <c r="D982" s="278" t="str">
        <f>VLOOKUP(A:A,'Master Table'!C:D,2,FALSE)</f>
        <v>655</v>
      </c>
      <c r="E982" s="309"/>
      <c r="F982" s="195">
        <v>947.5</v>
      </c>
      <c r="G982" s="195">
        <v>1183.3</v>
      </c>
      <c r="H982" s="196">
        <v>1200</v>
      </c>
      <c r="I982" s="188"/>
    </row>
    <row r="983" spans="1:9" ht="15" x14ac:dyDescent="0.2">
      <c r="A983" s="193" t="s">
        <v>4586</v>
      </c>
      <c r="B983" s="193" t="s">
        <v>7779</v>
      </c>
      <c r="C983" s="193" t="s">
        <v>7660</v>
      </c>
      <c r="D983" s="278" t="str">
        <f>VLOOKUP(A:A,'Master Table'!C:D,2,FALSE)</f>
        <v>656</v>
      </c>
      <c r="E983" s="309"/>
      <c r="F983" s="195">
        <v>1063.5</v>
      </c>
      <c r="G983" s="195">
        <v>1136.97</v>
      </c>
      <c r="H983" s="196">
        <v>1167.8800000000001</v>
      </c>
      <c r="I983" s="188"/>
    </row>
    <row r="984" spans="1:9" ht="15" x14ac:dyDescent="0.2">
      <c r="A984" s="193" t="s">
        <v>4590</v>
      </c>
      <c r="B984" s="193" t="s">
        <v>4593</v>
      </c>
      <c r="C984" s="193" t="s">
        <v>7780</v>
      </c>
      <c r="D984" s="278" t="str">
        <f>VLOOKUP(A:A,'Master Table'!C:D,2,FALSE)</f>
        <v>657</v>
      </c>
      <c r="E984" s="309"/>
      <c r="F984" s="195">
        <v>215</v>
      </c>
      <c r="G984" s="195">
        <v>216</v>
      </c>
      <c r="H984" s="196">
        <v>320.92</v>
      </c>
      <c r="I984" s="188"/>
    </row>
    <row r="985" spans="1:9" ht="30" x14ac:dyDescent="0.2">
      <c r="A985" s="193" t="s">
        <v>7781</v>
      </c>
      <c r="B985" s="193" t="s">
        <v>7782</v>
      </c>
      <c r="C985" s="193" t="s">
        <v>7783</v>
      </c>
      <c r="D985" s="278" t="e">
        <f>VLOOKUP(A:A,'Master Table'!C:D,2,FALSE)</f>
        <v>#N/A</v>
      </c>
      <c r="E985" s="309"/>
      <c r="F985" s="195">
        <v>1609.58</v>
      </c>
      <c r="G985" s="195">
        <v>1612.5</v>
      </c>
      <c r="H985" s="196">
        <v>848.87</v>
      </c>
      <c r="I985" s="188"/>
    </row>
    <row r="986" spans="1:9" ht="15" x14ac:dyDescent="0.2">
      <c r="A986" s="193" t="s">
        <v>4603</v>
      </c>
      <c r="B986" s="193" t="s">
        <v>4605</v>
      </c>
      <c r="C986" s="193" t="s">
        <v>226</v>
      </c>
      <c r="D986" s="278" t="str">
        <f>VLOOKUP(A:A,'Master Table'!C:D,2,FALSE)</f>
        <v>660</v>
      </c>
      <c r="E986" s="309"/>
      <c r="F986" s="195">
        <v>730.46</v>
      </c>
      <c r="G986" s="195">
        <v>455.72</v>
      </c>
      <c r="H986" s="196">
        <v>615.69000000000005</v>
      </c>
      <c r="I986" s="188"/>
    </row>
    <row r="987" spans="1:9" ht="15" x14ac:dyDescent="0.2">
      <c r="A987" s="193" t="s">
        <v>4606</v>
      </c>
      <c r="B987" s="193" t="s">
        <v>4605</v>
      </c>
      <c r="C987" s="193" t="s">
        <v>532</v>
      </c>
      <c r="D987" s="278" t="str">
        <f>VLOOKUP(A:A,'Master Table'!C:D,2,FALSE)</f>
        <v>661</v>
      </c>
      <c r="E987" s="309"/>
      <c r="F987" s="195">
        <v>2756.98</v>
      </c>
      <c r="G987" s="195">
        <v>2831.84</v>
      </c>
      <c r="H987" s="196">
        <v>2734.86</v>
      </c>
      <c r="I987" s="188"/>
    </row>
    <row r="988" spans="1:9" ht="15" x14ac:dyDescent="0.2">
      <c r="A988" s="193" t="s">
        <v>4609</v>
      </c>
      <c r="B988" s="193" t="s">
        <v>4605</v>
      </c>
      <c r="C988" s="193" t="s">
        <v>740</v>
      </c>
      <c r="D988" s="278" t="str">
        <f>VLOOKUP(A:A,'Master Table'!C:D,2,FALSE)</f>
        <v>662</v>
      </c>
      <c r="E988" s="309"/>
      <c r="F988" s="195">
        <v>466.46</v>
      </c>
      <c r="G988" s="195">
        <v>657.52</v>
      </c>
      <c r="H988" s="196">
        <v>432</v>
      </c>
      <c r="I988" s="188"/>
    </row>
    <row r="989" spans="1:9" ht="15" x14ac:dyDescent="0.2">
      <c r="A989" s="193" t="s">
        <v>4611</v>
      </c>
      <c r="B989" s="193" t="s">
        <v>4605</v>
      </c>
      <c r="C989" s="193" t="s">
        <v>7450</v>
      </c>
      <c r="D989" s="278" t="str">
        <f>VLOOKUP(A:A,'Master Table'!C:D,2,FALSE)</f>
        <v>663</v>
      </c>
      <c r="E989" s="309"/>
      <c r="F989" s="195">
        <v>613.70000000000005</v>
      </c>
      <c r="G989" s="195">
        <v>1570.8899999999999</v>
      </c>
      <c r="H989" s="196">
        <v>1909.67</v>
      </c>
      <c r="I989" s="188"/>
    </row>
    <row r="990" spans="1:9" ht="15" x14ac:dyDescent="0.2">
      <c r="A990" s="193" t="s">
        <v>4613</v>
      </c>
      <c r="B990" s="193" t="s">
        <v>7784</v>
      </c>
      <c r="C990" s="193" t="s">
        <v>4615</v>
      </c>
      <c r="D990" s="278" t="str">
        <f>VLOOKUP(A:A,'Master Table'!C:D,2,FALSE)</f>
        <v>665</v>
      </c>
      <c r="E990" s="309"/>
      <c r="F990" s="195">
        <v>1207.95</v>
      </c>
      <c r="G990" s="195">
        <v>1020.89</v>
      </c>
      <c r="H990" s="196">
        <v>1091.1400000000001</v>
      </c>
      <c r="I990" s="188"/>
    </row>
    <row r="991" spans="1:9" ht="30" x14ac:dyDescent="0.2">
      <c r="A991" s="193" t="s">
        <v>7785</v>
      </c>
      <c r="B991" s="193" t="s">
        <v>7786</v>
      </c>
      <c r="C991" s="193" t="s">
        <v>7787</v>
      </c>
      <c r="D991" s="278" t="e">
        <f>VLOOKUP(A:A,'Master Table'!C:D,2,FALSE)</f>
        <v>#N/A</v>
      </c>
      <c r="E991" s="309"/>
      <c r="F991" s="195">
        <v>505.55</v>
      </c>
      <c r="G991" s="195">
        <v>461.4</v>
      </c>
      <c r="H991" s="196">
        <v>406.73</v>
      </c>
      <c r="I991" s="188"/>
    </row>
    <row r="992" spans="1:9" ht="15" x14ac:dyDescent="0.2">
      <c r="A992" s="193" t="s">
        <v>4618</v>
      </c>
      <c r="B992" s="193" t="s">
        <v>4620</v>
      </c>
      <c r="C992" s="193" t="s">
        <v>1160</v>
      </c>
      <c r="D992" s="278" t="str">
        <f>VLOOKUP(A:A,'Master Table'!C:D,2,FALSE)</f>
        <v>666</v>
      </c>
      <c r="E992" s="309"/>
      <c r="F992" s="195">
        <v>612.39</v>
      </c>
      <c r="G992" s="195">
        <v>821.29</v>
      </c>
      <c r="H992" s="196">
        <v>630.63</v>
      </c>
      <c r="I992" s="188"/>
    </row>
    <row r="993" spans="1:9" ht="30" x14ac:dyDescent="0.2">
      <c r="A993" s="193" t="s">
        <v>4621</v>
      </c>
      <c r="B993" s="193" t="s">
        <v>7788</v>
      </c>
      <c r="C993" s="193" t="s">
        <v>7789</v>
      </c>
      <c r="D993" s="278" t="str">
        <f>VLOOKUP(A:A,'Master Table'!C:D,2,FALSE)</f>
        <v>667</v>
      </c>
      <c r="E993" s="309"/>
      <c r="F993" s="195">
        <v>0</v>
      </c>
      <c r="G993" s="195">
        <v>0</v>
      </c>
      <c r="H993" s="196">
        <v>806.57</v>
      </c>
      <c r="I993" s="188"/>
    </row>
    <row r="994" spans="1:9" ht="15" x14ac:dyDescent="0.2">
      <c r="A994" s="193" t="s">
        <v>4628</v>
      </c>
      <c r="B994" s="193" t="s">
        <v>4680</v>
      </c>
      <c r="C994" s="193" t="s">
        <v>1376</v>
      </c>
      <c r="D994" s="278" t="str">
        <f>VLOOKUP(A:A,'Master Table'!C:D,2,FALSE)</f>
        <v>669</v>
      </c>
      <c r="E994" s="309"/>
      <c r="F994" s="195">
        <v>384.02</v>
      </c>
      <c r="G994" s="195">
        <v>276.57</v>
      </c>
      <c r="H994" s="196">
        <v>643.72</v>
      </c>
      <c r="I994" s="188"/>
    </row>
    <row r="995" spans="1:9" ht="15" x14ac:dyDescent="0.2">
      <c r="A995" s="193" t="s">
        <v>4632</v>
      </c>
      <c r="B995" s="193" t="s">
        <v>7790</v>
      </c>
      <c r="C995" s="193" t="s">
        <v>3719</v>
      </c>
      <c r="D995" s="278" t="str">
        <f>VLOOKUP(A:A,'Master Table'!C:D,2,FALSE)</f>
        <v>670</v>
      </c>
      <c r="E995" s="309"/>
      <c r="F995" s="195">
        <v>293.73</v>
      </c>
      <c r="G995" s="195">
        <v>293.08999999999997</v>
      </c>
      <c r="H995" s="196">
        <v>124.04</v>
      </c>
      <c r="I995" s="188"/>
    </row>
    <row r="996" spans="1:9" ht="15" x14ac:dyDescent="0.2">
      <c r="A996" s="193" t="s">
        <v>4635</v>
      </c>
      <c r="B996" s="193" t="s">
        <v>4637</v>
      </c>
      <c r="C996" s="193" t="s">
        <v>1160</v>
      </c>
      <c r="D996" s="278" t="str">
        <f>VLOOKUP(A:A,'Master Table'!C:D,2,FALSE)</f>
        <v>671</v>
      </c>
      <c r="E996" s="309"/>
      <c r="F996" s="195">
        <v>753.21</v>
      </c>
      <c r="G996" s="195">
        <v>667.07999999999993</v>
      </c>
      <c r="H996" s="196">
        <v>672.81000000000006</v>
      </c>
      <c r="I996" s="188"/>
    </row>
    <row r="997" spans="1:9" ht="15" x14ac:dyDescent="0.2">
      <c r="A997" s="193" t="s">
        <v>4638</v>
      </c>
      <c r="B997" s="193" t="s">
        <v>7791</v>
      </c>
      <c r="C997" s="193" t="s">
        <v>4640</v>
      </c>
      <c r="D997" s="278" t="str">
        <f>VLOOKUP(A:A,'Master Table'!C:D,2,FALSE)</f>
        <v>672</v>
      </c>
      <c r="E997" s="309"/>
      <c r="F997" s="195">
        <v>290.2</v>
      </c>
      <c r="G997" s="195">
        <v>200</v>
      </c>
      <c r="H997" s="196">
        <v>455</v>
      </c>
      <c r="I997" s="188"/>
    </row>
    <row r="998" spans="1:9" ht="30" x14ac:dyDescent="0.2">
      <c r="A998" s="193" t="s">
        <v>4642</v>
      </c>
      <c r="B998" s="193" t="s">
        <v>7792</v>
      </c>
      <c r="C998" s="193" t="s">
        <v>6819</v>
      </c>
      <c r="D998" s="278" t="str">
        <f>VLOOKUP(A:A,'Master Table'!C:D,2,FALSE)</f>
        <v>673</v>
      </c>
      <c r="E998" s="309"/>
      <c r="F998" s="195">
        <v>0</v>
      </c>
      <c r="G998" s="195">
        <v>0</v>
      </c>
      <c r="H998" s="196">
        <v>85</v>
      </c>
      <c r="I998" s="188"/>
    </row>
    <row r="999" spans="1:9" ht="15" x14ac:dyDescent="0.2">
      <c r="A999" s="193" t="s">
        <v>4646</v>
      </c>
      <c r="B999" s="193" t="s">
        <v>4649</v>
      </c>
      <c r="C999" s="193" t="s">
        <v>4648</v>
      </c>
      <c r="D999" s="278" t="str">
        <f>VLOOKUP(A:A,'Master Table'!C:D,2,FALSE)</f>
        <v>674</v>
      </c>
      <c r="E999" s="309"/>
      <c r="F999" s="195">
        <v>743.17000000000007</v>
      </c>
      <c r="G999" s="195">
        <v>894.16</v>
      </c>
      <c r="H999" s="196">
        <v>1067.43</v>
      </c>
      <c r="I999" s="188"/>
    </row>
    <row r="1000" spans="1:9" ht="15" x14ac:dyDescent="0.2">
      <c r="A1000" s="193" t="s">
        <v>4651</v>
      </c>
      <c r="B1000" s="193" t="s">
        <v>4654</v>
      </c>
      <c r="C1000" s="193" t="s">
        <v>7793</v>
      </c>
      <c r="D1000" s="278" t="str">
        <f>VLOOKUP(A:A,'Master Table'!C:D,2,FALSE)</f>
        <v>675</v>
      </c>
      <c r="E1000" s="309"/>
      <c r="F1000" s="195">
        <v>1067.3900000000001</v>
      </c>
      <c r="G1000" s="195">
        <v>1142.6400000000001</v>
      </c>
      <c r="H1000" s="196">
        <v>1170.53</v>
      </c>
      <c r="I1000" s="188"/>
    </row>
    <row r="1001" spans="1:9" ht="15" x14ac:dyDescent="0.2">
      <c r="A1001" s="193" t="s">
        <v>4656</v>
      </c>
      <c r="B1001" s="193" t="s">
        <v>4547</v>
      </c>
      <c r="C1001" s="193" t="s">
        <v>7794</v>
      </c>
      <c r="D1001" s="278" t="str">
        <f>VLOOKUP(A:A,'Master Table'!C:D,2,FALSE)</f>
        <v>676</v>
      </c>
      <c r="E1001" s="309"/>
      <c r="F1001" s="195">
        <v>1678.69</v>
      </c>
      <c r="G1001" s="195">
        <v>1803.42</v>
      </c>
      <c r="H1001" s="196">
        <v>2079.54</v>
      </c>
      <c r="I1001" s="188"/>
    </row>
    <row r="1002" spans="1:9" ht="15" x14ac:dyDescent="0.2">
      <c r="A1002" s="193" t="s">
        <v>4659</v>
      </c>
      <c r="B1002" s="193" t="s">
        <v>4661</v>
      </c>
      <c r="C1002" s="193" t="s">
        <v>127</v>
      </c>
      <c r="D1002" s="278" t="str">
        <f>VLOOKUP(A:A,'Master Table'!C:D,2,FALSE)</f>
        <v>677</v>
      </c>
      <c r="E1002" s="309"/>
      <c r="F1002" s="195">
        <v>845.97</v>
      </c>
      <c r="G1002" s="195">
        <v>693.65</v>
      </c>
      <c r="H1002" s="196">
        <v>906.1</v>
      </c>
      <c r="I1002" s="188"/>
    </row>
    <row r="1003" spans="1:9" ht="15" x14ac:dyDescent="0.2">
      <c r="A1003" s="193" t="s">
        <v>4662</v>
      </c>
      <c r="B1003" s="193" t="s">
        <v>7795</v>
      </c>
      <c r="C1003" s="193" t="s">
        <v>2674</v>
      </c>
      <c r="D1003" s="278" t="str">
        <f>VLOOKUP(A:A,'Master Table'!C:D,2,FALSE)</f>
        <v>148042</v>
      </c>
      <c r="E1003" s="309"/>
      <c r="F1003" s="195">
        <v>212</v>
      </c>
      <c r="G1003" s="195">
        <v>410.29</v>
      </c>
      <c r="H1003" s="196">
        <v>287.34000000000003</v>
      </c>
      <c r="I1003" s="188"/>
    </row>
    <row r="1004" spans="1:9" ht="15" x14ac:dyDescent="0.2">
      <c r="A1004" s="193" t="s">
        <v>7796</v>
      </c>
      <c r="B1004" s="193" t="s">
        <v>4645</v>
      </c>
      <c r="C1004" s="193" t="s">
        <v>7797</v>
      </c>
      <c r="D1004" s="278" t="e">
        <f>VLOOKUP(A:A,'Master Table'!C:D,2,FALSE)</f>
        <v>#N/A</v>
      </c>
      <c r="E1004" s="309"/>
      <c r="F1004" s="195">
        <v>624.9</v>
      </c>
      <c r="G1004" s="195">
        <v>385.62</v>
      </c>
      <c r="H1004" s="196">
        <v>507.84000000000003</v>
      </c>
      <c r="I1004" s="188"/>
    </row>
    <row r="1005" spans="1:9" ht="15" x14ac:dyDescent="0.2">
      <c r="A1005" s="193" t="s">
        <v>4668</v>
      </c>
      <c r="B1005" s="193" t="s">
        <v>4671</v>
      </c>
      <c r="C1005" s="193" t="s">
        <v>4670</v>
      </c>
      <c r="D1005" s="278" t="str">
        <f>VLOOKUP(A:A,'Master Table'!C:D,2,FALSE)</f>
        <v>679</v>
      </c>
      <c r="E1005" s="309"/>
      <c r="F1005" s="195">
        <v>180</v>
      </c>
      <c r="G1005" s="195">
        <v>424.59</v>
      </c>
      <c r="H1005" s="196">
        <v>378.83</v>
      </c>
      <c r="I1005" s="188"/>
    </row>
    <row r="1006" spans="1:9" ht="15" x14ac:dyDescent="0.2">
      <c r="A1006" s="193" t="s">
        <v>7798</v>
      </c>
      <c r="B1006" s="193" t="s">
        <v>7799</v>
      </c>
      <c r="C1006" s="193" t="s">
        <v>7800</v>
      </c>
      <c r="D1006" s="278" t="e">
        <f>VLOOKUP(A:A,'Master Table'!C:D,2,FALSE)</f>
        <v>#N/A</v>
      </c>
      <c r="E1006" s="309"/>
      <c r="F1006" s="195">
        <v>572.4</v>
      </c>
      <c r="G1006" s="195">
        <v>634.73</v>
      </c>
      <c r="H1006" s="196">
        <v>788.75</v>
      </c>
      <c r="I1006" s="188"/>
    </row>
    <row r="1007" spans="1:9" ht="15" x14ac:dyDescent="0.2">
      <c r="A1007" s="193" t="s">
        <v>4675</v>
      </c>
      <c r="B1007" s="193" t="s">
        <v>4484</v>
      </c>
      <c r="C1007" s="193" t="s">
        <v>1349</v>
      </c>
      <c r="D1007" s="278" t="str">
        <f>VLOOKUP(A:A,'Master Table'!C:D,2,FALSE)</f>
        <v>681</v>
      </c>
      <c r="E1007" s="309"/>
      <c r="F1007" s="195">
        <v>615.41999999999996</v>
      </c>
      <c r="G1007" s="195">
        <v>652.02</v>
      </c>
      <c r="H1007" s="196">
        <v>626.06000000000006</v>
      </c>
      <c r="I1007" s="188"/>
    </row>
    <row r="1008" spans="1:9" ht="15" x14ac:dyDescent="0.2">
      <c r="A1008" s="193" t="s">
        <v>4677</v>
      </c>
      <c r="B1008" s="193" t="s">
        <v>7801</v>
      </c>
      <c r="C1008" s="193" t="s">
        <v>7802</v>
      </c>
      <c r="D1008" s="278" t="str">
        <f>VLOOKUP(A:A,'Master Table'!C:D,2,FALSE)</f>
        <v>682</v>
      </c>
      <c r="E1008" s="309"/>
      <c r="F1008" s="195">
        <v>61.65</v>
      </c>
      <c r="G1008" s="195">
        <v>115.08</v>
      </c>
      <c r="H1008" s="196">
        <v>200.88</v>
      </c>
      <c r="I1008" s="188"/>
    </row>
    <row r="1009" spans="1:9" ht="15" x14ac:dyDescent="0.2">
      <c r="A1009" s="193" t="s">
        <v>4681</v>
      </c>
      <c r="B1009" s="193" t="s">
        <v>4684</v>
      </c>
      <c r="C1009" s="193" t="s">
        <v>7511</v>
      </c>
      <c r="D1009" s="278" t="str">
        <f>VLOOKUP(A:A,'Master Table'!C:D,2,FALSE)</f>
        <v>683</v>
      </c>
      <c r="E1009" s="309"/>
      <c r="F1009" s="195">
        <v>1993.31</v>
      </c>
      <c r="G1009" s="195">
        <v>1845.78</v>
      </c>
      <c r="H1009" s="196">
        <v>2042.17</v>
      </c>
      <c r="I1009" s="188"/>
    </row>
    <row r="1010" spans="1:9" ht="15" x14ac:dyDescent="0.2">
      <c r="A1010" s="193" t="s">
        <v>4685</v>
      </c>
      <c r="B1010" s="193" t="s">
        <v>4684</v>
      </c>
      <c r="C1010" s="193" t="s">
        <v>4687</v>
      </c>
      <c r="D1010" s="278" t="str">
        <f>VLOOKUP(A:A,'Master Table'!C:D,2,FALSE)</f>
        <v>684</v>
      </c>
      <c r="E1010" s="309"/>
      <c r="F1010" s="195">
        <v>985.5</v>
      </c>
      <c r="G1010" s="195">
        <v>1172.19</v>
      </c>
      <c r="H1010" s="196">
        <v>1297.47</v>
      </c>
      <c r="I1010" s="188"/>
    </row>
    <row r="1011" spans="1:9" ht="15" x14ac:dyDescent="0.2">
      <c r="A1011" s="193" t="s">
        <v>4688</v>
      </c>
      <c r="B1011" s="193" t="s">
        <v>4684</v>
      </c>
      <c r="C1011" s="193" t="s">
        <v>5206</v>
      </c>
      <c r="D1011" s="278" t="str">
        <f>VLOOKUP(A:A,'Master Table'!C:D,2,FALSE)</f>
        <v>685</v>
      </c>
      <c r="E1011" s="309"/>
      <c r="F1011" s="195">
        <v>85</v>
      </c>
      <c r="G1011" s="195">
        <v>487.19</v>
      </c>
      <c r="H1011" s="196">
        <v>453.84000000000003</v>
      </c>
      <c r="I1011" s="188"/>
    </row>
    <row r="1012" spans="1:9" ht="15" x14ac:dyDescent="0.2">
      <c r="A1012" s="193" t="s">
        <v>4691</v>
      </c>
      <c r="B1012" s="193" t="s">
        <v>4694</v>
      </c>
      <c r="C1012" s="193" t="s">
        <v>4693</v>
      </c>
      <c r="D1012" s="278" t="str">
        <f>VLOOKUP(A:A,'Master Table'!C:D,2,FALSE)</f>
        <v>686</v>
      </c>
      <c r="E1012" s="309"/>
      <c r="F1012" s="195">
        <v>398.43</v>
      </c>
      <c r="G1012" s="195">
        <v>690.23</v>
      </c>
      <c r="H1012" s="196">
        <v>702.66</v>
      </c>
      <c r="I1012" s="188"/>
    </row>
    <row r="1013" spans="1:9" ht="15" x14ac:dyDescent="0.2">
      <c r="A1013" s="193" t="s">
        <v>4695</v>
      </c>
      <c r="B1013" s="193" t="s">
        <v>4627</v>
      </c>
      <c r="C1013" s="193" t="s">
        <v>4697</v>
      </c>
      <c r="D1013" s="278" t="str">
        <f>VLOOKUP(A:A,'Master Table'!C:D,2,FALSE)</f>
        <v>687</v>
      </c>
      <c r="E1013" s="309"/>
      <c r="F1013" s="195">
        <v>225</v>
      </c>
      <c r="G1013" s="195">
        <v>185</v>
      </c>
      <c r="H1013" s="196">
        <v>656</v>
      </c>
      <c r="I1013" s="188"/>
    </row>
    <row r="1014" spans="1:9" ht="15" x14ac:dyDescent="0.2">
      <c r="A1014" s="193" t="s">
        <v>4699</v>
      </c>
      <c r="B1014" s="193" t="s">
        <v>7803</v>
      </c>
      <c r="C1014" s="193" t="s">
        <v>7804</v>
      </c>
      <c r="D1014" s="278" t="str">
        <f>VLOOKUP(A:A,'Master Table'!C:D,2,FALSE)</f>
        <v>688</v>
      </c>
      <c r="E1014" s="309"/>
      <c r="F1014" s="195">
        <v>1569.26</v>
      </c>
      <c r="G1014" s="195">
        <v>1417.97</v>
      </c>
      <c r="H1014" s="196">
        <v>1426.57</v>
      </c>
      <c r="I1014" s="188"/>
    </row>
    <row r="1015" spans="1:9" ht="15" x14ac:dyDescent="0.2">
      <c r="A1015" s="193" t="s">
        <v>4702</v>
      </c>
      <c r="B1015" s="193" t="s">
        <v>7805</v>
      </c>
      <c r="C1015" s="193" t="s">
        <v>7660</v>
      </c>
      <c r="D1015" s="278" t="str">
        <f>VLOOKUP(A:A,'Master Table'!C:D,2,FALSE)</f>
        <v>689</v>
      </c>
      <c r="E1015" s="309"/>
      <c r="F1015" s="195">
        <v>1176.46</v>
      </c>
      <c r="G1015" s="195">
        <v>1177.19</v>
      </c>
      <c r="H1015" s="196">
        <v>1229.07</v>
      </c>
      <c r="I1015" s="188"/>
    </row>
    <row r="1016" spans="1:9" ht="15" x14ac:dyDescent="0.2">
      <c r="A1016" s="193" t="s">
        <v>4708</v>
      </c>
      <c r="B1016" s="193" t="s">
        <v>7806</v>
      </c>
      <c r="C1016" s="193" t="s">
        <v>119</v>
      </c>
      <c r="D1016" s="278" t="str">
        <f>VLOOKUP(A:A,'Master Table'!C:D,2,FALSE)</f>
        <v>691</v>
      </c>
      <c r="E1016" s="309"/>
      <c r="F1016" s="195">
        <v>2939.23</v>
      </c>
      <c r="G1016" s="195">
        <v>3196.11</v>
      </c>
      <c r="H1016" s="196">
        <v>3847.58</v>
      </c>
      <c r="I1016" s="188"/>
    </row>
    <row r="1017" spans="1:9" ht="15" x14ac:dyDescent="0.2">
      <c r="A1017" s="193" t="s">
        <v>4711</v>
      </c>
      <c r="B1017" s="193" t="s">
        <v>4713</v>
      </c>
      <c r="C1017" s="193" t="s">
        <v>7228</v>
      </c>
      <c r="D1017" s="278" t="str">
        <f>VLOOKUP(A:A,'Master Table'!C:D,2,FALSE)</f>
        <v>692</v>
      </c>
      <c r="E1017" s="309"/>
      <c r="F1017" s="195">
        <v>2185.92</v>
      </c>
      <c r="G1017" s="195">
        <v>2518.8000000000002</v>
      </c>
      <c r="H1017" s="196">
        <v>3087.01</v>
      </c>
      <c r="I1017" s="188"/>
    </row>
    <row r="1018" spans="1:9" ht="15" x14ac:dyDescent="0.2">
      <c r="A1018" s="193" t="s">
        <v>4714</v>
      </c>
      <c r="B1018" s="193" t="s">
        <v>4716</v>
      </c>
      <c r="C1018" s="193" t="s">
        <v>1349</v>
      </c>
      <c r="D1018" s="278" t="str">
        <f>VLOOKUP(A:A,'Master Table'!C:D,2,FALSE)</f>
        <v>693</v>
      </c>
      <c r="E1018" s="309"/>
      <c r="F1018" s="195">
        <v>196.01</v>
      </c>
      <c r="G1018" s="195">
        <v>178.46</v>
      </c>
      <c r="H1018" s="196">
        <v>211.54</v>
      </c>
      <c r="I1018" s="188"/>
    </row>
    <row r="1019" spans="1:9" ht="15" x14ac:dyDescent="0.2">
      <c r="A1019" s="193" t="s">
        <v>4717</v>
      </c>
      <c r="B1019" s="193" t="s">
        <v>7807</v>
      </c>
      <c r="C1019" s="193" t="s">
        <v>7261</v>
      </c>
      <c r="D1019" s="278" t="str">
        <f>VLOOKUP(A:A,'Master Table'!C:D,2,FALSE)</f>
        <v>697</v>
      </c>
      <c r="E1019" s="309"/>
      <c r="F1019" s="195">
        <v>354.98</v>
      </c>
      <c r="G1019" s="195">
        <v>403.03</v>
      </c>
      <c r="H1019" s="196">
        <v>86.4</v>
      </c>
      <c r="I1019" s="188"/>
    </row>
    <row r="1020" spans="1:9" ht="15.75" x14ac:dyDescent="0.2">
      <c r="A1020" s="198" t="s">
        <v>7463</v>
      </c>
      <c r="B1020" s="198"/>
      <c r="C1020" s="198"/>
      <c r="D1020" s="278" t="e">
        <f>VLOOKUP(A:A,'Master Table'!C:D,2,FALSE)</f>
        <v>#N/A</v>
      </c>
      <c r="E1020" s="310"/>
      <c r="F1020" s="199">
        <v>78059.530000000028</v>
      </c>
      <c r="G1020" s="199">
        <v>85408.61</v>
      </c>
      <c r="H1020" s="201">
        <v>104617.43000000001</v>
      </c>
      <c r="I1020" s="188"/>
    </row>
    <row r="1021" spans="1:9" s="62" customFormat="1" ht="15" x14ac:dyDescent="0.2">
      <c r="A1021" s="60" t="s">
        <v>7262</v>
      </c>
      <c r="B1021" s="60"/>
      <c r="C1021" s="60"/>
      <c r="D1021" s="278" t="s">
        <v>8169</v>
      </c>
      <c r="E1021" s="275"/>
      <c r="F1021" s="61"/>
      <c r="G1021" s="61"/>
      <c r="H1021" s="60"/>
    </row>
    <row r="1022" spans="1:9" ht="20.25" x14ac:dyDescent="0.2">
      <c r="A1022" s="259" t="s">
        <v>0</v>
      </c>
      <c r="B1022" s="259"/>
      <c r="C1022" s="259"/>
      <c r="D1022" s="311"/>
      <c r="E1022" s="311"/>
      <c r="F1022" s="259"/>
      <c r="G1022" s="259"/>
      <c r="H1022" s="1"/>
    </row>
    <row r="1023" spans="1:9" ht="15.75" x14ac:dyDescent="0.2">
      <c r="A1023" s="2" t="s">
        <v>1</v>
      </c>
      <c r="B1023" s="2" t="s">
        <v>2</v>
      </c>
      <c r="C1023" s="2" t="s">
        <v>3</v>
      </c>
      <c r="D1023" s="277" t="s">
        <v>8165</v>
      </c>
      <c r="E1023" s="328">
        <f>E3</f>
        <v>2019</v>
      </c>
      <c r="F1023" s="4">
        <v>2018</v>
      </c>
      <c r="G1023" s="4">
        <v>2017</v>
      </c>
      <c r="H1023" s="5" t="s">
        <v>6</v>
      </c>
    </row>
    <row r="1024" spans="1:9" ht="15" x14ac:dyDescent="0.2">
      <c r="A1024" s="6" t="s">
        <v>7</v>
      </c>
      <c r="B1024" s="6" t="s">
        <v>8</v>
      </c>
      <c r="C1024" s="6" t="s">
        <v>9</v>
      </c>
      <c r="D1024" s="278" t="str">
        <f>VLOOKUP(A:A,'Master Table'!C:D,2,FALSE)</f>
        <v>699</v>
      </c>
      <c r="E1024" s="312"/>
      <c r="F1024" s="8">
        <v>1391.89</v>
      </c>
      <c r="G1024" s="9">
        <v>1746</v>
      </c>
      <c r="H1024" s="10">
        <v>1792</v>
      </c>
    </row>
    <row r="1025" spans="1:8" ht="15" x14ac:dyDescent="0.2">
      <c r="A1025" s="6" t="s">
        <v>10</v>
      </c>
      <c r="B1025" s="6" t="s">
        <v>8</v>
      </c>
      <c r="C1025" s="6" t="s">
        <v>11</v>
      </c>
      <c r="D1025" s="278">
        <f>VLOOKUP(A:A,'Master Table'!C:D,2,FALSE)</f>
        <v>701</v>
      </c>
      <c r="E1025" s="312"/>
      <c r="F1025" s="8">
        <v>368.94</v>
      </c>
      <c r="G1025" s="9">
        <v>348.5</v>
      </c>
      <c r="H1025" s="10">
        <v>965.9</v>
      </c>
    </row>
    <row r="1026" spans="1:8" ht="15" x14ac:dyDescent="0.2">
      <c r="A1026" s="6" t="s">
        <v>12</v>
      </c>
      <c r="B1026" s="6" t="s">
        <v>8</v>
      </c>
      <c r="C1026" s="6" t="s">
        <v>13</v>
      </c>
      <c r="D1026" s="278" t="str">
        <f>VLOOKUP(A:A,'Master Table'!C:D,2,FALSE)</f>
        <v>703</v>
      </c>
      <c r="E1026" s="312"/>
      <c r="F1026" s="8">
        <v>1215.77</v>
      </c>
      <c r="G1026" s="9">
        <v>1377</v>
      </c>
      <c r="H1026" s="10">
        <v>1477</v>
      </c>
    </row>
    <row r="1027" spans="1:8" ht="15" x14ac:dyDescent="0.2">
      <c r="A1027" s="6" t="s">
        <v>14</v>
      </c>
      <c r="B1027" s="6" t="s">
        <v>8</v>
      </c>
      <c r="C1027" s="6" t="s">
        <v>15</v>
      </c>
      <c r="D1027" s="278">
        <f>VLOOKUP(A:A,'Master Table'!C:D,2,FALSE)</f>
        <v>704</v>
      </c>
      <c r="E1027" s="312"/>
      <c r="F1027" s="8">
        <v>576.55999999999995</v>
      </c>
      <c r="G1027" s="9">
        <v>835.94</v>
      </c>
      <c r="H1027" s="10">
        <v>1271.3500000000001</v>
      </c>
    </row>
    <row r="1028" spans="1:8" ht="15" x14ac:dyDescent="0.2">
      <c r="A1028" s="6" t="s">
        <v>16</v>
      </c>
      <c r="B1028" s="6" t="s">
        <v>8</v>
      </c>
      <c r="C1028" s="6" t="s">
        <v>17</v>
      </c>
      <c r="D1028" s="278" t="str">
        <f>VLOOKUP(A:A,'Master Table'!C:D,2,FALSE)</f>
        <v>706</v>
      </c>
      <c r="E1028" s="312"/>
      <c r="F1028" s="8">
        <v>978.86</v>
      </c>
      <c r="G1028" s="9">
        <v>1350.99</v>
      </c>
      <c r="H1028" s="10">
        <v>984.21</v>
      </c>
    </row>
    <row r="1029" spans="1:8" ht="15" x14ac:dyDescent="0.2">
      <c r="A1029" s="6" t="s">
        <v>18</v>
      </c>
      <c r="B1029" s="6" t="s">
        <v>19</v>
      </c>
      <c r="C1029" s="6" t="s">
        <v>20</v>
      </c>
      <c r="D1029" s="278" t="str">
        <f>VLOOKUP(A:A,'Master Table'!C:D,2,FALSE)</f>
        <v>707</v>
      </c>
      <c r="E1029" s="312"/>
      <c r="F1029" s="8">
        <v>4267.41</v>
      </c>
      <c r="G1029" s="9">
        <v>2006.28</v>
      </c>
      <c r="H1029" s="10">
        <v>2120.77</v>
      </c>
    </row>
    <row r="1030" spans="1:8" ht="15" x14ac:dyDescent="0.2">
      <c r="A1030" s="6" t="s">
        <v>21</v>
      </c>
      <c r="B1030" s="6" t="s">
        <v>22</v>
      </c>
      <c r="C1030" s="6" t="s">
        <v>23</v>
      </c>
      <c r="D1030" s="278" t="str">
        <f>VLOOKUP(A:A,'Master Table'!C:D,2,FALSE)</f>
        <v>708</v>
      </c>
      <c r="E1030" s="312"/>
      <c r="F1030" s="8">
        <v>341.42</v>
      </c>
      <c r="G1030" s="9">
        <v>340</v>
      </c>
      <c r="H1030" s="10">
        <v>192.6</v>
      </c>
    </row>
    <row r="1031" spans="1:8" ht="15" x14ac:dyDescent="0.2">
      <c r="A1031" s="6" t="s">
        <v>24</v>
      </c>
      <c r="B1031" s="6" t="s">
        <v>25</v>
      </c>
      <c r="C1031" s="6" t="s">
        <v>15</v>
      </c>
      <c r="D1031" s="278" t="str">
        <f>VLOOKUP(A:A,'Master Table'!C:D,2,FALSE)</f>
        <v>709</v>
      </c>
      <c r="E1031" s="312"/>
      <c r="F1031" s="8">
        <v>1080</v>
      </c>
      <c r="G1031" s="9">
        <v>970</v>
      </c>
      <c r="H1031" s="10">
        <v>2180</v>
      </c>
    </row>
    <row r="1032" spans="1:8" ht="15" x14ac:dyDescent="0.2">
      <c r="A1032" s="6" t="s">
        <v>26</v>
      </c>
      <c r="B1032" s="6" t="s">
        <v>27</v>
      </c>
      <c r="C1032" s="6" t="s">
        <v>28</v>
      </c>
      <c r="D1032" s="278" t="str">
        <f>VLOOKUP(A:A,'Master Table'!C:D,2,FALSE)</f>
        <v>710</v>
      </c>
      <c r="E1032" s="312"/>
      <c r="F1032" s="8">
        <v>1232.06</v>
      </c>
      <c r="G1032" s="9">
        <v>1323</v>
      </c>
      <c r="H1032" s="10">
        <v>1269.7</v>
      </c>
    </row>
    <row r="1033" spans="1:8" ht="15" x14ac:dyDescent="0.2">
      <c r="A1033" s="6" t="s">
        <v>29</v>
      </c>
      <c r="B1033" s="6" t="s">
        <v>30</v>
      </c>
      <c r="C1033" s="6" t="s">
        <v>31</v>
      </c>
      <c r="D1033" s="278" t="str">
        <f>VLOOKUP(A:A,'Master Table'!C:D,2,FALSE)</f>
        <v>711</v>
      </c>
      <c r="E1033" s="312"/>
      <c r="F1033" s="8">
        <v>2781.64</v>
      </c>
      <c r="G1033" s="9">
        <v>2822.19</v>
      </c>
      <c r="H1033" s="10">
        <v>2789.03</v>
      </c>
    </row>
    <row r="1034" spans="1:8" ht="15" x14ac:dyDescent="0.2">
      <c r="A1034" s="6" t="s">
        <v>32</v>
      </c>
      <c r="B1034" s="6" t="s">
        <v>33</v>
      </c>
      <c r="C1034" s="6" t="s">
        <v>34</v>
      </c>
      <c r="D1034" s="278" t="str">
        <f>VLOOKUP(A:A,'Master Table'!C:D,2,FALSE)</f>
        <v>712</v>
      </c>
      <c r="E1034" s="312"/>
      <c r="F1034" s="8">
        <v>6264.88</v>
      </c>
      <c r="G1034" s="9">
        <v>6503.32</v>
      </c>
      <c r="H1034" s="10">
        <v>6155.58</v>
      </c>
    </row>
    <row r="1035" spans="1:8" ht="15" x14ac:dyDescent="0.2">
      <c r="A1035" s="6" t="s">
        <v>35</v>
      </c>
      <c r="B1035" s="6" t="s">
        <v>36</v>
      </c>
      <c r="C1035" s="6" t="s">
        <v>37</v>
      </c>
      <c r="D1035" s="278" t="str">
        <f>VLOOKUP(A:A,'Master Table'!C:D,2,FALSE)</f>
        <v>713</v>
      </c>
      <c r="E1035" s="312"/>
      <c r="F1035" s="8">
        <v>722</v>
      </c>
      <c r="G1035" s="9">
        <v>193</v>
      </c>
      <c r="H1035" s="10">
        <v>1168</v>
      </c>
    </row>
    <row r="1036" spans="1:8" ht="15" x14ac:dyDescent="0.2">
      <c r="A1036" s="6" t="s">
        <v>38</v>
      </c>
      <c r="B1036" s="6" t="s">
        <v>39</v>
      </c>
      <c r="C1036" s="6" t="s">
        <v>40</v>
      </c>
      <c r="D1036" s="278" t="str">
        <f>VLOOKUP(A:A,'Master Table'!C:D,2,FALSE)</f>
        <v>714</v>
      </c>
      <c r="E1036" s="312"/>
      <c r="F1036" s="8">
        <v>3225.71</v>
      </c>
      <c r="G1036" s="9">
        <v>2972</v>
      </c>
      <c r="H1036" s="10">
        <v>1681.5</v>
      </c>
    </row>
    <row r="1037" spans="1:8" ht="15" x14ac:dyDescent="0.2">
      <c r="A1037" s="6" t="s">
        <v>41</v>
      </c>
      <c r="B1037" s="6" t="s">
        <v>39</v>
      </c>
      <c r="C1037" s="6" t="s">
        <v>15</v>
      </c>
      <c r="D1037" s="278" t="str">
        <f>VLOOKUP(A:A,'Master Table'!C:D,2,FALSE)</f>
        <v>715</v>
      </c>
      <c r="E1037" s="312"/>
      <c r="F1037" s="8">
        <v>3257.13</v>
      </c>
      <c r="G1037" s="9">
        <v>2580.4300000000003</v>
      </c>
      <c r="H1037" s="10">
        <v>2739.08</v>
      </c>
    </row>
    <row r="1038" spans="1:8" ht="15" x14ac:dyDescent="0.2">
      <c r="A1038" s="6" t="s">
        <v>42</v>
      </c>
      <c r="B1038" s="6" t="s">
        <v>43</v>
      </c>
      <c r="C1038" s="6" t="s">
        <v>44</v>
      </c>
      <c r="D1038" s="278" t="str">
        <f>VLOOKUP(A:A,'Master Table'!C:D,2,FALSE)</f>
        <v>716</v>
      </c>
      <c r="E1038" s="312"/>
      <c r="F1038" s="8">
        <v>1054.4099999999999</v>
      </c>
      <c r="G1038" s="9">
        <v>1152.97</v>
      </c>
      <c r="H1038" s="10">
        <v>1116.4099999999999</v>
      </c>
    </row>
    <row r="1039" spans="1:8" ht="15" x14ac:dyDescent="0.2">
      <c r="A1039" s="6" t="s">
        <v>45</v>
      </c>
      <c r="B1039" s="6" t="s">
        <v>46</v>
      </c>
      <c r="C1039" s="6" t="s">
        <v>47</v>
      </c>
      <c r="D1039" s="278" t="str">
        <f>VLOOKUP(A:A,'Master Table'!C:D,2,FALSE)</f>
        <v>717</v>
      </c>
      <c r="E1039" s="312"/>
      <c r="F1039" s="8">
        <v>540.55999999999995</v>
      </c>
      <c r="G1039" s="9">
        <v>613.61</v>
      </c>
      <c r="H1039" s="10">
        <v>465.59000000000003</v>
      </c>
    </row>
    <row r="1040" spans="1:8" ht="15" x14ac:dyDescent="0.2">
      <c r="A1040" s="6" t="s">
        <v>48</v>
      </c>
      <c r="B1040" s="6" t="s">
        <v>49</v>
      </c>
      <c r="C1040" s="6" t="s">
        <v>47</v>
      </c>
      <c r="D1040" s="278" t="str">
        <f>VLOOKUP(A:A,'Master Table'!C:D,2,FALSE)</f>
        <v>718</v>
      </c>
      <c r="E1040" s="312"/>
      <c r="F1040" s="8">
        <v>413</v>
      </c>
      <c r="G1040" s="9">
        <v>752</v>
      </c>
      <c r="H1040" s="10">
        <v>633.98</v>
      </c>
    </row>
    <row r="1041" spans="1:8" ht="15" x14ac:dyDescent="0.2">
      <c r="A1041" s="6" t="s">
        <v>50</v>
      </c>
      <c r="B1041" s="6" t="s">
        <v>49</v>
      </c>
      <c r="C1041" s="6" t="s">
        <v>11</v>
      </c>
      <c r="D1041" s="278" t="str">
        <f>VLOOKUP(A:A,'Master Table'!C:D,2,FALSE)</f>
        <v>719</v>
      </c>
      <c r="E1041" s="312"/>
      <c r="F1041" s="8">
        <v>1363</v>
      </c>
      <c r="G1041" s="9">
        <v>1400.5</v>
      </c>
      <c r="H1041" s="10">
        <v>1869</v>
      </c>
    </row>
    <row r="1042" spans="1:8" ht="15" x14ac:dyDescent="0.2">
      <c r="A1042" s="6" t="s">
        <v>51</v>
      </c>
      <c r="B1042" s="6" t="s">
        <v>49</v>
      </c>
      <c r="C1042" s="6" t="s">
        <v>52</v>
      </c>
      <c r="D1042" s="278" t="str">
        <f>VLOOKUP(A:A,'Master Table'!C:D,2,FALSE)</f>
        <v>721</v>
      </c>
      <c r="E1042" s="312"/>
      <c r="F1042" s="8">
        <v>1005.5</v>
      </c>
      <c r="G1042" s="9">
        <v>535.96</v>
      </c>
      <c r="H1042" s="10">
        <v>758.79</v>
      </c>
    </row>
    <row r="1043" spans="1:8" ht="15" x14ac:dyDescent="0.2">
      <c r="A1043" s="6" t="s">
        <v>53</v>
      </c>
      <c r="B1043" s="6" t="s">
        <v>49</v>
      </c>
      <c r="C1043" s="6" t="s">
        <v>54</v>
      </c>
      <c r="D1043" s="278" t="str">
        <f>VLOOKUP(A:A,'Master Table'!C:D,2,FALSE)</f>
        <v>722</v>
      </c>
      <c r="E1043" s="312"/>
      <c r="F1043" s="8">
        <v>1180.49</v>
      </c>
      <c r="G1043" s="9">
        <v>1285.73</v>
      </c>
      <c r="H1043" s="10">
        <v>898.12</v>
      </c>
    </row>
    <row r="1044" spans="1:8" ht="15" x14ac:dyDescent="0.2">
      <c r="A1044" s="6" t="s">
        <v>55</v>
      </c>
      <c r="B1044" s="6" t="s">
        <v>49</v>
      </c>
      <c r="C1044" s="6" t="s">
        <v>56</v>
      </c>
      <c r="D1044" s="278" t="str">
        <f>VLOOKUP(A:A,'Master Table'!C:D,2,FALSE)</f>
        <v>723</v>
      </c>
      <c r="E1044" s="312"/>
      <c r="F1044" s="8">
        <v>553.37</v>
      </c>
      <c r="G1044" s="9">
        <v>664</v>
      </c>
      <c r="H1044" s="10">
        <v>783.52</v>
      </c>
    </row>
    <row r="1045" spans="1:8" ht="15" x14ac:dyDescent="0.2">
      <c r="A1045" s="6" t="s">
        <v>57</v>
      </c>
      <c r="B1045" s="6" t="s">
        <v>49</v>
      </c>
      <c r="C1045" s="6" t="s">
        <v>58</v>
      </c>
      <c r="D1045" s="278">
        <f>VLOOKUP(A:A,'Master Table'!C:D,2,FALSE)</f>
        <v>0</v>
      </c>
      <c r="E1045" s="312"/>
      <c r="F1045" s="8">
        <v>828.27</v>
      </c>
      <c r="G1045" s="9">
        <v>757.46</v>
      </c>
      <c r="H1045" s="10">
        <v>1168.08</v>
      </c>
    </row>
    <row r="1046" spans="1:8" ht="15" x14ac:dyDescent="0.2">
      <c r="A1046" s="6" t="s">
        <v>59</v>
      </c>
      <c r="B1046" s="6" t="s">
        <v>60</v>
      </c>
      <c r="C1046" s="6" t="s">
        <v>61</v>
      </c>
      <c r="D1046" s="278" t="str">
        <f>VLOOKUP(A:A,'Master Table'!C:D,2,FALSE)</f>
        <v>725</v>
      </c>
      <c r="E1046" s="312"/>
      <c r="F1046" s="8">
        <v>324.04000000000002</v>
      </c>
      <c r="G1046" s="9">
        <v>619.04999999999995</v>
      </c>
      <c r="H1046" s="10">
        <v>598.62</v>
      </c>
    </row>
    <row r="1047" spans="1:8" ht="15" x14ac:dyDescent="0.2">
      <c r="A1047" s="6" t="s">
        <v>62</v>
      </c>
      <c r="B1047" s="6" t="s">
        <v>60</v>
      </c>
      <c r="C1047" s="6" t="s">
        <v>63</v>
      </c>
      <c r="D1047" s="278" t="str">
        <f>VLOOKUP(A:A,'Master Table'!C:D,2,FALSE)</f>
        <v>726</v>
      </c>
      <c r="E1047" s="312"/>
      <c r="F1047" s="8">
        <v>50</v>
      </c>
      <c r="G1047" s="9">
        <v>65</v>
      </c>
      <c r="H1047" s="10">
        <v>75</v>
      </c>
    </row>
    <row r="1048" spans="1:8" ht="15" x14ac:dyDescent="0.2">
      <c r="A1048" s="6" t="s">
        <v>64</v>
      </c>
      <c r="B1048" s="6" t="s">
        <v>65</v>
      </c>
      <c r="C1048" s="6" t="s">
        <v>66</v>
      </c>
      <c r="D1048" s="278" t="str">
        <f>VLOOKUP(A:A,'Master Table'!C:D,2,FALSE)</f>
        <v>728</v>
      </c>
      <c r="E1048" s="312"/>
      <c r="F1048" s="8">
        <v>431</v>
      </c>
      <c r="G1048" s="9">
        <v>604.97</v>
      </c>
      <c r="H1048" s="10">
        <v>651.75</v>
      </c>
    </row>
    <row r="1049" spans="1:8" ht="15" x14ac:dyDescent="0.2">
      <c r="A1049" s="6" t="s">
        <v>67</v>
      </c>
      <c r="B1049" s="6" t="s">
        <v>68</v>
      </c>
      <c r="C1049" s="6" t="s">
        <v>69</v>
      </c>
      <c r="D1049" s="278" t="str">
        <f>VLOOKUP(A:A,'Master Table'!C:D,2,FALSE)</f>
        <v>729</v>
      </c>
      <c r="E1049" s="312"/>
      <c r="F1049" s="8">
        <v>225.64</v>
      </c>
      <c r="G1049" s="9">
        <v>268.51</v>
      </c>
      <c r="H1049" s="10">
        <v>413.84000000000003</v>
      </c>
    </row>
    <row r="1050" spans="1:8" ht="15" x14ac:dyDescent="0.2">
      <c r="A1050" s="6" t="s">
        <v>70</v>
      </c>
      <c r="B1050" s="6" t="s">
        <v>71</v>
      </c>
      <c r="C1050" s="6" t="s">
        <v>72</v>
      </c>
      <c r="D1050" s="278" t="str">
        <f>VLOOKUP(A:A,'Master Table'!C:D,2,FALSE)</f>
        <v>730</v>
      </c>
      <c r="E1050" s="312"/>
      <c r="F1050" s="8">
        <v>2167.73</v>
      </c>
      <c r="G1050" s="9">
        <v>2057.66</v>
      </c>
      <c r="H1050" s="10">
        <v>2393.84</v>
      </c>
    </row>
    <row r="1051" spans="1:8" ht="15" x14ac:dyDescent="0.2">
      <c r="A1051" s="6" t="s">
        <v>73</v>
      </c>
      <c r="B1051" s="6" t="s">
        <v>74</v>
      </c>
      <c r="C1051" s="6" t="s">
        <v>75</v>
      </c>
      <c r="D1051" s="278" t="str">
        <f>VLOOKUP(A:A,'Master Table'!C:D,2,FALSE)</f>
        <v>731</v>
      </c>
      <c r="E1051" s="312"/>
      <c r="F1051" s="8">
        <v>719</v>
      </c>
      <c r="G1051" s="9">
        <v>604</v>
      </c>
      <c r="H1051" s="10">
        <v>540</v>
      </c>
    </row>
    <row r="1052" spans="1:8" ht="15" x14ac:dyDescent="0.2">
      <c r="A1052" s="6" t="s">
        <v>76</v>
      </c>
      <c r="B1052" s="6" t="s">
        <v>77</v>
      </c>
      <c r="C1052" s="6" t="s">
        <v>78</v>
      </c>
      <c r="D1052" s="278" t="str">
        <f>VLOOKUP(A:A,'Master Table'!C:D,2,FALSE)</f>
        <v>732</v>
      </c>
      <c r="E1052" s="312"/>
      <c r="F1052" s="8">
        <v>821.27</v>
      </c>
      <c r="G1052" s="9">
        <v>546.9</v>
      </c>
      <c r="H1052" s="10">
        <v>748.43000000000006</v>
      </c>
    </row>
    <row r="1053" spans="1:8" ht="15" x14ac:dyDescent="0.2">
      <c r="A1053" s="6" t="s">
        <v>79</v>
      </c>
      <c r="B1053" s="6" t="s">
        <v>80</v>
      </c>
      <c r="C1053" s="6" t="s">
        <v>40</v>
      </c>
      <c r="D1053" s="278" t="str">
        <f>VLOOKUP(A:A,'Master Table'!C:D,2,FALSE)</f>
        <v>734</v>
      </c>
      <c r="E1053" s="312"/>
      <c r="F1053" s="8">
        <v>867.03</v>
      </c>
      <c r="G1053" s="9">
        <v>768.14</v>
      </c>
      <c r="H1053" s="10">
        <v>739.7</v>
      </c>
    </row>
    <row r="1054" spans="1:8" ht="15" x14ac:dyDescent="0.2">
      <c r="A1054" s="6" t="s">
        <v>81</v>
      </c>
      <c r="B1054" s="6" t="s">
        <v>82</v>
      </c>
      <c r="C1054" s="6" t="s">
        <v>83</v>
      </c>
      <c r="D1054" s="278" t="str">
        <f>VLOOKUP(A:A,'Master Table'!C:D,2,FALSE)</f>
        <v>735</v>
      </c>
      <c r="E1054" s="312"/>
      <c r="F1054" s="8">
        <v>2033.45</v>
      </c>
      <c r="G1054" s="9">
        <v>1529.5</v>
      </c>
      <c r="H1054" s="10">
        <v>1598</v>
      </c>
    </row>
    <row r="1055" spans="1:8" ht="15" x14ac:dyDescent="0.2">
      <c r="A1055" s="6" t="s">
        <v>84</v>
      </c>
      <c r="B1055" s="6" t="s">
        <v>85</v>
      </c>
      <c r="C1055" s="6" t="s">
        <v>86</v>
      </c>
      <c r="D1055" s="278" t="str">
        <f>VLOOKUP(A:A,'Master Table'!C:D,2,FALSE)</f>
        <v>736</v>
      </c>
      <c r="E1055" s="312"/>
      <c r="F1055" s="8">
        <v>4636.82</v>
      </c>
      <c r="G1055" s="9">
        <v>5724.83</v>
      </c>
      <c r="H1055" s="10">
        <v>5441.8600000000006</v>
      </c>
    </row>
    <row r="1056" spans="1:8" ht="15" x14ac:dyDescent="0.2">
      <c r="A1056" s="6" t="s">
        <v>87</v>
      </c>
      <c r="B1056" s="6" t="s">
        <v>88</v>
      </c>
      <c r="C1056" s="6" t="s">
        <v>89</v>
      </c>
      <c r="D1056" s="278" t="str">
        <f>VLOOKUP(A:A,'Master Table'!C:D,2,FALSE)</f>
        <v>737</v>
      </c>
      <c r="E1056" s="312"/>
      <c r="F1056" s="8">
        <v>253</v>
      </c>
      <c r="G1056" s="9">
        <v>120</v>
      </c>
      <c r="H1056" s="10">
        <v>120</v>
      </c>
    </row>
    <row r="1057" spans="1:8" ht="15" x14ac:dyDescent="0.2">
      <c r="A1057" s="6" t="s">
        <v>90</v>
      </c>
      <c r="B1057" s="6" t="s">
        <v>91</v>
      </c>
      <c r="C1057" s="6" t="s">
        <v>31</v>
      </c>
      <c r="D1057" s="278" t="str">
        <f>VLOOKUP(A:A,'Master Table'!C:D,2,FALSE)</f>
        <v>738</v>
      </c>
      <c r="E1057" s="312"/>
      <c r="F1057" s="8">
        <v>1206.44</v>
      </c>
      <c r="G1057" s="9">
        <v>877.81</v>
      </c>
      <c r="H1057" s="10">
        <v>893.11</v>
      </c>
    </row>
    <row r="1058" spans="1:8" ht="15" x14ac:dyDescent="0.2">
      <c r="A1058" s="6" t="s">
        <v>92</v>
      </c>
      <c r="B1058" s="6" t="s">
        <v>93</v>
      </c>
      <c r="C1058" s="6" t="s">
        <v>94</v>
      </c>
      <c r="D1058" s="278" t="str">
        <f>VLOOKUP(A:A,'Master Table'!C:D,2,FALSE)</f>
        <v>739</v>
      </c>
      <c r="E1058" s="312"/>
      <c r="F1058" s="8">
        <v>804.72</v>
      </c>
      <c r="G1058" s="9">
        <v>1079.1300000000001</v>
      </c>
      <c r="H1058" s="10">
        <v>1496.55</v>
      </c>
    </row>
    <row r="1059" spans="1:8" ht="15" x14ac:dyDescent="0.2">
      <c r="A1059" s="6" t="s">
        <v>95</v>
      </c>
      <c r="B1059" s="6" t="s">
        <v>96</v>
      </c>
      <c r="C1059" s="6" t="s">
        <v>97</v>
      </c>
      <c r="D1059" s="278" t="str">
        <f>VLOOKUP(A:A,'Master Table'!C:D,2,FALSE)</f>
        <v>740</v>
      </c>
      <c r="E1059" s="312"/>
      <c r="F1059" s="8">
        <v>3489.95</v>
      </c>
      <c r="G1059" s="9">
        <v>3517.53</v>
      </c>
      <c r="H1059" s="10">
        <v>3232.34</v>
      </c>
    </row>
    <row r="1060" spans="1:8" ht="15" x14ac:dyDescent="0.2">
      <c r="A1060" s="6" t="s">
        <v>98</v>
      </c>
      <c r="B1060" s="6" t="s">
        <v>99</v>
      </c>
      <c r="C1060" s="6" t="s">
        <v>100</v>
      </c>
      <c r="D1060" s="278" t="str">
        <f>VLOOKUP(A:A,'Master Table'!C:D,2,FALSE)</f>
        <v>742</v>
      </c>
      <c r="E1060" s="312"/>
      <c r="F1060" s="8">
        <v>1608.02</v>
      </c>
      <c r="G1060" s="9">
        <v>1477.15</v>
      </c>
      <c r="H1060" s="10">
        <v>1259.6300000000001</v>
      </c>
    </row>
    <row r="1061" spans="1:8" ht="15" x14ac:dyDescent="0.2">
      <c r="A1061" s="6" t="s">
        <v>101</v>
      </c>
      <c r="B1061" s="6" t="s">
        <v>99</v>
      </c>
      <c r="C1061" s="6" t="s">
        <v>102</v>
      </c>
      <c r="D1061" s="278" t="str">
        <f>VLOOKUP(A:A,'Master Table'!C:D,2,FALSE)</f>
        <v>743</v>
      </c>
      <c r="E1061" s="312"/>
      <c r="F1061" s="8">
        <v>1863.63</v>
      </c>
      <c r="G1061" s="9">
        <v>1600.25</v>
      </c>
      <c r="H1061" s="10">
        <v>1942.91</v>
      </c>
    </row>
    <row r="1062" spans="1:8" ht="15" x14ac:dyDescent="0.2">
      <c r="A1062" s="6" t="s">
        <v>103</v>
      </c>
      <c r="B1062" s="6" t="s">
        <v>104</v>
      </c>
      <c r="C1062" s="6" t="s">
        <v>105</v>
      </c>
      <c r="D1062" s="278" t="e">
        <f>VLOOKUP(A:A,'Master Table'!C:D,2,FALSE)</f>
        <v>#N/A</v>
      </c>
      <c r="E1062" s="312"/>
      <c r="F1062" s="8">
        <v>4870.41</v>
      </c>
      <c r="G1062" s="9">
        <v>4632.0300000000007</v>
      </c>
      <c r="H1062" s="10">
        <v>4843.8099999999995</v>
      </c>
    </row>
    <row r="1063" spans="1:8" ht="15" x14ac:dyDescent="0.2">
      <c r="A1063" s="6" t="s">
        <v>106</v>
      </c>
      <c r="B1063" s="6" t="s">
        <v>107</v>
      </c>
      <c r="C1063" s="6" t="s">
        <v>108</v>
      </c>
      <c r="D1063" s="278" t="str">
        <f>VLOOKUP(A:A,'Master Table'!C:D,2,FALSE)</f>
        <v>747</v>
      </c>
      <c r="E1063" s="312"/>
      <c r="F1063" s="8">
        <v>1343.43</v>
      </c>
      <c r="G1063" s="9">
        <v>699.08999999999992</v>
      </c>
      <c r="H1063" s="10">
        <v>1093.53</v>
      </c>
    </row>
    <row r="1064" spans="1:8" ht="15" x14ac:dyDescent="0.2">
      <c r="A1064" s="6" t="s">
        <v>109</v>
      </c>
      <c r="B1064" s="6" t="s">
        <v>110</v>
      </c>
      <c r="C1064" s="6" t="s">
        <v>31</v>
      </c>
      <c r="D1064" s="278" t="str">
        <f>VLOOKUP(A:A,'Master Table'!C:D,2,FALSE)</f>
        <v>748</v>
      </c>
      <c r="E1064" s="312"/>
      <c r="F1064" s="8">
        <v>675.65</v>
      </c>
      <c r="G1064" s="9">
        <v>2640.7599999999998</v>
      </c>
      <c r="H1064" s="10">
        <v>3088.14</v>
      </c>
    </row>
    <row r="1065" spans="1:8" ht="15" x14ac:dyDescent="0.2">
      <c r="A1065" s="6" t="s">
        <v>111</v>
      </c>
      <c r="B1065" s="6" t="s">
        <v>112</v>
      </c>
      <c r="C1065" s="6" t="s">
        <v>61</v>
      </c>
      <c r="D1065" s="278" t="str">
        <f>VLOOKUP(A:A,'Master Table'!C:D,2,FALSE)</f>
        <v>749</v>
      </c>
      <c r="E1065" s="312"/>
      <c r="F1065" s="8">
        <v>472.8</v>
      </c>
      <c r="G1065" s="9">
        <v>517.15</v>
      </c>
      <c r="H1065" s="10">
        <v>363.45</v>
      </c>
    </row>
    <row r="1066" spans="1:8" ht="15" x14ac:dyDescent="0.2">
      <c r="A1066" s="6" t="s">
        <v>113</v>
      </c>
      <c r="B1066" s="6" t="s">
        <v>114</v>
      </c>
      <c r="C1066" s="6" t="s">
        <v>115</v>
      </c>
      <c r="D1066" s="278" t="str">
        <f>VLOOKUP(A:A,'Master Table'!C:D,2,FALSE)</f>
        <v>750</v>
      </c>
      <c r="E1066" s="312"/>
      <c r="F1066" s="8">
        <v>4756.3999999999996</v>
      </c>
      <c r="G1066" s="9">
        <v>4607.93</v>
      </c>
      <c r="H1066" s="10">
        <v>3687.39</v>
      </c>
    </row>
    <row r="1067" spans="1:8" ht="15" x14ac:dyDescent="0.2">
      <c r="A1067" s="6" t="s">
        <v>116</v>
      </c>
      <c r="B1067" s="6" t="s">
        <v>114</v>
      </c>
      <c r="C1067" s="6" t="s">
        <v>117</v>
      </c>
      <c r="D1067" s="278" t="str">
        <f>VLOOKUP(A:A,'Master Table'!C:D,2,FALSE)</f>
        <v>751</v>
      </c>
      <c r="E1067" s="312"/>
      <c r="F1067" s="8">
        <v>136</v>
      </c>
      <c r="G1067" s="9">
        <v>0</v>
      </c>
      <c r="H1067" s="10">
        <v>80</v>
      </c>
    </row>
    <row r="1068" spans="1:8" ht="15" x14ac:dyDescent="0.2">
      <c r="A1068" s="6" t="s">
        <v>118</v>
      </c>
      <c r="B1068" s="6" t="s">
        <v>114</v>
      </c>
      <c r="C1068" s="6" t="s">
        <v>119</v>
      </c>
      <c r="D1068" s="278" t="str">
        <f>VLOOKUP(A:A,'Master Table'!C:D,2,FALSE)</f>
        <v>752</v>
      </c>
      <c r="E1068" s="312"/>
      <c r="F1068" s="8">
        <v>150</v>
      </c>
      <c r="G1068" s="9">
        <v>100</v>
      </c>
      <c r="H1068" s="10">
        <v>100</v>
      </c>
    </row>
    <row r="1069" spans="1:8" ht="15" x14ac:dyDescent="0.2">
      <c r="A1069" s="6" t="s">
        <v>120</v>
      </c>
      <c r="B1069" s="6" t="s">
        <v>121</v>
      </c>
      <c r="C1069" s="6" t="s">
        <v>61</v>
      </c>
      <c r="D1069" s="278" t="str">
        <f>VLOOKUP(A:A,'Master Table'!C:D,2,FALSE)</f>
        <v>753</v>
      </c>
      <c r="E1069" s="312"/>
      <c r="F1069" s="8">
        <v>2455.9</v>
      </c>
      <c r="G1069" s="9">
        <v>2993.33</v>
      </c>
      <c r="H1069" s="10">
        <v>2244.65</v>
      </c>
    </row>
    <row r="1070" spans="1:8" ht="15" x14ac:dyDescent="0.2">
      <c r="A1070" s="6" t="s">
        <v>122</v>
      </c>
      <c r="B1070" s="6" t="s">
        <v>123</v>
      </c>
      <c r="C1070" s="6" t="s">
        <v>124</v>
      </c>
      <c r="D1070" s="278" t="str">
        <f>VLOOKUP(A:A,'Master Table'!C:D,2,FALSE)</f>
        <v>754</v>
      </c>
      <c r="E1070" s="312"/>
      <c r="F1070" s="8">
        <v>873.45</v>
      </c>
      <c r="G1070" s="9">
        <v>654</v>
      </c>
      <c r="H1070" s="10">
        <v>633</v>
      </c>
    </row>
    <row r="1071" spans="1:8" ht="15" x14ac:dyDescent="0.2">
      <c r="A1071" s="6" t="s">
        <v>125</v>
      </c>
      <c r="B1071" s="6" t="s">
        <v>126</v>
      </c>
      <c r="C1071" s="6" t="s">
        <v>127</v>
      </c>
      <c r="D1071" s="278" t="str">
        <f>VLOOKUP(A:A,'Master Table'!C:D,2,FALSE)</f>
        <v>755</v>
      </c>
      <c r="E1071" s="312"/>
      <c r="F1071" s="8">
        <v>323.35000000000002</v>
      </c>
      <c r="G1071" s="9">
        <v>193.11</v>
      </c>
      <c r="H1071" s="10">
        <v>217.26</v>
      </c>
    </row>
    <row r="1072" spans="1:8" ht="15" x14ac:dyDescent="0.2">
      <c r="A1072" s="6" t="s">
        <v>128</v>
      </c>
      <c r="B1072" s="6" t="s">
        <v>129</v>
      </c>
      <c r="C1072" s="6" t="s">
        <v>130</v>
      </c>
      <c r="D1072" s="278" t="str">
        <f>VLOOKUP(A:A,'Master Table'!C:D,2,FALSE)</f>
        <v>756</v>
      </c>
      <c r="E1072" s="312"/>
      <c r="F1072" s="8">
        <v>1515.5</v>
      </c>
      <c r="G1072" s="9">
        <v>2207.02</v>
      </c>
      <c r="H1072" s="10">
        <v>1801.3400000000001</v>
      </c>
    </row>
    <row r="1073" spans="1:8" ht="15" x14ac:dyDescent="0.2">
      <c r="A1073" s="6" t="s">
        <v>131</v>
      </c>
      <c r="B1073" s="6" t="s">
        <v>132</v>
      </c>
      <c r="C1073" s="6" t="s">
        <v>133</v>
      </c>
      <c r="D1073" s="278" t="str">
        <f>VLOOKUP(A:A,'Master Table'!C:D,2,FALSE)</f>
        <v>757</v>
      </c>
      <c r="E1073" s="312"/>
      <c r="F1073" s="8">
        <v>1052.1199999999999</v>
      </c>
      <c r="G1073" s="9">
        <v>1142.69</v>
      </c>
      <c r="H1073" s="10">
        <v>1422.98</v>
      </c>
    </row>
    <row r="1074" spans="1:8" ht="15" x14ac:dyDescent="0.2">
      <c r="A1074" s="6" t="s">
        <v>134</v>
      </c>
      <c r="B1074" s="6" t="s">
        <v>135</v>
      </c>
      <c r="C1074" s="6" t="s">
        <v>136</v>
      </c>
      <c r="D1074" s="278" t="str">
        <f>VLOOKUP(A:A,'Master Table'!C:D,2,FALSE)</f>
        <v>758</v>
      </c>
      <c r="E1074" s="312"/>
      <c r="F1074" s="8">
        <v>400</v>
      </c>
      <c r="G1074" s="9">
        <v>932</v>
      </c>
      <c r="H1074" s="10">
        <v>1043.1399999999999</v>
      </c>
    </row>
    <row r="1075" spans="1:8" ht="15" x14ac:dyDescent="0.2">
      <c r="A1075" s="6" t="s">
        <v>137</v>
      </c>
      <c r="B1075" s="6" t="s">
        <v>138</v>
      </c>
      <c r="C1075" s="6" t="s">
        <v>56</v>
      </c>
      <c r="D1075" s="278" t="str">
        <f>VLOOKUP(A:A,'Master Table'!C:D,2,FALSE)</f>
        <v>147985</v>
      </c>
      <c r="E1075" s="312"/>
      <c r="F1075" s="8">
        <v>234.99</v>
      </c>
      <c r="G1075" s="9">
        <v>247.34</v>
      </c>
      <c r="H1075" s="10">
        <v>352.49</v>
      </c>
    </row>
    <row r="1076" spans="1:8" ht="15" x14ac:dyDescent="0.2">
      <c r="A1076" s="6" t="s">
        <v>139</v>
      </c>
      <c r="B1076" s="6" t="s">
        <v>140</v>
      </c>
      <c r="C1076" s="6" t="s">
        <v>141</v>
      </c>
      <c r="D1076" s="278" t="str">
        <f>VLOOKUP(A:A,'Master Table'!C:D,2,FALSE)</f>
        <v>759</v>
      </c>
      <c r="E1076" s="312"/>
      <c r="F1076" s="8">
        <v>1066.48</v>
      </c>
      <c r="G1076" s="9">
        <v>1281.3399999999999</v>
      </c>
      <c r="H1076" s="10">
        <v>1190.3800000000001</v>
      </c>
    </row>
    <row r="1077" spans="1:8" ht="15" x14ac:dyDescent="0.2">
      <c r="A1077" s="12" t="s">
        <v>142</v>
      </c>
      <c r="B1077" s="6" t="s">
        <v>143</v>
      </c>
      <c r="C1077" s="6" t="s">
        <v>144</v>
      </c>
      <c r="D1077" s="278" t="str">
        <f>VLOOKUP(A:A,'Master Table'!C:D,2,FALSE)</f>
        <v>761</v>
      </c>
      <c r="E1077" s="312"/>
      <c r="F1077" s="8">
        <v>373</v>
      </c>
      <c r="G1077" s="9">
        <v>1845.47</v>
      </c>
      <c r="H1077" s="10">
        <v>1878.57</v>
      </c>
    </row>
    <row r="1078" spans="1:8" ht="15" x14ac:dyDescent="0.2">
      <c r="A1078" s="6" t="s">
        <v>145</v>
      </c>
      <c r="B1078" s="6" t="s">
        <v>143</v>
      </c>
      <c r="C1078" s="6" t="s">
        <v>146</v>
      </c>
      <c r="D1078" s="278" t="str">
        <f>VLOOKUP(A:A,'Master Table'!C:D,2,FALSE)</f>
        <v>762</v>
      </c>
      <c r="E1078" s="312"/>
      <c r="F1078" s="8">
        <v>1509.36</v>
      </c>
      <c r="G1078" s="9">
        <v>168</v>
      </c>
      <c r="H1078" s="10" t="s">
        <v>147</v>
      </c>
    </row>
    <row r="1079" spans="1:8" ht="15" x14ac:dyDescent="0.2">
      <c r="A1079" s="6" t="s">
        <v>148</v>
      </c>
      <c r="B1079" s="6" t="s">
        <v>149</v>
      </c>
      <c r="C1079" s="6" t="s">
        <v>150</v>
      </c>
      <c r="D1079" s="278" t="str">
        <f>VLOOKUP(A:A,'Master Table'!C:D,2,FALSE)</f>
        <v>764</v>
      </c>
      <c r="E1079" s="312"/>
      <c r="F1079" s="8">
        <v>205</v>
      </c>
      <c r="G1079" s="9">
        <v>640</v>
      </c>
      <c r="H1079" s="10">
        <v>240</v>
      </c>
    </row>
    <row r="1080" spans="1:8" ht="15" x14ac:dyDescent="0.2">
      <c r="A1080" s="6" t="s">
        <v>151</v>
      </c>
      <c r="B1080" s="6" t="s">
        <v>143</v>
      </c>
      <c r="C1080" s="6" t="s">
        <v>152</v>
      </c>
      <c r="D1080" s="278" t="str">
        <f>VLOOKUP(A:A,'Master Table'!C:D,2,FALSE)</f>
        <v>765</v>
      </c>
      <c r="E1080" s="312"/>
      <c r="F1080" s="8">
        <v>635</v>
      </c>
      <c r="G1080" s="9">
        <v>686</v>
      </c>
      <c r="H1080" s="10">
        <v>753.4</v>
      </c>
    </row>
    <row r="1081" spans="1:8" ht="15" x14ac:dyDescent="0.2">
      <c r="A1081" s="6" t="s">
        <v>153</v>
      </c>
      <c r="B1081" s="6" t="s">
        <v>154</v>
      </c>
      <c r="C1081" s="6" t="s">
        <v>155</v>
      </c>
      <c r="D1081" s="278" t="str">
        <f>VLOOKUP(A:A,'Master Table'!C:D,2,FALSE)</f>
        <v>766</v>
      </c>
      <c r="E1081" s="312"/>
      <c r="F1081" s="8">
        <v>812</v>
      </c>
      <c r="G1081" s="9">
        <v>1328</v>
      </c>
      <c r="H1081" s="10">
        <v>1313</v>
      </c>
    </row>
    <row r="1082" spans="1:8" ht="15" x14ac:dyDescent="0.2">
      <c r="A1082" s="6" t="s">
        <v>156</v>
      </c>
      <c r="B1082" s="6" t="s">
        <v>157</v>
      </c>
      <c r="C1082" s="6" t="s">
        <v>158</v>
      </c>
      <c r="D1082" s="278" t="str">
        <f>VLOOKUP(A:A,'Master Table'!C:D,2,FALSE)</f>
        <v>767</v>
      </c>
      <c r="E1082" s="312"/>
      <c r="F1082" s="8">
        <v>2347.44</v>
      </c>
      <c r="G1082" s="9">
        <v>2862.69</v>
      </c>
      <c r="H1082" s="10">
        <v>2816.38</v>
      </c>
    </row>
    <row r="1083" spans="1:8" ht="15" x14ac:dyDescent="0.2">
      <c r="A1083" s="6" t="s">
        <v>159</v>
      </c>
      <c r="B1083" s="6" t="s">
        <v>160</v>
      </c>
      <c r="C1083" s="6" t="s">
        <v>161</v>
      </c>
      <c r="D1083" s="278" t="str">
        <f>VLOOKUP(A:A,'Master Table'!C:D,2,FALSE)</f>
        <v>768</v>
      </c>
      <c r="E1083" s="312"/>
      <c r="F1083" s="8">
        <v>399.2</v>
      </c>
      <c r="G1083" s="9">
        <v>674.45</v>
      </c>
      <c r="H1083" s="10">
        <v>347.38</v>
      </c>
    </row>
    <row r="1084" spans="1:8" ht="15" x14ac:dyDescent="0.2">
      <c r="A1084" s="6" t="s">
        <v>162</v>
      </c>
      <c r="B1084" s="6" t="s">
        <v>163</v>
      </c>
      <c r="C1084" s="6" t="s">
        <v>164</v>
      </c>
      <c r="D1084" s="278" t="str">
        <f>VLOOKUP(A:A,'Master Table'!C:D,2,FALSE)</f>
        <v>770</v>
      </c>
      <c r="E1084" s="312"/>
      <c r="F1084" s="8">
        <v>0</v>
      </c>
      <c r="G1084" s="9">
        <v>702.42</v>
      </c>
      <c r="H1084" s="10">
        <v>1096.5</v>
      </c>
    </row>
    <row r="1085" spans="1:8" ht="15" x14ac:dyDescent="0.2">
      <c r="A1085" s="6" t="s">
        <v>165</v>
      </c>
      <c r="B1085" s="6" t="s">
        <v>166</v>
      </c>
      <c r="C1085" s="6" t="s">
        <v>167</v>
      </c>
      <c r="D1085" s="278" t="str">
        <f>VLOOKUP(A:A,'Master Table'!C:D,2,FALSE)</f>
        <v>771</v>
      </c>
      <c r="E1085" s="312"/>
      <c r="F1085" s="8">
        <v>718.59999999999991</v>
      </c>
      <c r="G1085" s="9">
        <v>437.3</v>
      </c>
      <c r="H1085" s="10">
        <v>698.65000000000009</v>
      </c>
    </row>
    <row r="1086" spans="1:8" ht="15" x14ac:dyDescent="0.2">
      <c r="A1086" s="6" t="s">
        <v>168</v>
      </c>
      <c r="B1086" s="6" t="s">
        <v>169</v>
      </c>
      <c r="C1086" s="6" t="s">
        <v>170</v>
      </c>
      <c r="D1086" s="278" t="str">
        <f>VLOOKUP(A:A,'Master Table'!C:D,2,FALSE)</f>
        <v>772</v>
      </c>
      <c r="E1086" s="312"/>
      <c r="F1086" s="8">
        <v>174.96</v>
      </c>
      <c r="G1086" s="9">
        <v>100</v>
      </c>
      <c r="H1086" s="10">
        <v>154.97</v>
      </c>
    </row>
    <row r="1087" spans="1:8" ht="15" x14ac:dyDescent="0.2">
      <c r="A1087" s="6" t="s">
        <v>171</v>
      </c>
      <c r="B1087" s="6" t="s">
        <v>172</v>
      </c>
      <c r="C1087" s="6" t="s">
        <v>173</v>
      </c>
      <c r="D1087" s="278" t="str">
        <f>VLOOKUP(A:A,'Master Table'!C:D,2,FALSE)</f>
        <v>773</v>
      </c>
      <c r="E1087" s="312"/>
      <c r="F1087" s="8">
        <v>6268.43</v>
      </c>
      <c r="G1087" s="9">
        <v>1402.72</v>
      </c>
      <c r="H1087" s="10">
        <v>1217.42</v>
      </c>
    </row>
    <row r="1088" spans="1:8" ht="15" x14ac:dyDescent="0.2">
      <c r="A1088" s="6" t="s">
        <v>174</v>
      </c>
      <c r="B1088" s="6" t="s">
        <v>175</v>
      </c>
      <c r="C1088" s="6" t="s">
        <v>176</v>
      </c>
      <c r="D1088" s="278" t="str">
        <f>VLOOKUP(A:A,'Master Table'!C:D,2,FALSE)</f>
        <v>774</v>
      </c>
      <c r="E1088" s="312"/>
      <c r="F1088" s="8">
        <v>419.6</v>
      </c>
      <c r="G1088" s="9">
        <v>274.49</v>
      </c>
      <c r="H1088" s="10">
        <v>314.75</v>
      </c>
    </row>
    <row r="1089" spans="1:8" ht="15" x14ac:dyDescent="0.2">
      <c r="A1089" s="6" t="s">
        <v>177</v>
      </c>
      <c r="B1089" s="6" t="s">
        <v>178</v>
      </c>
      <c r="C1089" s="6" t="s">
        <v>15</v>
      </c>
      <c r="D1089" s="278" t="str">
        <f>VLOOKUP(A:A,'Master Table'!C:D,2,FALSE)</f>
        <v>775</v>
      </c>
      <c r="E1089" s="312"/>
      <c r="F1089" s="8">
        <v>3565.69</v>
      </c>
      <c r="G1089" s="9">
        <v>3753.76</v>
      </c>
      <c r="H1089" s="10">
        <v>4181.8500000000004</v>
      </c>
    </row>
    <row r="1090" spans="1:8" ht="15" x14ac:dyDescent="0.2">
      <c r="A1090" s="6" t="s">
        <v>179</v>
      </c>
      <c r="B1090" s="6" t="s">
        <v>178</v>
      </c>
      <c r="C1090" s="6" t="s">
        <v>180</v>
      </c>
      <c r="D1090" s="278" t="str">
        <f>VLOOKUP(A:A,'Master Table'!C:D,2,FALSE)</f>
        <v>776</v>
      </c>
      <c r="E1090" s="312"/>
      <c r="F1090" s="8">
        <v>1163.1099999999999</v>
      </c>
      <c r="G1090" s="9">
        <v>1472.28</v>
      </c>
      <c r="H1090" s="10">
        <v>756.28</v>
      </c>
    </row>
    <row r="1091" spans="1:8" ht="15" x14ac:dyDescent="0.2">
      <c r="A1091" s="6" t="s">
        <v>181</v>
      </c>
      <c r="B1091" s="6" t="s">
        <v>182</v>
      </c>
      <c r="C1091" s="6" t="s">
        <v>183</v>
      </c>
      <c r="D1091" s="278" t="str">
        <f>VLOOKUP(A:A,'Master Table'!C:D,2,FALSE)</f>
        <v>777</v>
      </c>
      <c r="E1091" s="312"/>
      <c r="F1091" s="8">
        <v>636</v>
      </c>
      <c r="G1091" s="9">
        <v>537</v>
      </c>
      <c r="H1091" s="10">
        <v>701</v>
      </c>
    </row>
    <row r="1092" spans="1:8" ht="15" x14ac:dyDescent="0.2">
      <c r="A1092" s="6" t="s">
        <v>184</v>
      </c>
      <c r="B1092" s="6" t="s">
        <v>185</v>
      </c>
      <c r="C1092" s="6" t="s">
        <v>186</v>
      </c>
      <c r="D1092" s="278" t="str">
        <f>VLOOKUP(A:A,'Master Table'!C:D,2,FALSE)</f>
        <v>778</v>
      </c>
      <c r="E1092" s="312"/>
      <c r="F1092" s="8">
        <v>440.95</v>
      </c>
      <c r="G1092" s="9">
        <v>180</v>
      </c>
      <c r="H1092" s="10">
        <v>290</v>
      </c>
    </row>
    <row r="1093" spans="1:8" ht="15" x14ac:dyDescent="0.2">
      <c r="A1093" s="6" t="s">
        <v>187</v>
      </c>
      <c r="B1093" s="6" t="s">
        <v>188</v>
      </c>
      <c r="C1093" s="6" t="s">
        <v>15</v>
      </c>
      <c r="D1093" s="278" t="str">
        <f>VLOOKUP(A:A,'Master Table'!C:D,2,FALSE)</f>
        <v>779</v>
      </c>
      <c r="E1093" s="312"/>
      <c r="F1093" s="8">
        <v>1670.32</v>
      </c>
      <c r="G1093" s="9">
        <v>1468.54</v>
      </c>
      <c r="H1093" s="10">
        <v>1819.07</v>
      </c>
    </row>
    <row r="1094" spans="1:8" ht="15" x14ac:dyDescent="0.2">
      <c r="A1094" s="6" t="s">
        <v>189</v>
      </c>
      <c r="B1094" s="6" t="s">
        <v>188</v>
      </c>
      <c r="C1094" s="6" t="s">
        <v>190</v>
      </c>
      <c r="D1094" s="278" t="str">
        <f>VLOOKUP(A:A,'Master Table'!C:D,2,FALSE)</f>
        <v>780</v>
      </c>
      <c r="E1094" s="312"/>
      <c r="F1094" s="8">
        <v>1187.94</v>
      </c>
      <c r="G1094" s="9">
        <v>977</v>
      </c>
      <c r="H1094" s="10">
        <v>1383.19</v>
      </c>
    </row>
    <row r="1095" spans="1:8" ht="15" x14ac:dyDescent="0.2">
      <c r="A1095" s="6" t="s">
        <v>191</v>
      </c>
      <c r="B1095" s="6" t="s">
        <v>192</v>
      </c>
      <c r="C1095" s="6" t="s">
        <v>193</v>
      </c>
      <c r="D1095" s="278" t="str">
        <f>VLOOKUP(A:A,'Master Table'!C:D,2,FALSE)</f>
        <v>781</v>
      </c>
      <c r="E1095" s="312"/>
      <c r="F1095" s="8">
        <v>317.66999999999996</v>
      </c>
      <c r="G1095" s="9">
        <v>445.03</v>
      </c>
      <c r="H1095" s="10">
        <v>583.77</v>
      </c>
    </row>
    <row r="1096" spans="1:8" ht="15" x14ac:dyDescent="0.2">
      <c r="A1096" s="6" t="s">
        <v>194</v>
      </c>
      <c r="B1096" s="6" t="s">
        <v>195</v>
      </c>
      <c r="C1096" s="6" t="s">
        <v>78</v>
      </c>
      <c r="D1096" s="278" t="str">
        <f>VLOOKUP(A:A,'Master Table'!C:D,2,FALSE)</f>
        <v>782</v>
      </c>
      <c r="E1096" s="312"/>
      <c r="F1096" s="8">
        <v>1202.55</v>
      </c>
      <c r="G1096" s="9">
        <v>1049.9000000000001</v>
      </c>
      <c r="H1096" s="10">
        <v>1230.74</v>
      </c>
    </row>
    <row r="1097" spans="1:8" ht="15" x14ac:dyDescent="0.2">
      <c r="A1097" s="6" t="s">
        <v>196</v>
      </c>
      <c r="B1097" s="6" t="s">
        <v>197</v>
      </c>
      <c r="C1097" s="6" t="s">
        <v>198</v>
      </c>
      <c r="D1097" s="278" t="str">
        <f>VLOOKUP(A:A,'Master Table'!C:D,2,FALSE)</f>
        <v>784</v>
      </c>
      <c r="E1097" s="312"/>
      <c r="F1097" s="8">
        <v>1051.8699999999999</v>
      </c>
      <c r="G1097" s="9">
        <v>1298.46</v>
      </c>
      <c r="H1097" s="10">
        <v>1551.44</v>
      </c>
    </row>
    <row r="1098" spans="1:8" ht="15" x14ac:dyDescent="0.2">
      <c r="A1098" s="6" t="s">
        <v>199</v>
      </c>
      <c r="B1098" s="6" t="s">
        <v>200</v>
      </c>
      <c r="C1098" s="6" t="s">
        <v>201</v>
      </c>
      <c r="D1098" s="278" t="str">
        <f>VLOOKUP(A:A,'Master Table'!C:D,2,FALSE)</f>
        <v>786</v>
      </c>
      <c r="E1098" s="312"/>
      <c r="F1098" s="8">
        <v>2133.1</v>
      </c>
      <c r="G1098" s="9">
        <v>2095.75</v>
      </c>
      <c r="H1098" s="10">
        <v>2655</v>
      </c>
    </row>
    <row r="1099" spans="1:8" ht="15" x14ac:dyDescent="0.2">
      <c r="A1099" s="6" t="s">
        <v>202</v>
      </c>
      <c r="B1099" s="6" t="s">
        <v>203</v>
      </c>
      <c r="C1099" s="6" t="s">
        <v>204</v>
      </c>
      <c r="D1099" s="278" t="str">
        <f>VLOOKUP(A:A,'Master Table'!C:D,2,FALSE)</f>
        <v>787</v>
      </c>
      <c r="E1099" s="312"/>
      <c r="F1099" s="8">
        <v>1412.88</v>
      </c>
      <c r="G1099" s="9">
        <v>1460.3</v>
      </c>
      <c r="H1099" s="10">
        <v>1691.97</v>
      </c>
    </row>
    <row r="1100" spans="1:8" ht="15" x14ac:dyDescent="0.2">
      <c r="A1100" s="6" t="s">
        <v>205</v>
      </c>
      <c r="B1100" s="6" t="s">
        <v>206</v>
      </c>
      <c r="C1100" s="6" t="s">
        <v>207</v>
      </c>
      <c r="D1100" s="278" t="str">
        <f>VLOOKUP(A:A,'Master Table'!C:D,2,FALSE)</f>
        <v>788</v>
      </c>
      <c r="E1100" s="312"/>
      <c r="F1100" s="8">
        <v>45</v>
      </c>
      <c r="G1100" s="9">
        <v>30</v>
      </c>
      <c r="H1100" s="10">
        <v>30</v>
      </c>
    </row>
    <row r="1101" spans="1:8" ht="15" x14ac:dyDescent="0.2">
      <c r="A1101" s="6" t="s">
        <v>208</v>
      </c>
      <c r="B1101" s="6" t="s">
        <v>209</v>
      </c>
      <c r="C1101" s="6" t="s">
        <v>210</v>
      </c>
      <c r="D1101" s="278" t="str">
        <f>VLOOKUP(A:A,'Master Table'!C:D,2,FALSE)</f>
        <v>789</v>
      </c>
      <c r="E1101" s="312"/>
      <c r="F1101" s="8">
        <v>60</v>
      </c>
      <c r="G1101" s="9">
        <v>60</v>
      </c>
      <c r="H1101" s="10">
        <v>60</v>
      </c>
    </row>
    <row r="1102" spans="1:8" ht="15" x14ac:dyDescent="0.2">
      <c r="A1102" s="6" t="s">
        <v>211</v>
      </c>
      <c r="B1102" s="6" t="s">
        <v>85</v>
      </c>
      <c r="C1102" s="6" t="s">
        <v>212</v>
      </c>
      <c r="D1102" s="278" t="str">
        <f>VLOOKUP(A:A,'Master Table'!C:D,2,FALSE)</f>
        <v>790</v>
      </c>
      <c r="E1102" s="312"/>
      <c r="F1102" s="8">
        <v>1920.3</v>
      </c>
      <c r="G1102" s="9">
        <v>1657.88</v>
      </c>
      <c r="H1102" s="10">
        <v>1754.04</v>
      </c>
    </row>
    <row r="1103" spans="1:8" ht="15" x14ac:dyDescent="0.2">
      <c r="A1103" s="6" t="s">
        <v>213</v>
      </c>
      <c r="B1103" s="6" t="s">
        <v>85</v>
      </c>
      <c r="C1103" s="6" t="s">
        <v>214</v>
      </c>
      <c r="D1103" s="278" t="str">
        <f>VLOOKUP(A:A,'Master Table'!C:D,2,FALSE)</f>
        <v>791</v>
      </c>
      <c r="E1103" s="312"/>
      <c r="F1103" s="8">
        <v>998.5</v>
      </c>
      <c r="G1103" s="9">
        <v>1298.99</v>
      </c>
      <c r="H1103" s="10">
        <v>1309.48</v>
      </c>
    </row>
    <row r="1104" spans="1:8" ht="15" x14ac:dyDescent="0.2">
      <c r="A1104" s="6" t="s">
        <v>215</v>
      </c>
      <c r="B1104" s="6" t="s">
        <v>85</v>
      </c>
      <c r="C1104" s="6" t="s">
        <v>216</v>
      </c>
      <c r="D1104" s="278" t="str">
        <f>VLOOKUP(A:A,'Master Table'!C:D,2,FALSE)</f>
        <v>792</v>
      </c>
      <c r="E1104" s="312"/>
      <c r="F1104" s="8">
        <v>5259.5</v>
      </c>
      <c r="G1104" s="9">
        <v>4905.45</v>
      </c>
      <c r="H1104" s="10">
        <v>4721.5</v>
      </c>
    </row>
    <row r="1105" spans="1:8" ht="15" x14ac:dyDescent="0.2">
      <c r="A1105" s="6" t="s">
        <v>217</v>
      </c>
      <c r="B1105" s="6" t="s">
        <v>85</v>
      </c>
      <c r="C1105" s="6" t="s">
        <v>15</v>
      </c>
      <c r="D1105" s="278" t="str">
        <f>VLOOKUP(A:A,'Master Table'!C:D,2,FALSE)</f>
        <v>793</v>
      </c>
      <c r="E1105" s="312"/>
      <c r="F1105" s="8">
        <v>420.85</v>
      </c>
      <c r="G1105" s="9">
        <v>1859.68</v>
      </c>
      <c r="H1105" s="10">
        <v>1789.3400000000001</v>
      </c>
    </row>
    <row r="1106" spans="1:8" ht="15" x14ac:dyDescent="0.2">
      <c r="A1106" s="6" t="s">
        <v>218</v>
      </c>
      <c r="B1106" s="6" t="s">
        <v>219</v>
      </c>
      <c r="C1106" s="6" t="s">
        <v>220</v>
      </c>
      <c r="D1106" s="278" t="str">
        <f>VLOOKUP(A:A,'Master Table'!C:D,2,FALSE)</f>
        <v>797</v>
      </c>
      <c r="E1106" s="312"/>
      <c r="F1106" s="8">
        <v>1263.6199999999999</v>
      </c>
      <c r="G1106" s="9">
        <v>945.04</v>
      </c>
      <c r="H1106" s="10">
        <v>1125.3</v>
      </c>
    </row>
    <row r="1107" spans="1:8" ht="15" x14ac:dyDescent="0.2">
      <c r="A1107" s="6" t="s">
        <v>221</v>
      </c>
      <c r="B1107" s="6" t="s">
        <v>222</v>
      </c>
      <c r="C1107" s="6" t="s">
        <v>223</v>
      </c>
      <c r="D1107" s="278" t="str">
        <f>VLOOKUP(A:A,'Master Table'!C:D,2,FALSE)</f>
        <v>798</v>
      </c>
      <c r="E1107" s="312"/>
      <c r="F1107" s="8">
        <v>415</v>
      </c>
      <c r="G1107" s="9">
        <v>1287.95</v>
      </c>
      <c r="H1107" s="10">
        <v>450</v>
      </c>
    </row>
    <row r="1108" spans="1:8" ht="15" x14ac:dyDescent="0.2">
      <c r="A1108" s="6" t="s">
        <v>224</v>
      </c>
      <c r="B1108" s="6" t="s">
        <v>225</v>
      </c>
      <c r="C1108" s="6" t="s">
        <v>226</v>
      </c>
      <c r="D1108" s="278" t="str">
        <f>VLOOKUP(A:A,'Master Table'!C:D,2,FALSE)</f>
        <v>800</v>
      </c>
      <c r="E1108" s="312"/>
      <c r="F1108" s="8">
        <v>506</v>
      </c>
      <c r="G1108" s="9">
        <v>520</v>
      </c>
      <c r="H1108" s="10">
        <v>520</v>
      </c>
    </row>
    <row r="1109" spans="1:8" ht="15" x14ac:dyDescent="0.2">
      <c r="A1109" s="6" t="s">
        <v>227</v>
      </c>
      <c r="B1109" s="6" t="s">
        <v>228</v>
      </c>
      <c r="C1109" s="6" t="s">
        <v>124</v>
      </c>
      <c r="D1109" s="278" t="str">
        <f>VLOOKUP(A:A,'Master Table'!C:D,2,FALSE)</f>
        <v>801</v>
      </c>
      <c r="E1109" s="312"/>
      <c r="F1109" s="8">
        <v>337.07</v>
      </c>
      <c r="G1109" s="9">
        <v>568.96</v>
      </c>
      <c r="H1109" s="10">
        <v>605.5</v>
      </c>
    </row>
    <row r="1110" spans="1:8" ht="15" x14ac:dyDescent="0.2">
      <c r="A1110" s="6" t="s">
        <v>229</v>
      </c>
      <c r="B1110" s="6" t="s">
        <v>230</v>
      </c>
      <c r="C1110" s="6" t="s">
        <v>231</v>
      </c>
      <c r="D1110" s="278" t="str">
        <f>VLOOKUP(A:A,'Master Table'!C:D,2,FALSE)</f>
        <v>802</v>
      </c>
      <c r="E1110" s="312"/>
      <c r="F1110" s="8">
        <v>2240.77</v>
      </c>
      <c r="G1110" s="9">
        <v>35</v>
      </c>
      <c r="H1110" s="10">
        <v>45</v>
      </c>
    </row>
    <row r="1111" spans="1:8" ht="15" x14ac:dyDescent="0.2">
      <c r="A1111" s="6" t="s">
        <v>232</v>
      </c>
      <c r="B1111" s="6" t="s">
        <v>233</v>
      </c>
      <c r="C1111" s="6" t="s">
        <v>234</v>
      </c>
      <c r="D1111" s="278" t="str">
        <f>VLOOKUP(A:A,'Master Table'!C:D,2,FALSE)</f>
        <v>805</v>
      </c>
      <c r="E1111" s="312"/>
      <c r="F1111" s="8">
        <v>880.81</v>
      </c>
      <c r="G1111" s="9">
        <v>1013.37</v>
      </c>
      <c r="H1111" s="10">
        <v>1131.98</v>
      </c>
    </row>
    <row r="1112" spans="1:8" ht="15" x14ac:dyDescent="0.2">
      <c r="A1112" s="6" t="s">
        <v>235</v>
      </c>
      <c r="B1112" s="6" t="s">
        <v>233</v>
      </c>
      <c r="C1112" s="6" t="s">
        <v>236</v>
      </c>
      <c r="D1112" s="278" t="str">
        <f>VLOOKUP(A:A,'Master Table'!C:D,2,FALSE)</f>
        <v>807</v>
      </c>
      <c r="E1112" s="312"/>
      <c r="F1112" s="8">
        <v>1507.6</v>
      </c>
      <c r="G1112" s="9">
        <v>1225.3900000000001</v>
      </c>
      <c r="H1112" s="10">
        <v>1266.8900000000001</v>
      </c>
    </row>
    <row r="1113" spans="1:8" ht="15" x14ac:dyDescent="0.2">
      <c r="A1113" s="6" t="s">
        <v>237</v>
      </c>
      <c r="B1113" s="6" t="s">
        <v>233</v>
      </c>
      <c r="C1113" s="6" t="s">
        <v>238</v>
      </c>
      <c r="D1113" s="278" t="str">
        <f>VLOOKUP(A:A,'Master Table'!C:D,2,FALSE)</f>
        <v>808</v>
      </c>
      <c r="E1113" s="312"/>
      <c r="F1113" s="8">
        <v>130</v>
      </c>
      <c r="G1113" s="9">
        <v>130</v>
      </c>
      <c r="H1113" s="10">
        <v>130</v>
      </c>
    </row>
    <row r="1114" spans="1:8" ht="15" x14ac:dyDescent="0.2">
      <c r="A1114" s="6" t="s">
        <v>239</v>
      </c>
      <c r="B1114" s="6" t="s">
        <v>233</v>
      </c>
      <c r="C1114" s="6" t="s">
        <v>240</v>
      </c>
      <c r="D1114" s="278" t="str">
        <f>VLOOKUP(A:A,'Master Table'!C:D,2,FALSE)</f>
        <v>809</v>
      </c>
      <c r="E1114" s="312"/>
      <c r="F1114" s="8">
        <v>744.17</v>
      </c>
      <c r="G1114" s="9">
        <v>30</v>
      </c>
      <c r="H1114" s="10">
        <v>70</v>
      </c>
    </row>
    <row r="1115" spans="1:8" ht="15" x14ac:dyDescent="0.2">
      <c r="A1115" s="6" t="s">
        <v>241</v>
      </c>
      <c r="B1115" s="6" t="s">
        <v>233</v>
      </c>
      <c r="C1115" s="6" t="s">
        <v>242</v>
      </c>
      <c r="D1115" s="278" t="str">
        <f>VLOOKUP(A:A,'Master Table'!C:D,2,FALSE)</f>
        <v>810</v>
      </c>
      <c r="E1115" s="312"/>
      <c r="F1115" s="8">
        <v>1230.19</v>
      </c>
      <c r="G1115" s="9">
        <v>180</v>
      </c>
      <c r="H1115" s="10">
        <v>1403.27</v>
      </c>
    </row>
    <row r="1116" spans="1:8" ht="15" x14ac:dyDescent="0.2">
      <c r="A1116" s="6" t="s">
        <v>243</v>
      </c>
      <c r="B1116" s="6" t="s">
        <v>233</v>
      </c>
      <c r="C1116" s="6" t="s">
        <v>244</v>
      </c>
      <c r="D1116" s="278" t="str">
        <f>VLOOKUP(A:A,'Master Table'!C:D,2,FALSE)</f>
        <v>812</v>
      </c>
      <c r="E1116" s="312"/>
      <c r="F1116" s="8">
        <v>1285.76</v>
      </c>
      <c r="G1116" s="9">
        <v>1297.6300000000001</v>
      </c>
      <c r="H1116" s="10">
        <v>1450.95</v>
      </c>
    </row>
    <row r="1117" spans="1:8" ht="15" x14ac:dyDescent="0.2">
      <c r="A1117" s="6" t="s">
        <v>245</v>
      </c>
      <c r="B1117" s="6" t="s">
        <v>233</v>
      </c>
      <c r="C1117" s="6" t="s">
        <v>246</v>
      </c>
      <c r="D1117" s="278" t="str">
        <f>VLOOKUP(A:A,'Master Table'!C:D,2,FALSE)</f>
        <v>813</v>
      </c>
      <c r="E1117" s="312"/>
      <c r="F1117" s="8">
        <v>1131.4299999999998</v>
      </c>
      <c r="G1117" s="9">
        <v>1003.93</v>
      </c>
      <c r="H1117" s="10">
        <v>790.39</v>
      </c>
    </row>
    <row r="1118" spans="1:8" ht="15" x14ac:dyDescent="0.2">
      <c r="A1118" s="6" t="s">
        <v>247</v>
      </c>
      <c r="B1118" s="6" t="s">
        <v>248</v>
      </c>
      <c r="C1118" s="6" t="s">
        <v>249</v>
      </c>
      <c r="D1118" s="278" t="str">
        <f>VLOOKUP(A:A,'Master Table'!C:D,2,FALSE)</f>
        <v>816</v>
      </c>
      <c r="E1118" s="312"/>
      <c r="F1118" s="8">
        <v>529.91999999999996</v>
      </c>
      <c r="G1118" s="9">
        <v>1899.41</v>
      </c>
      <c r="H1118" s="10">
        <v>1567.88</v>
      </c>
    </row>
    <row r="1119" spans="1:8" ht="15" x14ac:dyDescent="0.2">
      <c r="A1119" s="6" t="s">
        <v>250</v>
      </c>
      <c r="B1119" s="6" t="s">
        <v>251</v>
      </c>
      <c r="C1119" s="6" t="s">
        <v>252</v>
      </c>
      <c r="D1119" s="278" t="str">
        <f>VLOOKUP(A:A,'Master Table'!C:D,2,FALSE)</f>
        <v>817</v>
      </c>
      <c r="E1119" s="312"/>
      <c r="F1119" s="8">
        <v>1220.5700000000002</v>
      </c>
      <c r="G1119" s="9">
        <v>1175.8200000000002</v>
      </c>
      <c r="H1119" s="10">
        <v>780.28</v>
      </c>
    </row>
    <row r="1120" spans="1:8" ht="15" x14ac:dyDescent="0.2">
      <c r="A1120" s="6" t="s">
        <v>253</v>
      </c>
      <c r="B1120" s="6" t="s">
        <v>254</v>
      </c>
      <c r="C1120" s="6" t="s">
        <v>127</v>
      </c>
      <c r="D1120" s="278" t="str">
        <f>VLOOKUP(A:A,'Master Table'!C:D,2,FALSE)</f>
        <v>818</v>
      </c>
      <c r="E1120" s="312"/>
      <c r="F1120" s="8">
        <v>670</v>
      </c>
      <c r="G1120" s="9">
        <v>369</v>
      </c>
      <c r="H1120" s="10">
        <v>224</v>
      </c>
    </row>
    <row r="1121" spans="1:8" ht="15" x14ac:dyDescent="0.2">
      <c r="A1121" s="6" t="s">
        <v>255</v>
      </c>
      <c r="B1121" s="6" t="s">
        <v>256</v>
      </c>
      <c r="C1121" s="6" t="s">
        <v>257</v>
      </c>
      <c r="D1121" s="278" t="str">
        <f>VLOOKUP(A:A,'Master Table'!C:D,2,FALSE)</f>
        <v>819</v>
      </c>
      <c r="E1121" s="312"/>
      <c r="F1121" s="8">
        <v>750</v>
      </c>
      <c r="G1121" s="9">
        <v>780</v>
      </c>
      <c r="H1121" s="10">
        <v>679</v>
      </c>
    </row>
    <row r="1122" spans="1:8" ht="15" x14ac:dyDescent="0.2">
      <c r="A1122" s="6" t="s">
        <v>258</v>
      </c>
      <c r="B1122" s="6" t="s">
        <v>259</v>
      </c>
      <c r="C1122" s="6" t="s">
        <v>260</v>
      </c>
      <c r="D1122" s="278" t="str">
        <f>VLOOKUP(A:A,'Master Table'!C:D,2,FALSE)</f>
        <v>820</v>
      </c>
      <c r="E1122" s="312"/>
      <c r="F1122" s="8">
        <v>1398.4099999999999</v>
      </c>
      <c r="G1122" s="9">
        <v>854.15</v>
      </c>
      <c r="H1122" s="10">
        <v>799.75</v>
      </c>
    </row>
    <row r="1123" spans="1:8" ht="15" x14ac:dyDescent="0.2">
      <c r="A1123" s="6" t="s">
        <v>261</v>
      </c>
      <c r="B1123" s="6" t="s">
        <v>262</v>
      </c>
      <c r="C1123" s="6" t="s">
        <v>56</v>
      </c>
      <c r="D1123" s="278" t="str">
        <f>VLOOKUP(A:A,'Master Table'!C:D,2,FALSE)</f>
        <v>821</v>
      </c>
      <c r="E1123" s="312"/>
      <c r="F1123" s="8">
        <v>1871.12</v>
      </c>
      <c r="G1123" s="9">
        <v>1710.12</v>
      </c>
      <c r="H1123" s="10">
        <v>1703.05</v>
      </c>
    </row>
    <row r="1124" spans="1:8" ht="15" x14ac:dyDescent="0.2">
      <c r="A1124" s="6" t="s">
        <v>263</v>
      </c>
      <c r="B1124" s="6" t="s">
        <v>264</v>
      </c>
      <c r="C1124" s="6" t="s">
        <v>265</v>
      </c>
      <c r="D1124" s="278" t="str">
        <f>VLOOKUP(A:A,'Master Table'!C:D,2,FALSE)</f>
        <v>822</v>
      </c>
      <c r="E1124" s="312"/>
      <c r="F1124" s="8">
        <v>276</v>
      </c>
      <c r="G1124" s="9">
        <v>326</v>
      </c>
      <c r="H1124" s="10">
        <v>306</v>
      </c>
    </row>
    <row r="1125" spans="1:8" ht="15" x14ac:dyDescent="0.2">
      <c r="A1125" s="6" t="s">
        <v>266</v>
      </c>
      <c r="B1125" s="6" t="s">
        <v>267</v>
      </c>
      <c r="C1125" s="6" t="s">
        <v>164</v>
      </c>
      <c r="D1125" s="278" t="str">
        <f>VLOOKUP(A:A,'Master Table'!C:D,2,FALSE)</f>
        <v>823</v>
      </c>
      <c r="E1125" s="312"/>
      <c r="F1125" s="8">
        <v>1041.1500000000001</v>
      </c>
      <c r="G1125" s="9">
        <v>1083</v>
      </c>
      <c r="H1125" s="10">
        <v>1133</v>
      </c>
    </row>
    <row r="1126" spans="1:8" ht="15" x14ac:dyDescent="0.2">
      <c r="A1126" s="6" t="s">
        <v>268</v>
      </c>
      <c r="B1126" s="6" t="s">
        <v>269</v>
      </c>
      <c r="C1126" s="6" t="s">
        <v>270</v>
      </c>
      <c r="D1126" s="278" t="str">
        <f>VLOOKUP(A:A,'Master Table'!C:D,2,FALSE)</f>
        <v>824</v>
      </c>
      <c r="E1126" s="312"/>
      <c r="F1126" s="8">
        <v>1209.5999999999999</v>
      </c>
      <c r="G1126" s="9">
        <v>1625.62</v>
      </c>
      <c r="H1126" s="10">
        <v>1324.43</v>
      </c>
    </row>
    <row r="1127" spans="1:8" ht="15" x14ac:dyDescent="0.2">
      <c r="A1127" s="6" t="s">
        <v>271</v>
      </c>
      <c r="B1127" s="6" t="s">
        <v>272</v>
      </c>
      <c r="C1127" s="6" t="s">
        <v>273</v>
      </c>
      <c r="D1127" s="278" t="str">
        <f>VLOOKUP(A:A,'Master Table'!C:D,2,FALSE)</f>
        <v>825</v>
      </c>
      <c r="E1127" s="312"/>
      <c r="F1127" s="8">
        <v>531</v>
      </c>
      <c r="G1127" s="9">
        <v>717</v>
      </c>
      <c r="H1127" s="10">
        <v>690.34</v>
      </c>
    </row>
    <row r="1128" spans="1:8" ht="15" x14ac:dyDescent="0.2">
      <c r="A1128" s="6" t="s">
        <v>274</v>
      </c>
      <c r="B1128" s="6" t="s">
        <v>275</v>
      </c>
      <c r="C1128" s="6" t="s">
        <v>276</v>
      </c>
      <c r="D1128" s="278" t="str">
        <f>VLOOKUP(A:A,'Master Table'!C:D,2,FALSE)</f>
        <v>826</v>
      </c>
      <c r="E1128" s="312"/>
      <c r="F1128" s="8">
        <v>5151.58</v>
      </c>
      <c r="G1128" s="9">
        <v>7024.6399999999994</v>
      </c>
      <c r="H1128" s="10">
        <v>4079.92</v>
      </c>
    </row>
    <row r="1129" spans="1:8" ht="15" x14ac:dyDescent="0.2">
      <c r="A1129" s="6" t="s">
        <v>277</v>
      </c>
      <c r="B1129" s="6" t="s">
        <v>278</v>
      </c>
      <c r="C1129" s="6" t="s">
        <v>279</v>
      </c>
      <c r="D1129" s="278" t="str">
        <f>VLOOKUP(A:A,'Master Table'!C:D,2,FALSE)</f>
        <v>829</v>
      </c>
      <c r="E1129" s="312"/>
      <c r="F1129" s="8">
        <v>2070.1</v>
      </c>
      <c r="G1129" s="9">
        <v>2389.21</v>
      </c>
      <c r="H1129" s="10">
        <v>3017.79</v>
      </c>
    </row>
    <row r="1130" spans="1:8" ht="15" x14ac:dyDescent="0.2">
      <c r="A1130" s="6" t="s">
        <v>280</v>
      </c>
      <c r="B1130" s="6" t="s">
        <v>281</v>
      </c>
      <c r="C1130" s="6" t="s">
        <v>11</v>
      </c>
      <c r="D1130" s="278" t="str">
        <f>VLOOKUP(A:A,'Master Table'!C:D,2,FALSE)</f>
        <v>830</v>
      </c>
      <c r="E1130" s="312"/>
      <c r="F1130" s="8">
        <v>2071</v>
      </c>
      <c r="G1130" s="9">
        <v>3179.0299999999997</v>
      </c>
      <c r="H1130" s="10">
        <v>1402.8400000000001</v>
      </c>
    </row>
    <row r="1131" spans="1:8" ht="15" x14ac:dyDescent="0.2">
      <c r="A1131" s="6" t="s">
        <v>282</v>
      </c>
      <c r="B1131" s="6" t="s">
        <v>283</v>
      </c>
      <c r="C1131" s="6" t="s">
        <v>284</v>
      </c>
      <c r="D1131" s="278" t="str">
        <f>VLOOKUP(A:A,'Master Table'!C:D,2,FALSE)</f>
        <v>831</v>
      </c>
      <c r="E1131" s="312"/>
      <c r="F1131" s="8">
        <v>2861.22</v>
      </c>
      <c r="G1131" s="9">
        <v>2368.4</v>
      </c>
      <c r="H1131" s="10">
        <v>2121.54</v>
      </c>
    </row>
    <row r="1132" spans="1:8" ht="15" x14ac:dyDescent="0.2">
      <c r="A1132" s="6" t="s">
        <v>285</v>
      </c>
      <c r="B1132" s="6" t="s">
        <v>286</v>
      </c>
      <c r="C1132" s="6" t="s">
        <v>31</v>
      </c>
      <c r="D1132" s="278" t="str">
        <f>VLOOKUP(A:A,'Master Table'!C:D,2,FALSE)</f>
        <v>832</v>
      </c>
      <c r="E1132" s="312"/>
      <c r="F1132" s="8">
        <v>1086.9100000000001</v>
      </c>
      <c r="G1132" s="9">
        <v>1026.3800000000001</v>
      </c>
      <c r="H1132" s="10">
        <v>839.02</v>
      </c>
    </row>
    <row r="1133" spans="1:8" ht="15" x14ac:dyDescent="0.2">
      <c r="A1133" s="6" t="s">
        <v>287</v>
      </c>
      <c r="B1133" s="6" t="s">
        <v>288</v>
      </c>
      <c r="C1133" s="6" t="s">
        <v>289</v>
      </c>
      <c r="D1133" s="278" t="str">
        <f>VLOOKUP(A:A,'Master Table'!C:D,2,FALSE)</f>
        <v>833</v>
      </c>
      <c r="E1133" s="312"/>
      <c r="F1133" s="8">
        <v>1878.84</v>
      </c>
      <c r="G1133" s="9">
        <v>0</v>
      </c>
      <c r="H1133" s="10">
        <v>549.96</v>
      </c>
    </row>
    <row r="1134" spans="1:8" ht="15" x14ac:dyDescent="0.2">
      <c r="A1134" s="6" t="s">
        <v>290</v>
      </c>
      <c r="B1134" s="6" t="s">
        <v>286</v>
      </c>
      <c r="C1134" s="6" t="s">
        <v>291</v>
      </c>
      <c r="D1134" s="278" t="str">
        <f>VLOOKUP(A:A,'Master Table'!C:D,2,FALSE)</f>
        <v>834</v>
      </c>
      <c r="E1134" s="312"/>
      <c r="F1134" s="8">
        <v>240</v>
      </c>
      <c r="G1134" s="9">
        <v>230</v>
      </c>
      <c r="H1134" s="10">
        <v>151</v>
      </c>
    </row>
    <row r="1135" spans="1:8" ht="15" x14ac:dyDescent="0.2">
      <c r="A1135" s="6" t="s">
        <v>292</v>
      </c>
      <c r="B1135" s="6" t="s">
        <v>293</v>
      </c>
      <c r="C1135" s="6" t="s">
        <v>294</v>
      </c>
      <c r="D1135" s="278" t="str">
        <f>VLOOKUP(A:A,'Master Table'!C:D,2,FALSE)</f>
        <v>835</v>
      </c>
      <c r="E1135" s="312"/>
      <c r="F1135" s="8">
        <v>524.55999999999995</v>
      </c>
      <c r="G1135" s="9">
        <v>329.39</v>
      </c>
      <c r="H1135" s="10">
        <v>261.3</v>
      </c>
    </row>
    <row r="1136" spans="1:8" ht="15" x14ac:dyDescent="0.2">
      <c r="A1136" s="6" t="s">
        <v>295</v>
      </c>
      <c r="B1136" s="6" t="s">
        <v>296</v>
      </c>
      <c r="C1136" s="6" t="s">
        <v>297</v>
      </c>
      <c r="D1136" s="278" t="str">
        <f>VLOOKUP(A:A,'Master Table'!C:D,2,FALSE)</f>
        <v>836</v>
      </c>
      <c r="E1136" s="312"/>
      <c r="F1136" s="8">
        <v>2553.75</v>
      </c>
      <c r="G1136" s="9">
        <v>1501.5</v>
      </c>
      <c r="H1136" s="10">
        <v>1687.93</v>
      </c>
    </row>
    <row r="1137" spans="1:8" ht="15" x14ac:dyDescent="0.2">
      <c r="A1137" s="6" t="s">
        <v>298</v>
      </c>
      <c r="B1137" s="6" t="s">
        <v>286</v>
      </c>
      <c r="C1137" s="6" t="s">
        <v>299</v>
      </c>
      <c r="D1137" s="278" t="str">
        <f>VLOOKUP(A:A,'Master Table'!C:D,2,FALSE)</f>
        <v>837</v>
      </c>
      <c r="E1137" s="312"/>
      <c r="F1137" s="8">
        <v>0</v>
      </c>
      <c r="G1137" s="9">
        <v>270.82</v>
      </c>
      <c r="H1137" s="10">
        <v>235.75</v>
      </c>
    </row>
    <row r="1138" spans="1:8" ht="15" x14ac:dyDescent="0.2">
      <c r="A1138" s="6" t="s">
        <v>300</v>
      </c>
      <c r="B1138" s="6" t="s">
        <v>110</v>
      </c>
      <c r="C1138" s="6" t="s">
        <v>301</v>
      </c>
      <c r="D1138" s="278" t="str">
        <f>VLOOKUP(A:A,'Master Table'!C:D,2,FALSE)</f>
        <v>227372</v>
      </c>
      <c r="E1138" s="312"/>
      <c r="F1138" s="8">
        <v>1076.1099999999999</v>
      </c>
      <c r="G1138" s="9">
        <v>1136.6400000000001</v>
      </c>
      <c r="H1138" s="10">
        <v>1210.3600000000001</v>
      </c>
    </row>
    <row r="1139" spans="1:8" ht="15" x14ac:dyDescent="0.2">
      <c r="A1139" s="6" t="s">
        <v>302</v>
      </c>
      <c r="B1139" s="6" t="s">
        <v>286</v>
      </c>
      <c r="C1139" s="6" t="s">
        <v>303</v>
      </c>
      <c r="D1139" s="278" t="str">
        <f>VLOOKUP(A:A,'Master Table'!C:D,2,FALSE)</f>
        <v>227468</v>
      </c>
      <c r="E1139" s="312"/>
      <c r="F1139" s="8">
        <v>115.07</v>
      </c>
      <c r="G1139" s="9">
        <v>0</v>
      </c>
      <c r="H1139" s="10">
        <v>79.100000000000009</v>
      </c>
    </row>
    <row r="1140" spans="1:8" ht="15" x14ac:dyDescent="0.2">
      <c r="A1140" s="346" t="s">
        <v>304</v>
      </c>
      <c r="B1140" s="6"/>
      <c r="C1140" s="6" t="s">
        <v>305</v>
      </c>
      <c r="D1140" s="343" t="e">
        <f>VLOOKUP(A:A,'Master Table'!C:D,2,FALSE)</f>
        <v>#N/A</v>
      </c>
      <c r="E1140" s="312"/>
      <c r="F1140" s="8">
        <v>903.58</v>
      </c>
      <c r="G1140" s="9">
        <v>1259.51</v>
      </c>
      <c r="H1140" s="10">
        <v>1744.04</v>
      </c>
    </row>
    <row r="1141" spans="1:8" ht="15" x14ac:dyDescent="0.2">
      <c r="A1141" s="346" t="s">
        <v>306</v>
      </c>
      <c r="B1141" s="6"/>
      <c r="C1141" s="6"/>
      <c r="D1141" s="343" t="e">
        <f>VLOOKUP(A:A,'Master Table'!C:D,2,FALSE)</f>
        <v>#N/A</v>
      </c>
      <c r="E1141" s="312"/>
      <c r="F1141" s="8">
        <v>0</v>
      </c>
      <c r="G1141" s="9">
        <v>77.5</v>
      </c>
      <c r="H1141" s="10"/>
    </row>
    <row r="1142" spans="1:8" ht="15.75" x14ac:dyDescent="0.2">
      <c r="A1142" s="13" t="s">
        <v>307</v>
      </c>
      <c r="B1142" s="14"/>
      <c r="C1142" s="14"/>
      <c r="D1142" s="313"/>
      <c r="E1142" s="313"/>
      <c r="F1142" s="16">
        <v>155522.82000000004</v>
      </c>
      <c r="G1142" s="16">
        <v>152081.07000000004</v>
      </c>
      <c r="H1142" s="17">
        <v>151869.59999999998</v>
      </c>
    </row>
    <row r="1143" spans="1:8" s="62" customFormat="1" x14ac:dyDescent="0.2">
      <c r="A1143" s="60" t="s">
        <v>7262</v>
      </c>
      <c r="B1143" s="60"/>
      <c r="C1143" s="60"/>
      <c r="D1143" s="275"/>
      <c r="E1143" s="275"/>
      <c r="F1143" s="61"/>
      <c r="G1143" s="61"/>
      <c r="H1143" s="60"/>
    </row>
    <row r="1144" spans="1:8" ht="20.25" x14ac:dyDescent="0.2">
      <c r="A1144" s="248" t="s">
        <v>7808</v>
      </c>
      <c r="B1144" s="248"/>
      <c r="C1144" s="248"/>
      <c r="D1144" s="289"/>
      <c r="E1144" s="289"/>
      <c r="F1144" s="248"/>
      <c r="G1144" s="248"/>
      <c r="H1144" s="86"/>
    </row>
    <row r="1145" spans="1:8" ht="15.75" x14ac:dyDescent="0.2">
      <c r="A1145" s="203" t="s">
        <v>1</v>
      </c>
      <c r="B1145" s="191" t="s">
        <v>7809</v>
      </c>
      <c r="C1145" s="191" t="s">
        <v>3</v>
      </c>
      <c r="D1145" s="277" t="s">
        <v>8165</v>
      </c>
      <c r="E1145" s="290">
        <f>E3</f>
        <v>2019</v>
      </c>
      <c r="F1145" s="4">
        <v>2018</v>
      </c>
      <c r="G1145" s="4">
        <v>2017</v>
      </c>
      <c r="H1145" s="204" t="s">
        <v>7178</v>
      </c>
    </row>
    <row r="1146" spans="1:8" ht="15" x14ac:dyDescent="0.2">
      <c r="A1146" s="205" t="s">
        <v>5056</v>
      </c>
      <c r="B1146" s="89" t="s">
        <v>5059</v>
      </c>
      <c r="C1146" s="89" t="s">
        <v>7810</v>
      </c>
      <c r="D1146" s="278" t="str">
        <f>VLOOKUP(A:A,'Master Table'!C:D,2,FALSE)</f>
        <v>1053</v>
      </c>
      <c r="E1146" s="307"/>
      <c r="F1146" s="207">
        <v>2010.95</v>
      </c>
      <c r="G1146" s="208">
        <v>1873.36</v>
      </c>
      <c r="H1146" s="92">
        <v>1842.8400000000001</v>
      </c>
    </row>
    <row r="1147" spans="1:8" ht="15" x14ac:dyDescent="0.2">
      <c r="A1147" s="205" t="s">
        <v>5061</v>
      </c>
      <c r="B1147" s="89" t="s">
        <v>5059</v>
      </c>
      <c r="C1147" s="89" t="s">
        <v>5063</v>
      </c>
      <c r="D1147" s="278" t="str">
        <f>VLOOKUP(A:A,'Master Table'!C:D,2,FALSE)</f>
        <v>1054</v>
      </c>
      <c r="E1147" s="307"/>
      <c r="F1147" s="207">
        <v>801</v>
      </c>
      <c r="G1147" s="208">
        <v>926.98</v>
      </c>
      <c r="H1147" s="92">
        <v>942.05000000000007</v>
      </c>
    </row>
    <row r="1148" spans="1:8" ht="15" x14ac:dyDescent="0.2">
      <c r="A1148" s="205" t="s">
        <v>5064</v>
      </c>
      <c r="B1148" s="89" t="s">
        <v>5059</v>
      </c>
      <c r="C1148" s="89" t="s">
        <v>5066</v>
      </c>
      <c r="D1148" s="278" t="str">
        <f>VLOOKUP(A:A,'Master Table'!C:D,2,FALSE)</f>
        <v>1055</v>
      </c>
      <c r="E1148" s="307"/>
      <c r="F1148" s="207">
        <v>799.45</v>
      </c>
      <c r="G1148" s="208">
        <v>759.72</v>
      </c>
      <c r="H1148" s="92">
        <v>957.30000000000007</v>
      </c>
    </row>
    <row r="1149" spans="1:8" ht="15" x14ac:dyDescent="0.2">
      <c r="A1149" s="205" t="s">
        <v>5067</v>
      </c>
      <c r="B1149" s="89" t="s">
        <v>5070</v>
      </c>
      <c r="C1149" s="89" t="s">
        <v>5069</v>
      </c>
      <c r="D1149" s="278" t="str">
        <f>VLOOKUP(A:A,'Master Table'!C:D,2,FALSE)</f>
        <v>1056</v>
      </c>
      <c r="E1149" s="307"/>
      <c r="F1149" s="207">
        <v>570.45000000000005</v>
      </c>
      <c r="G1149" s="208">
        <v>630.79999999999995</v>
      </c>
      <c r="H1149" s="92">
        <v>1328</v>
      </c>
    </row>
    <row r="1150" spans="1:8" ht="15" x14ac:dyDescent="0.2">
      <c r="A1150" s="205" t="s">
        <v>5072</v>
      </c>
      <c r="B1150" s="89" t="s">
        <v>5075</v>
      </c>
      <c r="C1150" s="89" t="s">
        <v>5074</v>
      </c>
      <c r="D1150" s="278" t="str">
        <f>VLOOKUP(A:A,'Master Table'!C:D,2,FALSE)</f>
        <v>1057</v>
      </c>
      <c r="E1150" s="307"/>
      <c r="F1150" s="207">
        <v>3561.3799999999997</v>
      </c>
      <c r="G1150" s="208">
        <v>3535.8199999999993</v>
      </c>
      <c r="H1150" s="92">
        <v>1353.79</v>
      </c>
    </row>
    <row r="1151" spans="1:8" ht="15" x14ac:dyDescent="0.2">
      <c r="A1151" s="205" t="s">
        <v>5077</v>
      </c>
      <c r="B1151" s="89" t="s">
        <v>5080</v>
      </c>
      <c r="C1151" s="89" t="s">
        <v>5079</v>
      </c>
      <c r="D1151" s="278" t="str">
        <f>VLOOKUP(A:A,'Master Table'!C:D,2,FALSE)</f>
        <v>1059</v>
      </c>
      <c r="E1151" s="307"/>
      <c r="F1151" s="207">
        <v>4284.17</v>
      </c>
      <c r="G1151" s="208">
        <v>3796</v>
      </c>
      <c r="H1151" s="92">
        <v>3649</v>
      </c>
    </row>
    <row r="1152" spans="1:8" ht="15" x14ac:dyDescent="0.2">
      <c r="A1152" s="205" t="s">
        <v>5082</v>
      </c>
      <c r="B1152" s="89" t="s">
        <v>5080</v>
      </c>
      <c r="C1152" s="89" t="s">
        <v>246</v>
      </c>
      <c r="D1152" s="278" t="str">
        <f>VLOOKUP(A:A,'Master Table'!C:D,2,FALSE)</f>
        <v>1061</v>
      </c>
      <c r="E1152" s="307"/>
      <c r="F1152" s="207">
        <v>6549.86</v>
      </c>
      <c r="G1152" s="208">
        <v>7772.9299999999994</v>
      </c>
      <c r="H1152" s="92">
        <v>7461.56</v>
      </c>
    </row>
    <row r="1153" spans="1:8" ht="15" x14ac:dyDescent="0.2">
      <c r="A1153" s="205" t="s">
        <v>5084</v>
      </c>
      <c r="B1153" s="89" t="s">
        <v>5087</v>
      </c>
      <c r="C1153" s="89" t="s">
        <v>740</v>
      </c>
      <c r="D1153" s="278" t="str">
        <f>VLOOKUP(A:A,'Master Table'!C:D,2,FALSE)</f>
        <v>1062</v>
      </c>
      <c r="E1153" s="307"/>
      <c r="F1153" s="207">
        <v>401.64</v>
      </c>
      <c r="G1153" s="208">
        <v>503.66</v>
      </c>
      <c r="H1153" s="92">
        <v>423.46000000000004</v>
      </c>
    </row>
    <row r="1154" spans="1:8" ht="15" x14ac:dyDescent="0.2">
      <c r="A1154" s="205" t="s">
        <v>5089</v>
      </c>
      <c r="B1154" s="89" t="s">
        <v>5092</v>
      </c>
      <c r="C1154" s="89" t="s">
        <v>5091</v>
      </c>
      <c r="D1154" s="278" t="str">
        <f>VLOOKUP(A:A,'Master Table'!C:D,2,FALSE)</f>
        <v>1063</v>
      </c>
      <c r="E1154" s="307"/>
      <c r="F1154" s="207">
        <v>1869.1200000000001</v>
      </c>
      <c r="G1154" s="208">
        <v>1900.3400000000001</v>
      </c>
      <c r="H1154" s="92">
        <v>1914.13</v>
      </c>
    </row>
    <row r="1155" spans="1:8" ht="15" x14ac:dyDescent="0.2">
      <c r="A1155" s="205" t="s">
        <v>5093</v>
      </c>
      <c r="B1155" s="89" t="s">
        <v>5096</v>
      </c>
      <c r="C1155" s="89" t="s">
        <v>5095</v>
      </c>
      <c r="D1155" s="278" t="str">
        <f>VLOOKUP(A:A,'Master Table'!C:D,2,FALSE)</f>
        <v>1065</v>
      </c>
      <c r="E1155" s="307"/>
      <c r="F1155" s="207">
        <v>701.87</v>
      </c>
      <c r="G1155" s="208">
        <v>647.95000000000005</v>
      </c>
      <c r="H1155" s="92">
        <v>776.9</v>
      </c>
    </row>
    <row r="1156" spans="1:8" ht="15" x14ac:dyDescent="0.2">
      <c r="A1156" s="205" t="s">
        <v>5097</v>
      </c>
      <c r="B1156" s="89" t="s">
        <v>5096</v>
      </c>
      <c r="C1156" s="89" t="s">
        <v>7811</v>
      </c>
      <c r="D1156" s="278" t="str">
        <f>VLOOKUP(A:A,'Master Table'!C:D,2,FALSE)</f>
        <v>1066</v>
      </c>
      <c r="E1156" s="307"/>
      <c r="F1156" s="207">
        <v>690.43</v>
      </c>
      <c r="G1156" s="208">
        <v>747.64</v>
      </c>
      <c r="H1156" s="92">
        <v>970.18000000000006</v>
      </c>
    </row>
    <row r="1157" spans="1:8" ht="15" x14ac:dyDescent="0.2">
      <c r="A1157" s="205" t="s">
        <v>5100</v>
      </c>
      <c r="B1157" s="89" t="s">
        <v>5096</v>
      </c>
      <c r="C1157" s="89" t="s">
        <v>839</v>
      </c>
      <c r="D1157" s="278" t="str">
        <f>VLOOKUP(A:A,'Master Table'!C:D,2,FALSE)</f>
        <v>1067</v>
      </c>
      <c r="E1157" s="307"/>
      <c r="F1157" s="207">
        <v>2794.3</v>
      </c>
      <c r="G1157" s="208">
        <v>2299.54</v>
      </c>
      <c r="H1157" s="92">
        <v>1276.92</v>
      </c>
    </row>
    <row r="1158" spans="1:8" ht="15" x14ac:dyDescent="0.2">
      <c r="A1158" s="205" t="s">
        <v>5103</v>
      </c>
      <c r="B1158" s="89" t="s">
        <v>5096</v>
      </c>
      <c r="C1158" s="89" t="s">
        <v>532</v>
      </c>
      <c r="D1158" s="278" t="str">
        <f>VLOOKUP(A:A,'Master Table'!C:D,2,FALSE)</f>
        <v>1068</v>
      </c>
      <c r="E1158" s="307"/>
      <c r="F1158" s="207">
        <v>794.59</v>
      </c>
      <c r="G1158" s="208">
        <v>643.49</v>
      </c>
      <c r="H1158" s="92">
        <v>729.86</v>
      </c>
    </row>
    <row r="1159" spans="1:8" ht="15" x14ac:dyDescent="0.2">
      <c r="A1159" s="205" t="s">
        <v>5106</v>
      </c>
      <c r="B1159" s="89" t="s">
        <v>5096</v>
      </c>
      <c r="C1159" s="89" t="s">
        <v>5108</v>
      </c>
      <c r="D1159" s="278" t="str">
        <f>VLOOKUP(A:A,'Master Table'!C:D,2,FALSE)</f>
        <v>1070</v>
      </c>
      <c r="E1159" s="307"/>
      <c r="F1159" s="207">
        <v>263</v>
      </c>
      <c r="G1159" s="208">
        <v>670.65</v>
      </c>
      <c r="H1159" s="92">
        <v>382.5</v>
      </c>
    </row>
    <row r="1160" spans="1:8" ht="15" x14ac:dyDescent="0.2">
      <c r="A1160" s="205" t="s">
        <v>5109</v>
      </c>
      <c r="B1160" s="89" t="s">
        <v>5096</v>
      </c>
      <c r="C1160" s="89" t="s">
        <v>2667</v>
      </c>
      <c r="D1160" s="278" t="str">
        <f>VLOOKUP(A:A,'Master Table'!C:D,2,FALSE)</f>
        <v>1071</v>
      </c>
      <c r="E1160" s="307"/>
      <c r="F1160" s="207">
        <v>209</v>
      </c>
      <c r="G1160" s="208">
        <v>295.60000000000002</v>
      </c>
      <c r="H1160" s="92">
        <v>346</v>
      </c>
    </row>
    <row r="1161" spans="1:8" ht="15" x14ac:dyDescent="0.2">
      <c r="A1161" s="205" t="s">
        <v>5115</v>
      </c>
      <c r="B1161" s="89" t="s">
        <v>5096</v>
      </c>
      <c r="C1161" s="89" t="s">
        <v>5117</v>
      </c>
      <c r="D1161" s="278" t="str">
        <f>VLOOKUP(A:A,'Master Table'!C:D,2,FALSE)</f>
        <v>1073</v>
      </c>
      <c r="E1161" s="307"/>
      <c r="F1161" s="207">
        <v>286.21000000000004</v>
      </c>
      <c r="G1161" s="208">
        <v>341.25</v>
      </c>
      <c r="H1161" s="92">
        <v>269.49</v>
      </c>
    </row>
    <row r="1162" spans="1:8" ht="15" x14ac:dyDescent="0.2">
      <c r="A1162" s="205" t="s">
        <v>5118</v>
      </c>
      <c r="B1162" s="89" t="s">
        <v>5120</v>
      </c>
      <c r="C1162" s="89" t="s">
        <v>476</v>
      </c>
      <c r="D1162" s="278" t="str">
        <f>VLOOKUP(A:A,'Master Table'!C:D,2,FALSE)</f>
        <v>1074</v>
      </c>
      <c r="E1162" s="307"/>
      <c r="F1162" s="207">
        <v>1206</v>
      </c>
      <c r="G1162" s="208">
        <v>530</v>
      </c>
      <c r="H1162" s="92">
        <v>525</v>
      </c>
    </row>
    <row r="1163" spans="1:8" ht="15" x14ac:dyDescent="0.2">
      <c r="A1163" s="205" t="s">
        <v>5121</v>
      </c>
      <c r="B1163" s="89" t="s">
        <v>5123</v>
      </c>
      <c r="C1163" s="89" t="s">
        <v>246</v>
      </c>
      <c r="D1163" s="278" t="str">
        <f>VLOOKUP(A:A,'Master Table'!C:D,2,FALSE)</f>
        <v>1075</v>
      </c>
      <c r="E1163" s="307"/>
      <c r="F1163" s="207">
        <v>1406</v>
      </c>
      <c r="G1163" s="208">
        <v>1469</v>
      </c>
      <c r="H1163" s="92">
        <v>1493</v>
      </c>
    </row>
    <row r="1164" spans="1:8" ht="15" x14ac:dyDescent="0.2">
      <c r="A1164" s="205" t="s">
        <v>5124</v>
      </c>
      <c r="B1164" s="89" t="s">
        <v>5126</v>
      </c>
      <c r="C1164" s="89" t="s">
        <v>164</v>
      </c>
      <c r="D1164" s="278" t="str">
        <f>VLOOKUP(A:A,'Master Table'!C:D,2,FALSE)</f>
        <v>1076</v>
      </c>
      <c r="E1164" s="307"/>
      <c r="F1164" s="207">
        <v>1048.93</v>
      </c>
      <c r="G1164" s="208">
        <v>986.56000000000006</v>
      </c>
      <c r="H1164" s="92">
        <v>694.56000000000006</v>
      </c>
    </row>
    <row r="1165" spans="1:8" ht="15" x14ac:dyDescent="0.2">
      <c r="A1165" s="205" t="s">
        <v>5128</v>
      </c>
      <c r="B1165" s="89" t="s">
        <v>5130</v>
      </c>
      <c r="C1165" s="89" t="s">
        <v>916</v>
      </c>
      <c r="D1165" s="278" t="str">
        <f>VLOOKUP(A:A,'Master Table'!C:D,2,FALSE)</f>
        <v>1077</v>
      </c>
      <c r="E1165" s="307"/>
      <c r="F1165" s="207">
        <v>2286.56</v>
      </c>
      <c r="G1165" s="208">
        <v>1695.22</v>
      </c>
      <c r="H1165" s="92">
        <v>1651.47</v>
      </c>
    </row>
    <row r="1166" spans="1:8" ht="15" x14ac:dyDescent="0.2">
      <c r="A1166" s="205" t="s">
        <v>5131</v>
      </c>
      <c r="B1166" s="89" t="s">
        <v>7812</v>
      </c>
      <c r="C1166" s="89" t="s">
        <v>5133</v>
      </c>
      <c r="D1166" s="278" t="str">
        <f>VLOOKUP(A:A,'Master Table'!C:D,2,FALSE)</f>
        <v>1078</v>
      </c>
      <c r="E1166" s="307"/>
      <c r="F1166" s="207">
        <v>1925.18</v>
      </c>
      <c r="G1166" s="208">
        <v>2484.2800000000002</v>
      </c>
      <c r="H1166" s="92">
        <v>3066.37</v>
      </c>
    </row>
    <row r="1167" spans="1:8" ht="15" x14ac:dyDescent="0.2">
      <c r="A1167" s="205" t="s">
        <v>5136</v>
      </c>
      <c r="B1167" s="89" t="s">
        <v>1128</v>
      </c>
      <c r="C1167" s="89" t="s">
        <v>5138</v>
      </c>
      <c r="D1167" s="278" t="str">
        <f>VLOOKUP(A:A,'Master Table'!C:D,2,FALSE)</f>
        <v>1079</v>
      </c>
      <c r="E1167" s="307"/>
      <c r="F1167" s="207">
        <v>416.94</v>
      </c>
      <c r="G1167" s="208">
        <v>396</v>
      </c>
      <c r="H1167" s="92">
        <v>426</v>
      </c>
    </row>
    <row r="1168" spans="1:8" ht="15" x14ac:dyDescent="0.2">
      <c r="A1168" s="205" t="s">
        <v>5139</v>
      </c>
      <c r="B1168" s="89" t="s">
        <v>1128</v>
      </c>
      <c r="C1168" s="89" t="s">
        <v>5141</v>
      </c>
      <c r="D1168" s="278" t="str">
        <f>VLOOKUP(A:A,'Master Table'!C:D,2,FALSE)</f>
        <v>1080</v>
      </c>
      <c r="E1168" s="307"/>
      <c r="F1168" s="207">
        <v>1281.33</v>
      </c>
      <c r="G1168" s="208">
        <v>1855.3</v>
      </c>
      <c r="H1168" s="92">
        <v>813.5</v>
      </c>
    </row>
    <row r="1169" spans="1:8" ht="15" x14ac:dyDescent="0.2">
      <c r="A1169" s="205" t="s">
        <v>5143</v>
      </c>
      <c r="B1169" s="89" t="s">
        <v>5146</v>
      </c>
      <c r="C1169" s="89" t="s">
        <v>5145</v>
      </c>
      <c r="D1169" s="278" t="str">
        <f>VLOOKUP(A:A,'Master Table'!C:D,2,FALSE)</f>
        <v>1081</v>
      </c>
      <c r="E1169" s="307"/>
      <c r="F1169" s="207">
        <v>1978.86</v>
      </c>
      <c r="G1169" s="208">
        <v>2126.81</v>
      </c>
      <c r="H1169" s="92">
        <v>2113.2600000000002</v>
      </c>
    </row>
    <row r="1170" spans="1:8" ht="15" x14ac:dyDescent="0.2">
      <c r="A1170" s="205" t="s">
        <v>5148</v>
      </c>
      <c r="B1170" s="89" t="s">
        <v>5146</v>
      </c>
      <c r="C1170" s="89" t="s">
        <v>301</v>
      </c>
      <c r="D1170" s="278" t="str">
        <f>VLOOKUP(A:A,'Master Table'!C:D,2,FALSE)</f>
        <v>1082</v>
      </c>
      <c r="E1170" s="307"/>
      <c r="F1170" s="207">
        <v>844.47</v>
      </c>
      <c r="G1170" s="208">
        <v>1697.4</v>
      </c>
      <c r="H1170" s="92">
        <v>1734</v>
      </c>
    </row>
    <row r="1171" spans="1:8" ht="15" x14ac:dyDescent="0.2">
      <c r="A1171" s="205" t="s">
        <v>5150</v>
      </c>
      <c r="B1171" s="89" t="s">
        <v>5146</v>
      </c>
      <c r="C1171" s="89" t="s">
        <v>5152</v>
      </c>
      <c r="D1171" s="278" t="str">
        <f>VLOOKUP(A:A,'Master Table'!C:D,2,FALSE)</f>
        <v>1083</v>
      </c>
      <c r="E1171" s="307"/>
      <c r="F1171" s="207">
        <v>0</v>
      </c>
      <c r="G1171" s="208">
        <v>0</v>
      </c>
      <c r="H1171" s="92">
        <v>200</v>
      </c>
    </row>
    <row r="1172" spans="1:8" ht="15" x14ac:dyDescent="0.2">
      <c r="A1172" s="205" t="s">
        <v>5153</v>
      </c>
      <c r="B1172" s="89" t="s">
        <v>5146</v>
      </c>
      <c r="C1172" s="89" t="s">
        <v>5155</v>
      </c>
      <c r="D1172" s="278" t="str">
        <f>VLOOKUP(A:A,'Master Table'!C:D,2,FALSE)</f>
        <v>1084</v>
      </c>
      <c r="E1172" s="307"/>
      <c r="F1172" s="207">
        <v>422.19</v>
      </c>
      <c r="G1172" s="208">
        <v>589.66</v>
      </c>
      <c r="H1172" s="92">
        <v>437.33</v>
      </c>
    </row>
    <row r="1173" spans="1:8" ht="15" x14ac:dyDescent="0.2">
      <c r="A1173" s="205" t="s">
        <v>5156</v>
      </c>
      <c r="B1173" s="89" t="s">
        <v>5146</v>
      </c>
      <c r="C1173" s="89" t="s">
        <v>5158</v>
      </c>
      <c r="D1173" s="278" t="str">
        <f>VLOOKUP(A:A,'Master Table'!C:D,2,FALSE)</f>
        <v>1085</v>
      </c>
      <c r="E1173" s="307"/>
      <c r="F1173" s="207">
        <v>3315.7300000000005</v>
      </c>
      <c r="G1173" s="208">
        <v>2730.6899999999996</v>
      </c>
      <c r="H1173" s="92">
        <v>2583.69</v>
      </c>
    </row>
    <row r="1174" spans="1:8" ht="15" x14ac:dyDescent="0.2">
      <c r="A1174" s="205" t="s">
        <v>5163</v>
      </c>
      <c r="B1174" s="89" t="s">
        <v>5166</v>
      </c>
      <c r="C1174" s="89" t="s">
        <v>7813</v>
      </c>
      <c r="D1174" s="278" t="str">
        <f>VLOOKUP(A:A,'Master Table'!C:D,2,FALSE)</f>
        <v>1086</v>
      </c>
      <c r="E1174" s="307"/>
      <c r="F1174" s="207">
        <v>552.06999999999994</v>
      </c>
      <c r="G1174" s="208">
        <v>597.52</v>
      </c>
      <c r="H1174" s="92">
        <v>679.38</v>
      </c>
    </row>
    <row r="1175" spans="1:8" ht="15" x14ac:dyDescent="0.2">
      <c r="A1175" s="205" t="s">
        <v>5171</v>
      </c>
      <c r="B1175" s="89" t="s">
        <v>5173</v>
      </c>
      <c r="C1175" s="89" t="s">
        <v>226</v>
      </c>
      <c r="D1175" s="278" t="str">
        <f>VLOOKUP(A:A,'Master Table'!C:D,2,FALSE)</f>
        <v>1087</v>
      </c>
      <c r="E1175" s="307"/>
      <c r="F1175" s="207">
        <v>1477.58</v>
      </c>
      <c r="G1175" s="208">
        <v>1177.44</v>
      </c>
      <c r="H1175" s="92">
        <v>1025</v>
      </c>
    </row>
    <row r="1176" spans="1:8" ht="15" x14ac:dyDescent="0.2">
      <c r="A1176" s="205" t="s">
        <v>5174</v>
      </c>
      <c r="B1176" s="89" t="s">
        <v>5177</v>
      </c>
      <c r="C1176" s="89" t="s">
        <v>5176</v>
      </c>
      <c r="D1176" s="278" t="str">
        <f>VLOOKUP(A:A,'Master Table'!C:D,2,FALSE)</f>
        <v>1088</v>
      </c>
      <c r="E1176" s="307"/>
      <c r="F1176" s="207">
        <v>1894.27</v>
      </c>
      <c r="G1176" s="208">
        <v>2057.83</v>
      </c>
      <c r="H1176" s="92">
        <v>1564.57</v>
      </c>
    </row>
    <row r="1177" spans="1:8" ht="15" x14ac:dyDescent="0.2">
      <c r="A1177" s="205" t="s">
        <v>5178</v>
      </c>
      <c r="B1177" s="89" t="s">
        <v>5180</v>
      </c>
      <c r="C1177" s="89" t="s">
        <v>226</v>
      </c>
      <c r="D1177" s="278" t="str">
        <f>VLOOKUP(A:A,'Master Table'!C:D,2,FALSE)</f>
        <v>1089</v>
      </c>
      <c r="E1177" s="307"/>
      <c r="F1177" s="207">
        <v>1044.49</v>
      </c>
      <c r="G1177" s="208">
        <v>1224.22</v>
      </c>
      <c r="H1177" s="92">
        <v>881.15</v>
      </c>
    </row>
    <row r="1178" spans="1:8" ht="15" x14ac:dyDescent="0.2">
      <c r="A1178" s="205" t="s">
        <v>5181</v>
      </c>
      <c r="B1178" s="89" t="s">
        <v>5183</v>
      </c>
      <c r="C1178" s="89" t="s">
        <v>1489</v>
      </c>
      <c r="D1178" s="278" t="str">
        <f>VLOOKUP(A:A,'Master Table'!C:D,2,FALSE)</f>
        <v>1090</v>
      </c>
      <c r="E1178" s="307"/>
      <c r="F1178" s="207">
        <v>40</v>
      </c>
      <c r="G1178" s="208">
        <v>43</v>
      </c>
      <c r="H1178" s="92">
        <v>189.13</v>
      </c>
    </row>
    <row r="1179" spans="1:8" ht="15" x14ac:dyDescent="0.2">
      <c r="A1179" s="205" t="s">
        <v>5184</v>
      </c>
      <c r="B1179" s="89" t="s">
        <v>5187</v>
      </c>
      <c r="C1179" s="89" t="s">
        <v>1032</v>
      </c>
      <c r="D1179" s="278" t="str">
        <f>VLOOKUP(A:A,'Master Table'!C:D,2,FALSE)</f>
        <v>147912</v>
      </c>
      <c r="E1179" s="307"/>
      <c r="F1179" s="207">
        <v>1309.94</v>
      </c>
      <c r="G1179" s="208">
        <v>1080.3600000000001</v>
      </c>
      <c r="H1179" s="92">
        <v>1081.77</v>
      </c>
    </row>
    <row r="1180" spans="1:8" ht="15" x14ac:dyDescent="0.2">
      <c r="A1180" s="205" t="s">
        <v>7814</v>
      </c>
      <c r="B1180" s="89" t="s">
        <v>5190</v>
      </c>
      <c r="C1180" s="89" t="s">
        <v>4210</v>
      </c>
      <c r="D1180" s="278" t="e">
        <f>VLOOKUP(A:A,'Master Table'!C:D,2,FALSE)</f>
        <v>#N/A</v>
      </c>
      <c r="E1180" s="307"/>
      <c r="F1180" s="207">
        <v>1984.56</v>
      </c>
      <c r="G1180" s="208">
        <v>1959.4900000000002</v>
      </c>
      <c r="H1180" s="92">
        <v>2198.02</v>
      </c>
    </row>
    <row r="1181" spans="1:8" ht="15" x14ac:dyDescent="0.2">
      <c r="A1181" s="205" t="s">
        <v>5194</v>
      </c>
      <c r="B1181" s="89" t="s">
        <v>5196</v>
      </c>
      <c r="C1181" s="89" t="s">
        <v>299</v>
      </c>
      <c r="D1181" s="278" t="str">
        <f>VLOOKUP(A:A,'Master Table'!C:D,2,FALSE)</f>
        <v>1093</v>
      </c>
      <c r="E1181" s="307"/>
      <c r="F1181" s="207">
        <v>1434.25</v>
      </c>
      <c r="G1181" s="208">
        <v>1317.6599999999999</v>
      </c>
      <c r="H1181" s="92">
        <v>1474.15</v>
      </c>
    </row>
    <row r="1182" spans="1:8" ht="15" x14ac:dyDescent="0.2">
      <c r="A1182" s="205" t="s">
        <v>5197</v>
      </c>
      <c r="B1182" s="89" t="s">
        <v>5199</v>
      </c>
      <c r="C1182" s="89" t="s">
        <v>5063</v>
      </c>
      <c r="D1182" s="278" t="str">
        <f>VLOOKUP(A:A,'Master Table'!C:D,2,FALSE)</f>
        <v>1094</v>
      </c>
      <c r="E1182" s="307"/>
      <c r="F1182" s="207">
        <v>3068.07</v>
      </c>
      <c r="G1182" s="208">
        <v>2960.38</v>
      </c>
      <c r="H1182" s="92">
        <v>2606</v>
      </c>
    </row>
    <row r="1183" spans="1:8" ht="15" x14ac:dyDescent="0.2">
      <c r="A1183" s="205" t="s">
        <v>5201</v>
      </c>
      <c r="B1183" s="89" t="s">
        <v>5190</v>
      </c>
      <c r="C1183" s="89" t="s">
        <v>1076</v>
      </c>
      <c r="D1183" s="278" t="str">
        <f>VLOOKUP(A:A,'Master Table'!C:D,2,FALSE)</f>
        <v>1095</v>
      </c>
      <c r="E1183" s="307"/>
      <c r="F1183" s="207">
        <v>1926.3900000000003</v>
      </c>
      <c r="G1183" s="208">
        <v>1948.6700000000003</v>
      </c>
      <c r="H1183" s="92">
        <v>1484.48</v>
      </c>
    </row>
    <row r="1184" spans="1:8" ht="15" x14ac:dyDescent="0.2">
      <c r="A1184" s="205" t="s">
        <v>5204</v>
      </c>
      <c r="B1184" s="89" t="s">
        <v>5207</v>
      </c>
      <c r="C1184" s="89" t="s">
        <v>5206</v>
      </c>
      <c r="D1184" s="278" t="str">
        <f>VLOOKUP(A:A,'Master Table'!C:D,2,FALSE)</f>
        <v>1096</v>
      </c>
      <c r="E1184" s="307"/>
      <c r="F1184" s="207">
        <v>842</v>
      </c>
      <c r="G1184" s="208">
        <v>1336.54</v>
      </c>
      <c r="H1184" s="92">
        <v>1017.41</v>
      </c>
    </row>
    <row r="1185" spans="1:8" ht="15" x14ac:dyDescent="0.2">
      <c r="A1185" s="205" t="s">
        <v>5209</v>
      </c>
      <c r="B1185" s="89" t="s">
        <v>5212</v>
      </c>
      <c r="C1185" s="89" t="s">
        <v>5211</v>
      </c>
      <c r="D1185" s="278" t="str">
        <f>VLOOKUP(A:A,'Master Table'!C:D,2,FALSE)</f>
        <v>1097</v>
      </c>
      <c r="E1185" s="307"/>
      <c r="F1185" s="207">
        <v>1019.17</v>
      </c>
      <c r="G1185" s="208">
        <v>850.85</v>
      </c>
      <c r="H1185" s="92">
        <v>872.06000000000006</v>
      </c>
    </row>
    <row r="1186" spans="1:8" ht="15" x14ac:dyDescent="0.2">
      <c r="A1186" s="205" t="s">
        <v>5213</v>
      </c>
      <c r="B1186" s="89" t="s">
        <v>5216</v>
      </c>
      <c r="C1186" s="89" t="s">
        <v>5215</v>
      </c>
      <c r="D1186" s="278" t="str">
        <f>VLOOKUP(A:A,'Master Table'!C:D,2,FALSE)</f>
        <v>1098</v>
      </c>
      <c r="E1186" s="307"/>
      <c r="F1186" s="207">
        <v>179.53</v>
      </c>
      <c r="G1186" s="208">
        <v>356</v>
      </c>
      <c r="H1186" s="92">
        <v>115.16</v>
      </c>
    </row>
    <row r="1187" spans="1:8" ht="15" x14ac:dyDescent="0.2">
      <c r="A1187" s="205" t="s">
        <v>5217</v>
      </c>
      <c r="B1187" s="89" t="s">
        <v>5219</v>
      </c>
      <c r="C1187" s="89" t="s">
        <v>1065</v>
      </c>
      <c r="D1187" s="278" t="str">
        <f>VLOOKUP(A:A,'Master Table'!C:D,2,FALSE)</f>
        <v>1100</v>
      </c>
      <c r="E1187" s="307"/>
      <c r="F1187" s="207">
        <v>6480</v>
      </c>
      <c r="G1187" s="208">
        <v>6555</v>
      </c>
      <c r="H1187" s="92">
        <v>6435</v>
      </c>
    </row>
    <row r="1188" spans="1:8" ht="15" x14ac:dyDescent="0.2">
      <c r="A1188" s="205" t="s">
        <v>5221</v>
      </c>
      <c r="B1188" s="89" t="s">
        <v>5223</v>
      </c>
      <c r="C1188" s="89" t="s">
        <v>1244</v>
      </c>
      <c r="D1188" s="278" t="str">
        <f>VLOOKUP(A:A,'Master Table'!C:D,2,FALSE)</f>
        <v>1101</v>
      </c>
      <c r="E1188" s="307"/>
      <c r="F1188" s="207">
        <v>738.5</v>
      </c>
      <c r="G1188" s="208">
        <v>388</v>
      </c>
      <c r="H1188" s="92">
        <v>892</v>
      </c>
    </row>
    <row r="1189" spans="1:8" ht="15" x14ac:dyDescent="0.2">
      <c r="A1189" s="205" t="s">
        <v>5225</v>
      </c>
      <c r="B1189" s="89" t="s">
        <v>5227</v>
      </c>
      <c r="C1189" s="89" t="s">
        <v>1004</v>
      </c>
      <c r="D1189" s="278" t="str">
        <f>VLOOKUP(A:A,'Master Table'!C:D,2,FALSE)</f>
        <v>1102</v>
      </c>
      <c r="E1189" s="307"/>
      <c r="F1189" s="207">
        <v>715.91000000000008</v>
      </c>
      <c r="G1189" s="208">
        <v>788.78</v>
      </c>
      <c r="H1189" s="92">
        <v>645.11</v>
      </c>
    </row>
    <row r="1190" spans="1:8" ht="15" x14ac:dyDescent="0.2">
      <c r="A1190" s="205" t="s">
        <v>5229</v>
      </c>
      <c r="B1190" s="89" t="s">
        <v>5232</v>
      </c>
      <c r="C1190" s="89" t="s">
        <v>5231</v>
      </c>
      <c r="D1190" s="278" t="str">
        <f>VLOOKUP(A:A,'Master Table'!C:D,2,FALSE)</f>
        <v>1103</v>
      </c>
      <c r="E1190" s="307"/>
      <c r="F1190" s="207">
        <v>740.73</v>
      </c>
      <c r="G1190" s="208">
        <v>946.29000000000008</v>
      </c>
      <c r="H1190" s="92">
        <v>955.63</v>
      </c>
    </row>
    <row r="1191" spans="1:8" ht="15" x14ac:dyDescent="0.2">
      <c r="A1191" s="205" t="s">
        <v>5233</v>
      </c>
      <c r="B1191" s="89" t="s">
        <v>5235</v>
      </c>
      <c r="C1191" s="89" t="s">
        <v>2667</v>
      </c>
      <c r="D1191" s="278" t="str">
        <f>VLOOKUP(A:A,'Master Table'!C:D,2,FALSE)</f>
        <v>1104</v>
      </c>
      <c r="E1191" s="307"/>
      <c r="F1191" s="207">
        <v>661.95</v>
      </c>
      <c r="G1191" s="208">
        <v>814</v>
      </c>
      <c r="H1191" s="92">
        <v>1237.8800000000001</v>
      </c>
    </row>
    <row r="1192" spans="1:8" ht="15" x14ac:dyDescent="0.2">
      <c r="A1192" s="205" t="s">
        <v>5236</v>
      </c>
      <c r="B1192" s="89" t="s">
        <v>5238</v>
      </c>
      <c r="C1192" s="89" t="s">
        <v>246</v>
      </c>
      <c r="D1192" s="278" t="str">
        <f>VLOOKUP(A:A,'Master Table'!C:D,2,FALSE)</f>
        <v>1105</v>
      </c>
      <c r="E1192" s="307"/>
      <c r="F1192" s="207">
        <v>1793.92</v>
      </c>
      <c r="G1192" s="208">
        <v>1364.23</v>
      </c>
      <c r="H1192" s="92">
        <v>1290.2</v>
      </c>
    </row>
    <row r="1193" spans="1:8" ht="15" x14ac:dyDescent="0.2">
      <c r="A1193" s="205" t="s">
        <v>5240</v>
      </c>
      <c r="B1193" s="89" t="s">
        <v>5243</v>
      </c>
      <c r="C1193" s="89" t="s">
        <v>5242</v>
      </c>
      <c r="D1193" s="278" t="str">
        <f>VLOOKUP(A:A,'Master Table'!C:D,2,FALSE)</f>
        <v>1106</v>
      </c>
      <c r="E1193" s="307"/>
      <c r="F1193" s="207">
        <v>1473.37</v>
      </c>
      <c r="G1193" s="208">
        <v>869.53</v>
      </c>
      <c r="H1193" s="92">
        <v>1651.7</v>
      </c>
    </row>
    <row r="1194" spans="1:8" ht="15" x14ac:dyDescent="0.2">
      <c r="A1194" s="205" t="s">
        <v>5244</v>
      </c>
      <c r="B1194" s="89" t="s">
        <v>5246</v>
      </c>
      <c r="C1194" s="89" t="s">
        <v>1065</v>
      </c>
      <c r="D1194" s="278" t="str">
        <f>VLOOKUP(A:A,'Master Table'!C:D,2,FALSE)</f>
        <v>1108</v>
      </c>
      <c r="E1194" s="307"/>
      <c r="F1194" s="207">
        <v>70</v>
      </c>
      <c r="G1194" s="208">
        <v>368</v>
      </c>
      <c r="H1194" s="92">
        <v>689.31000000000006</v>
      </c>
    </row>
    <row r="1195" spans="1:8" ht="15" x14ac:dyDescent="0.2">
      <c r="A1195" s="205" t="s">
        <v>5247</v>
      </c>
      <c r="B1195" s="89" t="s">
        <v>5250</v>
      </c>
      <c r="C1195" s="89" t="s">
        <v>5249</v>
      </c>
      <c r="D1195" s="278" t="str">
        <f>VLOOKUP(A:A,'Master Table'!C:D,2,FALSE)</f>
        <v>147944</v>
      </c>
      <c r="E1195" s="307"/>
      <c r="F1195" s="207">
        <v>205.89</v>
      </c>
      <c r="G1195" s="208">
        <v>190.84</v>
      </c>
      <c r="H1195" s="92">
        <v>168.22</v>
      </c>
    </row>
    <row r="1196" spans="1:8" ht="15" x14ac:dyDescent="0.2">
      <c r="A1196" s="205" t="s">
        <v>5251</v>
      </c>
      <c r="B1196" s="89" t="s">
        <v>5253</v>
      </c>
      <c r="C1196" s="89" t="s">
        <v>5066</v>
      </c>
      <c r="D1196" s="278" t="str">
        <f>VLOOKUP(A:A,'Master Table'!C:D,2,FALSE)</f>
        <v>1109</v>
      </c>
      <c r="E1196" s="307"/>
      <c r="F1196" s="207">
        <v>1330.23</v>
      </c>
      <c r="G1196" s="208">
        <v>1158.02</v>
      </c>
      <c r="H1196" s="92">
        <v>1149.25</v>
      </c>
    </row>
    <row r="1197" spans="1:8" ht="15" x14ac:dyDescent="0.2">
      <c r="A1197" s="205" t="s">
        <v>5254</v>
      </c>
      <c r="B1197" s="89" t="s">
        <v>5257</v>
      </c>
      <c r="C1197" s="89" t="s">
        <v>5256</v>
      </c>
      <c r="D1197" s="278" t="str">
        <f>VLOOKUP(A:A,'Master Table'!C:D,2,FALSE)</f>
        <v>1110</v>
      </c>
      <c r="E1197" s="307"/>
      <c r="F1197" s="207">
        <v>1788.5300000000002</v>
      </c>
      <c r="G1197" s="208">
        <v>2878.9700000000003</v>
      </c>
      <c r="H1197" s="92">
        <v>1686.83</v>
      </c>
    </row>
    <row r="1198" spans="1:8" ht="15" x14ac:dyDescent="0.2">
      <c r="A1198" s="205" t="s">
        <v>5259</v>
      </c>
      <c r="B1198" s="89" t="s">
        <v>5257</v>
      </c>
      <c r="C1198" s="89" t="s">
        <v>72</v>
      </c>
      <c r="D1198" s="278" t="str">
        <f>VLOOKUP(A:A,'Master Table'!C:D,2,FALSE)</f>
        <v>1111</v>
      </c>
      <c r="E1198" s="307"/>
      <c r="F1198" s="207">
        <v>1020.95</v>
      </c>
      <c r="G1198" s="208">
        <v>879</v>
      </c>
      <c r="H1198" s="92">
        <v>793.85</v>
      </c>
    </row>
    <row r="1199" spans="1:8" ht="15" x14ac:dyDescent="0.2">
      <c r="A1199" s="205" t="s">
        <v>5261</v>
      </c>
      <c r="B1199" s="210" t="s">
        <v>7815</v>
      </c>
      <c r="C1199" s="89" t="s">
        <v>7816</v>
      </c>
      <c r="D1199" s="278" t="str">
        <f>VLOOKUP(A:A,'Master Table'!C:D,2,FALSE)</f>
        <v>0444461</v>
      </c>
      <c r="E1199" s="307"/>
      <c r="F1199" s="207">
        <v>25</v>
      </c>
      <c r="G1199" s="208">
        <v>25</v>
      </c>
      <c r="H1199" s="92">
        <v>25</v>
      </c>
    </row>
    <row r="1200" spans="1:8" ht="15" x14ac:dyDescent="0.2">
      <c r="A1200" s="205" t="s">
        <v>5264</v>
      </c>
      <c r="B1200" s="89" t="s">
        <v>5267</v>
      </c>
      <c r="C1200" s="89" t="s">
        <v>5266</v>
      </c>
      <c r="D1200" s="278" t="str">
        <f>VLOOKUP(A:A,'Master Table'!C:D,2,FALSE)</f>
        <v>1113</v>
      </c>
      <c r="E1200" s="307"/>
      <c r="F1200" s="207">
        <v>215.24</v>
      </c>
      <c r="G1200" s="208">
        <v>236.44</v>
      </c>
      <c r="H1200" s="92">
        <v>223.36</v>
      </c>
    </row>
    <row r="1201" spans="1:8" ht="15" x14ac:dyDescent="0.2">
      <c r="A1201" s="205" t="s">
        <v>5268</v>
      </c>
      <c r="B1201" s="89" t="s">
        <v>5271</v>
      </c>
      <c r="C1201" s="89" t="s">
        <v>5270</v>
      </c>
      <c r="D1201" s="278" t="str">
        <f>VLOOKUP(A:A,'Master Table'!C:D,2,FALSE)</f>
        <v>1114</v>
      </c>
      <c r="E1201" s="307"/>
      <c r="F1201" s="207">
        <v>1238.2</v>
      </c>
      <c r="G1201" s="208">
        <v>640</v>
      </c>
      <c r="H1201" s="92">
        <v>650</v>
      </c>
    </row>
    <row r="1202" spans="1:8" ht="15" x14ac:dyDescent="0.2">
      <c r="A1202" s="205" t="s">
        <v>5272</v>
      </c>
      <c r="B1202" s="89" t="s">
        <v>5274</v>
      </c>
      <c r="C1202" s="89" t="s">
        <v>226</v>
      </c>
      <c r="D1202" s="278" t="str">
        <f>VLOOKUP(A:A,'Master Table'!C:D,2,FALSE)</f>
        <v>1115</v>
      </c>
      <c r="E1202" s="307"/>
      <c r="F1202" s="207">
        <v>1551.54</v>
      </c>
      <c r="G1202" s="208">
        <v>340</v>
      </c>
      <c r="H1202" s="92">
        <v>574.49</v>
      </c>
    </row>
    <row r="1203" spans="1:8" ht="15" x14ac:dyDescent="0.2">
      <c r="A1203" s="205" t="s">
        <v>5283</v>
      </c>
      <c r="B1203" s="89" t="s">
        <v>5285</v>
      </c>
      <c r="C1203" s="89" t="s">
        <v>839</v>
      </c>
      <c r="D1203" s="278" t="str">
        <f>VLOOKUP(A:A,'Master Table'!C:D,2,FALSE)</f>
        <v>1117</v>
      </c>
      <c r="E1203" s="307"/>
      <c r="F1203" s="207">
        <v>998.46</v>
      </c>
      <c r="G1203" s="208">
        <v>1010.94</v>
      </c>
      <c r="H1203" s="92">
        <v>1181.02</v>
      </c>
    </row>
    <row r="1204" spans="1:8" ht="15" x14ac:dyDescent="0.2">
      <c r="A1204" s="205" t="s">
        <v>5286</v>
      </c>
      <c r="B1204" s="89" t="s">
        <v>5288</v>
      </c>
      <c r="C1204" s="89" t="s">
        <v>5066</v>
      </c>
      <c r="D1204" s="278" t="str">
        <f>VLOOKUP(A:A,'Master Table'!C:D,2,FALSE)</f>
        <v>1118</v>
      </c>
      <c r="E1204" s="307"/>
      <c r="F1204" s="207">
        <v>171</v>
      </c>
      <c r="G1204" s="208">
        <v>322</v>
      </c>
      <c r="H1204" s="92">
        <v>1683</v>
      </c>
    </row>
    <row r="1205" spans="1:8" ht="15" x14ac:dyDescent="0.2">
      <c r="A1205" s="205" t="s">
        <v>5289</v>
      </c>
      <c r="B1205" s="89" t="s">
        <v>5291</v>
      </c>
      <c r="C1205" s="89" t="s">
        <v>164</v>
      </c>
      <c r="D1205" s="278" t="str">
        <f>VLOOKUP(A:A,'Master Table'!C:D,2,FALSE)</f>
        <v>1119</v>
      </c>
      <c r="E1205" s="307"/>
      <c r="F1205" s="207">
        <v>391.05</v>
      </c>
      <c r="G1205" s="208">
        <v>494.25</v>
      </c>
      <c r="H1205" s="92">
        <v>936.27</v>
      </c>
    </row>
    <row r="1206" spans="1:8" ht="15" x14ac:dyDescent="0.2">
      <c r="A1206" s="205" t="s">
        <v>5292</v>
      </c>
      <c r="B1206" s="89" t="s">
        <v>195</v>
      </c>
      <c r="C1206" s="89" t="s">
        <v>942</v>
      </c>
      <c r="D1206" s="278" t="str">
        <f>VLOOKUP(A:A,'Master Table'!C:D,2,FALSE)</f>
        <v>1120</v>
      </c>
      <c r="E1206" s="307"/>
      <c r="F1206" s="207">
        <v>506.21000000000004</v>
      </c>
      <c r="G1206" s="208">
        <v>420.44</v>
      </c>
      <c r="H1206" s="92">
        <v>490.43</v>
      </c>
    </row>
    <row r="1207" spans="1:8" ht="15" x14ac:dyDescent="0.2">
      <c r="A1207" s="205" t="s">
        <v>5294</v>
      </c>
      <c r="B1207" s="89" t="s">
        <v>5297</v>
      </c>
      <c r="C1207" s="89" t="s">
        <v>7193</v>
      </c>
      <c r="D1207" s="278" t="str">
        <f>VLOOKUP(A:A,'Master Table'!C:D,2,FALSE)</f>
        <v>1121</v>
      </c>
      <c r="E1207" s="307"/>
      <c r="F1207" s="207">
        <v>2634.03</v>
      </c>
      <c r="G1207" s="208">
        <v>2853.3200000000006</v>
      </c>
      <c r="H1207" s="92">
        <v>2466.7200000000003</v>
      </c>
    </row>
    <row r="1208" spans="1:8" ht="15" x14ac:dyDescent="0.2">
      <c r="A1208" s="205" t="s">
        <v>5300</v>
      </c>
      <c r="B1208" s="89" t="s">
        <v>5303</v>
      </c>
      <c r="C1208" s="89" t="s">
        <v>5302</v>
      </c>
      <c r="D1208" s="278" t="str">
        <f>VLOOKUP(A:A,'Master Table'!C:D,2,FALSE)</f>
        <v>1123</v>
      </c>
      <c r="E1208" s="307"/>
      <c r="F1208" s="207">
        <v>855</v>
      </c>
      <c r="G1208" s="208">
        <v>1033</v>
      </c>
      <c r="H1208" s="92">
        <v>936</v>
      </c>
    </row>
    <row r="1209" spans="1:8" ht="15" x14ac:dyDescent="0.2">
      <c r="A1209" s="205" t="s">
        <v>5305</v>
      </c>
      <c r="B1209" s="89" t="s">
        <v>5307</v>
      </c>
      <c r="C1209" s="89" t="s">
        <v>1203</v>
      </c>
      <c r="D1209" s="278" t="str">
        <f>VLOOKUP(A:A,'Master Table'!C:D,2,FALSE)</f>
        <v>1124</v>
      </c>
      <c r="E1209" s="307"/>
      <c r="F1209" s="207">
        <v>70</v>
      </c>
      <c r="G1209" s="208">
        <v>70</v>
      </c>
      <c r="H1209" s="92">
        <v>70</v>
      </c>
    </row>
    <row r="1210" spans="1:8" ht="15" x14ac:dyDescent="0.2">
      <c r="A1210" s="205" t="s">
        <v>5308</v>
      </c>
      <c r="B1210" s="89" t="s">
        <v>5310</v>
      </c>
      <c r="C1210" s="89" t="s">
        <v>1165</v>
      </c>
      <c r="D1210" s="278" t="str">
        <f>VLOOKUP(A:A,'Master Table'!C:D,2,FALSE)</f>
        <v>1125</v>
      </c>
      <c r="E1210" s="307"/>
      <c r="F1210" s="207">
        <v>628.87</v>
      </c>
      <c r="G1210" s="208">
        <v>585</v>
      </c>
      <c r="H1210" s="92">
        <v>615</v>
      </c>
    </row>
    <row r="1211" spans="1:8" ht="15" x14ac:dyDescent="0.2">
      <c r="A1211" s="205" t="s">
        <v>5311</v>
      </c>
      <c r="B1211" s="89" t="s">
        <v>5313</v>
      </c>
      <c r="C1211" s="89" t="s">
        <v>2667</v>
      </c>
      <c r="D1211" s="278" t="str">
        <f>VLOOKUP(A:A,'Master Table'!C:D,2,FALSE)</f>
        <v>1126</v>
      </c>
      <c r="E1211" s="307"/>
      <c r="F1211" s="207">
        <v>364.85</v>
      </c>
      <c r="G1211" s="208">
        <v>505.4</v>
      </c>
      <c r="H1211" s="92">
        <v>663</v>
      </c>
    </row>
    <row r="1212" spans="1:8" ht="15" x14ac:dyDescent="0.2">
      <c r="A1212" s="205" t="s">
        <v>5314</v>
      </c>
      <c r="B1212" s="89" t="s">
        <v>5317</v>
      </c>
      <c r="C1212" s="89" t="s">
        <v>5316</v>
      </c>
      <c r="D1212" s="278" t="str">
        <f>VLOOKUP(A:A,'Master Table'!C:D,2,FALSE)</f>
        <v>1127</v>
      </c>
      <c r="E1212" s="307"/>
      <c r="F1212" s="207">
        <v>2536.7399999999998</v>
      </c>
      <c r="G1212" s="208">
        <v>2269.86</v>
      </c>
      <c r="H1212" s="92">
        <v>2315.91</v>
      </c>
    </row>
    <row r="1213" spans="1:8" ht="15" x14ac:dyDescent="0.2">
      <c r="A1213" s="205" t="s">
        <v>5323</v>
      </c>
      <c r="B1213" s="89" t="s">
        <v>5322</v>
      </c>
      <c r="C1213" s="89" t="s">
        <v>7817</v>
      </c>
      <c r="D1213" s="278" t="str">
        <f>VLOOKUP(A:A,'Master Table'!C:D,2,FALSE)</f>
        <v>1129</v>
      </c>
      <c r="E1213" s="307"/>
      <c r="F1213" s="207">
        <v>908.6</v>
      </c>
      <c r="G1213" s="208">
        <v>155</v>
      </c>
      <c r="H1213" s="92">
        <v>577.91</v>
      </c>
    </row>
    <row r="1214" spans="1:8" ht="15" x14ac:dyDescent="0.2">
      <c r="A1214" s="205" t="s">
        <v>5326</v>
      </c>
      <c r="B1214" s="89" t="s">
        <v>5322</v>
      </c>
      <c r="C1214" s="89" t="s">
        <v>1160</v>
      </c>
      <c r="D1214" s="278" t="str">
        <f>VLOOKUP(A:A,'Master Table'!C:D,2,FALSE)</f>
        <v>1130</v>
      </c>
      <c r="E1214" s="307"/>
      <c r="F1214" s="207">
        <v>918.13</v>
      </c>
      <c r="G1214" s="208">
        <v>386.18</v>
      </c>
      <c r="H1214" s="92">
        <v>468.76</v>
      </c>
    </row>
    <row r="1215" spans="1:8" ht="15" x14ac:dyDescent="0.2">
      <c r="A1215" s="211" t="s">
        <v>7818</v>
      </c>
      <c r="B1215" s="89" t="s">
        <v>5322</v>
      </c>
      <c r="C1215" s="94" t="s">
        <v>7819</v>
      </c>
      <c r="D1215" s="278" t="e">
        <f>VLOOKUP(A:A,'Master Table'!C:D,2,FALSE)</f>
        <v>#N/A</v>
      </c>
      <c r="E1215" s="307"/>
      <c r="F1215" s="207">
        <v>2177.25</v>
      </c>
      <c r="G1215" s="208">
        <v>942.68</v>
      </c>
      <c r="H1215" s="92">
        <v>1019.69</v>
      </c>
    </row>
    <row r="1216" spans="1:8" ht="15" x14ac:dyDescent="0.2">
      <c r="A1216" s="205" t="s">
        <v>5333</v>
      </c>
      <c r="B1216" s="89" t="s">
        <v>5322</v>
      </c>
      <c r="C1216" s="89" t="s">
        <v>3742</v>
      </c>
      <c r="D1216" s="278" t="str">
        <f>VLOOKUP(A:A,'Master Table'!C:D,2,FALSE)</f>
        <v>1132</v>
      </c>
      <c r="E1216" s="307"/>
      <c r="F1216" s="207">
        <v>445.67</v>
      </c>
      <c r="G1216" s="208">
        <v>282.60000000000002</v>
      </c>
      <c r="H1216" s="92">
        <v>368.1</v>
      </c>
    </row>
    <row r="1217" spans="1:8" ht="15" x14ac:dyDescent="0.2">
      <c r="A1217" s="205" t="s">
        <v>5336</v>
      </c>
      <c r="B1217" s="89" t="s">
        <v>5338</v>
      </c>
      <c r="C1217" s="89" t="s">
        <v>1871</v>
      </c>
      <c r="D1217" s="278" t="str">
        <f>VLOOKUP(A:A,'Master Table'!C:D,2,FALSE)</f>
        <v>1133</v>
      </c>
      <c r="E1217" s="307"/>
      <c r="F1217" s="207">
        <v>389.9</v>
      </c>
      <c r="G1217" s="208">
        <v>285</v>
      </c>
      <c r="H1217" s="92">
        <v>621.19000000000005</v>
      </c>
    </row>
    <row r="1218" spans="1:8" ht="15" x14ac:dyDescent="0.2">
      <c r="A1218" s="205" t="s">
        <v>5339</v>
      </c>
      <c r="B1218" s="89" t="s">
        <v>5338</v>
      </c>
      <c r="C1218" s="89" t="s">
        <v>5277</v>
      </c>
      <c r="D1218" s="278" t="str">
        <f>VLOOKUP(A:A,'Master Table'!C:D,2,FALSE)</f>
        <v>1134</v>
      </c>
      <c r="E1218" s="307"/>
      <c r="F1218" s="207">
        <v>525</v>
      </c>
      <c r="G1218" s="208">
        <v>391</v>
      </c>
      <c r="H1218" s="92">
        <v>447</v>
      </c>
    </row>
    <row r="1219" spans="1:8" ht="15" x14ac:dyDescent="0.2">
      <c r="A1219" s="205" t="s">
        <v>5341</v>
      </c>
      <c r="B1219" s="89" t="s">
        <v>5338</v>
      </c>
      <c r="C1219" s="89" t="s">
        <v>532</v>
      </c>
      <c r="D1219" s="278" t="str">
        <f>VLOOKUP(A:A,'Master Table'!C:D,2,FALSE)</f>
        <v>1135</v>
      </c>
      <c r="E1219" s="307"/>
      <c r="F1219" s="207">
        <v>6314.25</v>
      </c>
      <c r="G1219" s="208">
        <v>6750.1</v>
      </c>
      <c r="H1219" s="92">
        <v>6293</v>
      </c>
    </row>
    <row r="1220" spans="1:8" ht="15" x14ac:dyDescent="0.2">
      <c r="A1220" s="205" t="s">
        <v>5343</v>
      </c>
      <c r="B1220" s="89" t="s">
        <v>5345</v>
      </c>
      <c r="C1220" s="89" t="s">
        <v>1165</v>
      </c>
      <c r="D1220" s="278" t="str">
        <f>VLOOKUP(A:A,'Master Table'!C:D,2,FALSE)</f>
        <v>1136</v>
      </c>
      <c r="E1220" s="307"/>
      <c r="F1220" s="207">
        <v>2046.52</v>
      </c>
      <c r="G1220" s="208">
        <v>2171.8900000000003</v>
      </c>
      <c r="H1220" s="92">
        <v>2443.9</v>
      </c>
    </row>
    <row r="1221" spans="1:8" ht="15" x14ac:dyDescent="0.2">
      <c r="A1221" s="205" t="s">
        <v>5347</v>
      </c>
      <c r="B1221" s="89" t="s">
        <v>5349</v>
      </c>
      <c r="C1221" s="89" t="s">
        <v>5066</v>
      </c>
      <c r="D1221" s="278" t="str">
        <f>VLOOKUP(A:A,'Master Table'!C:D,2,FALSE)</f>
        <v>1137</v>
      </c>
      <c r="E1221" s="307"/>
      <c r="F1221" s="207">
        <v>873.69</v>
      </c>
      <c r="G1221" s="208">
        <v>702.72</v>
      </c>
      <c r="H1221" s="92">
        <v>728.41</v>
      </c>
    </row>
    <row r="1222" spans="1:8" ht="15" x14ac:dyDescent="0.2">
      <c r="A1222" s="205" t="s">
        <v>5350</v>
      </c>
      <c r="B1222" s="89" t="s">
        <v>5352</v>
      </c>
      <c r="C1222" s="89" t="s">
        <v>226</v>
      </c>
      <c r="D1222" s="278" t="str">
        <f>VLOOKUP(A:A,'Master Table'!C:D,2,FALSE)</f>
        <v>1138</v>
      </c>
      <c r="E1222" s="307"/>
      <c r="F1222" s="207">
        <v>1316.4599999999998</v>
      </c>
      <c r="G1222" s="208">
        <v>1119.8</v>
      </c>
      <c r="H1222" s="92">
        <v>1086.1400000000001</v>
      </c>
    </row>
    <row r="1223" spans="1:8" ht="15" x14ac:dyDescent="0.2">
      <c r="A1223" s="205" t="s">
        <v>7820</v>
      </c>
      <c r="B1223" s="89" t="s">
        <v>5360</v>
      </c>
      <c r="C1223" s="89" t="s">
        <v>7821</v>
      </c>
      <c r="D1223" s="278" t="e">
        <f>VLOOKUP(A:A,'Master Table'!C:D,2,FALSE)</f>
        <v>#N/A</v>
      </c>
      <c r="E1223" s="307"/>
      <c r="F1223" s="207">
        <v>1332.13</v>
      </c>
      <c r="G1223" s="208">
        <v>1617.8799999999999</v>
      </c>
      <c r="H1223" s="92">
        <v>1736.37</v>
      </c>
    </row>
    <row r="1224" spans="1:8" ht="15" x14ac:dyDescent="0.2">
      <c r="A1224" s="205" t="s">
        <v>5365</v>
      </c>
      <c r="B1224" s="89" t="s">
        <v>5368</v>
      </c>
      <c r="C1224" s="89" t="s">
        <v>7822</v>
      </c>
      <c r="D1224" s="278" t="str">
        <f>VLOOKUP(A:A,'Master Table'!C:D,2,FALSE)</f>
        <v>1142</v>
      </c>
      <c r="E1224" s="307"/>
      <c r="F1224" s="207">
        <v>867.47</v>
      </c>
      <c r="G1224" s="208">
        <v>438</v>
      </c>
      <c r="H1224" s="92">
        <v>506.63</v>
      </c>
    </row>
    <row r="1225" spans="1:8" ht="15" x14ac:dyDescent="0.2">
      <c r="A1225" s="205" t="s">
        <v>5369</v>
      </c>
      <c r="B1225" s="89" t="s">
        <v>5368</v>
      </c>
      <c r="C1225" s="89" t="s">
        <v>5371</v>
      </c>
      <c r="D1225" s="278" t="str">
        <f>VLOOKUP(A:A,'Master Table'!C:D,2,FALSE)</f>
        <v>1143</v>
      </c>
      <c r="E1225" s="307"/>
      <c r="F1225" s="207">
        <v>374.47</v>
      </c>
      <c r="G1225" s="208">
        <v>1097.23</v>
      </c>
      <c r="H1225" s="92">
        <v>1056.06</v>
      </c>
    </row>
    <row r="1226" spans="1:8" ht="15" x14ac:dyDescent="0.2">
      <c r="A1226" s="205" t="s">
        <v>5373</v>
      </c>
      <c r="B1226" s="89" t="s">
        <v>5368</v>
      </c>
      <c r="C1226" s="89" t="s">
        <v>2896</v>
      </c>
      <c r="D1226" s="278" t="str">
        <f>VLOOKUP(A:A,'Master Table'!C:D,2,FALSE)</f>
        <v>1144</v>
      </c>
      <c r="E1226" s="307"/>
      <c r="F1226" s="207">
        <v>353.88</v>
      </c>
      <c r="G1226" s="208">
        <v>351.24</v>
      </c>
      <c r="H1226" s="92">
        <v>245.3</v>
      </c>
    </row>
    <row r="1227" spans="1:8" ht="15" x14ac:dyDescent="0.2">
      <c r="A1227" s="205" t="s">
        <v>5375</v>
      </c>
      <c r="B1227" s="89" t="s">
        <v>5368</v>
      </c>
      <c r="C1227" s="89" t="s">
        <v>532</v>
      </c>
      <c r="D1227" s="278" t="str">
        <f>VLOOKUP(A:A,'Master Table'!C:D,2,FALSE)</f>
        <v>1145</v>
      </c>
      <c r="E1227" s="307"/>
      <c r="F1227" s="207">
        <v>394.19</v>
      </c>
      <c r="G1227" s="208">
        <v>375</v>
      </c>
      <c r="H1227" s="92">
        <v>295</v>
      </c>
    </row>
    <row r="1228" spans="1:8" ht="15" x14ac:dyDescent="0.2">
      <c r="A1228" s="205" t="s">
        <v>5377</v>
      </c>
      <c r="B1228" s="89" t="s">
        <v>5368</v>
      </c>
      <c r="C1228" s="89" t="s">
        <v>7823</v>
      </c>
      <c r="D1228" s="278" t="str">
        <f>VLOOKUP(A:A,'Master Table'!C:D,2,FALSE)</f>
        <v>1146</v>
      </c>
      <c r="E1228" s="307"/>
      <c r="F1228" s="207">
        <v>312.27</v>
      </c>
      <c r="G1228" s="208">
        <v>501</v>
      </c>
      <c r="H1228" s="92">
        <v>612.51</v>
      </c>
    </row>
    <row r="1229" spans="1:8" ht="15" x14ac:dyDescent="0.2">
      <c r="A1229" s="205" t="s">
        <v>5380</v>
      </c>
      <c r="B1229" s="89" t="s">
        <v>5383</v>
      </c>
      <c r="C1229" s="89" t="s">
        <v>5382</v>
      </c>
      <c r="D1229" s="278" t="str">
        <f>VLOOKUP(A:A,'Master Table'!C:D,2,FALSE)</f>
        <v>1147</v>
      </c>
      <c r="E1229" s="307"/>
      <c r="F1229" s="207">
        <v>2415.87</v>
      </c>
      <c r="G1229" s="208">
        <v>2725.98</v>
      </c>
      <c r="H1229" s="92">
        <v>2469.66</v>
      </c>
    </row>
    <row r="1230" spans="1:8" ht="15" x14ac:dyDescent="0.2">
      <c r="A1230" s="205" t="s">
        <v>5384</v>
      </c>
      <c r="B1230" s="89" t="s">
        <v>5387</v>
      </c>
      <c r="C1230" s="89" t="s">
        <v>5386</v>
      </c>
      <c r="D1230" s="278" t="str">
        <f>VLOOKUP(A:A,'Master Table'!C:D,2,FALSE)</f>
        <v>1148</v>
      </c>
      <c r="E1230" s="307"/>
      <c r="F1230" s="207">
        <v>1083.5</v>
      </c>
      <c r="G1230" s="208">
        <v>1002</v>
      </c>
      <c r="H1230" s="92">
        <v>1035</v>
      </c>
    </row>
    <row r="1231" spans="1:8" ht="15" x14ac:dyDescent="0.2">
      <c r="A1231" s="205" t="s">
        <v>5392</v>
      </c>
      <c r="B1231" s="89" t="s">
        <v>5394</v>
      </c>
      <c r="C1231" s="89" t="s">
        <v>158</v>
      </c>
      <c r="D1231" s="278" t="str">
        <f>VLOOKUP(A:A,'Master Table'!C:D,2,FALSE)</f>
        <v>1149</v>
      </c>
      <c r="E1231" s="307"/>
      <c r="F1231" s="207">
        <v>1449.5</v>
      </c>
      <c r="G1231" s="208">
        <v>1104.46</v>
      </c>
      <c r="H1231" s="92">
        <v>1617.24</v>
      </c>
    </row>
    <row r="1232" spans="1:8" ht="15" x14ac:dyDescent="0.2">
      <c r="A1232" s="205" t="s">
        <v>5395</v>
      </c>
      <c r="B1232" s="89" t="s">
        <v>5394</v>
      </c>
      <c r="C1232" s="89" t="s">
        <v>198</v>
      </c>
      <c r="D1232" s="278" t="str">
        <f>VLOOKUP(A:A,'Master Table'!C:D,2,FALSE)</f>
        <v>1151</v>
      </c>
      <c r="E1232" s="307"/>
      <c r="F1232" s="207">
        <v>421.5</v>
      </c>
      <c r="G1232" s="208">
        <v>510</v>
      </c>
      <c r="H1232" s="92">
        <v>597.5</v>
      </c>
    </row>
    <row r="1233" spans="1:8" ht="15" x14ac:dyDescent="0.2">
      <c r="A1233" s="205" t="s">
        <v>5401</v>
      </c>
      <c r="B1233" s="89" t="s">
        <v>5394</v>
      </c>
      <c r="C1233" s="89" t="s">
        <v>2530</v>
      </c>
      <c r="D1233" s="278" t="str">
        <f>VLOOKUP(A:A,'Master Table'!C:D,2,FALSE)</f>
        <v>1152</v>
      </c>
      <c r="E1233" s="307"/>
      <c r="F1233" s="207">
        <v>776.05</v>
      </c>
      <c r="G1233" s="208">
        <v>1104.1199999999999</v>
      </c>
      <c r="H1233" s="92">
        <v>623.21</v>
      </c>
    </row>
    <row r="1234" spans="1:8" ht="15" x14ac:dyDescent="0.2">
      <c r="A1234" s="205" t="s">
        <v>5407</v>
      </c>
      <c r="B1234" s="89" t="s">
        <v>5409</v>
      </c>
      <c r="C1234" s="89" t="s">
        <v>532</v>
      </c>
      <c r="D1234" s="278" t="str">
        <f>VLOOKUP(A:A,'Master Table'!C:D,2,FALSE)</f>
        <v>1154</v>
      </c>
      <c r="E1234" s="307"/>
      <c r="F1234" s="207">
        <v>1454.07</v>
      </c>
      <c r="G1234" s="208">
        <v>1773.58</v>
      </c>
      <c r="H1234" s="92">
        <v>1971.25</v>
      </c>
    </row>
    <row r="1235" spans="1:8" ht="15" x14ac:dyDescent="0.2">
      <c r="A1235" s="205" t="s">
        <v>7824</v>
      </c>
      <c r="B1235" s="89" t="s">
        <v>5412</v>
      </c>
      <c r="C1235" s="89" t="s">
        <v>161</v>
      </c>
      <c r="D1235" s="278" t="e">
        <f>VLOOKUP(A:A,'Master Table'!C:D,2,FALSE)</f>
        <v>#N/A</v>
      </c>
      <c r="E1235" s="307"/>
      <c r="F1235" s="207">
        <v>55</v>
      </c>
      <c r="G1235" s="208">
        <v>605.25</v>
      </c>
      <c r="H1235" s="92">
        <v>952.74</v>
      </c>
    </row>
    <row r="1236" spans="1:8" ht="15" x14ac:dyDescent="0.2">
      <c r="A1236" s="205" t="s">
        <v>5413</v>
      </c>
      <c r="B1236" s="89" t="s">
        <v>5412</v>
      </c>
      <c r="C1236" s="89" t="s">
        <v>3238</v>
      </c>
      <c r="D1236" s="278" t="str">
        <f>VLOOKUP(A:A,'Master Table'!C:D,2,FALSE)</f>
        <v>1156</v>
      </c>
      <c r="E1236" s="307"/>
      <c r="F1236" s="207">
        <v>45</v>
      </c>
      <c r="G1236" s="208">
        <v>50</v>
      </c>
      <c r="H1236" s="92">
        <v>60</v>
      </c>
    </row>
    <row r="1237" spans="1:8" ht="15" x14ac:dyDescent="0.2">
      <c r="A1237" s="205" t="s">
        <v>5419</v>
      </c>
      <c r="B1237" s="89" t="s">
        <v>5412</v>
      </c>
      <c r="C1237" s="89" t="s">
        <v>5256</v>
      </c>
      <c r="D1237" s="278" t="str">
        <f>VLOOKUP(A:A,'Master Table'!C:D,2,FALSE)</f>
        <v>1158</v>
      </c>
      <c r="E1237" s="307"/>
      <c r="F1237" s="207">
        <v>172</v>
      </c>
      <c r="G1237" s="208">
        <v>1483.8099999999997</v>
      </c>
      <c r="H1237" s="92">
        <v>1523.31</v>
      </c>
    </row>
    <row r="1238" spans="1:8" ht="15" x14ac:dyDescent="0.2">
      <c r="A1238" s="205" t="s">
        <v>7825</v>
      </c>
      <c r="B1238" s="89" t="s">
        <v>5412</v>
      </c>
      <c r="C1238" s="89" t="s">
        <v>7826</v>
      </c>
      <c r="D1238" s="278" t="e">
        <f>VLOOKUP(A:A,'Master Table'!C:D,2,FALSE)</f>
        <v>#N/A</v>
      </c>
      <c r="E1238" s="307"/>
      <c r="F1238" s="207">
        <v>1281.98</v>
      </c>
      <c r="G1238" s="208">
        <v>1928.7999999999997</v>
      </c>
      <c r="H1238" s="92">
        <v>1671.6</v>
      </c>
    </row>
    <row r="1239" spans="1:8" ht="15" x14ac:dyDescent="0.2">
      <c r="A1239" s="205" t="s">
        <v>5430</v>
      </c>
      <c r="B1239" s="89" t="s">
        <v>5433</v>
      </c>
      <c r="C1239" s="89" t="s">
        <v>3774</v>
      </c>
      <c r="D1239" s="278" t="str">
        <f>VLOOKUP(A:A,'Master Table'!C:D,2,FALSE)</f>
        <v>1161</v>
      </c>
      <c r="E1239" s="307"/>
      <c r="F1239" s="207">
        <v>599.97</v>
      </c>
      <c r="G1239" s="208">
        <v>685.8900000000001</v>
      </c>
      <c r="H1239" s="92">
        <v>583.64</v>
      </c>
    </row>
    <row r="1240" spans="1:8" ht="15" x14ac:dyDescent="0.2">
      <c r="A1240" s="205" t="s">
        <v>5434</v>
      </c>
      <c r="B1240" s="89" t="s">
        <v>5437</v>
      </c>
      <c r="C1240" s="89" t="s">
        <v>5436</v>
      </c>
      <c r="D1240" s="278" t="str">
        <f>VLOOKUP(A:A,'Master Table'!C:D,2,FALSE)</f>
        <v>1162</v>
      </c>
      <c r="E1240" s="307"/>
      <c r="F1240" s="207">
        <v>3481.73</v>
      </c>
      <c r="G1240" s="208">
        <v>3444.1300000000006</v>
      </c>
      <c r="H1240" s="92">
        <v>3357.65</v>
      </c>
    </row>
    <row r="1241" spans="1:8" ht="15" x14ac:dyDescent="0.2">
      <c r="A1241" s="205" t="s">
        <v>5439</v>
      </c>
      <c r="B1241" s="89" t="s">
        <v>5441</v>
      </c>
      <c r="C1241" s="89" t="s">
        <v>1284</v>
      </c>
      <c r="D1241" s="278" t="str">
        <f>VLOOKUP(A:A,'Master Table'!C:D,2,FALSE)</f>
        <v>1163</v>
      </c>
      <c r="E1241" s="307"/>
      <c r="F1241" s="207">
        <v>418.08</v>
      </c>
      <c r="G1241" s="208">
        <v>780.56999999999994</v>
      </c>
      <c r="H1241" s="92">
        <v>323.78000000000003</v>
      </c>
    </row>
    <row r="1242" spans="1:8" ht="15" x14ac:dyDescent="0.2">
      <c r="A1242" s="205" t="s">
        <v>5446</v>
      </c>
      <c r="B1242" s="89" t="s">
        <v>5449</v>
      </c>
      <c r="C1242" s="89" t="s">
        <v>2900</v>
      </c>
      <c r="D1242" s="278" t="str">
        <f>VLOOKUP(A:A,'Master Table'!C:D,2,FALSE)</f>
        <v>1164</v>
      </c>
      <c r="E1242" s="307"/>
      <c r="F1242" s="207">
        <v>191.14</v>
      </c>
      <c r="G1242" s="208">
        <v>176.05</v>
      </c>
      <c r="H1242" s="92">
        <v>84.67</v>
      </c>
    </row>
    <row r="1243" spans="1:8" ht="15" x14ac:dyDescent="0.2">
      <c r="A1243" s="205" t="s">
        <v>5450</v>
      </c>
      <c r="B1243" s="89" t="s">
        <v>5453</v>
      </c>
      <c r="C1243" s="89" t="s">
        <v>5452</v>
      </c>
      <c r="D1243" s="278" t="str">
        <f>VLOOKUP(A:A,'Master Table'!C:D,2,FALSE)</f>
        <v>1165</v>
      </c>
      <c r="E1243" s="307"/>
      <c r="F1243" s="207">
        <v>668</v>
      </c>
      <c r="G1243" s="208">
        <v>1115</v>
      </c>
      <c r="H1243" s="92">
        <v>654.5</v>
      </c>
    </row>
    <row r="1244" spans="1:8" ht="15" x14ac:dyDescent="0.2">
      <c r="A1244" s="205" t="s">
        <v>5454</v>
      </c>
      <c r="B1244" s="89" t="s">
        <v>5456</v>
      </c>
      <c r="C1244" s="89" t="s">
        <v>532</v>
      </c>
      <c r="D1244" s="278" t="str">
        <f>VLOOKUP(A:A,'Master Table'!C:D,2,FALSE)</f>
        <v>1166</v>
      </c>
      <c r="E1244" s="315"/>
      <c r="F1244" s="207">
        <v>1568.79</v>
      </c>
      <c r="G1244" s="208">
        <v>1584.83</v>
      </c>
      <c r="H1244" s="92">
        <v>561.19000000000005</v>
      </c>
    </row>
    <row r="1245" spans="1:8" ht="15" x14ac:dyDescent="0.2">
      <c r="A1245" s="205" t="s">
        <v>5458</v>
      </c>
      <c r="B1245" s="89" t="s">
        <v>5461</v>
      </c>
      <c r="C1245" s="89" t="s">
        <v>7827</v>
      </c>
      <c r="D1245" s="278" t="str">
        <f>VLOOKUP(A:A,'Master Table'!C:D,2,FALSE)</f>
        <v>1167</v>
      </c>
      <c r="E1245" s="307"/>
      <c r="F1245" s="207">
        <v>1102.25</v>
      </c>
      <c r="G1245" s="208">
        <v>2015.9300000000003</v>
      </c>
      <c r="H1245" s="92">
        <v>1541</v>
      </c>
    </row>
    <row r="1246" spans="1:8" ht="15" x14ac:dyDescent="0.2">
      <c r="A1246" s="205" t="s">
        <v>5462</v>
      </c>
      <c r="B1246" s="89" t="s">
        <v>5461</v>
      </c>
      <c r="C1246" s="89" t="s">
        <v>3715</v>
      </c>
      <c r="D1246" s="278" t="str">
        <f>VLOOKUP(A:A,'Master Table'!C:D,2,FALSE)</f>
        <v>1168</v>
      </c>
      <c r="E1246" s="307"/>
      <c r="F1246" s="207">
        <v>359.45</v>
      </c>
      <c r="G1246" s="208">
        <v>331</v>
      </c>
      <c r="H1246" s="92">
        <v>610</v>
      </c>
    </row>
    <row r="1247" spans="1:8" ht="15" x14ac:dyDescent="0.2">
      <c r="A1247" s="205" t="s">
        <v>5465</v>
      </c>
      <c r="B1247" s="89" t="s">
        <v>5461</v>
      </c>
      <c r="C1247" s="89" t="s">
        <v>7828</v>
      </c>
      <c r="D1247" s="278" t="str">
        <f>VLOOKUP(A:A,'Master Table'!C:D,2,FALSE)</f>
        <v>1169</v>
      </c>
      <c r="E1247" s="307"/>
      <c r="F1247" s="207">
        <v>2102.1999999999998</v>
      </c>
      <c r="G1247" s="208">
        <v>2318</v>
      </c>
      <c r="H1247" s="92">
        <v>1466.48</v>
      </c>
    </row>
    <row r="1248" spans="1:8" ht="15" x14ac:dyDescent="0.2">
      <c r="A1248" s="205" t="s">
        <v>5468</v>
      </c>
      <c r="B1248" s="89" t="s">
        <v>5461</v>
      </c>
      <c r="C1248" s="89" t="s">
        <v>5249</v>
      </c>
      <c r="D1248" s="278" t="str">
        <f>VLOOKUP(A:A,'Master Table'!C:D,2,FALSE)</f>
        <v>1170</v>
      </c>
      <c r="E1248" s="307"/>
      <c r="F1248" s="207">
        <v>746.35</v>
      </c>
      <c r="G1248" s="208">
        <v>914.69</v>
      </c>
      <c r="H1248" s="92">
        <v>635.85</v>
      </c>
    </row>
    <row r="1249" spans="1:9" ht="15" x14ac:dyDescent="0.2">
      <c r="A1249" s="205" t="s">
        <v>5471</v>
      </c>
      <c r="B1249" s="89" t="s">
        <v>5461</v>
      </c>
      <c r="C1249" s="89" t="s">
        <v>7829</v>
      </c>
      <c r="D1249" s="278" t="str">
        <f>VLOOKUP(A:A,'Master Table'!C:D,2,FALSE)</f>
        <v>1171</v>
      </c>
      <c r="E1249" s="307"/>
      <c r="F1249" s="207">
        <v>587.65</v>
      </c>
      <c r="G1249" s="208">
        <v>626.85</v>
      </c>
      <c r="H1249" s="92">
        <v>642.66</v>
      </c>
    </row>
    <row r="1250" spans="1:9" ht="15" x14ac:dyDescent="0.2">
      <c r="A1250" s="205" t="s">
        <v>5474</v>
      </c>
      <c r="B1250" s="89" t="s">
        <v>5461</v>
      </c>
      <c r="C1250" s="89" t="s">
        <v>1087</v>
      </c>
      <c r="D1250" s="278" t="str">
        <f>VLOOKUP(A:A,'Master Table'!C:D,2,FALSE)</f>
        <v>1172</v>
      </c>
      <c r="E1250" s="307"/>
      <c r="F1250" s="207">
        <v>61.239999999999995</v>
      </c>
      <c r="G1250" s="208">
        <v>144</v>
      </c>
      <c r="H1250" s="92">
        <v>420</v>
      </c>
    </row>
    <row r="1251" spans="1:9" ht="15" x14ac:dyDescent="0.2">
      <c r="A1251" s="205" t="s">
        <v>7830</v>
      </c>
      <c r="B1251" s="89" t="s">
        <v>7831</v>
      </c>
      <c r="C1251" s="89" t="s">
        <v>7261</v>
      </c>
      <c r="D1251" s="278" t="e">
        <f>VLOOKUP(A:A,'Master Table'!C:D,2,FALSE)</f>
        <v>#N/A</v>
      </c>
      <c r="E1251" s="291"/>
      <c r="F1251" s="207">
        <v>1327.8600000000001</v>
      </c>
      <c r="G1251" s="208">
        <v>1337.82</v>
      </c>
      <c r="H1251" s="213">
        <v>1489.47</v>
      </c>
    </row>
    <row r="1252" spans="1:9" ht="15" x14ac:dyDescent="0.2">
      <c r="A1252" s="153"/>
      <c r="B1252" s="89"/>
      <c r="C1252" s="179" t="s">
        <v>7832</v>
      </c>
      <c r="D1252" s="338" t="e">
        <f>VLOOKUP(A:A,'Master Table'!C:D,2,FALSE)</f>
        <v>#N/A</v>
      </c>
      <c r="E1252" s="179"/>
      <c r="F1252" s="339">
        <v>0</v>
      </c>
      <c r="G1252" s="339"/>
      <c r="H1252" s="340"/>
      <c r="I1252" s="341"/>
    </row>
    <row r="1253" spans="1:9" ht="16.5" thickBot="1" x14ac:dyDescent="0.25">
      <c r="A1253" s="214" t="s">
        <v>307</v>
      </c>
      <c r="B1253" s="95"/>
      <c r="C1253" s="95"/>
      <c r="D1253" s="278"/>
      <c r="E1253" s="308"/>
      <c r="F1253" s="215">
        <v>130617.16</v>
      </c>
      <c r="G1253" s="215">
        <v>134153.00000000006</v>
      </c>
      <c r="H1253" s="201">
        <v>129373.99</v>
      </c>
    </row>
    <row r="1254" spans="1:9" s="62" customFormat="1" x14ac:dyDescent="0.2">
      <c r="A1254" s="60" t="s">
        <v>7262</v>
      </c>
      <c r="B1254" s="60"/>
      <c r="C1254" s="60"/>
      <c r="D1254" s="275"/>
      <c r="E1254" s="275"/>
      <c r="F1254" s="61"/>
      <c r="G1254" s="61"/>
      <c r="H1254" s="60"/>
    </row>
    <row r="1255" spans="1:9" ht="20.25" x14ac:dyDescent="0.2">
      <c r="A1255" s="260" t="s">
        <v>7833</v>
      </c>
      <c r="B1255" s="261"/>
      <c r="C1255" s="261"/>
      <c r="D1255" s="317"/>
      <c r="E1255" s="317"/>
      <c r="F1255" s="261"/>
      <c r="G1255" s="262"/>
      <c r="H1255" s="217"/>
    </row>
    <row r="1256" spans="1:9" ht="15.75" x14ac:dyDescent="0.2">
      <c r="A1256" s="218" t="s">
        <v>1</v>
      </c>
      <c r="B1256" s="218" t="s">
        <v>7809</v>
      </c>
      <c r="C1256" s="218" t="s">
        <v>3</v>
      </c>
      <c r="D1256" s="277" t="s">
        <v>8165</v>
      </c>
      <c r="E1256" s="290">
        <f>E3</f>
        <v>2019</v>
      </c>
      <c r="F1256" s="218">
        <v>2018</v>
      </c>
      <c r="G1256" s="218">
        <v>2017</v>
      </c>
      <c r="H1256" s="220" t="s">
        <v>7178</v>
      </c>
    </row>
    <row r="1257" spans="1:9" ht="15" x14ac:dyDescent="0.2">
      <c r="A1257" s="89" t="s">
        <v>5483</v>
      </c>
      <c r="B1257" s="89" t="s">
        <v>5486</v>
      </c>
      <c r="C1257" s="89" t="s">
        <v>7835</v>
      </c>
      <c r="D1257" s="278" t="str">
        <f>VLOOKUP(A:A,'Master Table'!C:D,2,FALSE)</f>
        <v>1178</v>
      </c>
      <c r="E1257" s="314"/>
      <c r="F1257" s="90">
        <v>225</v>
      </c>
      <c r="G1257" s="91">
        <v>320</v>
      </c>
      <c r="H1257" s="92">
        <v>340</v>
      </c>
    </row>
    <row r="1258" spans="1:9" ht="15" x14ac:dyDescent="0.2">
      <c r="A1258" s="89" t="s">
        <v>5487</v>
      </c>
      <c r="B1258" s="89" t="s">
        <v>7836</v>
      </c>
      <c r="C1258" s="89" t="s">
        <v>7837</v>
      </c>
      <c r="D1258" s="278" t="str">
        <f>VLOOKUP(A:A,'Master Table'!C:D,2,FALSE)</f>
        <v>1179</v>
      </c>
      <c r="E1258" s="314"/>
      <c r="F1258" s="90">
        <v>130</v>
      </c>
      <c r="G1258" s="91">
        <v>130</v>
      </c>
      <c r="H1258" s="92">
        <v>130</v>
      </c>
    </row>
    <row r="1259" spans="1:9" ht="15" x14ac:dyDescent="0.2">
      <c r="A1259" s="89" t="s">
        <v>5493</v>
      </c>
      <c r="B1259" s="89" t="s">
        <v>5489</v>
      </c>
      <c r="C1259" s="89" t="s">
        <v>7838</v>
      </c>
      <c r="D1259" s="278" t="str">
        <f>VLOOKUP(A:A,'Master Table'!C:D,2,FALSE)</f>
        <v>1180</v>
      </c>
      <c r="E1259" s="314"/>
      <c r="F1259" s="90">
        <v>1353.69</v>
      </c>
      <c r="G1259" s="91">
        <v>1767.09</v>
      </c>
      <c r="H1259" s="92">
        <v>1662.83</v>
      </c>
    </row>
    <row r="1260" spans="1:9" ht="15" x14ac:dyDescent="0.2">
      <c r="A1260" s="89" t="s">
        <v>5495</v>
      </c>
      <c r="B1260" s="89" t="s">
        <v>5497</v>
      </c>
      <c r="C1260" s="89" t="s">
        <v>3215</v>
      </c>
      <c r="D1260" s="278" t="str">
        <f>VLOOKUP(A:A,'Master Table'!C:D,2,FALSE)</f>
        <v>1181</v>
      </c>
      <c r="E1260" s="314"/>
      <c r="F1260" s="90">
        <v>2043.88</v>
      </c>
      <c r="G1260" s="91">
        <v>2110.3199999999997</v>
      </c>
      <c r="H1260" s="92">
        <v>2246.84</v>
      </c>
    </row>
    <row r="1261" spans="1:9" ht="15" x14ac:dyDescent="0.2">
      <c r="A1261" s="89" t="s">
        <v>5499</v>
      </c>
      <c r="B1261" s="89" t="s">
        <v>5501</v>
      </c>
      <c r="C1261" s="89" t="s">
        <v>7660</v>
      </c>
      <c r="D1261" s="278" t="str">
        <f>VLOOKUP(A:A,'Master Table'!C:D,2,FALSE)</f>
        <v>1182</v>
      </c>
      <c r="E1261" s="314"/>
      <c r="F1261" s="90">
        <v>355.01</v>
      </c>
      <c r="G1261" s="91">
        <v>506</v>
      </c>
      <c r="H1261" s="92">
        <v>494.08</v>
      </c>
    </row>
    <row r="1262" spans="1:9" ht="15" x14ac:dyDescent="0.2">
      <c r="A1262" s="89" t="s">
        <v>5502</v>
      </c>
      <c r="B1262" s="89" t="s">
        <v>5505</v>
      </c>
      <c r="C1262" s="89" t="s">
        <v>556</v>
      </c>
      <c r="D1262" s="278" t="str">
        <f>VLOOKUP(A:A,'Master Table'!C:D,2,FALSE)</f>
        <v>1183</v>
      </c>
      <c r="E1262" s="314"/>
      <c r="F1262" s="90">
        <v>1552.49</v>
      </c>
      <c r="G1262" s="91">
        <v>1605</v>
      </c>
      <c r="H1262" s="92">
        <v>1940.52</v>
      </c>
    </row>
    <row r="1263" spans="1:9" ht="15" x14ac:dyDescent="0.2">
      <c r="A1263" s="89" t="s">
        <v>5510</v>
      </c>
      <c r="B1263" s="89" t="s">
        <v>5513</v>
      </c>
      <c r="C1263" s="89" t="s">
        <v>5512</v>
      </c>
      <c r="D1263" s="278" t="str">
        <f>VLOOKUP(A:A,'Master Table'!C:D,2,FALSE)</f>
        <v>1184</v>
      </c>
      <c r="E1263" s="314"/>
      <c r="F1263" s="90">
        <v>324.81</v>
      </c>
      <c r="G1263" s="91">
        <v>318.67</v>
      </c>
      <c r="H1263" s="92">
        <v>404.75</v>
      </c>
    </row>
    <row r="1264" spans="1:9" ht="15" x14ac:dyDescent="0.2">
      <c r="A1264" s="89" t="s">
        <v>5515</v>
      </c>
      <c r="B1264" s="89" t="s">
        <v>5518</v>
      </c>
      <c r="C1264" s="89" t="s">
        <v>7839</v>
      </c>
      <c r="D1264" s="278" t="str">
        <f>VLOOKUP(A:A,'Master Table'!C:D,2,FALSE)</f>
        <v>1185</v>
      </c>
      <c r="E1264" s="314"/>
      <c r="F1264" s="90">
        <v>61</v>
      </c>
      <c r="G1264" s="91">
        <v>205</v>
      </c>
      <c r="H1264" s="92">
        <v>215.87</v>
      </c>
    </row>
    <row r="1265" spans="1:8" ht="15" x14ac:dyDescent="0.2">
      <c r="A1265" s="89" t="s">
        <v>5528</v>
      </c>
      <c r="B1265" s="89" t="s">
        <v>5531</v>
      </c>
      <c r="C1265" s="89" t="s">
        <v>5530</v>
      </c>
      <c r="D1265" s="278" t="str">
        <f>VLOOKUP(A:A,'Master Table'!C:D,2,FALSE)</f>
        <v>1186</v>
      </c>
      <c r="E1265" s="314"/>
      <c r="F1265" s="90">
        <v>3604</v>
      </c>
      <c r="G1265" s="91">
        <v>4262</v>
      </c>
      <c r="H1265" s="92">
        <v>4304.63</v>
      </c>
    </row>
    <row r="1266" spans="1:8" ht="15" x14ac:dyDescent="0.2">
      <c r="A1266" s="89" t="s">
        <v>5532</v>
      </c>
      <c r="B1266" s="89" t="s">
        <v>5534</v>
      </c>
      <c r="C1266" s="89" t="s">
        <v>2824</v>
      </c>
      <c r="D1266" s="278" t="str">
        <f>VLOOKUP(A:A,'Master Table'!C:D,2,FALSE)</f>
        <v>1187</v>
      </c>
      <c r="E1266" s="314"/>
      <c r="F1266" s="90">
        <v>1451</v>
      </c>
      <c r="G1266" s="91">
        <v>2717</v>
      </c>
      <c r="H1266" s="92">
        <v>175</v>
      </c>
    </row>
    <row r="1267" spans="1:8" ht="15" x14ac:dyDescent="0.2">
      <c r="A1267" s="89" t="s">
        <v>5535</v>
      </c>
      <c r="B1267" s="89" t="s">
        <v>5538</v>
      </c>
      <c r="C1267" s="89" t="s">
        <v>5537</v>
      </c>
      <c r="D1267" s="278" t="str">
        <f>VLOOKUP(A:A,'Master Table'!C:D,2,FALSE)</f>
        <v>1188</v>
      </c>
      <c r="E1267" s="314"/>
      <c r="F1267" s="90">
        <v>470</v>
      </c>
      <c r="G1267" s="91">
        <v>670</v>
      </c>
      <c r="H1267" s="92">
        <v>670</v>
      </c>
    </row>
    <row r="1268" spans="1:8" ht="15" x14ac:dyDescent="0.2">
      <c r="A1268" s="89" t="s">
        <v>5539</v>
      </c>
      <c r="B1268" s="89" t="s">
        <v>5541</v>
      </c>
      <c r="C1268" s="89" t="s">
        <v>1284</v>
      </c>
      <c r="D1268" s="278" t="str">
        <f>VLOOKUP(A:A,'Master Table'!C:D,2,FALSE)</f>
        <v>1189</v>
      </c>
      <c r="E1268" s="314"/>
      <c r="F1268" s="90">
        <v>1109</v>
      </c>
      <c r="G1268" s="91">
        <v>1330</v>
      </c>
      <c r="H1268" s="92">
        <v>1340</v>
      </c>
    </row>
    <row r="1269" spans="1:8" ht="15" x14ac:dyDescent="0.2">
      <c r="A1269" s="89" t="s">
        <v>5543</v>
      </c>
      <c r="B1269" s="89" t="s">
        <v>7840</v>
      </c>
      <c r="C1269" s="89" t="s">
        <v>7841</v>
      </c>
      <c r="D1269" s="278" t="str">
        <f>VLOOKUP(A:A,'Master Table'!C:D,2,FALSE)</f>
        <v>1190</v>
      </c>
      <c r="E1269" s="314"/>
      <c r="F1269" s="90">
        <v>408.9</v>
      </c>
      <c r="G1269" s="91">
        <v>458.38</v>
      </c>
      <c r="H1269" s="92">
        <v>380.38</v>
      </c>
    </row>
    <row r="1270" spans="1:8" ht="15" x14ac:dyDescent="0.2">
      <c r="A1270" s="89" t="s">
        <v>5550</v>
      </c>
      <c r="B1270" s="89" t="s">
        <v>5553</v>
      </c>
      <c r="C1270" s="89" t="s">
        <v>5552</v>
      </c>
      <c r="D1270" s="278" t="str">
        <f>VLOOKUP(A:A,'Master Table'!C:D,2,FALSE)</f>
        <v>1191</v>
      </c>
      <c r="E1270" s="314"/>
      <c r="F1270" s="90">
        <v>1967.31</v>
      </c>
      <c r="G1270" s="91">
        <v>2405.65</v>
      </c>
      <c r="H1270" s="92">
        <v>1844.69</v>
      </c>
    </row>
    <row r="1271" spans="1:8" ht="15" x14ac:dyDescent="0.2">
      <c r="A1271" s="89" t="s">
        <v>5554</v>
      </c>
      <c r="B1271" s="89" t="s">
        <v>5557</v>
      </c>
      <c r="C1271" s="89" t="s">
        <v>7842</v>
      </c>
      <c r="D1271" s="278" t="str">
        <f>VLOOKUP(A:A,'Master Table'!C:D,2,FALSE)</f>
        <v>1192</v>
      </c>
      <c r="E1271" s="314"/>
      <c r="F1271" s="90">
        <v>1414.76</v>
      </c>
      <c r="G1271" s="91">
        <v>1348.5</v>
      </c>
      <c r="H1271" s="92">
        <v>970.5</v>
      </c>
    </row>
    <row r="1272" spans="1:8" ht="15" x14ac:dyDescent="0.2">
      <c r="A1272" s="89" t="s">
        <v>5558</v>
      </c>
      <c r="B1272" s="89" t="s">
        <v>5560</v>
      </c>
      <c r="C1272" s="89" t="s">
        <v>2347</v>
      </c>
      <c r="D1272" s="278" t="str">
        <f>VLOOKUP(A:A,'Master Table'!C:D,2,FALSE)</f>
        <v>1193</v>
      </c>
      <c r="E1272" s="314"/>
      <c r="F1272" s="90">
        <v>0</v>
      </c>
      <c r="G1272" s="91">
        <v>94</v>
      </c>
      <c r="H1272" s="92">
        <v>0</v>
      </c>
    </row>
    <row r="1273" spans="1:8" ht="15" x14ac:dyDescent="0.2">
      <c r="A1273" s="89" t="s">
        <v>5561</v>
      </c>
      <c r="B1273" s="89" t="s">
        <v>7843</v>
      </c>
      <c r="C1273" s="89" t="s">
        <v>5563</v>
      </c>
      <c r="D1273" s="278" t="str">
        <f>VLOOKUP(A:A,'Master Table'!C:D,2,FALSE)</f>
        <v>1195</v>
      </c>
      <c r="E1273" s="314"/>
      <c r="F1273" s="90">
        <v>1475</v>
      </c>
      <c r="G1273" s="91">
        <v>1470</v>
      </c>
      <c r="H1273" s="92">
        <v>602</v>
      </c>
    </row>
    <row r="1274" spans="1:8" ht="15" x14ac:dyDescent="0.2">
      <c r="A1274" s="89" t="s">
        <v>5566</v>
      </c>
      <c r="B1274" s="89" t="s">
        <v>5560</v>
      </c>
      <c r="C1274" s="89" t="s">
        <v>7844</v>
      </c>
      <c r="D1274" s="278" t="str">
        <f>VLOOKUP(A:A,'Master Table'!C:D,2,FALSE)</f>
        <v>1196</v>
      </c>
      <c r="E1274" s="314"/>
      <c r="F1274" s="90">
        <v>100.18</v>
      </c>
      <c r="G1274" s="91">
        <v>223</v>
      </c>
      <c r="H1274" s="92">
        <v>106</v>
      </c>
    </row>
    <row r="1275" spans="1:8" ht="15" x14ac:dyDescent="0.2">
      <c r="A1275" s="89" t="s">
        <v>5570</v>
      </c>
      <c r="B1275" s="89" t="s">
        <v>5572</v>
      </c>
      <c r="C1275" s="89" t="s">
        <v>2578</v>
      </c>
      <c r="D1275" s="278" t="str">
        <f>VLOOKUP(A:A,'Master Table'!C:D,2,FALSE)</f>
        <v>1198</v>
      </c>
      <c r="E1275" s="314"/>
      <c r="F1275" s="90">
        <v>255</v>
      </c>
      <c r="G1275" s="91">
        <v>493</v>
      </c>
      <c r="H1275" s="92">
        <v>978.58</v>
      </c>
    </row>
    <row r="1276" spans="1:8" ht="15" x14ac:dyDescent="0.2">
      <c r="A1276" s="89" t="s">
        <v>5573</v>
      </c>
      <c r="B1276" s="89" t="s">
        <v>5575</v>
      </c>
      <c r="C1276" s="89" t="s">
        <v>270</v>
      </c>
      <c r="D1276" s="278" t="str">
        <f>VLOOKUP(A:A,'Master Table'!C:D,2,FALSE)</f>
        <v>1199</v>
      </c>
      <c r="E1276" s="314"/>
      <c r="F1276" s="90">
        <v>1185.5700000000002</v>
      </c>
      <c r="G1276" s="91">
        <v>1227.46</v>
      </c>
      <c r="H1276" s="92">
        <v>1661.93</v>
      </c>
    </row>
    <row r="1277" spans="1:8" ht="15" x14ac:dyDescent="0.2">
      <c r="A1277" s="89" t="s">
        <v>5576</v>
      </c>
      <c r="B1277" s="89" t="s">
        <v>5578</v>
      </c>
      <c r="C1277" s="89" t="s">
        <v>453</v>
      </c>
      <c r="D1277" s="278" t="str">
        <f>VLOOKUP(A:A,'Master Table'!C:D,2,FALSE)</f>
        <v>1200</v>
      </c>
      <c r="E1277" s="314"/>
      <c r="F1277" s="90">
        <v>970.37</v>
      </c>
      <c r="G1277" s="91">
        <v>958.14</v>
      </c>
      <c r="H1277" s="92">
        <v>788.9</v>
      </c>
    </row>
    <row r="1278" spans="1:8" ht="15" x14ac:dyDescent="0.2">
      <c r="A1278" s="89" t="s">
        <v>5579</v>
      </c>
      <c r="B1278" s="89" t="s">
        <v>5582</v>
      </c>
      <c r="C1278" s="89" t="s">
        <v>5581</v>
      </c>
      <c r="D1278" s="278" t="str">
        <f>VLOOKUP(A:A,'Master Table'!C:D,2,FALSE)</f>
        <v>1201</v>
      </c>
      <c r="E1278" s="314"/>
      <c r="F1278" s="90">
        <v>601.98</v>
      </c>
      <c r="G1278" s="91">
        <v>1394.14</v>
      </c>
      <c r="H1278" s="92">
        <v>1421.68</v>
      </c>
    </row>
    <row r="1279" spans="1:8" ht="15" x14ac:dyDescent="0.2">
      <c r="A1279" s="89" t="s">
        <v>5583</v>
      </c>
      <c r="B1279" s="89" t="s">
        <v>5586</v>
      </c>
      <c r="C1279" s="89" t="s">
        <v>7845</v>
      </c>
      <c r="D1279" s="278" t="str">
        <f>VLOOKUP(A:A,'Master Table'!C:D,2,FALSE)</f>
        <v>1202</v>
      </c>
      <c r="E1279" s="314"/>
      <c r="F1279" s="90">
        <v>1033.9100000000001</v>
      </c>
      <c r="G1279" s="91">
        <v>1651.69</v>
      </c>
      <c r="H1279" s="92">
        <v>847.71</v>
      </c>
    </row>
    <row r="1280" spans="1:8" ht="15" x14ac:dyDescent="0.2">
      <c r="A1280" s="89" t="s">
        <v>5591</v>
      </c>
      <c r="B1280" s="89" t="s">
        <v>5593</v>
      </c>
      <c r="C1280" s="89" t="s">
        <v>198</v>
      </c>
      <c r="D1280" s="278" t="str">
        <f>VLOOKUP(A:A,'Master Table'!C:D,2,FALSE)</f>
        <v>1203</v>
      </c>
      <c r="E1280" s="314"/>
      <c r="F1280" s="90">
        <v>525</v>
      </c>
      <c r="G1280" s="91">
        <v>513</v>
      </c>
      <c r="H1280" s="92">
        <v>515</v>
      </c>
    </row>
    <row r="1281" spans="1:8" ht="15" x14ac:dyDescent="0.2">
      <c r="A1281" s="89" t="s">
        <v>5594</v>
      </c>
      <c r="B1281" s="89" t="s">
        <v>5596</v>
      </c>
      <c r="C1281" s="89" t="s">
        <v>783</v>
      </c>
      <c r="D1281" s="278" t="str">
        <f>VLOOKUP(A:A,'Master Table'!C:D,2,FALSE)</f>
        <v>1204</v>
      </c>
      <c r="E1281" s="314"/>
      <c r="F1281" s="90">
        <v>405</v>
      </c>
      <c r="G1281" s="91">
        <v>425</v>
      </c>
      <c r="H1281" s="92">
        <v>762.69</v>
      </c>
    </row>
    <row r="1282" spans="1:8" ht="15" x14ac:dyDescent="0.2">
      <c r="A1282" s="89" t="s">
        <v>5597</v>
      </c>
      <c r="B1282" s="89" t="s">
        <v>5600</v>
      </c>
      <c r="C1282" s="89" t="s">
        <v>7846</v>
      </c>
      <c r="D1282" s="278" t="str">
        <f>VLOOKUP(A:A,'Master Table'!C:D,2,FALSE)</f>
        <v>1205</v>
      </c>
      <c r="E1282" s="314"/>
      <c r="F1282" s="90">
        <v>60</v>
      </c>
      <c r="G1282" s="91">
        <v>60</v>
      </c>
      <c r="H1282" s="92">
        <v>60</v>
      </c>
    </row>
    <row r="1283" spans="1:8" ht="15" x14ac:dyDescent="0.2">
      <c r="A1283" s="89" t="s">
        <v>5601</v>
      </c>
      <c r="B1283" s="89" t="s">
        <v>5603</v>
      </c>
      <c r="C1283" s="89" t="s">
        <v>7216</v>
      </c>
      <c r="D1283" s="278" t="str">
        <f>VLOOKUP(A:A,'Master Table'!C:D,2,FALSE)</f>
        <v>1206</v>
      </c>
      <c r="E1283" s="314"/>
      <c r="F1283" s="90">
        <v>1042.9299999999998</v>
      </c>
      <c r="G1283" s="91">
        <v>442.42</v>
      </c>
      <c r="H1283" s="92">
        <v>339</v>
      </c>
    </row>
    <row r="1284" spans="1:8" ht="15" x14ac:dyDescent="0.2">
      <c r="A1284" s="89" t="s">
        <v>5605</v>
      </c>
      <c r="B1284" s="89" t="s">
        <v>5607</v>
      </c>
      <c r="C1284" s="89" t="s">
        <v>119</v>
      </c>
      <c r="D1284" s="278" t="str">
        <f>VLOOKUP(A:A,'Master Table'!C:D,2,FALSE)</f>
        <v>1207</v>
      </c>
      <c r="E1284" s="314"/>
      <c r="F1284" s="90">
        <v>204.3</v>
      </c>
      <c r="G1284" s="91">
        <v>114.88</v>
      </c>
      <c r="H1284" s="92">
        <v>128.52000000000001</v>
      </c>
    </row>
    <row r="1285" spans="1:8" ht="15" x14ac:dyDescent="0.2">
      <c r="A1285" s="89" t="s">
        <v>5608</v>
      </c>
      <c r="B1285" s="89" t="s">
        <v>5611</v>
      </c>
      <c r="C1285" s="89" t="s">
        <v>5610</v>
      </c>
      <c r="D1285" s="278" t="str">
        <f>VLOOKUP(A:A,'Master Table'!C:D,2,FALSE)</f>
        <v>1208</v>
      </c>
      <c r="E1285" s="314"/>
      <c r="F1285" s="90">
        <v>522.22</v>
      </c>
      <c r="G1285" s="91">
        <v>633</v>
      </c>
      <c r="H1285" s="92">
        <v>1406.3500000000001</v>
      </c>
    </row>
    <row r="1286" spans="1:8" ht="15" x14ac:dyDescent="0.2">
      <c r="A1286" s="89" t="s">
        <v>5612</v>
      </c>
      <c r="B1286" s="89" t="s">
        <v>5614</v>
      </c>
      <c r="C1286" s="89" t="s">
        <v>532</v>
      </c>
      <c r="D1286" s="278" t="str">
        <f>VLOOKUP(A:A,'Master Table'!C:D,2,FALSE)</f>
        <v>1209</v>
      </c>
      <c r="E1286" s="314"/>
      <c r="F1286" s="90">
        <v>2504.0699999999997</v>
      </c>
      <c r="G1286" s="91">
        <v>2110.4299999999998</v>
      </c>
      <c r="H1286" s="92">
        <v>2544.83</v>
      </c>
    </row>
    <row r="1287" spans="1:8" ht="15" x14ac:dyDescent="0.2">
      <c r="A1287" s="89" t="s">
        <v>5615</v>
      </c>
      <c r="B1287" s="89" t="s">
        <v>5618</v>
      </c>
      <c r="C1287" s="89" t="s">
        <v>5617</v>
      </c>
      <c r="D1287" s="278" t="str">
        <f>VLOOKUP(A:A,'Master Table'!C:D,2,FALSE)</f>
        <v>1210</v>
      </c>
      <c r="E1287" s="314"/>
      <c r="F1287" s="90">
        <v>677.33</v>
      </c>
      <c r="G1287" s="91">
        <v>556.54</v>
      </c>
      <c r="H1287" s="92">
        <v>628.57000000000005</v>
      </c>
    </row>
    <row r="1288" spans="1:8" ht="15" x14ac:dyDescent="0.2">
      <c r="A1288" s="89" t="s">
        <v>5620</v>
      </c>
      <c r="B1288" s="89" t="s">
        <v>5623</v>
      </c>
      <c r="C1288" s="89" t="s">
        <v>5622</v>
      </c>
      <c r="D1288" s="278" t="str">
        <f>VLOOKUP(A:A,'Master Table'!C:D,2,FALSE)</f>
        <v>1211</v>
      </c>
      <c r="E1288" s="314"/>
      <c r="F1288" s="90">
        <v>757.77</v>
      </c>
      <c r="G1288" s="91">
        <v>814.19</v>
      </c>
      <c r="H1288" s="92">
        <v>864.7</v>
      </c>
    </row>
    <row r="1289" spans="1:8" ht="15" x14ac:dyDescent="0.2">
      <c r="A1289" s="89" t="s">
        <v>5629</v>
      </c>
      <c r="B1289" s="89" t="s">
        <v>5631</v>
      </c>
      <c r="C1289" s="89" t="s">
        <v>231</v>
      </c>
      <c r="D1289" s="278" t="str">
        <f>VLOOKUP(A:A,'Master Table'!C:D,2,FALSE)</f>
        <v>1212</v>
      </c>
      <c r="E1289" s="314"/>
      <c r="F1289" s="90">
        <v>185</v>
      </c>
      <c r="G1289" s="91">
        <v>171</v>
      </c>
      <c r="H1289" s="92">
        <v>1061.96</v>
      </c>
    </row>
    <row r="1290" spans="1:8" ht="15" x14ac:dyDescent="0.2">
      <c r="A1290" s="89" t="s">
        <v>5632</v>
      </c>
      <c r="B1290" s="89" t="s">
        <v>5634</v>
      </c>
      <c r="C1290" s="89" t="s">
        <v>78</v>
      </c>
      <c r="D1290" s="278" t="str">
        <f>VLOOKUP(A:A,'Master Table'!C:D,2,FALSE)</f>
        <v>1213</v>
      </c>
      <c r="E1290" s="314"/>
      <c r="F1290" s="90">
        <v>1379.13</v>
      </c>
      <c r="G1290" s="91">
        <v>1762.5</v>
      </c>
      <c r="H1290" s="92">
        <v>1195</v>
      </c>
    </row>
    <row r="1291" spans="1:8" ht="15" x14ac:dyDescent="0.2">
      <c r="A1291" s="89" t="s">
        <v>5636</v>
      </c>
      <c r="B1291" s="89" t="s">
        <v>5638</v>
      </c>
      <c r="C1291" s="89" t="s">
        <v>1349</v>
      </c>
      <c r="D1291" s="278" t="str">
        <f>VLOOKUP(A:A,'Master Table'!C:D,2,FALSE)</f>
        <v>1215</v>
      </c>
      <c r="E1291" s="314"/>
      <c r="F1291" s="90">
        <v>2551.98</v>
      </c>
      <c r="G1291" s="91">
        <v>1635.28</v>
      </c>
      <c r="H1291" s="92">
        <v>1781.26</v>
      </c>
    </row>
    <row r="1292" spans="1:8" ht="15" x14ac:dyDescent="0.2">
      <c r="A1292" s="89" t="s">
        <v>5640</v>
      </c>
      <c r="B1292" s="89" t="s">
        <v>5643</v>
      </c>
      <c r="C1292" s="89" t="s">
        <v>7847</v>
      </c>
      <c r="D1292" s="278" t="str">
        <f>VLOOKUP(A:A,'Master Table'!C:D,2,FALSE)</f>
        <v>1216</v>
      </c>
      <c r="E1292" s="314"/>
      <c r="F1292" s="90">
        <v>1725.35</v>
      </c>
      <c r="G1292" s="91">
        <v>1933.9</v>
      </c>
      <c r="H1292" s="92">
        <v>1335</v>
      </c>
    </row>
    <row r="1293" spans="1:8" ht="15" x14ac:dyDescent="0.2">
      <c r="A1293" s="89" t="s">
        <v>5644</v>
      </c>
      <c r="B1293" s="89" t="s">
        <v>5646</v>
      </c>
      <c r="C1293" s="89" t="s">
        <v>1349</v>
      </c>
      <c r="D1293" s="278" t="str">
        <f>VLOOKUP(A:A,'Master Table'!C:D,2,FALSE)</f>
        <v>1217</v>
      </c>
      <c r="E1293" s="314"/>
      <c r="F1293" s="90">
        <v>338.54</v>
      </c>
      <c r="G1293" s="91">
        <v>551.35</v>
      </c>
      <c r="H1293" s="92">
        <v>637</v>
      </c>
    </row>
    <row r="1294" spans="1:8" ht="15" x14ac:dyDescent="0.2">
      <c r="A1294" s="89" t="s">
        <v>5647</v>
      </c>
      <c r="B1294" s="89" t="s">
        <v>5649</v>
      </c>
      <c r="C1294" s="89" t="s">
        <v>3974</v>
      </c>
      <c r="D1294" s="278" t="str">
        <f>VLOOKUP(A:A,'Master Table'!C:D,2,FALSE)</f>
        <v>1218</v>
      </c>
      <c r="E1294" s="314"/>
      <c r="F1294" s="90">
        <v>75</v>
      </c>
      <c r="G1294" s="91">
        <v>95</v>
      </c>
      <c r="H1294" s="92">
        <v>117</v>
      </c>
    </row>
    <row r="1295" spans="1:8" ht="15" x14ac:dyDescent="0.2">
      <c r="A1295" s="89" t="s">
        <v>5650</v>
      </c>
      <c r="B1295" s="89" t="s">
        <v>5653</v>
      </c>
      <c r="C1295" s="89" t="s">
        <v>5652</v>
      </c>
      <c r="D1295" s="278" t="str">
        <f>VLOOKUP(A:A,'Master Table'!C:D,2,FALSE)</f>
        <v>1219</v>
      </c>
      <c r="E1295" s="314"/>
      <c r="F1295" s="90">
        <v>101</v>
      </c>
      <c r="G1295" s="91">
        <v>85</v>
      </c>
      <c r="H1295" s="92">
        <v>85</v>
      </c>
    </row>
    <row r="1296" spans="1:8" ht="15" x14ac:dyDescent="0.2">
      <c r="A1296" s="89" t="s">
        <v>5660</v>
      </c>
      <c r="B1296" s="89" t="s">
        <v>5663</v>
      </c>
      <c r="C1296" s="89" t="s">
        <v>1762</v>
      </c>
      <c r="D1296" s="278" t="str">
        <f>VLOOKUP(A:A,'Master Table'!C:D,2,FALSE)</f>
        <v>1220</v>
      </c>
      <c r="E1296" s="314"/>
      <c r="F1296" s="90">
        <v>724.72</v>
      </c>
      <c r="G1296" s="91">
        <v>1374.19</v>
      </c>
      <c r="H1296" s="92">
        <v>1349.04</v>
      </c>
    </row>
    <row r="1297" spans="1:8" ht="15" x14ac:dyDescent="0.2">
      <c r="A1297" s="89" t="s">
        <v>5665</v>
      </c>
      <c r="B1297" s="89" t="s">
        <v>5668</v>
      </c>
      <c r="C1297" s="89" t="s">
        <v>5667</v>
      </c>
      <c r="D1297" s="278" t="str">
        <f>VLOOKUP(A:A,'Master Table'!C:D,2,FALSE)</f>
        <v>1221</v>
      </c>
      <c r="E1297" s="314"/>
      <c r="F1297" s="90">
        <v>130</v>
      </c>
      <c r="G1297" s="91">
        <v>550</v>
      </c>
      <c r="H1297" s="92">
        <v>533.72</v>
      </c>
    </row>
    <row r="1298" spans="1:8" ht="15" x14ac:dyDescent="0.2">
      <c r="A1298" s="89" t="s">
        <v>5669</v>
      </c>
      <c r="B1298" s="89" t="s">
        <v>5671</v>
      </c>
      <c r="C1298" s="89" t="s">
        <v>226</v>
      </c>
      <c r="D1298" s="278" t="str">
        <f>VLOOKUP(A:A,'Master Table'!C:D,2,FALSE)</f>
        <v>1222</v>
      </c>
      <c r="E1298" s="314"/>
      <c r="F1298" s="90">
        <v>740.54</v>
      </c>
      <c r="G1298" s="91">
        <v>856.96</v>
      </c>
      <c r="H1298" s="92">
        <v>760.5</v>
      </c>
    </row>
    <row r="1299" spans="1:8" ht="15" x14ac:dyDescent="0.2">
      <c r="A1299" s="89" t="s">
        <v>5673</v>
      </c>
      <c r="B1299" s="89" t="s">
        <v>5675</v>
      </c>
      <c r="C1299" s="89" t="s">
        <v>158</v>
      </c>
      <c r="D1299" s="278" t="str">
        <f>VLOOKUP(A:A,'Master Table'!C:D,2,FALSE)</f>
        <v>1223</v>
      </c>
      <c r="E1299" s="314"/>
      <c r="F1299" s="90">
        <v>711.49</v>
      </c>
      <c r="G1299" s="91">
        <v>1154.6199999999999</v>
      </c>
      <c r="H1299" s="92">
        <v>842.46</v>
      </c>
    </row>
    <row r="1300" spans="1:8" ht="15" x14ac:dyDescent="0.2">
      <c r="A1300" s="89" t="s">
        <v>5677</v>
      </c>
      <c r="B1300" s="89" t="s">
        <v>5680</v>
      </c>
      <c r="C1300" s="89" t="s">
        <v>7848</v>
      </c>
      <c r="D1300" s="278" t="str">
        <f>VLOOKUP(A:A,'Master Table'!C:D,2,FALSE)</f>
        <v>1224</v>
      </c>
      <c r="E1300" s="314"/>
      <c r="F1300" s="90">
        <v>1440</v>
      </c>
      <c r="G1300" s="91">
        <v>1035</v>
      </c>
      <c r="H1300" s="92">
        <v>1250</v>
      </c>
    </row>
    <row r="1301" spans="1:8" ht="15" x14ac:dyDescent="0.2">
      <c r="A1301" s="89" t="s">
        <v>5681</v>
      </c>
      <c r="B1301" s="89" t="s">
        <v>7849</v>
      </c>
      <c r="C1301" s="89" t="s">
        <v>246</v>
      </c>
      <c r="D1301" s="278" t="str">
        <f>VLOOKUP(A:A,'Master Table'!C:D,2,FALSE)</f>
        <v>1225</v>
      </c>
      <c r="E1301" s="314"/>
      <c r="F1301" s="90">
        <v>60</v>
      </c>
      <c r="G1301" s="91">
        <v>67</v>
      </c>
      <c r="H1301" s="92">
        <v>60</v>
      </c>
    </row>
    <row r="1302" spans="1:8" ht="15" x14ac:dyDescent="0.2">
      <c r="A1302" s="89" t="s">
        <v>5688</v>
      </c>
      <c r="B1302" s="89" t="s">
        <v>5690</v>
      </c>
      <c r="C1302" s="89" t="s">
        <v>7850</v>
      </c>
      <c r="D1302" s="278" t="str">
        <f>VLOOKUP(A:A,'Master Table'!C:D,2,FALSE)</f>
        <v>1226</v>
      </c>
      <c r="E1302" s="314"/>
      <c r="F1302" s="90">
        <v>930.9</v>
      </c>
      <c r="G1302" s="91">
        <v>1014.14</v>
      </c>
      <c r="H1302" s="92">
        <v>76</v>
      </c>
    </row>
    <row r="1303" spans="1:8" ht="15" x14ac:dyDescent="0.2">
      <c r="A1303" s="89" t="s">
        <v>5691</v>
      </c>
      <c r="B1303" s="89" t="s">
        <v>5694</v>
      </c>
      <c r="C1303" s="89" t="s">
        <v>839</v>
      </c>
      <c r="D1303" s="278" t="str">
        <f>VLOOKUP(A:A,'Master Table'!C:D,2,FALSE)</f>
        <v>1227</v>
      </c>
      <c r="E1303" s="314"/>
      <c r="F1303" s="90">
        <v>471.66</v>
      </c>
      <c r="G1303" s="91">
        <v>701.44</v>
      </c>
      <c r="H1303" s="92">
        <v>559.24</v>
      </c>
    </row>
    <row r="1304" spans="1:8" ht="15" x14ac:dyDescent="0.2">
      <c r="A1304" s="89" t="s">
        <v>5695</v>
      </c>
      <c r="B1304" s="89" t="s">
        <v>5697</v>
      </c>
      <c r="C1304" s="89" t="s">
        <v>532</v>
      </c>
      <c r="D1304" s="278" t="str">
        <f>VLOOKUP(A:A,'Master Table'!C:D,2,FALSE)</f>
        <v>1228</v>
      </c>
      <c r="E1304" s="314"/>
      <c r="F1304" s="90">
        <v>1260</v>
      </c>
      <c r="G1304" s="91">
        <v>1445</v>
      </c>
      <c r="H1304" s="92">
        <v>1240</v>
      </c>
    </row>
    <row r="1305" spans="1:8" ht="15" x14ac:dyDescent="0.2">
      <c r="A1305" s="89" t="s">
        <v>5698</v>
      </c>
      <c r="B1305" s="89" t="s">
        <v>5701</v>
      </c>
      <c r="C1305" s="89" t="s">
        <v>3715</v>
      </c>
      <c r="D1305" s="278" t="str">
        <f>VLOOKUP(A:A,'Master Table'!C:D,2,FALSE)</f>
        <v>1229</v>
      </c>
      <c r="E1305" s="314"/>
      <c r="F1305" s="90">
        <v>715.69</v>
      </c>
      <c r="G1305" s="91">
        <v>455</v>
      </c>
      <c r="H1305" s="92">
        <v>523.46</v>
      </c>
    </row>
    <row r="1306" spans="1:8" ht="15" x14ac:dyDescent="0.2">
      <c r="A1306" s="89" t="s">
        <v>5702</v>
      </c>
      <c r="B1306" s="89" t="s">
        <v>5705</v>
      </c>
      <c r="C1306" s="89" t="s">
        <v>7851</v>
      </c>
      <c r="D1306" s="278" t="str">
        <f>VLOOKUP(A:A,'Master Table'!C:D,2,FALSE)</f>
        <v>1230</v>
      </c>
      <c r="E1306" s="314"/>
      <c r="F1306" s="90">
        <v>1411.33</v>
      </c>
      <c r="G1306" s="91">
        <v>1078.54</v>
      </c>
      <c r="H1306" s="92">
        <v>870.92000000000007</v>
      </c>
    </row>
    <row r="1307" spans="1:8" ht="15" x14ac:dyDescent="0.2">
      <c r="A1307" s="89" t="s">
        <v>5710</v>
      </c>
      <c r="B1307" s="89" t="s">
        <v>5713</v>
      </c>
      <c r="C1307" s="89" t="s">
        <v>7852</v>
      </c>
      <c r="D1307" s="278" t="str">
        <f>VLOOKUP(A:A,'Master Table'!C:D,2,FALSE)</f>
        <v>1231</v>
      </c>
      <c r="E1307" s="314"/>
      <c r="F1307" s="90">
        <v>1044.31</v>
      </c>
      <c r="G1307" s="91">
        <v>1330.01</v>
      </c>
      <c r="H1307" s="92">
        <v>1040.8700000000001</v>
      </c>
    </row>
    <row r="1308" spans="1:8" ht="15" x14ac:dyDescent="0.2">
      <c r="A1308" s="89" t="s">
        <v>5714</v>
      </c>
      <c r="B1308" s="89" t="s">
        <v>5717</v>
      </c>
      <c r="C1308" s="89" t="s">
        <v>5716</v>
      </c>
      <c r="D1308" s="278" t="str">
        <f>VLOOKUP(A:A,'Master Table'!C:D,2,FALSE)</f>
        <v>1232</v>
      </c>
      <c r="E1308" s="314"/>
      <c r="F1308" s="90">
        <v>1602.53</v>
      </c>
      <c r="G1308" s="91">
        <v>1215</v>
      </c>
      <c r="H1308" s="92">
        <v>1310</v>
      </c>
    </row>
    <row r="1309" spans="1:8" ht="15" x14ac:dyDescent="0.2">
      <c r="A1309" s="89" t="s">
        <v>5718</v>
      </c>
      <c r="B1309" s="89" t="s">
        <v>7853</v>
      </c>
      <c r="C1309" s="89" t="s">
        <v>5563</v>
      </c>
      <c r="D1309" s="278" t="str">
        <f>VLOOKUP(A:A,'Master Table'!C:D,2,FALSE)</f>
        <v>1233</v>
      </c>
      <c r="E1309" s="314"/>
      <c r="F1309" s="90">
        <v>1016.6099999999999</v>
      </c>
      <c r="G1309" s="91">
        <v>1228.98</v>
      </c>
      <c r="H1309" s="92">
        <v>1401.03</v>
      </c>
    </row>
    <row r="1310" spans="1:8" ht="15" x14ac:dyDescent="0.2">
      <c r="A1310" s="89" t="s">
        <v>5722</v>
      </c>
      <c r="B1310" s="89" t="s">
        <v>5724</v>
      </c>
      <c r="C1310" s="89" t="s">
        <v>3659</v>
      </c>
      <c r="D1310" s="278" t="str">
        <f>VLOOKUP(A:A,'Master Table'!C:D,2,FALSE)</f>
        <v>1234</v>
      </c>
      <c r="E1310" s="314"/>
      <c r="F1310" s="90">
        <v>5708.12</v>
      </c>
      <c r="G1310" s="91">
        <v>5203.04</v>
      </c>
      <c r="H1310" s="92">
        <v>5411.37</v>
      </c>
    </row>
    <row r="1311" spans="1:8" ht="15" x14ac:dyDescent="0.2">
      <c r="A1311" s="89" t="s">
        <v>5729</v>
      </c>
      <c r="B1311" s="89" t="s">
        <v>5724</v>
      </c>
      <c r="C1311" s="89" t="s">
        <v>7854</v>
      </c>
      <c r="D1311" s="278" t="str">
        <f>VLOOKUP(A:A,'Master Table'!C:D,2,FALSE)</f>
        <v>1235</v>
      </c>
      <c r="E1311" s="314"/>
      <c r="F1311" s="90">
        <v>750.4</v>
      </c>
      <c r="G1311" s="91">
        <v>1167.97</v>
      </c>
      <c r="H1311" s="92">
        <v>947.71</v>
      </c>
    </row>
    <row r="1312" spans="1:8" ht="15" x14ac:dyDescent="0.2">
      <c r="A1312" s="89" t="s">
        <v>5733</v>
      </c>
      <c r="B1312" s="89" t="s">
        <v>5735</v>
      </c>
      <c r="C1312" s="89" t="s">
        <v>78</v>
      </c>
      <c r="D1312" s="278" t="str">
        <f>VLOOKUP(A:A,'Master Table'!C:D,2,FALSE)</f>
        <v>1236</v>
      </c>
      <c r="E1312" s="314"/>
      <c r="F1312" s="90">
        <v>3427.96</v>
      </c>
      <c r="G1312" s="91">
        <v>3614.81</v>
      </c>
      <c r="H1312" s="92">
        <v>3496.9500000000003</v>
      </c>
    </row>
    <row r="1313" spans="1:8" ht="15" x14ac:dyDescent="0.2">
      <c r="A1313" s="89" t="s">
        <v>5736</v>
      </c>
      <c r="B1313" s="89" t="s">
        <v>5738</v>
      </c>
      <c r="C1313" s="89" t="s">
        <v>7511</v>
      </c>
      <c r="D1313" s="278" t="str">
        <f>VLOOKUP(A:A,'Master Table'!C:D,2,FALSE)</f>
        <v>1237</v>
      </c>
      <c r="E1313" s="314"/>
      <c r="F1313" s="90">
        <v>935.53</v>
      </c>
      <c r="G1313" s="91">
        <v>740.35</v>
      </c>
      <c r="H1313" s="92">
        <v>836.38</v>
      </c>
    </row>
    <row r="1314" spans="1:8" ht="15" x14ac:dyDescent="0.2">
      <c r="A1314" s="89" t="s">
        <v>5740</v>
      </c>
      <c r="B1314" s="89" t="s">
        <v>5743</v>
      </c>
      <c r="C1314" s="89" t="s">
        <v>2667</v>
      </c>
      <c r="D1314" s="278" t="str">
        <f>VLOOKUP(A:A,'Master Table'!C:D,2,FALSE)</f>
        <v>1238</v>
      </c>
      <c r="E1314" s="314"/>
      <c r="F1314" s="90">
        <v>1142.72</v>
      </c>
      <c r="G1314" s="91">
        <v>1161.21</v>
      </c>
      <c r="H1314" s="92">
        <v>885</v>
      </c>
    </row>
    <row r="1315" spans="1:8" ht="15" x14ac:dyDescent="0.2">
      <c r="A1315" s="89" t="s">
        <v>5745</v>
      </c>
      <c r="B1315" s="89" t="s">
        <v>5748</v>
      </c>
      <c r="C1315" s="89" t="s">
        <v>2530</v>
      </c>
      <c r="D1315" s="278" t="str">
        <f>VLOOKUP(A:A,'Master Table'!C:D,2,FALSE)</f>
        <v>1239</v>
      </c>
      <c r="E1315" s="314"/>
      <c r="F1315" s="90">
        <v>946.93</v>
      </c>
      <c r="G1315" s="91">
        <v>1318.54</v>
      </c>
      <c r="H1315" s="92">
        <v>1217.95</v>
      </c>
    </row>
    <row r="1316" spans="1:8" ht="15" x14ac:dyDescent="0.2">
      <c r="A1316" s="89" t="s">
        <v>5750</v>
      </c>
      <c r="B1316" s="89" t="s">
        <v>7855</v>
      </c>
      <c r="C1316" s="89" t="s">
        <v>453</v>
      </c>
      <c r="D1316" s="278" t="str">
        <f>VLOOKUP(A:A,'Master Table'!C:D,2,FALSE)</f>
        <v>1240</v>
      </c>
      <c r="E1316" s="314"/>
      <c r="F1316" s="90">
        <v>678</v>
      </c>
      <c r="G1316" s="91">
        <v>1202</v>
      </c>
      <c r="H1316" s="92">
        <v>824.47</v>
      </c>
    </row>
    <row r="1317" spans="1:8" ht="15" x14ac:dyDescent="0.2">
      <c r="A1317" s="89" t="s">
        <v>5754</v>
      </c>
      <c r="B1317" s="89" t="s">
        <v>5756</v>
      </c>
      <c r="C1317" s="89" t="s">
        <v>7847</v>
      </c>
      <c r="D1317" s="278" t="str">
        <f>VLOOKUP(A:A,'Master Table'!C:D,2,FALSE)</f>
        <v>1241</v>
      </c>
      <c r="E1317" s="314"/>
      <c r="F1317" s="90">
        <v>190</v>
      </c>
      <c r="G1317" s="91">
        <v>120</v>
      </c>
      <c r="H1317" s="92">
        <v>65</v>
      </c>
    </row>
    <row r="1318" spans="1:8" ht="15" x14ac:dyDescent="0.2">
      <c r="A1318" s="89" t="s">
        <v>5757</v>
      </c>
      <c r="B1318" s="89" t="s">
        <v>5759</v>
      </c>
      <c r="C1318" s="89" t="s">
        <v>476</v>
      </c>
      <c r="D1318" s="278" t="str">
        <f>VLOOKUP(A:A,'Master Table'!C:D,2,FALSE)</f>
        <v>1242</v>
      </c>
      <c r="E1318" s="314"/>
      <c r="F1318" s="90">
        <v>957</v>
      </c>
      <c r="G1318" s="91">
        <v>922</v>
      </c>
      <c r="H1318" s="92">
        <v>1178</v>
      </c>
    </row>
    <row r="1319" spans="1:8" ht="15" x14ac:dyDescent="0.2">
      <c r="A1319" s="89" t="s">
        <v>5760</v>
      </c>
      <c r="B1319" s="89" t="s">
        <v>5762</v>
      </c>
      <c r="C1319" s="89" t="s">
        <v>3436</v>
      </c>
      <c r="D1319" s="278" t="str">
        <f>VLOOKUP(A:A,'Master Table'!C:D,2,FALSE)</f>
        <v>1243</v>
      </c>
      <c r="E1319" s="314"/>
      <c r="F1319" s="90">
        <v>88</v>
      </c>
      <c r="G1319" s="91">
        <v>341</v>
      </c>
      <c r="H1319" s="92">
        <v>143</v>
      </c>
    </row>
    <row r="1320" spans="1:8" ht="15" x14ac:dyDescent="0.2">
      <c r="A1320" s="89" t="s">
        <v>5763</v>
      </c>
      <c r="B1320" s="89" t="s">
        <v>5766</v>
      </c>
      <c r="C1320" s="89" t="s">
        <v>2663</v>
      </c>
      <c r="D1320" s="278" t="str">
        <f>VLOOKUP(A:A,'Master Table'!C:D,2,FALSE)</f>
        <v>1244</v>
      </c>
      <c r="E1320" s="314"/>
      <c r="F1320" s="90">
        <v>1440</v>
      </c>
      <c r="G1320" s="91">
        <v>512.6</v>
      </c>
      <c r="H1320" s="92">
        <v>295</v>
      </c>
    </row>
    <row r="1321" spans="1:8" ht="15" x14ac:dyDescent="0.2">
      <c r="A1321" s="89" t="s">
        <v>5767</v>
      </c>
      <c r="B1321" s="89" t="s">
        <v>5770</v>
      </c>
      <c r="C1321" s="89" t="s">
        <v>5133</v>
      </c>
      <c r="D1321" s="278" t="str">
        <f>VLOOKUP(A:A,'Master Table'!C:D,2,FALSE)</f>
        <v>1245</v>
      </c>
      <c r="E1321" s="314"/>
      <c r="F1321" s="90">
        <v>480</v>
      </c>
      <c r="G1321" s="91">
        <v>490</v>
      </c>
      <c r="H1321" s="92">
        <v>210</v>
      </c>
    </row>
    <row r="1322" spans="1:8" ht="15" x14ac:dyDescent="0.2">
      <c r="A1322" s="89" t="s">
        <v>5771</v>
      </c>
      <c r="B1322" s="89" t="s">
        <v>5770</v>
      </c>
      <c r="C1322" s="89" t="s">
        <v>1087</v>
      </c>
      <c r="D1322" s="278" t="str">
        <f>VLOOKUP(A:A,'Master Table'!C:D,2,FALSE)</f>
        <v>1246</v>
      </c>
      <c r="E1322" s="314"/>
      <c r="F1322" s="90">
        <v>85</v>
      </c>
      <c r="G1322" s="91">
        <v>45</v>
      </c>
      <c r="H1322" s="92">
        <v>195</v>
      </c>
    </row>
    <row r="1323" spans="1:8" ht="15" x14ac:dyDescent="0.2">
      <c r="A1323" s="89" t="s">
        <v>5774</v>
      </c>
      <c r="B1323" s="89" t="s">
        <v>5492</v>
      </c>
      <c r="C1323" s="89" t="s">
        <v>1376</v>
      </c>
      <c r="D1323" s="278" t="str">
        <f>VLOOKUP(A:A,'Master Table'!C:D,2,FALSE)</f>
        <v>1247</v>
      </c>
      <c r="E1323" s="314"/>
      <c r="F1323" s="90">
        <v>310</v>
      </c>
      <c r="G1323" s="91">
        <v>280</v>
      </c>
      <c r="H1323" s="92">
        <v>575</v>
      </c>
    </row>
    <row r="1324" spans="1:8" ht="15" x14ac:dyDescent="0.2">
      <c r="A1324" s="89" t="s">
        <v>5776</v>
      </c>
      <c r="B1324" s="89" t="s">
        <v>99</v>
      </c>
      <c r="C1324" s="89" t="s">
        <v>5108</v>
      </c>
      <c r="D1324" s="278" t="str">
        <f>VLOOKUP(A:A,'Master Table'!C:D,2,FALSE)</f>
        <v>1248</v>
      </c>
      <c r="E1324" s="314"/>
      <c r="F1324" s="90">
        <v>856.64</v>
      </c>
      <c r="G1324" s="91">
        <v>1010.5</v>
      </c>
      <c r="H1324" s="92">
        <v>1188.8600000000001</v>
      </c>
    </row>
    <row r="1325" spans="1:8" ht="15" x14ac:dyDescent="0.2">
      <c r="A1325" s="89" t="s">
        <v>5779</v>
      </c>
      <c r="B1325" s="89" t="s">
        <v>5781</v>
      </c>
      <c r="C1325" s="89" t="s">
        <v>3222</v>
      </c>
      <c r="D1325" s="278" t="str">
        <f>VLOOKUP(A:A,'Master Table'!C:D,2,FALSE)</f>
        <v>1249</v>
      </c>
      <c r="E1325" s="314"/>
      <c r="F1325" s="90">
        <v>115</v>
      </c>
      <c r="G1325" s="91">
        <v>105</v>
      </c>
      <c r="H1325" s="92">
        <v>105</v>
      </c>
    </row>
    <row r="1326" spans="1:8" ht="15" x14ac:dyDescent="0.2">
      <c r="A1326" s="89" t="s">
        <v>5786</v>
      </c>
      <c r="B1326" s="89" t="s">
        <v>5789</v>
      </c>
      <c r="C1326" s="89" t="s">
        <v>783</v>
      </c>
      <c r="D1326" s="278" t="str">
        <f>VLOOKUP(A:A,'Master Table'!C:D,2,FALSE)</f>
        <v>1250</v>
      </c>
      <c r="E1326" s="314"/>
      <c r="F1326" s="90">
        <v>1110.0999999999999</v>
      </c>
      <c r="G1326" s="91">
        <v>1085</v>
      </c>
      <c r="H1326" s="92">
        <v>400.1</v>
      </c>
    </row>
    <row r="1327" spans="1:8" ht="15" x14ac:dyDescent="0.2">
      <c r="A1327" s="89" t="s">
        <v>5790</v>
      </c>
      <c r="B1327" s="89" t="s">
        <v>5793</v>
      </c>
      <c r="C1327" s="89" t="s">
        <v>532</v>
      </c>
      <c r="D1327" s="278" t="str">
        <f>VLOOKUP(A:A,'Master Table'!C:D,2,FALSE)</f>
        <v>1251</v>
      </c>
      <c r="E1327" s="314"/>
      <c r="F1327" s="90">
        <v>1712.23</v>
      </c>
      <c r="G1327" s="91">
        <v>1578.03</v>
      </c>
      <c r="H1327" s="92">
        <v>1402.04</v>
      </c>
    </row>
    <row r="1328" spans="1:8" ht="15" x14ac:dyDescent="0.2">
      <c r="A1328" s="89" t="s">
        <v>5794</v>
      </c>
      <c r="B1328" s="89" t="s">
        <v>5797</v>
      </c>
      <c r="C1328" s="89" t="s">
        <v>5796</v>
      </c>
      <c r="D1328" s="278" t="str">
        <f>VLOOKUP(A:A,'Master Table'!C:D,2,FALSE)</f>
        <v>1252</v>
      </c>
      <c r="E1328" s="314"/>
      <c r="F1328" s="90">
        <v>1023.22</v>
      </c>
      <c r="G1328" s="91">
        <v>1055</v>
      </c>
      <c r="H1328" s="92">
        <v>1219</v>
      </c>
    </row>
    <row r="1329" spans="1:8" ht="15" x14ac:dyDescent="0.2">
      <c r="A1329" s="89" t="s">
        <v>5798</v>
      </c>
      <c r="B1329" s="89" t="s">
        <v>3000</v>
      </c>
      <c r="C1329" s="89" t="s">
        <v>5800</v>
      </c>
      <c r="D1329" s="278" t="str">
        <f>VLOOKUP(A:A,'Master Table'!C:D,2,FALSE)</f>
        <v>1253</v>
      </c>
      <c r="E1329" s="314"/>
      <c r="F1329" s="90">
        <v>2615.41</v>
      </c>
      <c r="G1329" s="91">
        <v>2262</v>
      </c>
      <c r="H1329" s="92">
        <v>2502.91</v>
      </c>
    </row>
    <row r="1330" spans="1:8" ht="15" x14ac:dyDescent="0.2">
      <c r="A1330" s="89" t="s">
        <v>5801</v>
      </c>
      <c r="B1330" s="89" t="s">
        <v>5803</v>
      </c>
      <c r="C1330" s="89" t="s">
        <v>231</v>
      </c>
      <c r="D1330" s="278" t="str">
        <f>VLOOKUP(A:A,'Master Table'!C:D,2,FALSE)</f>
        <v>1254</v>
      </c>
      <c r="E1330" s="314"/>
      <c r="F1330" s="90">
        <v>421.52</v>
      </c>
      <c r="G1330" s="91">
        <v>851</v>
      </c>
      <c r="H1330" s="92">
        <v>911.52</v>
      </c>
    </row>
    <row r="1331" spans="1:8" ht="15" x14ac:dyDescent="0.2">
      <c r="A1331" s="89" t="s">
        <v>5808</v>
      </c>
      <c r="B1331" s="89" t="s">
        <v>5810</v>
      </c>
      <c r="C1331" s="89" t="s">
        <v>164</v>
      </c>
      <c r="D1331" s="278" t="str">
        <f>VLOOKUP(A:A,'Master Table'!C:D,2,FALSE)</f>
        <v>1255</v>
      </c>
      <c r="E1331" s="314"/>
      <c r="F1331" s="90">
        <v>742</v>
      </c>
      <c r="G1331" s="91">
        <v>665</v>
      </c>
      <c r="H1331" s="92">
        <v>1086</v>
      </c>
    </row>
    <row r="1332" spans="1:8" ht="15" x14ac:dyDescent="0.2">
      <c r="A1332" s="89" t="s">
        <v>5811</v>
      </c>
      <c r="B1332" s="89" t="s">
        <v>5813</v>
      </c>
      <c r="C1332" s="89" t="s">
        <v>2667</v>
      </c>
      <c r="D1332" s="278" t="str">
        <f>VLOOKUP(A:A,'Master Table'!C:D,2,FALSE)</f>
        <v>1256</v>
      </c>
      <c r="E1332" s="314"/>
      <c r="F1332" s="90">
        <v>3274.92</v>
      </c>
      <c r="G1332" s="91">
        <v>3012</v>
      </c>
      <c r="H1332" s="92">
        <v>2680.63</v>
      </c>
    </row>
    <row r="1333" spans="1:8" ht="15" x14ac:dyDescent="0.2">
      <c r="A1333" s="89" t="s">
        <v>5817</v>
      </c>
      <c r="B1333" s="89" t="s">
        <v>5819</v>
      </c>
      <c r="C1333" s="89" t="s">
        <v>119</v>
      </c>
      <c r="D1333" s="278" t="str">
        <f>VLOOKUP(A:A,'Master Table'!C:D,2,FALSE)</f>
        <v>1257</v>
      </c>
      <c r="E1333" s="314"/>
      <c r="F1333" s="90">
        <v>86.26</v>
      </c>
      <c r="G1333" s="91">
        <v>189</v>
      </c>
      <c r="H1333" s="92">
        <v>150</v>
      </c>
    </row>
    <row r="1334" spans="1:8" ht="15" x14ac:dyDescent="0.2">
      <c r="A1334" s="89" t="s">
        <v>5820</v>
      </c>
      <c r="B1334" s="89" t="s">
        <v>5819</v>
      </c>
      <c r="C1334" s="89" t="s">
        <v>532</v>
      </c>
      <c r="D1334" s="278" t="str">
        <f>VLOOKUP(A:A,'Master Table'!C:D,2,FALSE)</f>
        <v>1259</v>
      </c>
      <c r="E1334" s="314"/>
      <c r="F1334" s="90">
        <v>180</v>
      </c>
      <c r="G1334" s="91">
        <v>200</v>
      </c>
      <c r="H1334" s="92">
        <v>60</v>
      </c>
    </row>
    <row r="1335" spans="1:8" ht="15" x14ac:dyDescent="0.2">
      <c r="A1335" s="89" t="s">
        <v>5822</v>
      </c>
      <c r="B1335" s="89" t="s">
        <v>5825</v>
      </c>
      <c r="C1335" s="89" t="s">
        <v>5824</v>
      </c>
      <c r="D1335" s="278" t="str">
        <f>VLOOKUP(A:A,'Master Table'!C:D,2,FALSE)</f>
        <v>1260</v>
      </c>
      <c r="E1335" s="314"/>
      <c r="F1335" s="90">
        <v>809.25</v>
      </c>
      <c r="G1335" s="91">
        <v>855.39</v>
      </c>
      <c r="H1335" s="92">
        <v>906.82</v>
      </c>
    </row>
    <row r="1336" spans="1:8" ht="15" x14ac:dyDescent="0.2">
      <c r="A1336" s="89" t="s">
        <v>5826</v>
      </c>
      <c r="B1336" s="89" t="s">
        <v>5828</v>
      </c>
      <c r="C1336" s="89" t="s">
        <v>198</v>
      </c>
      <c r="D1336" s="278" t="str">
        <f>VLOOKUP(A:A,'Master Table'!C:D,2,FALSE)</f>
        <v>1261</v>
      </c>
      <c r="E1336" s="314"/>
      <c r="F1336" s="90">
        <v>647.24</v>
      </c>
      <c r="G1336" s="91">
        <v>716</v>
      </c>
      <c r="H1336" s="92">
        <v>885.78</v>
      </c>
    </row>
    <row r="1337" spans="1:8" ht="15" x14ac:dyDescent="0.2">
      <c r="A1337" s="89" t="s">
        <v>5829</v>
      </c>
      <c r="B1337" s="89" t="s">
        <v>5831</v>
      </c>
      <c r="C1337" s="89" t="s">
        <v>1696</v>
      </c>
      <c r="D1337" s="278" t="str">
        <f>VLOOKUP(A:A,'Master Table'!C:D,2,FALSE)</f>
        <v>1263</v>
      </c>
      <c r="E1337" s="314"/>
      <c r="F1337" s="90">
        <v>2697.66</v>
      </c>
      <c r="G1337" s="91">
        <v>2385.7600000000002</v>
      </c>
      <c r="H1337" s="92">
        <v>2729.7400000000002</v>
      </c>
    </row>
    <row r="1338" spans="1:8" ht="15" x14ac:dyDescent="0.2">
      <c r="A1338" s="89" t="s">
        <v>5833</v>
      </c>
      <c r="B1338" s="89" t="s">
        <v>5835</v>
      </c>
      <c r="C1338" s="89" t="s">
        <v>3574</v>
      </c>
      <c r="D1338" s="278" t="str">
        <f>VLOOKUP(A:A,'Master Table'!C:D,2,FALSE)</f>
        <v>1264</v>
      </c>
      <c r="E1338" s="314"/>
      <c r="F1338" s="90">
        <v>1320</v>
      </c>
      <c r="G1338" s="91">
        <v>520</v>
      </c>
      <c r="H1338" s="92">
        <v>584.58000000000004</v>
      </c>
    </row>
    <row r="1339" spans="1:8" ht="15" x14ac:dyDescent="0.2">
      <c r="A1339" s="89" t="s">
        <v>5836</v>
      </c>
      <c r="B1339" s="89" t="s">
        <v>5838</v>
      </c>
      <c r="C1339" s="89" t="s">
        <v>2759</v>
      </c>
      <c r="D1339" s="278" t="str">
        <f>VLOOKUP(A:A,'Master Table'!C:D,2,FALSE)</f>
        <v>1265</v>
      </c>
      <c r="E1339" s="314"/>
      <c r="F1339" s="90">
        <v>479.86</v>
      </c>
      <c r="G1339" s="91">
        <v>504.26</v>
      </c>
      <c r="H1339" s="92">
        <v>478.74</v>
      </c>
    </row>
    <row r="1340" spans="1:8" ht="15" x14ac:dyDescent="0.2">
      <c r="A1340" s="89" t="s">
        <v>5839</v>
      </c>
      <c r="B1340" s="89" t="s">
        <v>4863</v>
      </c>
      <c r="C1340" s="89" t="s">
        <v>7856</v>
      </c>
      <c r="D1340" s="278" t="str">
        <f>VLOOKUP(A:A,'Master Table'!C:D,2,FALSE)</f>
        <v>1266</v>
      </c>
      <c r="E1340" s="314"/>
      <c r="F1340" s="90">
        <v>1004.7</v>
      </c>
      <c r="G1340" s="91">
        <v>1036.55</v>
      </c>
      <c r="H1340" s="92">
        <v>1470.1000000000001</v>
      </c>
    </row>
    <row r="1341" spans="1:8" ht="15" x14ac:dyDescent="0.2">
      <c r="A1341" s="89" t="s">
        <v>5848</v>
      </c>
      <c r="B1341" s="89" t="s">
        <v>5851</v>
      </c>
      <c r="C1341" s="89" t="s">
        <v>7857</v>
      </c>
      <c r="D1341" s="278" t="str">
        <f>VLOOKUP(A:A,'Master Table'!C:D,2,FALSE)</f>
        <v>1268</v>
      </c>
      <c r="E1341" s="314"/>
      <c r="F1341" s="90">
        <v>441.27</v>
      </c>
      <c r="G1341" s="91">
        <v>572.52</v>
      </c>
      <c r="H1341" s="92">
        <v>564.74</v>
      </c>
    </row>
    <row r="1342" spans="1:8" ht="15" x14ac:dyDescent="0.2">
      <c r="A1342" s="89" t="s">
        <v>5852</v>
      </c>
      <c r="B1342" s="89" t="s">
        <v>5854</v>
      </c>
      <c r="C1342" s="89" t="s">
        <v>2578</v>
      </c>
      <c r="D1342" s="278" t="str">
        <f>VLOOKUP(A:A,'Master Table'!C:D,2,FALSE)</f>
        <v>1269</v>
      </c>
      <c r="E1342" s="314"/>
      <c r="F1342" s="90">
        <v>299.24</v>
      </c>
      <c r="G1342" s="91">
        <v>583.05999999999995</v>
      </c>
      <c r="H1342" s="92">
        <v>751.66</v>
      </c>
    </row>
    <row r="1343" spans="1:8" ht="15" x14ac:dyDescent="0.2">
      <c r="A1343" s="89" t="s">
        <v>5855</v>
      </c>
      <c r="B1343" s="89" t="s">
        <v>5857</v>
      </c>
      <c r="C1343" s="89" t="s">
        <v>5138</v>
      </c>
      <c r="D1343" s="278" t="str">
        <f>VLOOKUP(A:A,'Master Table'!C:D,2,FALSE)</f>
        <v>1270</v>
      </c>
      <c r="E1343" s="314"/>
      <c r="F1343" s="90">
        <v>110</v>
      </c>
      <c r="G1343" s="91">
        <v>337</v>
      </c>
      <c r="H1343" s="92">
        <v>324.45</v>
      </c>
    </row>
    <row r="1344" spans="1:8" ht="15" x14ac:dyDescent="0.2">
      <c r="A1344" s="89" t="s">
        <v>5858</v>
      </c>
      <c r="B1344" s="89" t="s">
        <v>6115</v>
      </c>
      <c r="C1344" s="89" t="s">
        <v>4476</v>
      </c>
      <c r="D1344" s="278" t="str">
        <f>VLOOKUP(A:A,'Master Table'!C:D,2,FALSE)</f>
        <v>1271</v>
      </c>
      <c r="E1344" s="314"/>
      <c r="F1344" s="90">
        <v>1221.45</v>
      </c>
      <c r="G1344" s="91">
        <v>1466.91</v>
      </c>
      <c r="H1344" s="92">
        <v>1381.8600000000001</v>
      </c>
    </row>
    <row r="1345" spans="1:8" ht="15" x14ac:dyDescent="0.2">
      <c r="A1345" s="89" t="s">
        <v>5862</v>
      </c>
      <c r="B1345" s="89" t="s">
        <v>5865</v>
      </c>
      <c r="C1345" s="89" t="s">
        <v>7858</v>
      </c>
      <c r="D1345" s="278" t="str">
        <f>VLOOKUP(A:A,'Master Table'!C:D,2,FALSE)</f>
        <v>1272</v>
      </c>
      <c r="E1345" s="314"/>
      <c r="F1345" s="90">
        <v>397.77</v>
      </c>
      <c r="G1345" s="91">
        <v>262.61</v>
      </c>
      <c r="H1345" s="92">
        <v>785.11</v>
      </c>
    </row>
    <row r="1346" spans="1:8" ht="15" x14ac:dyDescent="0.2">
      <c r="A1346" s="89" t="s">
        <v>5866</v>
      </c>
      <c r="B1346" s="89" t="s">
        <v>5868</v>
      </c>
      <c r="C1346" s="89" t="s">
        <v>1203</v>
      </c>
      <c r="D1346" s="278" t="str">
        <f>VLOOKUP(A:A,'Master Table'!C:D,2,FALSE)</f>
        <v>1273</v>
      </c>
      <c r="E1346" s="314"/>
      <c r="F1346" s="90">
        <v>2241.91</v>
      </c>
      <c r="G1346" s="91">
        <v>2148.1999999999998</v>
      </c>
      <c r="H1346" s="92">
        <v>1941.03</v>
      </c>
    </row>
    <row r="1347" spans="1:8" ht="15" x14ac:dyDescent="0.2">
      <c r="A1347" s="89" t="s">
        <v>5869</v>
      </c>
      <c r="B1347" s="89" t="s">
        <v>5872</v>
      </c>
      <c r="C1347" s="89" t="s">
        <v>5871</v>
      </c>
      <c r="D1347" s="278" t="str">
        <f>VLOOKUP(A:A,'Master Table'!C:D,2,FALSE)</f>
        <v>1274</v>
      </c>
      <c r="E1347" s="314"/>
      <c r="F1347" s="90">
        <v>766.49</v>
      </c>
      <c r="G1347" s="91">
        <v>1126.7</v>
      </c>
      <c r="H1347" s="92">
        <v>780</v>
      </c>
    </row>
    <row r="1348" spans="1:8" ht="15" x14ac:dyDescent="0.2">
      <c r="A1348" s="89" t="s">
        <v>5873</v>
      </c>
      <c r="B1348" s="89" t="s">
        <v>5876</v>
      </c>
      <c r="C1348" s="89" t="s">
        <v>5152</v>
      </c>
      <c r="D1348" s="278" t="str">
        <f>VLOOKUP(A:A,'Master Table'!C:D,2,FALSE)</f>
        <v>1275</v>
      </c>
      <c r="E1348" s="314"/>
      <c r="F1348" s="90">
        <v>858.4</v>
      </c>
      <c r="G1348" s="91">
        <v>1381.46</v>
      </c>
      <c r="H1348" s="92">
        <v>1219.0899999999999</v>
      </c>
    </row>
    <row r="1349" spans="1:8" ht="15" x14ac:dyDescent="0.2">
      <c r="A1349" s="89" t="s">
        <v>5889</v>
      </c>
      <c r="B1349" s="89" t="s">
        <v>5892</v>
      </c>
      <c r="C1349" s="89" t="s">
        <v>7859</v>
      </c>
      <c r="D1349" s="278" t="str">
        <f>VLOOKUP(A:A,'Master Table'!C:D,2,FALSE)</f>
        <v>1277</v>
      </c>
      <c r="E1349" s="314"/>
      <c r="F1349" s="90">
        <v>1032.6599999999999</v>
      </c>
      <c r="G1349" s="91">
        <v>1185.19</v>
      </c>
      <c r="H1349" s="92">
        <v>1201.95</v>
      </c>
    </row>
    <row r="1350" spans="1:8" ht="15" x14ac:dyDescent="0.2">
      <c r="A1350" s="89" t="s">
        <v>5893</v>
      </c>
      <c r="B1350" s="89" t="s">
        <v>5895</v>
      </c>
      <c r="C1350" s="89" t="s">
        <v>2578</v>
      </c>
      <c r="D1350" s="278" t="str">
        <f>VLOOKUP(A:A,'Master Table'!C:D,2,FALSE)</f>
        <v>1278</v>
      </c>
      <c r="E1350" s="314"/>
      <c r="F1350" s="90">
        <v>3689.49</v>
      </c>
      <c r="G1350" s="91">
        <v>3922.64</v>
      </c>
      <c r="H1350" s="92">
        <v>4145.08</v>
      </c>
    </row>
    <row r="1351" spans="1:8" ht="15" x14ac:dyDescent="0.2">
      <c r="A1351" s="89" t="s">
        <v>5896</v>
      </c>
      <c r="B1351" s="89" t="s">
        <v>5898</v>
      </c>
      <c r="C1351" s="89" t="s">
        <v>942</v>
      </c>
      <c r="D1351" s="278" t="str">
        <f>VLOOKUP(A:A,'Master Table'!C:D,2,FALSE)</f>
        <v>1280</v>
      </c>
      <c r="E1351" s="314"/>
      <c r="F1351" s="90">
        <v>5</v>
      </c>
      <c r="G1351" s="91">
        <v>44.23</v>
      </c>
      <c r="H1351" s="92">
        <v>524.33000000000004</v>
      </c>
    </row>
    <row r="1352" spans="1:8" ht="15" x14ac:dyDescent="0.2">
      <c r="A1352" s="89" t="s">
        <v>5899</v>
      </c>
      <c r="B1352" s="89" t="s">
        <v>5901</v>
      </c>
      <c r="C1352" s="89" t="s">
        <v>7860</v>
      </c>
      <c r="D1352" s="278" t="str">
        <f>VLOOKUP(A:A,'Master Table'!C:D,2,FALSE)</f>
        <v>1281</v>
      </c>
      <c r="E1352" s="314"/>
      <c r="F1352" s="90">
        <v>242.26</v>
      </c>
      <c r="G1352" s="91">
        <v>374</v>
      </c>
      <c r="H1352" s="92">
        <v>270</v>
      </c>
    </row>
    <row r="1353" spans="1:8" ht="15" x14ac:dyDescent="0.2">
      <c r="A1353" s="89" t="s">
        <v>5905</v>
      </c>
      <c r="B1353" s="89" t="s">
        <v>5907</v>
      </c>
      <c r="C1353" s="89" t="s">
        <v>934</v>
      </c>
      <c r="D1353" s="278" t="str">
        <f>VLOOKUP(A:A,'Master Table'!C:D,2,FALSE)</f>
        <v>1282</v>
      </c>
      <c r="E1353" s="314"/>
      <c r="F1353" s="90">
        <v>2189.17</v>
      </c>
      <c r="G1353" s="91">
        <v>1121.68</v>
      </c>
      <c r="H1353" s="92">
        <v>665.6</v>
      </c>
    </row>
    <row r="1354" spans="1:8" ht="15" x14ac:dyDescent="0.2">
      <c r="A1354" s="89" t="s">
        <v>5909</v>
      </c>
      <c r="B1354" s="89" t="s">
        <v>5911</v>
      </c>
      <c r="C1354" s="89" t="s">
        <v>5610</v>
      </c>
      <c r="D1354" s="278" t="str">
        <f>VLOOKUP(A:A,'Master Table'!C:D,2,FALSE)</f>
        <v>1283</v>
      </c>
      <c r="E1354" s="314"/>
      <c r="F1354" s="90">
        <v>770.46</v>
      </c>
      <c r="G1354" s="91">
        <v>845</v>
      </c>
      <c r="H1354" s="92">
        <v>436</v>
      </c>
    </row>
    <row r="1355" spans="1:8" ht="15" x14ac:dyDescent="0.2">
      <c r="A1355" s="89" t="s">
        <v>5913</v>
      </c>
      <c r="B1355" s="89" t="s">
        <v>5915</v>
      </c>
      <c r="C1355" s="89" t="s">
        <v>783</v>
      </c>
      <c r="D1355" s="278" t="str">
        <f>VLOOKUP(A:A,'Master Table'!C:D,2,FALSE)</f>
        <v>1284</v>
      </c>
      <c r="E1355" s="314"/>
      <c r="F1355" s="90">
        <v>5776.2</v>
      </c>
      <c r="G1355" s="91">
        <v>1211</v>
      </c>
      <c r="H1355" s="92">
        <v>1298.4000000000001</v>
      </c>
    </row>
    <row r="1356" spans="1:8" ht="15" x14ac:dyDescent="0.2">
      <c r="A1356" s="89" t="s">
        <v>5919</v>
      </c>
      <c r="B1356" s="89" t="s">
        <v>5922</v>
      </c>
      <c r="C1356" s="89" t="s">
        <v>5548</v>
      </c>
      <c r="D1356" s="278" t="str">
        <f>VLOOKUP(A:A,'Master Table'!C:D,2,FALSE)</f>
        <v>1285</v>
      </c>
      <c r="E1356" s="314"/>
      <c r="F1356" s="90">
        <v>817.9</v>
      </c>
      <c r="G1356" s="91">
        <v>484.88</v>
      </c>
      <c r="H1356" s="92">
        <v>757.64</v>
      </c>
    </row>
    <row r="1357" spans="1:8" ht="15" x14ac:dyDescent="0.2">
      <c r="A1357" s="89" t="s">
        <v>5923</v>
      </c>
      <c r="B1357" s="89" t="s">
        <v>5925</v>
      </c>
      <c r="C1357" s="89" t="s">
        <v>7193</v>
      </c>
      <c r="D1357" s="278" t="str">
        <f>VLOOKUP(A:A,'Master Table'!C:D,2,FALSE)</f>
        <v>1286</v>
      </c>
      <c r="E1357" s="314"/>
      <c r="F1357" s="90">
        <v>375.57</v>
      </c>
      <c r="G1357" s="91">
        <v>689.17</v>
      </c>
      <c r="H1357" s="92">
        <v>151.54</v>
      </c>
    </row>
    <row r="1358" spans="1:8" ht="15" x14ac:dyDescent="0.2">
      <c r="A1358" s="89" t="s">
        <v>5926</v>
      </c>
      <c r="B1358" s="89" t="s">
        <v>5928</v>
      </c>
      <c r="C1358" s="89" t="s">
        <v>532</v>
      </c>
      <c r="D1358" s="278" t="str">
        <f>VLOOKUP(A:A,'Master Table'!C:D,2,FALSE)</f>
        <v>1287</v>
      </c>
      <c r="E1358" s="314"/>
      <c r="F1358" s="90">
        <v>1232.04</v>
      </c>
      <c r="G1358" s="91">
        <v>1818</v>
      </c>
      <c r="H1358" s="92">
        <v>1499.73</v>
      </c>
    </row>
    <row r="1359" spans="1:8" ht="15" x14ac:dyDescent="0.2">
      <c r="A1359" s="89" t="s">
        <v>5929</v>
      </c>
      <c r="B1359" s="89" t="s">
        <v>5931</v>
      </c>
      <c r="C1359" s="89" t="s">
        <v>5069</v>
      </c>
      <c r="D1359" s="278" t="str">
        <f>VLOOKUP(A:A,'Master Table'!C:D,2,FALSE)</f>
        <v>1288</v>
      </c>
      <c r="E1359" s="314"/>
      <c r="F1359" s="90">
        <v>1073.8499999999999</v>
      </c>
      <c r="G1359" s="91">
        <v>1279.1199999999999</v>
      </c>
      <c r="H1359" s="92">
        <v>945.17000000000007</v>
      </c>
    </row>
    <row r="1360" spans="1:8" ht="15" x14ac:dyDescent="0.2">
      <c r="A1360" s="89" t="s">
        <v>5933</v>
      </c>
      <c r="B1360" s="89" t="s">
        <v>5936</v>
      </c>
      <c r="C1360" s="89" t="s">
        <v>7861</v>
      </c>
      <c r="D1360" s="278" t="str">
        <f>VLOOKUP(A:A,'Master Table'!C:D,2,FALSE)</f>
        <v>1289</v>
      </c>
      <c r="E1360" s="314"/>
      <c r="F1360" s="90">
        <v>6032.22</v>
      </c>
      <c r="G1360" s="91">
        <v>8504.92</v>
      </c>
      <c r="H1360" s="92">
        <v>9361.66</v>
      </c>
    </row>
    <row r="1361" spans="1:8" ht="15" x14ac:dyDescent="0.2">
      <c r="A1361" s="89" t="s">
        <v>5937</v>
      </c>
      <c r="B1361" s="89" t="s">
        <v>5939</v>
      </c>
      <c r="C1361" s="89" t="s">
        <v>7862</v>
      </c>
      <c r="D1361" s="278" t="str">
        <f>VLOOKUP(A:A,'Master Table'!C:D,2,FALSE)</f>
        <v>1290</v>
      </c>
      <c r="E1361" s="314"/>
      <c r="F1361" s="90">
        <v>857.87</v>
      </c>
      <c r="G1361" s="91">
        <v>533.39</v>
      </c>
      <c r="H1361" s="92">
        <v>666.32</v>
      </c>
    </row>
    <row r="1362" spans="1:8" ht="15" x14ac:dyDescent="0.2">
      <c r="A1362" s="89" t="s">
        <v>5941</v>
      </c>
      <c r="B1362" s="89" t="s">
        <v>5943</v>
      </c>
      <c r="C1362" s="89" t="s">
        <v>127</v>
      </c>
      <c r="D1362" s="278" t="str">
        <f>VLOOKUP(A:A,'Master Table'!C:D,2,FALSE)</f>
        <v>1291</v>
      </c>
      <c r="E1362" s="314"/>
      <c r="F1362" s="90">
        <v>544.34</v>
      </c>
      <c r="G1362" s="91">
        <v>671</v>
      </c>
      <c r="H1362" s="92">
        <v>504.12</v>
      </c>
    </row>
    <row r="1363" spans="1:8" ht="15" x14ac:dyDescent="0.2">
      <c r="A1363" s="89" t="s">
        <v>5944</v>
      </c>
      <c r="B1363" s="89" t="s">
        <v>5947</v>
      </c>
      <c r="C1363" s="89" t="s">
        <v>7863</v>
      </c>
      <c r="D1363" s="278" t="str">
        <f>VLOOKUP(A:A,'Master Table'!C:D,2,FALSE)</f>
        <v>1292</v>
      </c>
      <c r="E1363" s="314"/>
      <c r="F1363" s="90">
        <v>816.12</v>
      </c>
      <c r="G1363" s="91">
        <v>933.2</v>
      </c>
      <c r="H1363" s="92">
        <v>460.47</v>
      </c>
    </row>
    <row r="1364" spans="1:8" ht="15" x14ac:dyDescent="0.2">
      <c r="A1364" s="89" t="s">
        <v>5948</v>
      </c>
      <c r="B1364" s="89" t="s">
        <v>5951</v>
      </c>
      <c r="C1364" s="89" t="s">
        <v>7864</v>
      </c>
      <c r="D1364" s="278" t="str">
        <f>VLOOKUP(A:A,'Master Table'!C:D,2,FALSE)</f>
        <v>1293</v>
      </c>
      <c r="E1364" s="314"/>
      <c r="F1364" s="90">
        <v>242</v>
      </c>
      <c r="G1364" s="91">
        <v>970</v>
      </c>
      <c r="H1364" s="92">
        <v>195</v>
      </c>
    </row>
    <row r="1365" spans="1:8" ht="15" x14ac:dyDescent="0.2">
      <c r="A1365" s="89" t="s">
        <v>5952</v>
      </c>
      <c r="B1365" s="89" t="s">
        <v>5955</v>
      </c>
      <c r="C1365" s="89" t="s">
        <v>155</v>
      </c>
      <c r="D1365" s="278" t="str">
        <f>VLOOKUP(A:A,'Master Table'!C:D,2,FALSE)</f>
        <v>1294</v>
      </c>
      <c r="E1365" s="314"/>
      <c r="F1365" s="90">
        <v>399.82</v>
      </c>
      <c r="G1365" s="91">
        <v>366</v>
      </c>
      <c r="H1365" s="92">
        <v>1193.06</v>
      </c>
    </row>
    <row r="1366" spans="1:8" ht="15" x14ac:dyDescent="0.2">
      <c r="A1366" s="89" t="s">
        <v>5956</v>
      </c>
      <c r="B1366" s="89" t="s">
        <v>5959</v>
      </c>
      <c r="C1366" s="89" t="s">
        <v>5958</v>
      </c>
      <c r="D1366" s="278" t="str">
        <f>VLOOKUP(A:A,'Master Table'!C:D,2,FALSE)</f>
        <v>1295</v>
      </c>
      <c r="E1366" s="314"/>
      <c r="F1366" s="90">
        <v>190</v>
      </c>
      <c r="G1366" s="91">
        <v>170</v>
      </c>
      <c r="H1366" s="92">
        <v>270</v>
      </c>
    </row>
    <row r="1367" spans="1:8" ht="15" x14ac:dyDescent="0.2">
      <c r="A1367" s="89" t="s">
        <v>5960</v>
      </c>
      <c r="B1367" s="89" t="s">
        <v>5963</v>
      </c>
      <c r="C1367" s="89" t="s">
        <v>7865</v>
      </c>
      <c r="D1367" s="278" t="str">
        <f>VLOOKUP(A:A,'Master Table'!C:D,2,FALSE)</f>
        <v>1296</v>
      </c>
      <c r="E1367" s="314"/>
      <c r="F1367" s="90">
        <v>429.76</v>
      </c>
      <c r="G1367" s="91">
        <v>436.21</v>
      </c>
      <c r="H1367" s="92">
        <v>674.64</v>
      </c>
    </row>
    <row r="1368" spans="1:8" ht="15" x14ac:dyDescent="0.2">
      <c r="A1368" s="89" t="s">
        <v>5964</v>
      </c>
      <c r="B1368" s="89" t="s">
        <v>5967</v>
      </c>
      <c r="C1368" s="89" t="s">
        <v>7866</v>
      </c>
      <c r="D1368" s="278" t="str">
        <f>VLOOKUP(A:A,'Master Table'!C:D,2,FALSE)</f>
        <v>1297</v>
      </c>
      <c r="E1368" s="314"/>
      <c r="F1368" s="90">
        <v>761.93000000000006</v>
      </c>
      <c r="G1368" s="91">
        <v>1468.27</v>
      </c>
      <c r="H1368" s="92">
        <v>1717.48</v>
      </c>
    </row>
    <row r="1369" spans="1:8" ht="15" x14ac:dyDescent="0.2">
      <c r="A1369" s="89" t="s">
        <v>5968</v>
      </c>
      <c r="B1369" s="89" t="s">
        <v>5970</v>
      </c>
      <c r="C1369" s="89" t="s">
        <v>1584</v>
      </c>
      <c r="D1369" s="278" t="str">
        <f>VLOOKUP(A:A,'Master Table'!C:D,2,FALSE)</f>
        <v>1298</v>
      </c>
      <c r="E1369" s="314"/>
      <c r="F1369" s="90">
        <v>535.56999999999994</v>
      </c>
      <c r="G1369" s="91">
        <v>835.25</v>
      </c>
      <c r="H1369" s="92">
        <v>358.49</v>
      </c>
    </row>
    <row r="1370" spans="1:8" ht="15" x14ac:dyDescent="0.2">
      <c r="A1370" s="89" t="s">
        <v>5975</v>
      </c>
      <c r="B1370" s="89" t="s">
        <v>5977</v>
      </c>
      <c r="C1370" s="89" t="s">
        <v>382</v>
      </c>
      <c r="D1370" s="278" t="str">
        <f>VLOOKUP(A:A,'Master Table'!C:D,2,FALSE)</f>
        <v>1299</v>
      </c>
      <c r="E1370" s="314"/>
      <c r="F1370" s="90">
        <v>882.24</v>
      </c>
      <c r="G1370" s="91">
        <v>15</v>
      </c>
      <c r="H1370" s="92">
        <v>30</v>
      </c>
    </row>
    <row r="1371" spans="1:8" ht="15" x14ac:dyDescent="0.2">
      <c r="A1371" s="89" t="s">
        <v>5978</v>
      </c>
      <c r="B1371" s="89" t="s">
        <v>5981</v>
      </c>
      <c r="C1371" s="89" t="s">
        <v>5215</v>
      </c>
      <c r="D1371" s="278" t="str">
        <f>VLOOKUP(A:A,'Master Table'!C:D,2,FALSE)</f>
        <v>1300</v>
      </c>
      <c r="E1371" s="314"/>
      <c r="F1371" s="90">
        <v>52</v>
      </c>
      <c r="G1371" s="91">
        <v>0</v>
      </c>
      <c r="H1371" s="92">
        <v>3000</v>
      </c>
    </row>
    <row r="1372" spans="1:8" ht="15" x14ac:dyDescent="0.2">
      <c r="A1372" s="89" t="s">
        <v>5982</v>
      </c>
      <c r="B1372" s="89" t="s">
        <v>5985</v>
      </c>
      <c r="C1372" s="89" t="s">
        <v>5984</v>
      </c>
      <c r="D1372" s="278" t="str">
        <f>VLOOKUP(A:A,'Master Table'!C:D,2,FALSE)</f>
        <v>1301</v>
      </c>
      <c r="E1372" s="314"/>
      <c r="F1372" s="90">
        <v>429</v>
      </c>
      <c r="G1372" s="91">
        <v>610</v>
      </c>
      <c r="H1372" s="92">
        <v>805</v>
      </c>
    </row>
    <row r="1373" spans="1:8" ht="15" x14ac:dyDescent="0.2">
      <c r="A1373" s="89" t="s">
        <v>5986</v>
      </c>
      <c r="B1373" s="89" t="s">
        <v>5989</v>
      </c>
      <c r="C1373" s="89" t="s">
        <v>7867</v>
      </c>
      <c r="D1373" s="278" t="str">
        <f>VLOOKUP(A:A,'Master Table'!C:D,2,FALSE)</f>
        <v>1302</v>
      </c>
      <c r="E1373" s="314"/>
      <c r="F1373" s="90">
        <v>1405.84</v>
      </c>
      <c r="G1373" s="91">
        <v>2105.0100000000002</v>
      </c>
      <c r="H1373" s="92">
        <v>1528.72</v>
      </c>
    </row>
    <row r="1374" spans="1:8" ht="15" x14ac:dyDescent="0.2">
      <c r="A1374" s="89" t="s">
        <v>5990</v>
      </c>
      <c r="B1374" s="89" t="s">
        <v>5993</v>
      </c>
      <c r="C1374" s="89" t="s">
        <v>158</v>
      </c>
      <c r="D1374" s="278" t="str">
        <f>VLOOKUP(A:A,'Master Table'!C:D,2,FALSE)</f>
        <v>1303</v>
      </c>
      <c r="E1374" s="314"/>
      <c r="F1374" s="90">
        <v>1449.88</v>
      </c>
      <c r="G1374" s="91">
        <v>1422.46</v>
      </c>
      <c r="H1374" s="92">
        <v>1198.9100000000001</v>
      </c>
    </row>
    <row r="1375" spans="1:8" ht="15" x14ac:dyDescent="0.2">
      <c r="A1375" s="89" t="s">
        <v>5995</v>
      </c>
      <c r="B1375" s="89" t="s">
        <v>5998</v>
      </c>
      <c r="C1375" s="89" t="s">
        <v>7868</v>
      </c>
      <c r="D1375" s="278" t="str">
        <f>VLOOKUP(A:A,'Master Table'!C:D,2,FALSE)</f>
        <v>1304</v>
      </c>
      <c r="E1375" s="314"/>
      <c r="F1375" s="90">
        <v>1609.43</v>
      </c>
      <c r="G1375" s="91">
        <v>1991.27</v>
      </c>
      <c r="H1375" s="92">
        <v>1793.05</v>
      </c>
    </row>
    <row r="1376" spans="1:8" ht="15" x14ac:dyDescent="0.2">
      <c r="A1376" s="89" t="s">
        <v>6000</v>
      </c>
      <c r="B1376" s="89" t="s">
        <v>6002</v>
      </c>
      <c r="C1376" s="89" t="s">
        <v>1489</v>
      </c>
      <c r="D1376" s="278" t="str">
        <f>VLOOKUP(A:A,'Master Table'!C:D,2,FALSE)</f>
        <v>1305</v>
      </c>
      <c r="E1376" s="314"/>
      <c r="F1376" s="90">
        <v>340</v>
      </c>
      <c r="G1376" s="91">
        <v>30</v>
      </c>
      <c r="H1376" s="92">
        <v>394</v>
      </c>
    </row>
    <row r="1377" spans="1:8" ht="15" x14ac:dyDescent="0.2">
      <c r="A1377" s="89" t="s">
        <v>6003</v>
      </c>
      <c r="B1377" s="89" t="s">
        <v>6005</v>
      </c>
      <c r="C1377" s="89" t="s">
        <v>1008</v>
      </c>
      <c r="D1377" s="278" t="str">
        <f>VLOOKUP(A:A,'Master Table'!C:D,2,FALSE)</f>
        <v>1306</v>
      </c>
      <c r="E1377" s="314"/>
      <c r="F1377" s="90">
        <v>8237.56</v>
      </c>
      <c r="G1377" s="91">
        <v>10150.709999999999</v>
      </c>
      <c r="H1377" s="92">
        <v>6514.14</v>
      </c>
    </row>
    <row r="1378" spans="1:8" ht="15" x14ac:dyDescent="0.2">
      <c r="A1378" s="89" t="s">
        <v>6010</v>
      </c>
      <c r="B1378" s="89" t="s">
        <v>6013</v>
      </c>
      <c r="C1378" s="89" t="s">
        <v>7869</v>
      </c>
      <c r="D1378" s="278" t="str">
        <f>VLOOKUP(A:A,'Master Table'!C:D,2,FALSE)</f>
        <v>1307</v>
      </c>
      <c r="E1378" s="314"/>
      <c r="F1378" s="90">
        <v>3926.92</v>
      </c>
      <c r="G1378" s="91">
        <v>2731.88</v>
      </c>
      <c r="H1378" s="92">
        <v>5647.97</v>
      </c>
    </row>
    <row r="1379" spans="1:8" ht="15" x14ac:dyDescent="0.2">
      <c r="A1379" s="89" t="s">
        <v>6018</v>
      </c>
      <c r="B1379" s="89" t="s">
        <v>2076</v>
      </c>
      <c r="C1379" s="89" t="s">
        <v>78</v>
      </c>
      <c r="D1379" s="278" t="str">
        <f>VLOOKUP(A:A,'Master Table'!C:D,2,FALSE)</f>
        <v>1308</v>
      </c>
      <c r="E1379" s="314"/>
      <c r="F1379" s="90">
        <v>1451.32</v>
      </c>
      <c r="G1379" s="91">
        <v>1191</v>
      </c>
      <c r="H1379" s="92">
        <v>1339.18</v>
      </c>
    </row>
    <row r="1380" spans="1:8" ht="15" x14ac:dyDescent="0.2">
      <c r="A1380" s="89" t="s">
        <v>6021</v>
      </c>
      <c r="B1380" s="89" t="s">
        <v>6023</v>
      </c>
      <c r="C1380" s="89" t="s">
        <v>1546</v>
      </c>
      <c r="D1380" s="278" t="str">
        <f>VLOOKUP(A:A,'Master Table'!C:D,2,FALSE)</f>
        <v>1309</v>
      </c>
      <c r="E1380" s="314"/>
      <c r="F1380" s="90">
        <v>3129.36</v>
      </c>
      <c r="G1380" s="91">
        <v>2987.61</v>
      </c>
      <c r="H1380" s="92">
        <v>2806.4</v>
      </c>
    </row>
    <row r="1381" spans="1:8" ht="15" x14ac:dyDescent="0.2">
      <c r="A1381" s="89" t="s">
        <v>6024</v>
      </c>
      <c r="B1381" s="89" t="s">
        <v>6027</v>
      </c>
      <c r="C1381" s="89" t="s">
        <v>7870</v>
      </c>
      <c r="D1381" s="278" t="str">
        <f>VLOOKUP(A:A,'Master Table'!C:D,2,FALSE)</f>
        <v>1310</v>
      </c>
      <c r="E1381" s="314"/>
      <c r="F1381" s="90">
        <v>2030.86</v>
      </c>
      <c r="G1381" s="91">
        <v>2613.19</v>
      </c>
      <c r="H1381" s="92">
        <v>2638.33</v>
      </c>
    </row>
    <row r="1382" spans="1:8" ht="15" x14ac:dyDescent="0.2">
      <c r="A1382" s="89" t="s">
        <v>6029</v>
      </c>
      <c r="B1382" s="89" t="s">
        <v>6032</v>
      </c>
      <c r="C1382" s="89" t="s">
        <v>7871</v>
      </c>
      <c r="D1382" s="278" t="str">
        <f>VLOOKUP(A:A,'Master Table'!C:D,2,FALSE)</f>
        <v>1313</v>
      </c>
      <c r="E1382" s="314"/>
      <c r="F1382" s="90">
        <v>2448.5</v>
      </c>
      <c r="G1382" s="91">
        <v>2171.4</v>
      </c>
      <c r="H1382" s="92">
        <v>1593.67</v>
      </c>
    </row>
    <row r="1383" spans="1:8" ht="15" x14ac:dyDescent="0.2">
      <c r="A1383" s="89" t="s">
        <v>6034</v>
      </c>
      <c r="B1383" s="89" t="s">
        <v>6037</v>
      </c>
      <c r="C1383" s="89" t="s">
        <v>6036</v>
      </c>
      <c r="D1383" s="278" t="str">
        <f>VLOOKUP(A:A,'Master Table'!C:D,2,FALSE)</f>
        <v>1314</v>
      </c>
      <c r="E1383" s="314"/>
      <c r="F1383" s="90">
        <v>574.54999999999995</v>
      </c>
      <c r="G1383" s="91">
        <v>1289.1500000000001</v>
      </c>
      <c r="H1383" s="92">
        <v>788.35</v>
      </c>
    </row>
    <row r="1384" spans="1:8" ht="15" x14ac:dyDescent="0.2">
      <c r="A1384" s="89" t="s">
        <v>6038</v>
      </c>
      <c r="B1384" s="89" t="s">
        <v>6040</v>
      </c>
      <c r="C1384" s="89" t="s">
        <v>2578</v>
      </c>
      <c r="D1384" s="278" t="str">
        <f>VLOOKUP(A:A,'Master Table'!C:D,2,FALSE)</f>
        <v>1315</v>
      </c>
      <c r="E1384" s="314"/>
      <c r="F1384" s="90">
        <v>1119.7</v>
      </c>
      <c r="G1384" s="91">
        <v>1123.0899999999999</v>
      </c>
      <c r="H1384" s="92">
        <v>889.25</v>
      </c>
    </row>
    <row r="1385" spans="1:8" ht="15" x14ac:dyDescent="0.2">
      <c r="A1385" s="89" t="s">
        <v>6042</v>
      </c>
      <c r="B1385" s="89" t="s">
        <v>6044</v>
      </c>
      <c r="C1385" s="89" t="s">
        <v>532</v>
      </c>
      <c r="D1385" s="278" t="str">
        <f>VLOOKUP(A:A,'Master Table'!C:D,2,FALSE)</f>
        <v>1316</v>
      </c>
      <c r="E1385" s="314"/>
      <c r="F1385" s="90">
        <v>482.08</v>
      </c>
      <c r="G1385" s="91">
        <v>728.05</v>
      </c>
      <c r="H1385" s="92">
        <v>707.91</v>
      </c>
    </row>
    <row r="1386" spans="1:8" ht="15" x14ac:dyDescent="0.2">
      <c r="A1386" s="89" t="s">
        <v>6045</v>
      </c>
      <c r="B1386" s="89" t="s">
        <v>6048</v>
      </c>
      <c r="C1386" s="89" t="s">
        <v>7872</v>
      </c>
      <c r="D1386" s="278" t="str">
        <f>VLOOKUP(A:A,'Master Table'!C:D,2,FALSE)</f>
        <v>1318</v>
      </c>
      <c r="E1386" s="314"/>
      <c r="F1386" s="90">
        <v>533.32000000000005</v>
      </c>
      <c r="G1386" s="91">
        <v>857</v>
      </c>
      <c r="H1386" s="92">
        <v>487.91</v>
      </c>
    </row>
    <row r="1387" spans="1:8" ht="15" x14ac:dyDescent="0.2">
      <c r="A1387" s="89" t="s">
        <v>6049</v>
      </c>
      <c r="B1387" s="89" t="s">
        <v>6052</v>
      </c>
      <c r="C1387" s="89" t="s">
        <v>6051</v>
      </c>
      <c r="D1387" s="278" t="str">
        <f>VLOOKUP(A:A,'Master Table'!C:D,2,FALSE)</f>
        <v>1319</v>
      </c>
      <c r="E1387" s="314"/>
      <c r="F1387" s="90">
        <v>461.44</v>
      </c>
      <c r="G1387" s="91">
        <v>735.8900000000001</v>
      </c>
      <c r="H1387" s="92">
        <v>631.20000000000005</v>
      </c>
    </row>
    <row r="1388" spans="1:8" ht="15" x14ac:dyDescent="0.2">
      <c r="A1388" s="89" t="s">
        <v>6053</v>
      </c>
      <c r="B1388" s="89" t="s">
        <v>6055</v>
      </c>
      <c r="C1388" s="89" t="s">
        <v>1584</v>
      </c>
      <c r="D1388" s="278" t="str">
        <f>VLOOKUP(A:A,'Master Table'!C:D,2,FALSE)</f>
        <v>1321</v>
      </c>
      <c r="E1388" s="314"/>
      <c r="F1388" s="90">
        <v>2007.89</v>
      </c>
      <c r="G1388" s="91">
        <v>2281.5699999999997</v>
      </c>
      <c r="H1388" s="92">
        <v>2353.89</v>
      </c>
    </row>
    <row r="1389" spans="1:8" ht="15" x14ac:dyDescent="0.2">
      <c r="A1389" s="89" t="s">
        <v>6057</v>
      </c>
      <c r="B1389" s="89" t="s">
        <v>6059</v>
      </c>
      <c r="C1389" s="89" t="s">
        <v>301</v>
      </c>
      <c r="D1389" s="278" t="str">
        <f>VLOOKUP(A:A,'Master Table'!C:D,2,FALSE)</f>
        <v>1322</v>
      </c>
      <c r="E1389" s="314"/>
      <c r="F1389" s="90">
        <v>1263.77</v>
      </c>
      <c r="G1389" s="91">
        <v>1618.02</v>
      </c>
      <c r="H1389" s="92">
        <v>1802</v>
      </c>
    </row>
    <row r="1390" spans="1:8" ht="15" x14ac:dyDescent="0.2">
      <c r="A1390" s="89" t="s">
        <v>6061</v>
      </c>
      <c r="B1390" s="89" t="s">
        <v>6063</v>
      </c>
      <c r="C1390" s="89" t="s">
        <v>78</v>
      </c>
      <c r="D1390" s="278" t="str">
        <f>VLOOKUP(A:A,'Master Table'!C:D,2,FALSE)</f>
        <v>1323</v>
      </c>
      <c r="E1390" s="314"/>
      <c r="F1390" s="90">
        <v>2609.9700000000003</v>
      </c>
      <c r="G1390" s="91">
        <v>2537.0100000000002</v>
      </c>
      <c r="H1390" s="92">
        <v>2149.1</v>
      </c>
    </row>
    <row r="1391" spans="1:8" ht="15" x14ac:dyDescent="0.2">
      <c r="A1391" s="89" t="s">
        <v>6064</v>
      </c>
      <c r="B1391" s="89" t="s">
        <v>6066</v>
      </c>
      <c r="C1391" s="89" t="s">
        <v>1371</v>
      </c>
      <c r="D1391" s="278" t="str">
        <f>VLOOKUP(A:A,'Master Table'!C:D,2,FALSE)</f>
        <v>0444629</v>
      </c>
      <c r="E1391" s="314"/>
      <c r="F1391" s="90">
        <v>50</v>
      </c>
      <c r="G1391" s="91">
        <v>80</v>
      </c>
      <c r="H1391" s="92">
        <v>25</v>
      </c>
    </row>
    <row r="1392" spans="1:8" ht="15" x14ac:dyDescent="0.2">
      <c r="A1392" s="89" t="s">
        <v>6074</v>
      </c>
      <c r="B1392" s="89" t="s">
        <v>6077</v>
      </c>
      <c r="C1392" s="89" t="s">
        <v>6076</v>
      </c>
      <c r="D1392" s="278" t="str">
        <f>VLOOKUP(A:A,'Master Table'!C:D,2,FALSE)</f>
        <v>1324</v>
      </c>
      <c r="E1392" s="314"/>
      <c r="F1392" s="90">
        <v>874.3</v>
      </c>
      <c r="G1392" s="91">
        <v>717.84</v>
      </c>
      <c r="H1392" s="92">
        <v>785.35</v>
      </c>
    </row>
    <row r="1393" spans="1:8" ht="15" x14ac:dyDescent="0.2">
      <c r="A1393" s="89" t="s">
        <v>6082</v>
      </c>
      <c r="B1393" s="89" t="s">
        <v>6084</v>
      </c>
      <c r="C1393" s="89" t="s">
        <v>532</v>
      </c>
      <c r="D1393" s="278" t="str">
        <f>VLOOKUP(A:A,'Master Table'!C:D,2,FALSE)</f>
        <v>1325</v>
      </c>
      <c r="E1393" s="314"/>
      <c r="F1393" s="90">
        <v>363.9</v>
      </c>
      <c r="G1393" s="91">
        <v>864.87</v>
      </c>
      <c r="H1393" s="92">
        <v>327.38</v>
      </c>
    </row>
    <row r="1394" spans="1:8" ht="15" x14ac:dyDescent="0.2">
      <c r="A1394" s="89" t="s">
        <v>6085</v>
      </c>
      <c r="B1394" s="89" t="s">
        <v>6088</v>
      </c>
      <c r="C1394" s="89" t="s">
        <v>6087</v>
      </c>
      <c r="D1394" s="278" t="str">
        <f>VLOOKUP(A:A,'Master Table'!C:D,2,FALSE)</f>
        <v>1326</v>
      </c>
      <c r="E1394" s="314"/>
      <c r="F1394" s="90">
        <v>1786.1100000000001</v>
      </c>
      <c r="G1394" s="91">
        <v>2227.31</v>
      </c>
      <c r="H1394" s="92">
        <v>1437.15</v>
      </c>
    </row>
    <row r="1395" spans="1:8" ht="15" x14ac:dyDescent="0.2">
      <c r="A1395" s="89" t="s">
        <v>6089</v>
      </c>
      <c r="B1395" s="89" t="s">
        <v>6091</v>
      </c>
      <c r="C1395" s="89" t="s">
        <v>1284</v>
      </c>
      <c r="D1395" s="278" t="str">
        <f>VLOOKUP(A:A,'Master Table'!C:D,2,FALSE)</f>
        <v>1327</v>
      </c>
      <c r="E1395" s="314"/>
      <c r="F1395" s="90">
        <v>2076.08</v>
      </c>
      <c r="G1395" s="91">
        <v>1571.83</v>
      </c>
      <c r="H1395" s="92">
        <v>1487.77</v>
      </c>
    </row>
    <row r="1396" spans="1:8" ht="15" x14ac:dyDescent="0.2">
      <c r="A1396" s="89" t="s">
        <v>6092</v>
      </c>
      <c r="B1396" s="89" t="s">
        <v>6095</v>
      </c>
      <c r="C1396" s="89" t="s">
        <v>2759</v>
      </c>
      <c r="D1396" s="278" t="str">
        <f>VLOOKUP(A:A,'Master Table'!C:D,2,FALSE)</f>
        <v>1328</v>
      </c>
      <c r="E1396" s="314"/>
      <c r="F1396" s="90">
        <v>523.36</v>
      </c>
      <c r="G1396" s="91">
        <v>879.78</v>
      </c>
      <c r="H1396" s="92">
        <v>878.87</v>
      </c>
    </row>
    <row r="1397" spans="1:8" ht="15" x14ac:dyDescent="0.2">
      <c r="A1397" s="89" t="s">
        <v>6097</v>
      </c>
      <c r="B1397" s="89" t="s">
        <v>6099</v>
      </c>
      <c r="C1397" s="89" t="s">
        <v>2554</v>
      </c>
      <c r="D1397" s="278" t="str">
        <f>VLOOKUP(A:A,'Master Table'!C:D,2,FALSE)</f>
        <v>1329</v>
      </c>
      <c r="E1397" s="314"/>
      <c r="F1397" s="90">
        <v>330</v>
      </c>
      <c r="G1397" s="91">
        <v>15</v>
      </c>
      <c r="H1397" s="92">
        <v>110</v>
      </c>
    </row>
    <row r="1398" spans="1:8" ht="15" x14ac:dyDescent="0.2">
      <c r="A1398" s="89" t="s">
        <v>6100</v>
      </c>
      <c r="B1398" s="89" t="s">
        <v>6102</v>
      </c>
      <c r="C1398" s="89" t="s">
        <v>1047</v>
      </c>
      <c r="D1398" s="278" t="str">
        <f>VLOOKUP(A:A,'Master Table'!C:D,2,FALSE)</f>
        <v>1330</v>
      </c>
      <c r="E1398" s="314"/>
      <c r="F1398" s="90">
        <v>2523.39</v>
      </c>
      <c r="G1398" s="91">
        <v>2467.1999999999998</v>
      </c>
      <c r="H1398" s="92">
        <v>2991</v>
      </c>
    </row>
    <row r="1399" spans="1:8" ht="15" x14ac:dyDescent="0.2">
      <c r="A1399" s="89" t="s">
        <v>6103</v>
      </c>
      <c r="B1399" s="89" t="s">
        <v>6106</v>
      </c>
      <c r="C1399" s="89" t="s">
        <v>6105</v>
      </c>
      <c r="D1399" s="278" t="str">
        <f>VLOOKUP(A:A,'Master Table'!C:D,2,FALSE)</f>
        <v>1331</v>
      </c>
      <c r="E1399" s="314"/>
      <c r="F1399" s="90">
        <v>958.03000000000009</v>
      </c>
      <c r="G1399" s="91">
        <v>1155.9299999999998</v>
      </c>
      <c r="H1399" s="92">
        <v>903.19</v>
      </c>
    </row>
    <row r="1400" spans="1:8" ht="15" x14ac:dyDescent="0.2">
      <c r="A1400" s="89" t="s">
        <v>6107</v>
      </c>
      <c r="B1400" s="89" t="s">
        <v>6109</v>
      </c>
      <c r="C1400" s="89" t="s">
        <v>1047</v>
      </c>
      <c r="D1400" s="278" t="str">
        <f>VLOOKUP(A:A,'Master Table'!C:D,2,FALSE)</f>
        <v>1332</v>
      </c>
      <c r="E1400" s="314"/>
      <c r="F1400" s="90">
        <v>70</v>
      </c>
      <c r="G1400" s="91">
        <v>60</v>
      </c>
      <c r="H1400" s="92">
        <v>432.42</v>
      </c>
    </row>
    <row r="1401" spans="1:8" ht="15" x14ac:dyDescent="0.2">
      <c r="A1401" s="89" t="s">
        <v>6112</v>
      </c>
      <c r="B1401" s="89" t="s">
        <v>7873</v>
      </c>
      <c r="C1401" s="89" t="s">
        <v>7874</v>
      </c>
      <c r="D1401" s="278" t="str">
        <f>VLOOKUP(A:A,'Master Table'!C:D,2,FALSE)</f>
        <v>1333</v>
      </c>
      <c r="E1401" s="314"/>
      <c r="F1401" s="90">
        <v>231.3</v>
      </c>
      <c r="G1401" s="91">
        <v>214</v>
      </c>
      <c r="H1401" s="92">
        <v>407.75</v>
      </c>
    </row>
    <row r="1402" spans="1:8" ht="15" x14ac:dyDescent="0.2">
      <c r="A1402" s="89" t="s">
        <v>6120</v>
      </c>
      <c r="B1402" s="89" t="s">
        <v>6122</v>
      </c>
      <c r="C1402" s="89" t="s">
        <v>198</v>
      </c>
      <c r="D1402" s="278" t="str">
        <f>VLOOKUP(A:A,'Master Table'!C:D,2,FALSE)</f>
        <v>1336</v>
      </c>
      <c r="E1402" s="314"/>
      <c r="F1402" s="90">
        <v>1267.01</v>
      </c>
      <c r="G1402" s="91">
        <v>1345.54</v>
      </c>
      <c r="H1402" s="92">
        <v>1040.23</v>
      </c>
    </row>
    <row r="1403" spans="1:8" ht="15" x14ac:dyDescent="0.2">
      <c r="A1403" s="89" t="s">
        <v>6124</v>
      </c>
      <c r="B1403" s="89" t="s">
        <v>6126</v>
      </c>
      <c r="C1403" s="89" t="s">
        <v>1165</v>
      </c>
      <c r="D1403" s="278" t="str">
        <f>VLOOKUP(A:A,'Master Table'!C:D,2,FALSE)</f>
        <v>1337</v>
      </c>
      <c r="E1403" s="314"/>
      <c r="F1403" s="90">
        <v>597.03</v>
      </c>
      <c r="G1403" s="91">
        <v>485</v>
      </c>
      <c r="H1403" s="92">
        <v>1017.9300000000001</v>
      </c>
    </row>
    <row r="1404" spans="1:8" ht="15" x14ac:dyDescent="0.2">
      <c r="A1404" s="89" t="s">
        <v>6127</v>
      </c>
      <c r="B1404" s="89" t="s">
        <v>6130</v>
      </c>
      <c r="C1404" s="89" t="s">
        <v>6129</v>
      </c>
      <c r="D1404" s="278" t="str">
        <f>VLOOKUP(A:A,'Master Table'!C:D,2,FALSE)</f>
        <v>1338</v>
      </c>
      <c r="E1404" s="314"/>
      <c r="F1404" s="90">
        <v>1460.33</v>
      </c>
      <c r="G1404" s="91">
        <v>1464.14</v>
      </c>
      <c r="H1404" s="92">
        <v>1569.82</v>
      </c>
    </row>
    <row r="1405" spans="1:8" ht="15" x14ac:dyDescent="0.2">
      <c r="A1405" s="89" t="s">
        <v>6131</v>
      </c>
      <c r="B1405" s="89" t="s">
        <v>6133</v>
      </c>
      <c r="C1405" s="89" t="s">
        <v>7875</v>
      </c>
      <c r="D1405" s="278" t="str">
        <f>VLOOKUP(A:A,'Master Table'!C:D,2,FALSE)</f>
        <v>1339</v>
      </c>
      <c r="E1405" s="314"/>
      <c r="F1405" s="90">
        <v>728.23</v>
      </c>
      <c r="G1405" s="91">
        <v>704</v>
      </c>
      <c r="H1405" s="92">
        <v>436</v>
      </c>
    </row>
    <row r="1406" spans="1:8" ht="15" x14ac:dyDescent="0.2">
      <c r="A1406" s="89" t="s">
        <v>6134</v>
      </c>
      <c r="B1406" s="89" t="s">
        <v>6136</v>
      </c>
      <c r="C1406" s="89" t="s">
        <v>5984</v>
      </c>
      <c r="D1406" s="278" t="str">
        <f>VLOOKUP(A:A,'Master Table'!C:D,2,FALSE)</f>
        <v>0444622</v>
      </c>
      <c r="E1406" s="314"/>
      <c r="F1406" s="90">
        <v>0</v>
      </c>
      <c r="G1406" s="91">
        <v>0</v>
      </c>
      <c r="H1406" s="92">
        <v>37.96</v>
      </c>
    </row>
    <row r="1407" spans="1:8" ht="15" x14ac:dyDescent="0.2">
      <c r="A1407" s="89" t="s">
        <v>6137</v>
      </c>
      <c r="B1407" s="89" t="s">
        <v>6140</v>
      </c>
      <c r="C1407" s="89" t="s">
        <v>6139</v>
      </c>
      <c r="D1407" s="278" t="str">
        <f>VLOOKUP(A:A,'Master Table'!C:D,2,FALSE)</f>
        <v>1340</v>
      </c>
      <c r="E1407" s="314"/>
      <c r="F1407" s="90">
        <v>10</v>
      </c>
      <c r="G1407" s="91">
        <v>70</v>
      </c>
      <c r="H1407" s="92">
        <v>147.45000000000002</v>
      </c>
    </row>
    <row r="1408" spans="1:8" ht="15" x14ac:dyDescent="0.2">
      <c r="A1408" s="89" t="s">
        <v>6141</v>
      </c>
      <c r="B1408" s="89" t="s">
        <v>6143</v>
      </c>
      <c r="C1408" s="89" t="s">
        <v>5904</v>
      </c>
      <c r="D1408" s="278" t="str">
        <f>VLOOKUP(A:A,'Master Table'!C:D,2,FALSE)</f>
        <v>1341</v>
      </c>
      <c r="E1408" s="314"/>
      <c r="F1408" s="90">
        <v>40</v>
      </c>
      <c r="G1408" s="91">
        <v>85</v>
      </c>
      <c r="H1408" s="92">
        <v>25</v>
      </c>
    </row>
    <row r="1409" spans="1:8" ht="15" x14ac:dyDescent="0.2">
      <c r="A1409" s="89" t="s">
        <v>6144</v>
      </c>
      <c r="B1409" s="89" t="s">
        <v>6146</v>
      </c>
      <c r="C1409" s="89" t="s">
        <v>2667</v>
      </c>
      <c r="D1409" s="278" t="str">
        <f>VLOOKUP(A:A,'Master Table'!C:D,2,FALSE)</f>
        <v>1342</v>
      </c>
      <c r="E1409" s="314"/>
      <c r="F1409" s="90">
        <v>540</v>
      </c>
      <c r="G1409" s="91">
        <v>256</v>
      </c>
      <c r="H1409" s="92">
        <v>259.10000000000002</v>
      </c>
    </row>
    <row r="1410" spans="1:8" ht="15" x14ac:dyDescent="0.2">
      <c r="A1410" s="89" t="s">
        <v>6147</v>
      </c>
      <c r="B1410" s="89" t="s">
        <v>6150</v>
      </c>
      <c r="C1410" s="89" t="s">
        <v>7876</v>
      </c>
      <c r="D1410" s="278" t="str">
        <f>VLOOKUP(A:A,'Master Table'!C:D,2,FALSE)</f>
        <v>1344</v>
      </c>
      <c r="E1410" s="314"/>
      <c r="F1410" s="90">
        <v>531.46</v>
      </c>
      <c r="G1410" s="91">
        <v>904.48</v>
      </c>
      <c r="H1410" s="92">
        <v>921.91</v>
      </c>
    </row>
    <row r="1411" spans="1:8" ht="15" x14ac:dyDescent="0.2">
      <c r="A1411" s="89" t="s">
        <v>6151</v>
      </c>
      <c r="B1411" s="89" t="s">
        <v>6153</v>
      </c>
      <c r="C1411" s="89" t="s">
        <v>4774</v>
      </c>
      <c r="D1411" s="278" t="str">
        <f>VLOOKUP(A:A,'Master Table'!C:D,2,FALSE)</f>
        <v>1345</v>
      </c>
      <c r="E1411" s="314"/>
      <c r="F1411" s="90">
        <v>924.37</v>
      </c>
      <c r="G1411" s="91">
        <v>1434.65</v>
      </c>
      <c r="H1411" s="92">
        <v>1368.17</v>
      </c>
    </row>
    <row r="1412" spans="1:8" ht="15" x14ac:dyDescent="0.2">
      <c r="A1412" s="89" t="s">
        <v>6154</v>
      </c>
      <c r="B1412" s="89" t="s">
        <v>6156</v>
      </c>
      <c r="C1412" s="89" t="s">
        <v>7216</v>
      </c>
      <c r="D1412" s="278" t="str">
        <f>VLOOKUP(A:A,'Master Table'!C:D,2,FALSE)</f>
        <v>1346</v>
      </c>
      <c r="E1412" s="314"/>
      <c r="F1412" s="90">
        <v>1162.3899999999999</v>
      </c>
      <c r="G1412" s="91">
        <v>1207.94</v>
      </c>
      <c r="H1412" s="92">
        <v>1401.99</v>
      </c>
    </row>
    <row r="1413" spans="1:8" ht="15" x14ac:dyDescent="0.2">
      <c r="A1413" s="89" t="s">
        <v>6161</v>
      </c>
      <c r="B1413" s="89" t="s">
        <v>6163</v>
      </c>
      <c r="C1413" s="89" t="s">
        <v>2981</v>
      </c>
      <c r="D1413" s="278" t="str">
        <f>VLOOKUP(A:A,'Master Table'!C:D,2,FALSE)</f>
        <v>1347</v>
      </c>
      <c r="E1413" s="314"/>
      <c r="F1413" s="90">
        <v>513.71</v>
      </c>
      <c r="G1413" s="91">
        <v>988.1</v>
      </c>
      <c r="H1413" s="92">
        <v>1254.8900000000001</v>
      </c>
    </row>
    <row r="1414" spans="1:8" ht="15" x14ac:dyDescent="0.2">
      <c r="A1414" s="89" t="s">
        <v>6164</v>
      </c>
      <c r="B1414" s="89" t="s">
        <v>6163</v>
      </c>
      <c r="C1414" s="89" t="s">
        <v>127</v>
      </c>
      <c r="D1414" s="278" t="str">
        <f>VLOOKUP(A:A,'Master Table'!C:D,2,FALSE)</f>
        <v>1348</v>
      </c>
      <c r="E1414" s="314"/>
      <c r="F1414" s="90">
        <v>212</v>
      </c>
      <c r="G1414" s="91">
        <v>410</v>
      </c>
      <c r="H1414" s="92">
        <v>0</v>
      </c>
    </row>
    <row r="1415" spans="1:8" ht="15" x14ac:dyDescent="0.2">
      <c r="A1415" s="89" t="s">
        <v>6167</v>
      </c>
      <c r="B1415" s="89" t="s">
        <v>6169</v>
      </c>
      <c r="C1415" s="89" t="s">
        <v>3659</v>
      </c>
      <c r="D1415" s="278" t="str">
        <f>VLOOKUP(A:A,'Master Table'!C:D,2,FALSE)</f>
        <v>1349</v>
      </c>
      <c r="E1415" s="314"/>
      <c r="F1415" s="90">
        <v>559.01</v>
      </c>
      <c r="G1415" s="91">
        <v>171</v>
      </c>
      <c r="H1415" s="92">
        <v>580</v>
      </c>
    </row>
    <row r="1416" spans="1:8" ht="15" x14ac:dyDescent="0.2">
      <c r="A1416" s="89" t="s">
        <v>6170</v>
      </c>
      <c r="B1416" s="89" t="s">
        <v>6172</v>
      </c>
      <c r="C1416" s="89" t="s">
        <v>1160</v>
      </c>
      <c r="D1416" s="278" t="str">
        <f>VLOOKUP(A:A,'Master Table'!C:D,2,FALSE)</f>
        <v>1350</v>
      </c>
      <c r="E1416" s="314"/>
      <c r="F1416" s="90">
        <v>1277.27</v>
      </c>
      <c r="G1416" s="91">
        <v>1681</v>
      </c>
      <c r="H1416" s="92">
        <v>2272.88</v>
      </c>
    </row>
    <row r="1417" spans="1:8" ht="15" x14ac:dyDescent="0.2">
      <c r="A1417" s="89" t="s">
        <v>6173</v>
      </c>
      <c r="B1417" s="89" t="s">
        <v>6175</v>
      </c>
      <c r="C1417" s="89" t="s">
        <v>839</v>
      </c>
      <c r="D1417" s="278" t="str">
        <f>VLOOKUP(A:A,'Master Table'!C:D,2,FALSE)</f>
        <v>1351</v>
      </c>
      <c r="E1417" s="314"/>
      <c r="F1417" s="90">
        <v>799.1</v>
      </c>
      <c r="G1417" s="91">
        <v>727</v>
      </c>
      <c r="H1417" s="92">
        <v>783.4</v>
      </c>
    </row>
    <row r="1418" spans="1:8" ht="15" x14ac:dyDescent="0.2">
      <c r="A1418" s="89" t="s">
        <v>6177</v>
      </c>
      <c r="B1418" s="89" t="s">
        <v>6179</v>
      </c>
      <c r="C1418" s="89" t="s">
        <v>7516</v>
      </c>
      <c r="D1418" s="278" t="str">
        <f>VLOOKUP(A:A,'Master Table'!C:D,2,FALSE)</f>
        <v>1352</v>
      </c>
      <c r="E1418" s="314"/>
      <c r="F1418" s="90">
        <v>1240</v>
      </c>
      <c r="G1418" s="91">
        <v>1497</v>
      </c>
      <c r="H1418" s="92">
        <v>1183</v>
      </c>
    </row>
    <row r="1419" spans="1:8" ht="15" x14ac:dyDescent="0.2">
      <c r="A1419" s="89" t="s">
        <v>6180</v>
      </c>
      <c r="B1419" s="89" t="s">
        <v>6183</v>
      </c>
      <c r="C1419" s="89" t="s">
        <v>5512</v>
      </c>
      <c r="D1419" s="278" t="str">
        <f>VLOOKUP(A:A,'Master Table'!C:D,2,FALSE)</f>
        <v>1353</v>
      </c>
      <c r="E1419" s="314"/>
      <c r="F1419" s="90">
        <v>1602.76</v>
      </c>
      <c r="G1419" s="91">
        <v>1909.22</v>
      </c>
      <c r="H1419" s="92">
        <v>1714.6200000000001</v>
      </c>
    </row>
    <row r="1420" spans="1:8" ht="15" x14ac:dyDescent="0.2">
      <c r="A1420" s="89" t="s">
        <v>6184</v>
      </c>
      <c r="B1420" s="89" t="s">
        <v>6187</v>
      </c>
      <c r="C1420" s="89" t="s">
        <v>7877</v>
      </c>
      <c r="D1420" s="278" t="str">
        <f>VLOOKUP(A:A,'Master Table'!C:D,2,FALSE)</f>
        <v>1354</v>
      </c>
      <c r="E1420" s="314"/>
      <c r="F1420" s="90">
        <v>2285.19</v>
      </c>
      <c r="G1420" s="91">
        <v>2332</v>
      </c>
      <c r="H1420" s="92">
        <v>2349.65</v>
      </c>
    </row>
    <row r="1421" spans="1:8" ht="15" x14ac:dyDescent="0.2">
      <c r="A1421" s="89" t="s">
        <v>6188</v>
      </c>
      <c r="B1421" s="89" t="s">
        <v>6190</v>
      </c>
      <c r="C1421" s="89" t="s">
        <v>1047</v>
      </c>
      <c r="D1421" s="278" t="str">
        <f>VLOOKUP(A:A,'Master Table'!C:D,2,FALSE)</f>
        <v>1355</v>
      </c>
      <c r="E1421" s="314"/>
      <c r="F1421" s="90">
        <v>0</v>
      </c>
      <c r="G1421" s="91">
        <v>50</v>
      </c>
      <c r="H1421" s="92">
        <v>50</v>
      </c>
    </row>
    <row r="1422" spans="1:8" ht="15" x14ac:dyDescent="0.2">
      <c r="A1422" s="89" t="s">
        <v>6191</v>
      </c>
      <c r="B1422" s="89" t="s">
        <v>6194</v>
      </c>
      <c r="C1422" s="89" t="s">
        <v>6193</v>
      </c>
      <c r="D1422" s="278" t="str">
        <f>VLOOKUP(A:A,'Master Table'!C:D,2,FALSE)</f>
        <v>1356</v>
      </c>
      <c r="E1422" s="314"/>
      <c r="F1422" s="90">
        <v>510.11</v>
      </c>
      <c r="G1422" s="91">
        <v>874</v>
      </c>
      <c r="H1422" s="92">
        <v>900.7</v>
      </c>
    </row>
    <row r="1423" spans="1:8" ht="15" x14ac:dyDescent="0.2">
      <c r="A1423" s="89" t="s">
        <v>6195</v>
      </c>
      <c r="B1423" s="89" t="s">
        <v>6197</v>
      </c>
      <c r="C1423" s="89" t="s">
        <v>5610</v>
      </c>
      <c r="D1423" s="278" t="str">
        <f>VLOOKUP(A:A,'Master Table'!C:D,2,FALSE)</f>
        <v>1357</v>
      </c>
      <c r="E1423" s="314"/>
      <c r="F1423" s="90">
        <v>1864.65</v>
      </c>
      <c r="G1423" s="91">
        <v>2094</v>
      </c>
      <c r="H1423" s="92">
        <v>1858.9</v>
      </c>
    </row>
    <row r="1424" spans="1:8" ht="15" x14ac:dyDescent="0.2">
      <c r="A1424" s="89" t="s">
        <v>6198</v>
      </c>
      <c r="B1424" s="89" t="s">
        <v>6201</v>
      </c>
      <c r="C1424" s="89" t="s">
        <v>158</v>
      </c>
      <c r="D1424" s="278" t="str">
        <f>VLOOKUP(A:A,'Master Table'!C:D,2,FALSE)</f>
        <v>1358</v>
      </c>
      <c r="E1424" s="314"/>
      <c r="F1424" s="90">
        <v>305</v>
      </c>
      <c r="G1424" s="91">
        <v>180</v>
      </c>
      <c r="H1424" s="92">
        <v>476</v>
      </c>
    </row>
    <row r="1425" spans="1:8" ht="15" x14ac:dyDescent="0.2">
      <c r="A1425" s="89" t="s">
        <v>6202</v>
      </c>
      <c r="B1425" s="89" t="s">
        <v>6204</v>
      </c>
      <c r="C1425" s="89" t="s">
        <v>7535</v>
      </c>
      <c r="D1425" s="278" t="str">
        <f>VLOOKUP(A:A,'Master Table'!C:D,2,FALSE)</f>
        <v>1359</v>
      </c>
      <c r="E1425" s="314"/>
      <c r="F1425" s="90">
        <v>2228.84</v>
      </c>
      <c r="G1425" s="91">
        <v>2189.4499999999998</v>
      </c>
      <c r="H1425" s="92">
        <v>1858.4</v>
      </c>
    </row>
    <row r="1426" spans="1:8" ht="15" x14ac:dyDescent="0.2">
      <c r="A1426" s="89" t="s">
        <v>6205</v>
      </c>
      <c r="B1426" s="89" t="s">
        <v>6207</v>
      </c>
      <c r="C1426" s="89" t="s">
        <v>1008</v>
      </c>
      <c r="D1426" s="278" t="str">
        <f>VLOOKUP(A:A,'Master Table'!C:D,2,FALSE)</f>
        <v>1360</v>
      </c>
      <c r="E1426" s="314"/>
      <c r="F1426" s="90">
        <v>63</v>
      </c>
      <c r="G1426" s="91">
        <v>63</v>
      </c>
      <c r="H1426" s="92">
        <v>63</v>
      </c>
    </row>
    <row r="1427" spans="1:8" ht="15" x14ac:dyDescent="0.2">
      <c r="A1427" s="89" t="s">
        <v>6208</v>
      </c>
      <c r="B1427" s="89" t="s">
        <v>5590</v>
      </c>
      <c r="C1427" s="89" t="s">
        <v>7878</v>
      </c>
      <c r="D1427" s="278" t="str">
        <f>VLOOKUP(A:A,'Master Table'!C:D,2,FALSE)</f>
        <v>1361</v>
      </c>
      <c r="E1427" s="314"/>
      <c r="F1427" s="90">
        <v>70</v>
      </c>
      <c r="G1427" s="91">
        <v>70</v>
      </c>
      <c r="H1427" s="92">
        <v>70</v>
      </c>
    </row>
    <row r="1428" spans="1:8" ht="15" x14ac:dyDescent="0.2">
      <c r="A1428" s="89" t="s">
        <v>6211</v>
      </c>
      <c r="B1428" s="89" t="s">
        <v>6214</v>
      </c>
      <c r="C1428" s="89" t="s">
        <v>453</v>
      </c>
      <c r="D1428" s="278" t="str">
        <f>VLOOKUP(A:A,'Master Table'!C:D,2,FALSE)</f>
        <v>1362</v>
      </c>
      <c r="E1428" s="314"/>
      <c r="F1428" s="90">
        <v>2246.12</v>
      </c>
      <c r="G1428" s="91">
        <v>2254.33</v>
      </c>
      <c r="H1428" s="92">
        <v>2137.65</v>
      </c>
    </row>
    <row r="1429" spans="1:8" ht="15" x14ac:dyDescent="0.2">
      <c r="A1429" s="89" t="s">
        <v>6215</v>
      </c>
      <c r="B1429" s="89" t="s">
        <v>6218</v>
      </c>
      <c r="C1429" s="89" t="s">
        <v>7584</v>
      </c>
      <c r="D1429" s="278" t="str">
        <f>VLOOKUP(A:A,'Master Table'!C:D,2,FALSE)</f>
        <v>1363</v>
      </c>
      <c r="E1429" s="314"/>
      <c r="F1429" s="90">
        <v>2679.4</v>
      </c>
      <c r="G1429" s="91">
        <v>4098.54</v>
      </c>
      <c r="H1429" s="92">
        <v>4534.7300000000005</v>
      </c>
    </row>
    <row r="1430" spans="1:8" ht="15" x14ac:dyDescent="0.2">
      <c r="A1430" s="89" t="s">
        <v>6220</v>
      </c>
      <c r="B1430" s="89" t="s">
        <v>6222</v>
      </c>
      <c r="C1430" s="89" t="s">
        <v>4774</v>
      </c>
      <c r="D1430" s="278" t="str">
        <f>VLOOKUP(A:A,'Master Table'!C:D,2,FALSE)</f>
        <v>1364</v>
      </c>
      <c r="E1430" s="314"/>
      <c r="F1430" s="90">
        <v>101.42</v>
      </c>
      <c r="G1430" s="91">
        <v>10</v>
      </c>
      <c r="H1430" s="92">
        <v>10</v>
      </c>
    </row>
    <row r="1431" spans="1:8" ht="15" x14ac:dyDescent="0.2">
      <c r="A1431" s="89" t="s">
        <v>6226</v>
      </c>
      <c r="B1431" s="89" t="s">
        <v>6228</v>
      </c>
      <c r="C1431" s="89" t="s">
        <v>231</v>
      </c>
      <c r="D1431" s="278" t="str">
        <f>VLOOKUP(A:A,'Master Table'!C:D,2,FALSE)</f>
        <v>1365</v>
      </c>
      <c r="E1431" s="314"/>
      <c r="F1431" s="90">
        <v>30</v>
      </c>
      <c r="G1431" s="91">
        <v>40</v>
      </c>
      <c r="H1431" s="92">
        <v>100</v>
      </c>
    </row>
    <row r="1432" spans="1:8" ht="15" x14ac:dyDescent="0.2">
      <c r="A1432" s="89" t="s">
        <v>6232</v>
      </c>
      <c r="B1432" s="89" t="s">
        <v>6235</v>
      </c>
      <c r="C1432" s="89" t="s">
        <v>6234</v>
      </c>
      <c r="D1432" s="278" t="str">
        <f>VLOOKUP(A:A,'Master Table'!C:D,2,FALSE)</f>
        <v>1366</v>
      </c>
      <c r="E1432" s="314"/>
      <c r="F1432" s="90">
        <v>466.29</v>
      </c>
      <c r="G1432" s="91">
        <v>481.33000000000004</v>
      </c>
      <c r="H1432" s="92">
        <v>589.47</v>
      </c>
    </row>
    <row r="1433" spans="1:8" ht="15" x14ac:dyDescent="0.2">
      <c r="A1433" s="89" t="s">
        <v>6237</v>
      </c>
      <c r="B1433" s="89" t="s">
        <v>6240</v>
      </c>
      <c r="C1433" s="89" t="s">
        <v>5066</v>
      </c>
      <c r="D1433" s="278" t="str">
        <f>VLOOKUP(A:A,'Master Table'!C:D,2,FALSE)</f>
        <v>1367</v>
      </c>
      <c r="E1433" s="314"/>
      <c r="F1433" s="90">
        <v>1700.38</v>
      </c>
      <c r="G1433" s="91">
        <v>1814.41</v>
      </c>
      <c r="H1433" s="92">
        <v>1663.63</v>
      </c>
    </row>
    <row r="1434" spans="1:8" ht="15" x14ac:dyDescent="0.2">
      <c r="A1434" s="89" t="s">
        <v>6242</v>
      </c>
      <c r="B1434" s="89" t="s">
        <v>6244</v>
      </c>
      <c r="C1434" s="89" t="s">
        <v>916</v>
      </c>
      <c r="D1434" s="278" t="str">
        <f>VLOOKUP(A:A,'Master Table'!C:D,2,FALSE)</f>
        <v>1368</v>
      </c>
      <c r="E1434" s="314"/>
      <c r="F1434" s="90">
        <v>1694.88</v>
      </c>
      <c r="G1434" s="91">
        <v>1542</v>
      </c>
      <c r="H1434" s="92">
        <v>1446.64</v>
      </c>
    </row>
    <row r="1435" spans="1:8" ht="15" x14ac:dyDescent="0.2">
      <c r="A1435" s="89" t="s">
        <v>7879</v>
      </c>
      <c r="B1435" s="89" t="s">
        <v>6248</v>
      </c>
      <c r="C1435" s="89" t="s">
        <v>7880</v>
      </c>
      <c r="D1435" s="278" t="e">
        <f>VLOOKUP(A:A,'Master Table'!C:D,2,FALSE)</f>
        <v>#N/A</v>
      </c>
      <c r="E1435" s="314"/>
      <c r="F1435" s="90">
        <v>276.32</v>
      </c>
      <c r="G1435" s="91">
        <v>209</v>
      </c>
      <c r="H1435" s="92">
        <v>524.74</v>
      </c>
    </row>
    <row r="1436" spans="1:8" ht="15" x14ac:dyDescent="0.2">
      <c r="A1436" s="89" t="s">
        <v>6252</v>
      </c>
      <c r="B1436" s="89" t="s">
        <v>6255</v>
      </c>
      <c r="C1436" s="89" t="s">
        <v>6254</v>
      </c>
      <c r="D1436" s="278" t="str">
        <f>VLOOKUP(A:A,'Master Table'!C:D,2,FALSE)</f>
        <v>1370</v>
      </c>
      <c r="E1436" s="314"/>
      <c r="F1436" s="90">
        <v>1198.31</v>
      </c>
      <c r="G1436" s="91">
        <v>1308.77</v>
      </c>
      <c r="H1436" s="92">
        <v>1347.04</v>
      </c>
    </row>
    <row r="1437" spans="1:8" ht="15" x14ac:dyDescent="0.2">
      <c r="A1437" s="89" t="s">
        <v>6258</v>
      </c>
      <c r="B1437" s="89" t="s">
        <v>6172</v>
      </c>
      <c r="C1437" s="89" t="s">
        <v>3659</v>
      </c>
      <c r="D1437" s="278" t="str">
        <f>VLOOKUP(A:A,'Master Table'!C:D,2,FALSE)</f>
        <v>201867</v>
      </c>
      <c r="E1437" s="314"/>
      <c r="F1437" s="90">
        <v>15</v>
      </c>
      <c r="G1437" s="91"/>
      <c r="H1437" s="92"/>
    </row>
    <row r="1438" spans="1:8" ht="15" x14ac:dyDescent="0.2">
      <c r="A1438" s="183" t="s">
        <v>6262</v>
      </c>
      <c r="B1438" s="89" t="s">
        <v>7261</v>
      </c>
      <c r="C1438" s="89" t="s">
        <v>7261</v>
      </c>
      <c r="D1438" s="278" t="str">
        <f>VLOOKUP(A:A,'Master Table'!C:D,2,FALSE)</f>
        <v>1373</v>
      </c>
      <c r="E1438" s="314"/>
      <c r="F1438" s="90">
        <v>2556.56</v>
      </c>
      <c r="G1438" s="91">
        <v>1203.7</v>
      </c>
      <c r="H1438" s="92">
        <v>1095.51</v>
      </c>
    </row>
    <row r="1439" spans="1:8" ht="15.75" x14ac:dyDescent="0.2">
      <c r="A1439" s="221" t="s">
        <v>307</v>
      </c>
      <c r="B1439" s="221"/>
      <c r="C1439" s="221"/>
      <c r="D1439" s="316"/>
      <c r="E1439" s="316"/>
      <c r="F1439" s="222">
        <v>197981.93</v>
      </c>
      <c r="G1439" s="222">
        <v>209562.7</v>
      </c>
      <c r="H1439" s="223">
        <v>204868.55000000002</v>
      </c>
    </row>
    <row r="1440" spans="1:8" s="62" customFormat="1" x14ac:dyDescent="0.2">
      <c r="A1440" s="60" t="s">
        <v>7262</v>
      </c>
      <c r="B1440" s="60"/>
      <c r="C1440" s="60"/>
      <c r="D1440" s="275"/>
      <c r="E1440" s="275"/>
      <c r="F1440" s="61"/>
      <c r="G1440" s="61"/>
      <c r="H1440" s="60"/>
    </row>
    <row r="1441" spans="1:9" ht="20.25" x14ac:dyDescent="0.2">
      <c r="A1441" s="248" t="s">
        <v>7881</v>
      </c>
      <c r="B1441" s="248"/>
      <c r="C1441" s="248"/>
      <c r="D1441" s="289"/>
      <c r="E1441" s="289"/>
      <c r="F1441" s="248"/>
      <c r="G1441" s="248"/>
      <c r="H1441" s="248"/>
      <c r="I1441" s="86"/>
    </row>
    <row r="1442" spans="1:9" ht="15.75" x14ac:dyDescent="0.2">
      <c r="A1442" s="224" t="s">
        <v>1</v>
      </c>
      <c r="B1442" s="224" t="s">
        <v>2</v>
      </c>
      <c r="C1442" s="224" t="s">
        <v>7882</v>
      </c>
      <c r="D1442" s="277" t="s">
        <v>8165</v>
      </c>
      <c r="E1442" s="290">
        <f>E3</f>
        <v>2019</v>
      </c>
      <c r="F1442" s="226">
        <v>2018</v>
      </c>
      <c r="G1442" s="226">
        <v>2017</v>
      </c>
      <c r="H1442" s="86" t="s">
        <v>7884</v>
      </c>
      <c r="I1442" s="86"/>
    </row>
    <row r="1443" spans="1:9" ht="15" x14ac:dyDescent="0.2">
      <c r="A1443" s="89" t="s">
        <v>6266</v>
      </c>
      <c r="B1443" s="89" t="s">
        <v>7885</v>
      </c>
      <c r="C1443" s="89" t="s">
        <v>7886</v>
      </c>
      <c r="D1443" s="278" t="str">
        <f>VLOOKUP(A:A,'Master Table'!C:D,2,FALSE)</f>
        <v>1376</v>
      </c>
      <c r="E1443" s="319"/>
      <c r="F1443" s="229">
        <v>3020.69</v>
      </c>
      <c r="G1443" s="230">
        <v>3397.23</v>
      </c>
      <c r="H1443" s="86" t="s">
        <v>7887</v>
      </c>
      <c r="I1443" s="86"/>
    </row>
    <row r="1444" spans="1:9" ht="15" x14ac:dyDescent="0.2">
      <c r="A1444" s="89" t="s">
        <v>6272</v>
      </c>
      <c r="B1444" s="89" t="s">
        <v>6275</v>
      </c>
      <c r="C1444" s="89" t="s">
        <v>7888</v>
      </c>
      <c r="D1444" s="278" t="str">
        <f>VLOOKUP(A:A,'Master Table'!C:D,2,FALSE)</f>
        <v>1377</v>
      </c>
      <c r="E1444" s="319"/>
      <c r="F1444" s="229">
        <v>1276.54</v>
      </c>
      <c r="G1444" s="230">
        <v>2641.66</v>
      </c>
      <c r="H1444" s="86" t="s">
        <v>7889</v>
      </c>
      <c r="I1444" s="86"/>
    </row>
    <row r="1445" spans="1:9" ht="15" x14ac:dyDescent="0.2">
      <c r="A1445" s="89" t="s">
        <v>6276</v>
      </c>
      <c r="B1445" s="89" t="s">
        <v>7890</v>
      </c>
      <c r="C1445" s="89" t="s">
        <v>1203</v>
      </c>
      <c r="D1445" s="278" t="str">
        <f>VLOOKUP(A:A,'Master Table'!C:D,2,FALSE)</f>
        <v>1378</v>
      </c>
      <c r="E1445" s="319"/>
      <c r="F1445" s="229">
        <v>2148.48</v>
      </c>
      <c r="G1445" s="230">
        <v>2514</v>
      </c>
      <c r="H1445" s="86" t="s">
        <v>7891</v>
      </c>
      <c r="I1445" s="86"/>
    </row>
    <row r="1446" spans="1:9" ht="15" x14ac:dyDescent="0.2">
      <c r="A1446" s="89" t="s">
        <v>6278</v>
      </c>
      <c r="B1446" s="89" t="s">
        <v>7892</v>
      </c>
      <c r="C1446" s="89" t="s">
        <v>6280</v>
      </c>
      <c r="D1446" s="278" t="str">
        <f>VLOOKUP(A:A,'Master Table'!C:D,2,FALSE)</f>
        <v>1379</v>
      </c>
      <c r="E1446" s="319"/>
      <c r="F1446" s="229">
        <v>105</v>
      </c>
      <c r="G1446" s="230">
        <v>1442.3400000000001</v>
      </c>
      <c r="H1446" s="86" t="s">
        <v>7891</v>
      </c>
      <c r="I1446" s="86"/>
    </row>
    <row r="1447" spans="1:9" ht="15" x14ac:dyDescent="0.2">
      <c r="A1447" s="89" t="s">
        <v>6281</v>
      </c>
      <c r="B1447" s="89" t="s">
        <v>7893</v>
      </c>
      <c r="C1447" s="89" t="s">
        <v>1584</v>
      </c>
      <c r="D1447" s="278" t="str">
        <f>VLOOKUP(A:A,'Master Table'!C:D,2,FALSE)</f>
        <v>1380</v>
      </c>
      <c r="E1447" s="319"/>
      <c r="F1447" s="229">
        <v>500</v>
      </c>
      <c r="G1447" s="230">
        <v>283.77</v>
      </c>
      <c r="H1447" s="86" t="s">
        <v>7891</v>
      </c>
      <c r="I1447" s="86"/>
    </row>
    <row r="1448" spans="1:9" ht="15" x14ac:dyDescent="0.2">
      <c r="A1448" s="89" t="s">
        <v>6283</v>
      </c>
      <c r="B1448" s="89" t="s">
        <v>5505</v>
      </c>
      <c r="C1448" s="89" t="s">
        <v>1489</v>
      </c>
      <c r="D1448" s="278" t="str">
        <f>VLOOKUP(A:A,'Master Table'!C:D,2,FALSE)</f>
        <v>1381</v>
      </c>
      <c r="E1448" s="319"/>
      <c r="F1448" s="229">
        <v>2367.46</v>
      </c>
      <c r="G1448" s="230">
        <v>2611.6</v>
      </c>
      <c r="H1448" s="86" t="s">
        <v>7894</v>
      </c>
      <c r="I1448" s="86"/>
    </row>
    <row r="1449" spans="1:9" ht="15" x14ac:dyDescent="0.2">
      <c r="A1449" s="89" t="s">
        <v>6286</v>
      </c>
      <c r="B1449" s="89" t="s">
        <v>7895</v>
      </c>
      <c r="C1449" s="89" t="s">
        <v>6288</v>
      </c>
      <c r="D1449" s="278" t="str">
        <f>VLOOKUP(A:A,'Master Table'!C:D,2,FALSE)</f>
        <v>1382</v>
      </c>
      <c r="E1449" s="319"/>
      <c r="F1449" s="229">
        <v>882.66</v>
      </c>
      <c r="G1449" s="230">
        <v>820</v>
      </c>
      <c r="H1449" s="86" t="s">
        <v>7896</v>
      </c>
      <c r="I1449" s="86"/>
    </row>
    <row r="1450" spans="1:9" ht="15" x14ac:dyDescent="0.2">
      <c r="A1450" s="89" t="s">
        <v>6290</v>
      </c>
      <c r="B1450" s="89" t="s">
        <v>6293</v>
      </c>
      <c r="C1450" s="89" t="s">
        <v>6292</v>
      </c>
      <c r="D1450" s="278" t="str">
        <f>VLOOKUP(A:A,'Master Table'!C:D,2,FALSE)</f>
        <v>1383</v>
      </c>
      <c r="E1450" s="319"/>
      <c r="F1450" s="229">
        <v>759.52</v>
      </c>
      <c r="G1450" s="230">
        <v>1051.57</v>
      </c>
      <c r="H1450" s="86" t="s">
        <v>7897</v>
      </c>
      <c r="I1450" s="86"/>
    </row>
    <row r="1451" spans="1:9" ht="15" x14ac:dyDescent="0.2">
      <c r="A1451" s="89" t="s">
        <v>6294</v>
      </c>
      <c r="B1451" s="89" t="s">
        <v>7898</v>
      </c>
      <c r="C1451" s="89" t="s">
        <v>1004</v>
      </c>
      <c r="D1451" s="278" t="str">
        <f>VLOOKUP(A:A,'Master Table'!C:D,2,FALSE)</f>
        <v>1384</v>
      </c>
      <c r="E1451" s="319"/>
      <c r="F1451" s="229">
        <v>1271.6100000000001</v>
      </c>
      <c r="G1451" s="230">
        <v>520.19000000000005</v>
      </c>
      <c r="H1451" s="86" t="s">
        <v>7899</v>
      </c>
      <c r="I1451" s="86"/>
    </row>
    <row r="1452" spans="1:9" ht="15" x14ac:dyDescent="0.2">
      <c r="A1452" s="89" t="s">
        <v>6296</v>
      </c>
      <c r="B1452" s="89" t="s">
        <v>7900</v>
      </c>
      <c r="C1452" s="89" t="s">
        <v>231</v>
      </c>
      <c r="D1452" s="278" t="str">
        <f>VLOOKUP(A:A,'Master Table'!C:D,2,FALSE)</f>
        <v>1385</v>
      </c>
      <c r="E1452" s="319"/>
      <c r="F1452" s="229">
        <v>1508.28</v>
      </c>
      <c r="G1452" s="230">
        <v>1354</v>
      </c>
      <c r="H1452" s="86" t="s">
        <v>7901</v>
      </c>
      <c r="I1452" s="86"/>
    </row>
    <row r="1453" spans="1:9" ht="15" x14ac:dyDescent="0.2">
      <c r="A1453" s="89" t="s">
        <v>6299</v>
      </c>
      <c r="B1453" s="89" t="s">
        <v>7902</v>
      </c>
      <c r="C1453" s="89" t="s">
        <v>127</v>
      </c>
      <c r="D1453" s="278" t="str">
        <f>VLOOKUP(A:A,'Master Table'!C:D,2,FALSE)</f>
        <v>1386</v>
      </c>
      <c r="E1453" s="319"/>
      <c r="F1453" s="229">
        <v>360</v>
      </c>
      <c r="G1453" s="230">
        <v>340</v>
      </c>
      <c r="H1453" s="86" t="s">
        <v>7903</v>
      </c>
      <c r="I1453" s="86"/>
    </row>
    <row r="1454" spans="1:9" ht="15" x14ac:dyDescent="0.2">
      <c r="A1454" s="89" t="s">
        <v>6301</v>
      </c>
      <c r="B1454" s="89" t="s">
        <v>7904</v>
      </c>
      <c r="C1454" s="89" t="s">
        <v>6303</v>
      </c>
      <c r="D1454" s="278" t="str">
        <f>VLOOKUP(A:A,'Master Table'!C:D,2,FALSE)</f>
        <v>1387</v>
      </c>
      <c r="E1454" s="319"/>
      <c r="F1454" s="229">
        <v>3429.57</v>
      </c>
      <c r="G1454" s="230">
        <v>3547.72</v>
      </c>
      <c r="H1454" s="86" t="s">
        <v>7905</v>
      </c>
      <c r="I1454" s="86"/>
    </row>
    <row r="1455" spans="1:9" ht="15" x14ac:dyDescent="0.2">
      <c r="A1455" s="89" t="s">
        <v>6306</v>
      </c>
      <c r="B1455" s="89" t="s">
        <v>6309</v>
      </c>
      <c r="C1455" s="89" t="s">
        <v>934</v>
      </c>
      <c r="D1455" s="278" t="str">
        <f>VLOOKUP(A:A,'Master Table'!C:D,2,FALSE)</f>
        <v>1388</v>
      </c>
      <c r="E1455" s="319"/>
      <c r="F1455" s="229">
        <v>2210</v>
      </c>
      <c r="G1455" s="230">
        <v>1422</v>
      </c>
      <c r="H1455" s="86" t="s">
        <v>7901</v>
      </c>
      <c r="I1455" s="86"/>
    </row>
    <row r="1456" spans="1:9" ht="15" x14ac:dyDescent="0.2">
      <c r="A1456" s="89" t="s">
        <v>6311</v>
      </c>
      <c r="B1456" s="89" t="s">
        <v>7906</v>
      </c>
      <c r="C1456" s="89" t="s">
        <v>7907</v>
      </c>
      <c r="D1456" s="278" t="str">
        <f>VLOOKUP(A:A,'Master Table'!C:D,2,FALSE)</f>
        <v>1389</v>
      </c>
      <c r="E1456" s="319"/>
      <c r="F1456" s="229">
        <v>1080</v>
      </c>
      <c r="G1456" s="230">
        <v>911</v>
      </c>
      <c r="H1456" s="86" t="s">
        <v>7901</v>
      </c>
      <c r="I1456" s="86"/>
    </row>
    <row r="1457" spans="1:9" ht="15" x14ac:dyDescent="0.2">
      <c r="A1457" s="89" t="s">
        <v>6314</v>
      </c>
      <c r="B1457" s="89" t="s">
        <v>7908</v>
      </c>
      <c r="C1457" s="89" t="s">
        <v>6316</v>
      </c>
      <c r="D1457" s="278" t="str">
        <f>VLOOKUP(A:A,'Master Table'!C:D,2,FALSE)</f>
        <v>1390</v>
      </c>
      <c r="E1457" s="319"/>
      <c r="F1457" s="229">
        <v>25</v>
      </c>
      <c r="G1457" s="230">
        <v>25</v>
      </c>
      <c r="H1457" s="86" t="s">
        <v>7889</v>
      </c>
      <c r="I1457" s="86"/>
    </row>
    <row r="1458" spans="1:9" ht="15" x14ac:dyDescent="0.2">
      <c r="A1458" s="89" t="s">
        <v>6318</v>
      </c>
      <c r="B1458" s="89" t="s">
        <v>7909</v>
      </c>
      <c r="C1458" s="89" t="s">
        <v>6320</v>
      </c>
      <c r="D1458" s="278" t="str">
        <f>VLOOKUP(A:A,'Master Table'!C:D,2,FALSE)</f>
        <v>1391</v>
      </c>
      <c r="E1458" s="319"/>
      <c r="F1458" s="229">
        <v>1078.6199999999999</v>
      </c>
      <c r="G1458" s="230">
        <v>3180.84</v>
      </c>
      <c r="H1458" s="86" t="s">
        <v>7903</v>
      </c>
      <c r="I1458" s="86"/>
    </row>
    <row r="1459" spans="1:9" ht="15" x14ac:dyDescent="0.2">
      <c r="A1459" s="89" t="s">
        <v>6321</v>
      </c>
      <c r="B1459" s="89" t="s">
        <v>7910</v>
      </c>
      <c r="C1459" s="89" t="s">
        <v>7911</v>
      </c>
      <c r="D1459" s="278" t="str">
        <f>VLOOKUP(A:A,'Master Table'!C:D,2,FALSE)</f>
        <v>1392</v>
      </c>
      <c r="E1459" s="319"/>
      <c r="F1459" s="229">
        <v>333.45</v>
      </c>
      <c r="G1459" s="230">
        <v>60</v>
      </c>
      <c r="H1459" s="86" t="s">
        <v>7903</v>
      </c>
      <c r="I1459" s="86"/>
    </row>
    <row r="1460" spans="1:9" ht="15" x14ac:dyDescent="0.2">
      <c r="A1460" s="89" t="s">
        <v>6324</v>
      </c>
      <c r="B1460" s="89" t="s">
        <v>6327</v>
      </c>
      <c r="C1460" s="89" t="s">
        <v>164</v>
      </c>
      <c r="D1460" s="278" t="str">
        <f>VLOOKUP(A:A,'Master Table'!C:D,2,FALSE)</f>
        <v>1393</v>
      </c>
      <c r="E1460" s="319"/>
      <c r="F1460" s="229">
        <v>357.7</v>
      </c>
      <c r="G1460" s="230">
        <v>821.28</v>
      </c>
      <c r="H1460" s="86" t="s">
        <v>7912</v>
      </c>
      <c r="I1460" s="86"/>
    </row>
    <row r="1461" spans="1:9" ht="15" x14ac:dyDescent="0.2">
      <c r="A1461" s="89" t="s">
        <v>6328</v>
      </c>
      <c r="B1461" s="89" t="s">
        <v>7913</v>
      </c>
      <c r="C1461" s="89" t="s">
        <v>1371</v>
      </c>
      <c r="D1461" s="278" t="str">
        <f>VLOOKUP(A:A,'Master Table'!C:D,2,FALSE)</f>
        <v>1394</v>
      </c>
      <c r="E1461" s="319"/>
      <c r="F1461" s="229">
        <v>10</v>
      </c>
      <c r="G1461" s="230">
        <v>639.55999999999995</v>
      </c>
      <c r="H1461" s="86" t="s">
        <v>7914</v>
      </c>
      <c r="I1461" s="86"/>
    </row>
    <row r="1462" spans="1:9" ht="15" x14ac:dyDescent="0.2">
      <c r="A1462" s="89" t="s">
        <v>6330</v>
      </c>
      <c r="B1462" s="89" t="s">
        <v>7915</v>
      </c>
      <c r="C1462" s="89" t="s">
        <v>7916</v>
      </c>
      <c r="D1462" s="278" t="str">
        <f>VLOOKUP(A:A,'Master Table'!C:D,2,FALSE)</f>
        <v>1395</v>
      </c>
      <c r="E1462" s="319"/>
      <c r="F1462" s="229">
        <v>50</v>
      </c>
      <c r="G1462" s="230">
        <v>565.9</v>
      </c>
      <c r="H1462" s="86" t="s">
        <v>7917</v>
      </c>
      <c r="I1462" s="86"/>
    </row>
    <row r="1463" spans="1:9" ht="15" x14ac:dyDescent="0.2">
      <c r="A1463" s="89" t="s">
        <v>6332</v>
      </c>
      <c r="B1463" s="89" t="s">
        <v>6673</v>
      </c>
      <c r="C1463" s="89" t="s">
        <v>2907</v>
      </c>
      <c r="D1463" s="278" t="str">
        <f>VLOOKUP(A:A,'Master Table'!C:D,2,FALSE)</f>
        <v>1396</v>
      </c>
      <c r="E1463" s="319"/>
      <c r="F1463" s="229">
        <v>305.11</v>
      </c>
      <c r="G1463" s="230">
        <v>455</v>
      </c>
      <c r="H1463" s="86" t="s">
        <v>7905</v>
      </c>
      <c r="I1463" s="86"/>
    </row>
    <row r="1464" spans="1:9" ht="15" x14ac:dyDescent="0.2">
      <c r="A1464" s="89" t="s">
        <v>6335</v>
      </c>
      <c r="B1464" s="89" t="s">
        <v>7918</v>
      </c>
      <c r="C1464" s="89" t="s">
        <v>186</v>
      </c>
      <c r="D1464" s="278" t="str">
        <f>VLOOKUP(A:A,'Master Table'!C:D,2,FALSE)</f>
        <v>1397</v>
      </c>
      <c r="E1464" s="319"/>
      <c r="F1464" s="229">
        <v>1279.69</v>
      </c>
      <c r="G1464" s="230">
        <v>2202.42</v>
      </c>
      <c r="H1464" s="86" t="s">
        <v>7897</v>
      </c>
      <c r="I1464" s="86"/>
    </row>
    <row r="1465" spans="1:9" ht="15" x14ac:dyDescent="0.2">
      <c r="A1465" s="89" t="s">
        <v>6338</v>
      </c>
      <c r="B1465" s="89" t="s">
        <v>7919</v>
      </c>
      <c r="C1465" s="89" t="s">
        <v>6340</v>
      </c>
      <c r="D1465" s="278" t="str">
        <f>VLOOKUP(A:A,'Master Table'!C:D,2,FALSE)</f>
        <v>1398</v>
      </c>
      <c r="E1465" s="319"/>
      <c r="F1465" s="229">
        <v>1105.53</v>
      </c>
      <c r="G1465" s="230">
        <v>1970.09</v>
      </c>
      <c r="H1465" s="86" t="s">
        <v>7889</v>
      </c>
      <c r="I1465" s="86"/>
    </row>
    <row r="1466" spans="1:9" ht="15" x14ac:dyDescent="0.2">
      <c r="A1466" s="89" t="s">
        <v>6342</v>
      </c>
      <c r="B1466" s="89" t="s">
        <v>7920</v>
      </c>
      <c r="C1466" s="89" t="s">
        <v>6344</v>
      </c>
      <c r="D1466" s="278" t="str">
        <f>VLOOKUP(A:A,'Master Table'!C:D,2,FALSE)</f>
        <v>1399</v>
      </c>
      <c r="E1466" s="319"/>
      <c r="F1466" s="229">
        <v>110</v>
      </c>
      <c r="G1466" s="230">
        <v>56</v>
      </c>
      <c r="H1466" s="86" t="s">
        <v>7921</v>
      </c>
      <c r="I1466" s="86"/>
    </row>
    <row r="1467" spans="1:9" ht="15" x14ac:dyDescent="0.2">
      <c r="A1467" s="89" t="s">
        <v>6345</v>
      </c>
      <c r="B1467" s="89" t="s">
        <v>7922</v>
      </c>
      <c r="C1467" s="89" t="s">
        <v>532</v>
      </c>
      <c r="D1467" s="278" t="str">
        <f>VLOOKUP(A:A,'Master Table'!C:D,2,FALSE)</f>
        <v>1400</v>
      </c>
      <c r="E1467" s="319"/>
      <c r="F1467" s="229">
        <v>60</v>
      </c>
      <c r="G1467" s="230">
        <v>60</v>
      </c>
      <c r="H1467" s="86" t="s">
        <v>7889</v>
      </c>
      <c r="I1467" s="86"/>
    </row>
    <row r="1468" spans="1:9" ht="15" x14ac:dyDescent="0.2">
      <c r="A1468" s="89" t="s">
        <v>6347</v>
      </c>
      <c r="B1468" s="89" t="s">
        <v>7923</v>
      </c>
      <c r="C1468" s="89" t="s">
        <v>7924</v>
      </c>
      <c r="D1468" s="278" t="str">
        <f>VLOOKUP(A:A,'Master Table'!C:D,2,FALSE)</f>
        <v>1401</v>
      </c>
      <c r="E1468" s="319"/>
      <c r="F1468" s="229">
        <v>940</v>
      </c>
      <c r="G1468" s="230">
        <v>1246</v>
      </c>
      <c r="H1468" s="86" t="s">
        <v>7925</v>
      </c>
      <c r="I1468" s="86"/>
    </row>
    <row r="1469" spans="1:9" ht="15" x14ac:dyDescent="0.2">
      <c r="A1469" s="89" t="s">
        <v>6349</v>
      </c>
      <c r="B1469" s="89" t="s">
        <v>7923</v>
      </c>
      <c r="C1469" s="89" t="s">
        <v>6351</v>
      </c>
      <c r="D1469" s="278" t="str">
        <f>VLOOKUP(A:A,'Master Table'!C:D,2,FALSE)</f>
        <v>1402</v>
      </c>
      <c r="E1469" s="319"/>
      <c r="F1469" s="229">
        <v>1533.8899999999999</v>
      </c>
      <c r="G1469" s="230">
        <v>1079</v>
      </c>
      <c r="H1469" s="86" t="s">
        <v>7925</v>
      </c>
      <c r="I1469" s="86"/>
    </row>
    <row r="1470" spans="1:9" ht="15" x14ac:dyDescent="0.2">
      <c r="A1470" s="89" t="s">
        <v>6353</v>
      </c>
      <c r="B1470" s="89" t="s">
        <v>6355</v>
      </c>
      <c r="C1470" s="89" t="s">
        <v>7926</v>
      </c>
      <c r="D1470" s="278" t="str">
        <f>VLOOKUP(A:A,'Master Table'!C:D,2,FALSE)</f>
        <v>1404</v>
      </c>
      <c r="E1470" s="319"/>
      <c r="F1470" s="229">
        <v>45</v>
      </c>
      <c r="G1470" s="230"/>
      <c r="H1470" s="86"/>
      <c r="I1470" s="86"/>
    </row>
    <row r="1471" spans="1:9" ht="15" x14ac:dyDescent="0.2">
      <c r="A1471" s="89" t="s">
        <v>6356</v>
      </c>
      <c r="B1471" s="89" t="s">
        <v>7927</v>
      </c>
      <c r="C1471" s="89" t="s">
        <v>6358</v>
      </c>
      <c r="D1471" s="278" t="str">
        <f>VLOOKUP(A:A,'Master Table'!C:D,2,FALSE)</f>
        <v>1405</v>
      </c>
      <c r="E1471" s="319"/>
      <c r="F1471" s="229">
        <v>2200</v>
      </c>
      <c r="G1471" s="230">
        <v>1977</v>
      </c>
      <c r="H1471" s="86" t="s">
        <v>7912</v>
      </c>
      <c r="I1471" s="86"/>
    </row>
    <row r="1472" spans="1:9" ht="15" x14ac:dyDescent="0.2">
      <c r="A1472" s="89" t="s">
        <v>6359</v>
      </c>
      <c r="B1472" s="89" t="s">
        <v>7928</v>
      </c>
      <c r="C1472" s="89" t="s">
        <v>2578</v>
      </c>
      <c r="D1472" s="278" t="str">
        <f>VLOOKUP(A:A,'Master Table'!C:D,2,FALSE)</f>
        <v>1406</v>
      </c>
      <c r="E1472" s="319"/>
      <c r="F1472" s="229">
        <v>589.33000000000004</v>
      </c>
      <c r="G1472" s="230">
        <v>725.45</v>
      </c>
      <c r="H1472" s="86" t="s">
        <v>7889</v>
      </c>
      <c r="I1472" s="86"/>
    </row>
    <row r="1473" spans="1:9" ht="15" x14ac:dyDescent="0.2">
      <c r="A1473" s="89" t="s">
        <v>6363</v>
      </c>
      <c r="B1473" s="89" t="s">
        <v>7929</v>
      </c>
      <c r="C1473" s="89" t="s">
        <v>7930</v>
      </c>
      <c r="D1473" s="278" t="str">
        <f>VLOOKUP(A:A,'Master Table'!C:D,2,FALSE)</f>
        <v>1407</v>
      </c>
      <c r="E1473" s="319"/>
      <c r="F1473" s="229">
        <v>1015.47</v>
      </c>
      <c r="G1473" s="230">
        <v>1900</v>
      </c>
      <c r="H1473" s="86" t="s">
        <v>7931</v>
      </c>
      <c r="I1473" s="86"/>
    </row>
    <row r="1474" spans="1:9" ht="15" x14ac:dyDescent="0.2">
      <c r="A1474" s="89" t="s">
        <v>6366</v>
      </c>
      <c r="B1474" s="89" t="s">
        <v>7932</v>
      </c>
      <c r="C1474" s="89" t="s">
        <v>7283</v>
      </c>
      <c r="D1474" s="278" t="str">
        <f>VLOOKUP(A:A,'Master Table'!C:D,2,FALSE)</f>
        <v>1408</v>
      </c>
      <c r="E1474" s="319"/>
      <c r="F1474" s="229">
        <v>30</v>
      </c>
      <c r="G1474" s="230">
        <v>491.56</v>
      </c>
      <c r="H1474" s="86" t="s">
        <v>7931</v>
      </c>
      <c r="I1474" s="86"/>
    </row>
    <row r="1475" spans="1:9" ht="15" x14ac:dyDescent="0.2">
      <c r="A1475" s="89" t="s">
        <v>6368</v>
      </c>
      <c r="B1475" s="89" t="s">
        <v>7933</v>
      </c>
      <c r="C1475" s="89" t="s">
        <v>7934</v>
      </c>
      <c r="D1475" s="278" t="str">
        <f>VLOOKUP(A:A,'Master Table'!C:D,2,FALSE)</f>
        <v>1409</v>
      </c>
      <c r="E1475" s="319"/>
      <c r="F1475" s="229">
        <v>30</v>
      </c>
      <c r="G1475" s="230">
        <v>944.1</v>
      </c>
      <c r="H1475" s="86" t="s">
        <v>7917</v>
      </c>
      <c r="I1475" s="86"/>
    </row>
    <row r="1476" spans="1:9" ht="15" x14ac:dyDescent="0.2">
      <c r="A1476" s="89" t="s">
        <v>6370</v>
      </c>
      <c r="B1476" s="89" t="s">
        <v>7935</v>
      </c>
      <c r="C1476" s="89" t="s">
        <v>7936</v>
      </c>
      <c r="D1476" s="278" t="str">
        <f>VLOOKUP(A:A,'Master Table'!C:D,2,FALSE)</f>
        <v>1410</v>
      </c>
      <c r="E1476" s="319"/>
      <c r="F1476" s="229">
        <v>701</v>
      </c>
      <c r="G1476" s="230">
        <v>659</v>
      </c>
      <c r="H1476" s="86" t="s">
        <v>7937</v>
      </c>
      <c r="I1476" s="86"/>
    </row>
    <row r="1477" spans="1:9" ht="15" x14ac:dyDescent="0.2">
      <c r="A1477" s="89" t="s">
        <v>6373</v>
      </c>
      <c r="B1477" s="89" t="s">
        <v>7938</v>
      </c>
      <c r="C1477" s="89" t="s">
        <v>6375</v>
      </c>
      <c r="D1477" s="278" t="str">
        <f>VLOOKUP(A:A,'Master Table'!C:D,2,FALSE)</f>
        <v>1411</v>
      </c>
      <c r="E1477" s="319"/>
      <c r="F1477" s="229">
        <v>1523</v>
      </c>
      <c r="G1477" s="230">
        <v>2845</v>
      </c>
      <c r="H1477" s="86" t="s">
        <v>7903</v>
      </c>
      <c r="I1477" s="86"/>
    </row>
    <row r="1478" spans="1:9" ht="15" x14ac:dyDescent="0.2">
      <c r="A1478" s="89" t="s">
        <v>6379</v>
      </c>
      <c r="B1478" s="89" t="s">
        <v>7939</v>
      </c>
      <c r="C1478" s="89" t="s">
        <v>5316</v>
      </c>
      <c r="D1478" s="278" t="str">
        <f>VLOOKUP(A:A,'Master Table'!C:D,2,FALSE)</f>
        <v>1413</v>
      </c>
      <c r="E1478" s="319"/>
      <c r="F1478" s="229">
        <v>81.98</v>
      </c>
      <c r="G1478" s="230">
        <v>60</v>
      </c>
      <c r="H1478" s="86" t="s">
        <v>7912</v>
      </c>
      <c r="I1478" s="86"/>
    </row>
    <row r="1479" spans="1:9" ht="15" x14ac:dyDescent="0.2">
      <c r="A1479" s="89" t="s">
        <v>6383</v>
      </c>
      <c r="B1479" s="89" t="s">
        <v>7940</v>
      </c>
      <c r="C1479" s="89" t="s">
        <v>5436</v>
      </c>
      <c r="D1479" s="278" t="str">
        <f>VLOOKUP(A:A,'Master Table'!C:D,2,FALSE)</f>
        <v>1414</v>
      </c>
      <c r="E1479" s="319"/>
      <c r="F1479" s="229">
        <v>1233.0700000000002</v>
      </c>
      <c r="G1479" s="230">
        <v>892.64</v>
      </c>
      <c r="H1479" s="86" t="s">
        <v>7897</v>
      </c>
      <c r="I1479" s="86"/>
    </row>
    <row r="1480" spans="1:9" ht="15" x14ac:dyDescent="0.2">
      <c r="A1480" s="89" t="s">
        <v>6385</v>
      </c>
      <c r="B1480" s="89" t="s">
        <v>7941</v>
      </c>
      <c r="C1480" s="89" t="s">
        <v>3774</v>
      </c>
      <c r="D1480" s="278" t="str">
        <f>VLOOKUP(A:A,'Master Table'!C:D,2,FALSE)</f>
        <v>1415</v>
      </c>
      <c r="E1480" s="319"/>
      <c r="F1480" s="229">
        <v>754.07</v>
      </c>
      <c r="G1480" s="230">
        <v>1132</v>
      </c>
      <c r="H1480" s="86" t="s">
        <v>7889</v>
      </c>
      <c r="I1480" s="86"/>
    </row>
    <row r="1481" spans="1:9" ht="15" x14ac:dyDescent="0.2">
      <c r="A1481" s="89" t="s">
        <v>6387</v>
      </c>
      <c r="B1481" s="89" t="s">
        <v>7942</v>
      </c>
      <c r="C1481" s="89" t="s">
        <v>3742</v>
      </c>
      <c r="D1481" s="278" t="str">
        <f>VLOOKUP(A:A,'Master Table'!C:D,2,FALSE)</f>
        <v>1416</v>
      </c>
      <c r="E1481" s="319"/>
      <c r="F1481" s="229">
        <v>364.9</v>
      </c>
      <c r="G1481" s="230">
        <v>70</v>
      </c>
      <c r="H1481" s="86" t="s">
        <v>7937</v>
      </c>
      <c r="I1481" s="86"/>
    </row>
    <row r="1482" spans="1:9" ht="15" x14ac:dyDescent="0.2">
      <c r="A1482" s="89" t="s">
        <v>6390</v>
      </c>
      <c r="B1482" s="89" t="s">
        <v>7943</v>
      </c>
      <c r="C1482" s="89" t="s">
        <v>6392</v>
      </c>
      <c r="D1482" s="278" t="str">
        <f>VLOOKUP(A:A,'Master Table'!C:D,2,FALSE)</f>
        <v>1417</v>
      </c>
      <c r="E1482" s="319"/>
      <c r="F1482" s="229">
        <v>330.5</v>
      </c>
      <c r="G1482" s="230">
        <v>542.59</v>
      </c>
      <c r="H1482" s="86" t="s">
        <v>7944</v>
      </c>
      <c r="I1482" s="86"/>
    </row>
    <row r="1483" spans="1:9" ht="15" x14ac:dyDescent="0.2">
      <c r="A1483" s="89" t="s">
        <v>6393</v>
      </c>
      <c r="B1483" s="89" t="s">
        <v>7945</v>
      </c>
      <c r="C1483" s="89" t="s">
        <v>5211</v>
      </c>
      <c r="D1483" s="278" t="str">
        <f>VLOOKUP(A:A,'Master Table'!C:D,2,FALSE)</f>
        <v>1418</v>
      </c>
      <c r="E1483" s="319"/>
      <c r="F1483" s="229">
        <v>4180.2</v>
      </c>
      <c r="G1483" s="230">
        <v>3188.84</v>
      </c>
      <c r="H1483" s="86" t="s">
        <v>7891</v>
      </c>
      <c r="I1483" s="86"/>
    </row>
    <row r="1484" spans="1:9" ht="15" x14ac:dyDescent="0.2">
      <c r="A1484" s="89" t="s">
        <v>6397</v>
      </c>
      <c r="B1484" s="89" t="s">
        <v>7946</v>
      </c>
      <c r="C1484" s="89" t="s">
        <v>453</v>
      </c>
      <c r="D1484" s="278" t="str">
        <f>VLOOKUP(A:A,'Master Table'!C:D,2,FALSE)</f>
        <v>1420</v>
      </c>
      <c r="E1484" s="319"/>
      <c r="F1484" s="229">
        <v>771.1</v>
      </c>
      <c r="G1484" s="230">
        <v>964.2</v>
      </c>
      <c r="H1484" s="86" t="s">
        <v>7947</v>
      </c>
      <c r="I1484" s="86"/>
    </row>
    <row r="1485" spans="1:9" ht="15" x14ac:dyDescent="0.2">
      <c r="A1485" s="89" t="s">
        <v>6400</v>
      </c>
      <c r="B1485" s="89" t="s">
        <v>6337</v>
      </c>
      <c r="C1485" s="89" t="s">
        <v>7429</v>
      </c>
      <c r="D1485" s="278" t="str">
        <f>VLOOKUP(A:A,'Master Table'!C:D,2,FALSE)</f>
        <v>1421</v>
      </c>
      <c r="E1485" s="319"/>
      <c r="F1485" s="229">
        <v>902.37</v>
      </c>
      <c r="G1485" s="230">
        <v>972.91</v>
      </c>
      <c r="H1485" s="86" t="s">
        <v>7897</v>
      </c>
      <c r="I1485" s="86"/>
    </row>
    <row r="1486" spans="1:9" ht="15" x14ac:dyDescent="0.2">
      <c r="A1486" s="89" t="s">
        <v>6402</v>
      </c>
      <c r="B1486" s="89" t="s">
        <v>7948</v>
      </c>
      <c r="C1486" s="89" t="s">
        <v>6404</v>
      </c>
      <c r="D1486" s="278" t="str">
        <f>VLOOKUP(A:A,'Master Table'!C:D,2,FALSE)</f>
        <v>1423</v>
      </c>
      <c r="E1486" s="319"/>
      <c r="F1486" s="229">
        <v>690</v>
      </c>
      <c r="G1486" s="230">
        <v>602</v>
      </c>
      <c r="H1486" s="86" t="s">
        <v>7937</v>
      </c>
      <c r="I1486" s="86"/>
    </row>
    <row r="1487" spans="1:9" ht="15" x14ac:dyDescent="0.2">
      <c r="A1487" s="89" t="s">
        <v>6405</v>
      </c>
      <c r="B1487" s="89" t="s">
        <v>7949</v>
      </c>
      <c r="C1487" s="89" t="s">
        <v>7576</v>
      </c>
      <c r="D1487" s="278" t="str">
        <f>VLOOKUP(A:A,'Master Table'!C:D,2,FALSE)</f>
        <v>1424</v>
      </c>
      <c r="E1487" s="319"/>
      <c r="F1487" s="229">
        <v>1586.25</v>
      </c>
      <c r="G1487" s="230">
        <v>191</v>
      </c>
      <c r="H1487" s="86" t="s">
        <v>7887</v>
      </c>
      <c r="I1487" s="86"/>
    </row>
    <row r="1488" spans="1:9" ht="15" x14ac:dyDescent="0.2">
      <c r="A1488" s="89" t="s">
        <v>6408</v>
      </c>
      <c r="B1488" s="89" t="s">
        <v>6415</v>
      </c>
      <c r="C1488" s="89" t="s">
        <v>7950</v>
      </c>
      <c r="D1488" s="278" t="str">
        <f>VLOOKUP(A:A,'Master Table'!C:D,2,FALSE)</f>
        <v>1425</v>
      </c>
      <c r="E1488" s="319"/>
      <c r="F1488" s="229">
        <v>2062.83</v>
      </c>
      <c r="G1488" s="230">
        <v>3637.83</v>
      </c>
      <c r="H1488" s="86" t="s">
        <v>7937</v>
      </c>
      <c r="I1488" s="86"/>
    </row>
    <row r="1489" spans="1:9" ht="15" x14ac:dyDescent="0.2">
      <c r="A1489" s="89" t="s">
        <v>6416</v>
      </c>
      <c r="B1489" s="89" t="s">
        <v>7951</v>
      </c>
      <c r="C1489" s="89" t="s">
        <v>297</v>
      </c>
      <c r="D1489" s="278" t="str">
        <f>VLOOKUP(A:A,'Master Table'!C:D,2,FALSE)</f>
        <v>1427</v>
      </c>
      <c r="E1489" s="319"/>
      <c r="F1489" s="229">
        <v>0</v>
      </c>
      <c r="G1489" s="230">
        <v>30</v>
      </c>
      <c r="H1489" s="86" t="s">
        <v>7952</v>
      </c>
      <c r="I1489" s="86"/>
    </row>
    <row r="1490" spans="1:9" ht="15" x14ac:dyDescent="0.2">
      <c r="A1490" s="89" t="s">
        <v>6418</v>
      </c>
      <c r="B1490" s="89" t="s">
        <v>7953</v>
      </c>
      <c r="C1490" s="89" t="s">
        <v>2663</v>
      </c>
      <c r="D1490" s="278" t="str">
        <f>VLOOKUP(A:A,'Master Table'!C:D,2,FALSE)</f>
        <v>1428</v>
      </c>
      <c r="E1490" s="319"/>
      <c r="F1490" s="229">
        <v>1980.02</v>
      </c>
      <c r="G1490" s="230">
        <v>1592.93</v>
      </c>
      <c r="H1490" s="86" t="s">
        <v>7912</v>
      </c>
      <c r="I1490" s="86"/>
    </row>
    <row r="1491" spans="1:9" ht="15" x14ac:dyDescent="0.2">
      <c r="A1491" s="89" t="s">
        <v>6421</v>
      </c>
      <c r="B1491" s="89" t="s">
        <v>7954</v>
      </c>
      <c r="C1491" s="89" t="s">
        <v>5379</v>
      </c>
      <c r="D1491" s="278" t="str">
        <f>VLOOKUP(A:A,'Master Table'!C:D,2,FALSE)</f>
        <v>1429</v>
      </c>
      <c r="E1491" s="319"/>
      <c r="F1491" s="229">
        <v>1928.67</v>
      </c>
      <c r="G1491" s="230">
        <v>2730.27</v>
      </c>
      <c r="H1491" s="86" t="s">
        <v>7897</v>
      </c>
      <c r="I1491" s="86"/>
    </row>
    <row r="1492" spans="1:9" ht="15" x14ac:dyDescent="0.2">
      <c r="A1492" s="89" t="s">
        <v>6423</v>
      </c>
      <c r="B1492" s="89" t="s">
        <v>7955</v>
      </c>
      <c r="C1492" s="89" t="s">
        <v>226</v>
      </c>
      <c r="D1492" s="278" t="str">
        <f>VLOOKUP(A:A,'Master Table'!C:D,2,FALSE)</f>
        <v>1430</v>
      </c>
      <c r="E1492" s="319"/>
      <c r="F1492" s="229">
        <v>870</v>
      </c>
      <c r="G1492" s="230">
        <v>713.9</v>
      </c>
      <c r="H1492" s="86" t="s">
        <v>7897</v>
      </c>
      <c r="I1492" s="86"/>
    </row>
    <row r="1493" spans="1:9" ht="15" x14ac:dyDescent="0.2">
      <c r="A1493" s="89" t="s">
        <v>6425</v>
      </c>
      <c r="B1493" s="89" t="s">
        <v>7956</v>
      </c>
      <c r="C1493" s="89" t="s">
        <v>5256</v>
      </c>
      <c r="D1493" s="278" t="str">
        <f>VLOOKUP(A:A,'Master Table'!C:D,2,FALSE)</f>
        <v>1431</v>
      </c>
      <c r="E1493" s="319"/>
      <c r="F1493" s="229">
        <v>295</v>
      </c>
      <c r="G1493" s="230">
        <v>502.91</v>
      </c>
      <c r="H1493" s="86" t="s">
        <v>7897</v>
      </c>
      <c r="I1493" s="86"/>
    </row>
    <row r="1494" spans="1:9" ht="15" x14ac:dyDescent="0.2">
      <c r="A1494" s="89" t="s">
        <v>6427</v>
      </c>
      <c r="B1494" s="89" t="s">
        <v>7957</v>
      </c>
      <c r="C1494" s="89" t="s">
        <v>7958</v>
      </c>
      <c r="D1494" s="278" t="str">
        <f>VLOOKUP(A:A,'Master Table'!C:D,2,FALSE)</f>
        <v>1432</v>
      </c>
      <c r="E1494" s="319"/>
      <c r="F1494" s="229">
        <v>50</v>
      </c>
      <c r="G1494" s="230"/>
      <c r="H1494" s="86"/>
      <c r="I1494" s="86"/>
    </row>
    <row r="1495" spans="1:9" ht="15" x14ac:dyDescent="0.2">
      <c r="A1495" s="89" t="s">
        <v>6433</v>
      </c>
      <c r="B1495" s="89" t="s">
        <v>7959</v>
      </c>
      <c r="C1495" s="89" t="s">
        <v>78</v>
      </c>
      <c r="D1495" s="278" t="str">
        <f>VLOOKUP(A:A,'Master Table'!C:D,2,FALSE)</f>
        <v>1433</v>
      </c>
      <c r="E1495" s="319"/>
      <c r="F1495" s="229">
        <v>342</v>
      </c>
      <c r="G1495" s="230">
        <v>505</v>
      </c>
      <c r="H1495" s="86" t="s">
        <v>7914</v>
      </c>
      <c r="I1495" s="86"/>
    </row>
    <row r="1496" spans="1:9" ht="15" x14ac:dyDescent="0.2">
      <c r="A1496" s="89" t="s">
        <v>6435</v>
      </c>
      <c r="B1496" s="89" t="s">
        <v>7960</v>
      </c>
      <c r="C1496" s="89" t="s">
        <v>6530</v>
      </c>
      <c r="D1496" s="278" t="str">
        <f>VLOOKUP(A:A,'Master Table'!C:D,2,FALSE)</f>
        <v>1434</v>
      </c>
      <c r="E1496" s="319"/>
      <c r="F1496" s="229">
        <v>0</v>
      </c>
      <c r="G1496" s="230">
        <v>400</v>
      </c>
      <c r="H1496" s="86" t="s">
        <v>7925</v>
      </c>
      <c r="I1496" s="86"/>
    </row>
    <row r="1497" spans="1:9" ht="15" x14ac:dyDescent="0.2">
      <c r="A1497" s="89" t="s">
        <v>6438</v>
      </c>
      <c r="B1497" s="89" t="s">
        <v>7961</v>
      </c>
      <c r="C1497" s="89" t="s">
        <v>6440</v>
      </c>
      <c r="D1497" s="278" t="str">
        <f>VLOOKUP(A:A,'Master Table'!C:D,2,FALSE)</f>
        <v>1435</v>
      </c>
      <c r="E1497" s="319"/>
      <c r="F1497" s="229">
        <v>1792.76</v>
      </c>
      <c r="G1497" s="230">
        <v>2447.5100000000002</v>
      </c>
      <c r="H1497" s="86" t="s">
        <v>7889</v>
      </c>
      <c r="I1497" s="86"/>
    </row>
    <row r="1498" spans="1:9" ht="15" x14ac:dyDescent="0.2">
      <c r="A1498" s="89" t="s">
        <v>6444</v>
      </c>
      <c r="B1498" s="89" t="s">
        <v>7962</v>
      </c>
      <c r="C1498" s="89" t="s">
        <v>72</v>
      </c>
      <c r="D1498" s="278" t="str">
        <f>VLOOKUP(A:A,'Master Table'!C:D,2,FALSE)</f>
        <v>1437</v>
      </c>
      <c r="E1498" s="319"/>
      <c r="F1498" s="229">
        <v>642.20000000000005</v>
      </c>
      <c r="G1498" s="230">
        <v>1543.2</v>
      </c>
      <c r="H1498" s="86" t="s">
        <v>7897</v>
      </c>
      <c r="I1498" s="86"/>
    </row>
    <row r="1499" spans="1:9" ht="15" x14ac:dyDescent="0.2">
      <c r="A1499" s="89" t="s">
        <v>6446</v>
      </c>
      <c r="B1499" s="89" t="s">
        <v>7963</v>
      </c>
      <c r="C1499" s="89" t="s">
        <v>63</v>
      </c>
      <c r="D1499" s="278" t="str">
        <f>VLOOKUP(A:A,'Master Table'!C:D,2,FALSE)</f>
        <v>1438</v>
      </c>
      <c r="E1499" s="319"/>
      <c r="F1499" s="229">
        <v>285</v>
      </c>
      <c r="G1499" s="230">
        <v>360</v>
      </c>
      <c r="H1499" s="86" t="s">
        <v>7897</v>
      </c>
      <c r="I1499" s="86"/>
    </row>
    <row r="1500" spans="1:9" ht="15" x14ac:dyDescent="0.2">
      <c r="A1500" s="89" t="s">
        <v>6448</v>
      </c>
      <c r="B1500" s="89" t="s">
        <v>6451</v>
      </c>
      <c r="C1500" s="89" t="s">
        <v>6450</v>
      </c>
      <c r="D1500" s="278" t="str">
        <f>VLOOKUP(A:A,'Master Table'!C:D,2,FALSE)</f>
        <v>1439</v>
      </c>
      <c r="E1500" s="319"/>
      <c r="F1500" s="229">
        <v>2673.01</v>
      </c>
      <c r="G1500" s="230">
        <v>2602.9899999999998</v>
      </c>
      <c r="H1500" s="86" t="s">
        <v>7891</v>
      </c>
      <c r="I1500" s="86"/>
    </row>
    <row r="1501" spans="1:9" ht="15" x14ac:dyDescent="0.2">
      <c r="A1501" s="89" t="s">
        <v>6452</v>
      </c>
      <c r="B1501" s="89" t="s">
        <v>7964</v>
      </c>
      <c r="C1501" s="89" t="s">
        <v>532</v>
      </c>
      <c r="D1501" s="278" t="str">
        <f>VLOOKUP(A:A,'Master Table'!C:D,2,FALSE)</f>
        <v>1440</v>
      </c>
      <c r="E1501" s="319"/>
      <c r="F1501" s="229">
        <v>0</v>
      </c>
      <c r="G1501" s="230">
        <v>119</v>
      </c>
      <c r="H1501" s="86" t="s">
        <v>7912</v>
      </c>
      <c r="I1501" s="86"/>
    </row>
    <row r="1502" spans="1:9" ht="15" x14ac:dyDescent="0.2">
      <c r="A1502" s="89" t="s">
        <v>6454</v>
      </c>
      <c r="B1502" s="89" t="s">
        <v>7965</v>
      </c>
      <c r="C1502" s="89" t="s">
        <v>2759</v>
      </c>
      <c r="D1502" s="278" t="str">
        <f>VLOOKUP(A:A,'Master Table'!C:D,2,FALSE)</f>
        <v>1441</v>
      </c>
      <c r="E1502" s="319"/>
      <c r="F1502" s="229">
        <v>545.12</v>
      </c>
      <c r="G1502" s="230">
        <v>189.11</v>
      </c>
      <c r="H1502" s="86" t="s">
        <v>7912</v>
      </c>
      <c r="I1502" s="86"/>
    </row>
    <row r="1503" spans="1:9" ht="15" x14ac:dyDescent="0.2">
      <c r="A1503" s="89" t="s">
        <v>6456</v>
      </c>
      <c r="B1503" s="89" t="s">
        <v>7966</v>
      </c>
      <c r="C1503" s="89" t="s">
        <v>1008</v>
      </c>
      <c r="D1503" s="278" t="str">
        <f>VLOOKUP(A:A,'Master Table'!C:D,2,FALSE)</f>
        <v>1443</v>
      </c>
      <c r="E1503" s="319"/>
      <c r="F1503" s="229">
        <v>100</v>
      </c>
      <c r="G1503" s="230">
        <v>90</v>
      </c>
      <c r="H1503" s="86" t="s">
        <v>7931</v>
      </c>
      <c r="I1503" s="86"/>
    </row>
    <row r="1504" spans="1:9" ht="15" x14ac:dyDescent="0.2">
      <c r="A1504" s="89" t="s">
        <v>6458</v>
      </c>
      <c r="B1504" s="89" t="s">
        <v>7967</v>
      </c>
      <c r="C1504" s="89" t="s">
        <v>1160</v>
      </c>
      <c r="D1504" s="278" t="str">
        <f>VLOOKUP(A:A,'Master Table'!C:D,2,FALSE)</f>
        <v>1444</v>
      </c>
      <c r="E1504" s="319"/>
      <c r="F1504" s="229">
        <v>20.46</v>
      </c>
      <c r="G1504" s="230">
        <v>40</v>
      </c>
      <c r="H1504" s="86" t="s">
        <v>7914</v>
      </c>
      <c r="I1504" s="86"/>
    </row>
    <row r="1505" spans="1:9" ht="15" x14ac:dyDescent="0.2">
      <c r="A1505" s="89" t="s">
        <v>6460</v>
      </c>
      <c r="B1505" s="89" t="s">
        <v>7968</v>
      </c>
      <c r="C1505" s="89" t="s">
        <v>226</v>
      </c>
      <c r="D1505" s="278" t="str">
        <f>VLOOKUP(A:A,'Master Table'!C:D,2,FALSE)</f>
        <v>1445</v>
      </c>
      <c r="E1505" s="319"/>
      <c r="F1505" s="229">
        <v>175</v>
      </c>
      <c r="G1505" s="230">
        <v>125</v>
      </c>
      <c r="H1505" s="86" t="s">
        <v>7921</v>
      </c>
      <c r="I1505" s="86"/>
    </row>
    <row r="1506" spans="1:9" ht="15" x14ac:dyDescent="0.2">
      <c r="A1506" s="89" t="s">
        <v>6462</v>
      </c>
      <c r="B1506" s="89" t="s">
        <v>7969</v>
      </c>
      <c r="C1506" s="89" t="s">
        <v>1770</v>
      </c>
      <c r="D1506" s="278" t="str">
        <f>VLOOKUP(A:A,'Master Table'!C:D,2,FALSE)</f>
        <v>1446</v>
      </c>
      <c r="E1506" s="319"/>
      <c r="F1506" s="229">
        <v>431.03</v>
      </c>
      <c r="G1506" s="230">
        <v>390.8</v>
      </c>
      <c r="H1506" s="86" t="s">
        <v>7894</v>
      </c>
      <c r="I1506" s="86"/>
    </row>
    <row r="1507" spans="1:9" ht="15" x14ac:dyDescent="0.2">
      <c r="A1507" s="89" t="s">
        <v>6466</v>
      </c>
      <c r="B1507" s="89" t="s">
        <v>6465</v>
      </c>
      <c r="C1507" s="89" t="s">
        <v>460</v>
      </c>
      <c r="D1507" s="278" t="str">
        <f>VLOOKUP(A:A,'Master Table'!C:D,2,FALSE)</f>
        <v>1447</v>
      </c>
      <c r="E1507" s="319"/>
      <c r="F1507" s="229">
        <v>2711.79</v>
      </c>
      <c r="G1507" s="230">
        <v>2906.71</v>
      </c>
      <c r="H1507" s="86" t="s">
        <v>7894</v>
      </c>
      <c r="I1507" s="86"/>
    </row>
    <row r="1508" spans="1:9" ht="15" x14ac:dyDescent="0.2">
      <c r="A1508" s="89" t="s">
        <v>6468</v>
      </c>
      <c r="B1508" s="89" t="s">
        <v>7970</v>
      </c>
      <c r="C1508" s="89" t="s">
        <v>3238</v>
      </c>
      <c r="D1508" s="278" t="str">
        <f>VLOOKUP(A:A,'Master Table'!C:D,2,FALSE)</f>
        <v>1448</v>
      </c>
      <c r="E1508" s="319"/>
      <c r="F1508" s="229">
        <v>1445.73</v>
      </c>
      <c r="G1508" s="230">
        <v>1921</v>
      </c>
      <c r="H1508" s="86" t="s">
        <v>7891</v>
      </c>
      <c r="I1508" s="86"/>
    </row>
    <row r="1509" spans="1:9" ht="15" x14ac:dyDescent="0.2">
      <c r="A1509" s="89" t="s">
        <v>6470</v>
      </c>
      <c r="B1509" s="89" t="s">
        <v>7971</v>
      </c>
      <c r="C1509" s="89" t="s">
        <v>2667</v>
      </c>
      <c r="D1509" s="278" t="str">
        <f>VLOOKUP(A:A,'Master Table'!C:D,2,FALSE)</f>
        <v>1449</v>
      </c>
      <c r="E1509" s="319"/>
      <c r="F1509" s="229">
        <v>209.49</v>
      </c>
      <c r="G1509" s="230">
        <v>524.72</v>
      </c>
      <c r="H1509" s="86" t="s">
        <v>7947</v>
      </c>
      <c r="I1509" s="86"/>
    </row>
    <row r="1510" spans="1:9" ht="15" x14ac:dyDescent="0.2">
      <c r="A1510" s="89" t="s">
        <v>6473</v>
      </c>
      <c r="B1510" s="89" t="s">
        <v>6475</v>
      </c>
      <c r="C1510" s="89" t="s">
        <v>1203</v>
      </c>
      <c r="D1510" s="278" t="str">
        <f>VLOOKUP(A:A,'Master Table'!C:D,2,FALSE)</f>
        <v>1450</v>
      </c>
      <c r="E1510" s="319"/>
      <c r="F1510" s="229">
        <v>1051</v>
      </c>
      <c r="G1510" s="230">
        <v>1282.6199999999999</v>
      </c>
      <c r="H1510" s="86" t="s">
        <v>7901</v>
      </c>
      <c r="I1510" s="86"/>
    </row>
    <row r="1511" spans="1:9" ht="15" x14ac:dyDescent="0.2">
      <c r="A1511" s="89" t="s">
        <v>6476</v>
      </c>
      <c r="B1511" s="89" t="s">
        <v>7972</v>
      </c>
      <c r="C1511" s="89" t="s">
        <v>3298</v>
      </c>
      <c r="D1511" s="278" t="str">
        <f>VLOOKUP(A:A,'Master Table'!C:D,2,FALSE)</f>
        <v>1452</v>
      </c>
      <c r="E1511" s="319"/>
      <c r="F1511" s="229">
        <v>2623.45</v>
      </c>
      <c r="G1511" s="230">
        <v>2025.72</v>
      </c>
      <c r="H1511" s="86" t="s">
        <v>7973</v>
      </c>
      <c r="I1511" s="86"/>
    </row>
    <row r="1512" spans="1:9" ht="15" x14ac:dyDescent="0.2">
      <c r="A1512" s="89" t="s">
        <v>6480</v>
      </c>
      <c r="B1512" s="89" t="s">
        <v>7974</v>
      </c>
      <c r="C1512" s="89" t="s">
        <v>2578</v>
      </c>
      <c r="D1512" s="278" t="str">
        <f>VLOOKUP(A:A,'Master Table'!C:D,2,FALSE)</f>
        <v>1453</v>
      </c>
      <c r="E1512" s="319"/>
      <c r="F1512" s="229">
        <v>290</v>
      </c>
      <c r="G1512" s="230">
        <v>539.78</v>
      </c>
      <c r="H1512" s="86" t="s">
        <v>7973</v>
      </c>
      <c r="I1512" s="86"/>
    </row>
    <row r="1513" spans="1:9" ht="15" x14ac:dyDescent="0.2">
      <c r="A1513" s="89" t="s">
        <v>6482</v>
      </c>
      <c r="B1513" s="89" t="s">
        <v>7975</v>
      </c>
      <c r="C1513" s="89" t="s">
        <v>7976</v>
      </c>
      <c r="D1513" s="278" t="str">
        <f>VLOOKUP(A:A,'Master Table'!C:D,2,FALSE)</f>
        <v>1454</v>
      </c>
      <c r="E1513" s="319"/>
      <c r="F1513" s="229">
        <v>2564.9899999999998</v>
      </c>
      <c r="G1513" s="230">
        <v>2396.8900000000003</v>
      </c>
      <c r="H1513" s="86" t="s">
        <v>7973</v>
      </c>
      <c r="I1513" s="86"/>
    </row>
    <row r="1514" spans="1:9" ht="15" x14ac:dyDescent="0.2">
      <c r="A1514" s="89" t="s">
        <v>6489</v>
      </c>
      <c r="B1514" s="89" t="s">
        <v>7977</v>
      </c>
      <c r="C1514" s="89" t="s">
        <v>7978</v>
      </c>
      <c r="D1514" s="278" t="str">
        <f>VLOOKUP(A:A,'Master Table'!C:D,2,FALSE)</f>
        <v>1455</v>
      </c>
      <c r="E1514" s="319"/>
      <c r="F1514" s="229">
        <v>1106.3599999999999</v>
      </c>
      <c r="G1514" s="230">
        <v>882.94</v>
      </c>
      <c r="H1514" s="86" t="s">
        <v>7899</v>
      </c>
      <c r="I1514" s="86" t="s">
        <v>7127</v>
      </c>
    </row>
    <row r="1515" spans="1:9" ht="15" x14ac:dyDescent="0.2">
      <c r="A1515" s="89" t="s">
        <v>6492</v>
      </c>
      <c r="B1515" s="89" t="s">
        <v>6495</v>
      </c>
      <c r="C1515" s="89" t="s">
        <v>6494</v>
      </c>
      <c r="D1515" s="278" t="str">
        <f>VLOOKUP(A:A,'Master Table'!C:D,2,FALSE)</f>
        <v>1456</v>
      </c>
      <c r="E1515" s="319"/>
      <c r="F1515" s="229">
        <v>1987.74</v>
      </c>
      <c r="G1515" s="230">
        <v>1606.08</v>
      </c>
      <c r="H1515" s="86" t="s">
        <v>7896</v>
      </c>
      <c r="I1515" s="86"/>
    </row>
    <row r="1516" spans="1:9" ht="15" x14ac:dyDescent="0.2">
      <c r="A1516" s="89" t="s">
        <v>6499</v>
      </c>
      <c r="B1516" s="89" t="s">
        <v>7979</v>
      </c>
      <c r="C1516" s="89" t="s">
        <v>1065</v>
      </c>
      <c r="D1516" s="278" t="str">
        <f>VLOOKUP(A:A,'Master Table'!C:D,2,FALSE)</f>
        <v>1457</v>
      </c>
      <c r="E1516" s="319"/>
      <c r="F1516" s="229">
        <v>120</v>
      </c>
      <c r="G1516" s="230">
        <v>137</v>
      </c>
      <c r="H1516" s="86" t="s">
        <v>7896</v>
      </c>
      <c r="I1516" s="86"/>
    </row>
    <row r="1517" spans="1:9" ht="15" x14ac:dyDescent="0.2">
      <c r="A1517" s="89" t="s">
        <v>6503</v>
      </c>
      <c r="B1517" s="89" t="s">
        <v>7980</v>
      </c>
      <c r="C1517" s="89" t="s">
        <v>7516</v>
      </c>
      <c r="D1517" s="278" t="str">
        <f>VLOOKUP(A:A,'Master Table'!C:D,2,FALSE)</f>
        <v>1458</v>
      </c>
      <c r="E1517" s="319"/>
      <c r="F1517" s="229">
        <v>508</v>
      </c>
      <c r="G1517" s="230">
        <v>826</v>
      </c>
      <c r="H1517" s="86" t="s">
        <v>7921</v>
      </c>
      <c r="I1517" s="86"/>
    </row>
    <row r="1518" spans="1:9" ht="15" x14ac:dyDescent="0.2">
      <c r="A1518" s="89" t="s">
        <v>6506</v>
      </c>
      <c r="B1518" s="89" t="s">
        <v>5828</v>
      </c>
      <c r="C1518" s="89" t="s">
        <v>6508</v>
      </c>
      <c r="D1518" s="278" t="str">
        <f>VLOOKUP(A:A,'Master Table'!C:D,2,FALSE)</f>
        <v>1459</v>
      </c>
      <c r="E1518" s="319"/>
      <c r="F1518" s="229">
        <v>22</v>
      </c>
      <c r="G1518" s="230">
        <v>12</v>
      </c>
      <c r="H1518" s="86" t="s">
        <v>7947</v>
      </c>
      <c r="I1518" s="86"/>
    </row>
    <row r="1519" spans="1:9" ht="15" x14ac:dyDescent="0.2">
      <c r="A1519" s="89" t="s">
        <v>6510</v>
      </c>
      <c r="B1519" s="89" t="s">
        <v>7981</v>
      </c>
      <c r="C1519" s="89" t="s">
        <v>260</v>
      </c>
      <c r="D1519" s="278" t="str">
        <f>VLOOKUP(A:A,'Master Table'!C:D,2,FALSE)</f>
        <v>1460</v>
      </c>
      <c r="E1519" s="319"/>
      <c r="F1519" s="229">
        <v>716.39</v>
      </c>
      <c r="G1519" s="230">
        <v>745.57</v>
      </c>
      <c r="H1519" s="86" t="s">
        <v>7973</v>
      </c>
      <c r="I1519" s="86"/>
    </row>
    <row r="1520" spans="1:9" ht="15" x14ac:dyDescent="0.2">
      <c r="A1520" s="89" t="s">
        <v>6513</v>
      </c>
      <c r="B1520" s="89" t="s">
        <v>6520</v>
      </c>
      <c r="C1520" s="89" t="s">
        <v>6706</v>
      </c>
      <c r="D1520" s="278" t="str">
        <f>VLOOKUP(A:A,'Master Table'!C:D,2,FALSE)</f>
        <v>1461</v>
      </c>
      <c r="E1520" s="319"/>
      <c r="F1520" s="229">
        <v>1018.16</v>
      </c>
      <c r="G1520" s="230">
        <v>1927.25</v>
      </c>
      <c r="H1520" s="86" t="s">
        <v>7901</v>
      </c>
      <c r="I1520" s="86"/>
    </row>
    <row r="1521" spans="1:9" ht="15" x14ac:dyDescent="0.2">
      <c r="A1521" s="89" t="s">
        <v>6517</v>
      </c>
      <c r="B1521" s="89" t="s">
        <v>7982</v>
      </c>
      <c r="C1521" s="89" t="s">
        <v>7584</v>
      </c>
      <c r="D1521" s="278" t="str">
        <f>VLOOKUP(A:A,'Master Table'!C:D,2,FALSE)</f>
        <v>1462</v>
      </c>
      <c r="E1521" s="319"/>
      <c r="F1521" s="229">
        <v>264.11</v>
      </c>
      <c r="G1521" s="230">
        <v>512.71</v>
      </c>
      <c r="H1521" s="86" t="s">
        <v>7901</v>
      </c>
      <c r="I1521" s="86"/>
    </row>
    <row r="1522" spans="1:9" ht="15" x14ac:dyDescent="0.2">
      <c r="A1522" s="89" t="s">
        <v>6521</v>
      </c>
      <c r="B1522" s="89" t="s">
        <v>7983</v>
      </c>
      <c r="C1522" s="89" t="s">
        <v>7984</v>
      </c>
      <c r="D1522" s="278" t="str">
        <f>VLOOKUP(A:A,'Master Table'!C:D,2,FALSE)</f>
        <v>1463</v>
      </c>
      <c r="E1522" s="319"/>
      <c r="F1522" s="229">
        <v>2551.56</v>
      </c>
      <c r="G1522" s="230">
        <v>2573.0500000000002</v>
      </c>
      <c r="H1522" s="86" t="s">
        <v>7901</v>
      </c>
      <c r="I1522" s="86"/>
    </row>
    <row r="1523" spans="1:9" ht="15" x14ac:dyDescent="0.2">
      <c r="A1523" s="89" t="s">
        <v>6525</v>
      </c>
      <c r="B1523" s="89" t="s">
        <v>7985</v>
      </c>
      <c r="C1523" s="89" t="s">
        <v>7986</v>
      </c>
      <c r="D1523" s="278" t="str">
        <f>VLOOKUP(A:A,'Master Table'!C:D,2,FALSE)</f>
        <v>1464</v>
      </c>
      <c r="E1523" s="319"/>
      <c r="F1523" s="229">
        <v>484.65</v>
      </c>
      <c r="G1523" s="230">
        <v>501</v>
      </c>
      <c r="H1523" s="86" t="s">
        <v>7901</v>
      </c>
      <c r="I1523" s="86"/>
    </row>
    <row r="1524" spans="1:9" ht="15" x14ac:dyDescent="0.2">
      <c r="A1524" s="89" t="s">
        <v>6528</v>
      </c>
      <c r="B1524" s="89" t="s">
        <v>7987</v>
      </c>
      <c r="C1524" s="89" t="s">
        <v>6530</v>
      </c>
      <c r="D1524" s="278" t="str">
        <f>VLOOKUP(A:A,'Master Table'!C:D,2,FALSE)</f>
        <v>1465</v>
      </c>
      <c r="E1524" s="319"/>
      <c r="F1524" s="229">
        <v>500.46</v>
      </c>
      <c r="G1524" s="230">
        <v>582</v>
      </c>
      <c r="H1524" s="86" t="s">
        <v>7897</v>
      </c>
      <c r="I1524" s="86"/>
    </row>
    <row r="1525" spans="1:9" ht="15" x14ac:dyDescent="0.2">
      <c r="A1525" s="89" t="s">
        <v>6531</v>
      </c>
      <c r="B1525" s="89" t="s">
        <v>7988</v>
      </c>
      <c r="C1525" s="89" t="s">
        <v>158</v>
      </c>
      <c r="D1525" s="278" t="str">
        <f>VLOOKUP(A:A,'Master Table'!C:D,2,FALSE)</f>
        <v>1466</v>
      </c>
      <c r="E1525" s="319"/>
      <c r="F1525" s="229">
        <v>175</v>
      </c>
      <c r="G1525" s="230">
        <v>212</v>
      </c>
      <c r="H1525" s="86" t="s">
        <v>7897</v>
      </c>
      <c r="I1525" s="86"/>
    </row>
    <row r="1526" spans="1:9" ht="15" x14ac:dyDescent="0.2">
      <c r="A1526" s="89" t="s">
        <v>6533</v>
      </c>
      <c r="B1526" s="89" t="s">
        <v>6536</v>
      </c>
      <c r="C1526" s="89" t="s">
        <v>7989</v>
      </c>
      <c r="D1526" s="278" t="str">
        <f>VLOOKUP(A:A,'Master Table'!C:D,2,FALSE)</f>
        <v>1467</v>
      </c>
      <c r="E1526" s="319"/>
      <c r="F1526" s="229">
        <v>1210.56</v>
      </c>
      <c r="G1526" s="230">
        <v>1570.08</v>
      </c>
      <c r="H1526" s="86" t="s">
        <v>7905</v>
      </c>
      <c r="I1526" s="86"/>
    </row>
    <row r="1527" spans="1:9" ht="15" x14ac:dyDescent="0.2">
      <c r="A1527" s="89" t="s">
        <v>6537</v>
      </c>
      <c r="B1527" s="89" t="s">
        <v>6539</v>
      </c>
      <c r="C1527" s="89" t="s">
        <v>44</v>
      </c>
      <c r="D1527" s="278" t="str">
        <f>VLOOKUP(A:A,'Master Table'!C:D,2,FALSE)</f>
        <v>1468</v>
      </c>
      <c r="E1527" s="319"/>
      <c r="F1527" s="229">
        <v>1504.25</v>
      </c>
      <c r="G1527" s="230">
        <v>1580</v>
      </c>
      <c r="H1527" s="86" t="s">
        <v>7912</v>
      </c>
      <c r="I1527" s="86"/>
    </row>
    <row r="1528" spans="1:9" ht="15" x14ac:dyDescent="0.2">
      <c r="A1528" s="89" t="s">
        <v>6540</v>
      </c>
      <c r="B1528" s="89" t="s">
        <v>7990</v>
      </c>
      <c r="C1528" s="89" t="s">
        <v>6542</v>
      </c>
      <c r="D1528" s="278" t="str">
        <f>VLOOKUP(A:A,'Master Table'!C:D,2,FALSE)</f>
        <v>1469</v>
      </c>
      <c r="E1528" s="319"/>
      <c r="F1528" s="229">
        <v>572.5</v>
      </c>
      <c r="G1528" s="230">
        <v>604</v>
      </c>
      <c r="H1528" s="86" t="s">
        <v>7917</v>
      </c>
      <c r="I1528" s="86"/>
    </row>
    <row r="1529" spans="1:9" ht="15" x14ac:dyDescent="0.2">
      <c r="A1529" s="89" t="s">
        <v>6544</v>
      </c>
      <c r="B1529" s="89" t="s">
        <v>7991</v>
      </c>
      <c r="C1529" s="89" t="s">
        <v>532</v>
      </c>
      <c r="D1529" s="278" t="str">
        <f>VLOOKUP(A:A,'Master Table'!C:D,2,FALSE)</f>
        <v>1470</v>
      </c>
      <c r="E1529" s="319"/>
      <c r="F1529" s="229">
        <v>140.05000000000001</v>
      </c>
      <c r="G1529" s="230">
        <v>285</v>
      </c>
      <c r="H1529" s="86" t="s">
        <v>7917</v>
      </c>
      <c r="I1529" s="86"/>
    </row>
    <row r="1530" spans="1:9" ht="15" x14ac:dyDescent="0.2">
      <c r="A1530" s="89" t="s">
        <v>6547</v>
      </c>
      <c r="B1530" s="89" t="s">
        <v>7992</v>
      </c>
      <c r="C1530" s="89" t="s">
        <v>2896</v>
      </c>
      <c r="D1530" s="278" t="str">
        <f>VLOOKUP(A:A,'Master Table'!C:D,2,FALSE)</f>
        <v>1471</v>
      </c>
      <c r="E1530" s="319"/>
      <c r="F1530" s="229">
        <v>629.64</v>
      </c>
      <c r="G1530" s="230">
        <v>593</v>
      </c>
      <c r="H1530" s="86" t="s">
        <v>7947</v>
      </c>
      <c r="I1530" s="86"/>
    </row>
    <row r="1531" spans="1:9" ht="15" x14ac:dyDescent="0.2">
      <c r="A1531" s="89" t="s">
        <v>6549</v>
      </c>
      <c r="B1531" s="89" t="s">
        <v>7993</v>
      </c>
      <c r="C1531" s="89" t="s">
        <v>7994</v>
      </c>
      <c r="D1531" s="278" t="str">
        <f>VLOOKUP(A:A,'Master Table'!C:D,2,FALSE)</f>
        <v>1472</v>
      </c>
      <c r="E1531" s="319"/>
      <c r="F1531" s="229">
        <v>1351.33</v>
      </c>
      <c r="G1531" s="230">
        <v>2045.58</v>
      </c>
      <c r="H1531" s="86" t="s">
        <v>7896</v>
      </c>
      <c r="I1531" s="86"/>
    </row>
    <row r="1532" spans="1:9" ht="15" x14ac:dyDescent="0.2">
      <c r="A1532" s="89" t="s">
        <v>6553</v>
      </c>
      <c r="B1532" s="89" t="s">
        <v>6555</v>
      </c>
      <c r="C1532" s="89" t="s">
        <v>2176</v>
      </c>
      <c r="D1532" s="278" t="str">
        <f>VLOOKUP(A:A,'Master Table'!C:D,2,FALSE)</f>
        <v>1473</v>
      </c>
      <c r="E1532" s="319"/>
      <c r="F1532" s="229">
        <v>1060.05</v>
      </c>
      <c r="G1532" s="230">
        <v>1962.94</v>
      </c>
      <c r="H1532" s="86" t="s">
        <v>7905</v>
      </c>
      <c r="I1532" s="86"/>
    </row>
    <row r="1533" spans="1:9" ht="15" x14ac:dyDescent="0.2">
      <c r="A1533" s="89" t="s">
        <v>6556</v>
      </c>
      <c r="B1533" s="89" t="s">
        <v>7995</v>
      </c>
      <c r="C1533" s="89" t="s">
        <v>6593</v>
      </c>
      <c r="D1533" s="278" t="str">
        <f>VLOOKUP(A:A,'Master Table'!C:D,2,FALSE)</f>
        <v>1474</v>
      </c>
      <c r="E1533" s="319"/>
      <c r="F1533" s="229">
        <v>140</v>
      </c>
      <c r="G1533" s="230">
        <v>971.04</v>
      </c>
      <c r="H1533" s="86" t="s">
        <v>7917</v>
      </c>
      <c r="I1533" s="86"/>
    </row>
    <row r="1534" spans="1:9" ht="15" x14ac:dyDescent="0.2">
      <c r="A1534" s="89" t="s">
        <v>6558</v>
      </c>
      <c r="B1534" s="89" t="s">
        <v>7996</v>
      </c>
      <c r="C1534" s="89" t="s">
        <v>6560</v>
      </c>
      <c r="D1534" s="278" t="str">
        <f>VLOOKUP(A:A,'Master Table'!C:D,2,FALSE)</f>
        <v>1475</v>
      </c>
      <c r="E1534" s="319"/>
      <c r="F1534" s="229">
        <v>1041.17</v>
      </c>
      <c r="G1534" s="230">
        <v>1667.52</v>
      </c>
      <c r="H1534" s="86" t="s">
        <v>7931</v>
      </c>
      <c r="I1534" s="86"/>
    </row>
    <row r="1535" spans="1:9" ht="15" x14ac:dyDescent="0.2">
      <c r="A1535" s="89" t="s">
        <v>6561</v>
      </c>
      <c r="B1535" s="89" t="s">
        <v>6382</v>
      </c>
      <c r="C1535" s="89" t="s">
        <v>6563</v>
      </c>
      <c r="D1535" s="278" t="str">
        <f>VLOOKUP(A:A,'Master Table'!C:D,2,FALSE)</f>
        <v>1476</v>
      </c>
      <c r="E1535" s="319"/>
      <c r="F1535" s="229">
        <v>2502.75</v>
      </c>
      <c r="G1535" s="230">
        <v>799</v>
      </c>
      <c r="H1535" s="86" t="s">
        <v>7912</v>
      </c>
      <c r="I1535" s="86"/>
    </row>
    <row r="1536" spans="1:9" ht="15" x14ac:dyDescent="0.2">
      <c r="A1536" s="89" t="s">
        <v>6564</v>
      </c>
      <c r="B1536" s="89" t="s">
        <v>7997</v>
      </c>
      <c r="C1536" s="89" t="s">
        <v>6566</v>
      </c>
      <c r="D1536" s="278" t="str">
        <f>VLOOKUP(A:A,'Master Table'!C:D,2,FALSE)</f>
        <v>1477</v>
      </c>
      <c r="E1536" s="319"/>
      <c r="F1536" s="229">
        <v>2063.1999999999998</v>
      </c>
      <c r="G1536" s="230">
        <v>783</v>
      </c>
      <c r="H1536" s="86" t="s">
        <v>7931</v>
      </c>
      <c r="I1536" s="86"/>
    </row>
    <row r="1537" spans="1:9" ht="15" x14ac:dyDescent="0.2">
      <c r="A1537" s="89" t="s">
        <v>6567</v>
      </c>
      <c r="B1537" s="89" t="s">
        <v>6570</v>
      </c>
      <c r="C1537" s="89" t="s">
        <v>6569</v>
      </c>
      <c r="D1537" s="278" t="str">
        <f>VLOOKUP(A:A,'Master Table'!C:D,2,FALSE)</f>
        <v>1478</v>
      </c>
      <c r="E1537" s="319"/>
      <c r="F1537" s="229">
        <v>1963.42</v>
      </c>
      <c r="G1537" s="230">
        <v>3676.16</v>
      </c>
      <c r="H1537" s="86" t="s">
        <v>7912</v>
      </c>
      <c r="I1537" s="86"/>
    </row>
    <row r="1538" spans="1:9" ht="15" x14ac:dyDescent="0.2">
      <c r="A1538" s="89" t="s">
        <v>6572</v>
      </c>
      <c r="B1538" s="89" t="s">
        <v>7998</v>
      </c>
      <c r="C1538" s="89" t="s">
        <v>164</v>
      </c>
      <c r="D1538" s="278" t="str">
        <f>VLOOKUP(A:A,'Master Table'!C:D,2,FALSE)</f>
        <v>1479</v>
      </c>
      <c r="E1538" s="319"/>
      <c r="F1538" s="229">
        <v>225.55</v>
      </c>
      <c r="G1538" s="230">
        <v>85</v>
      </c>
      <c r="H1538" s="86" t="s">
        <v>7917</v>
      </c>
      <c r="I1538" s="86"/>
    </row>
    <row r="1539" spans="1:9" ht="15" x14ac:dyDescent="0.2">
      <c r="A1539" s="89" t="s">
        <v>6576</v>
      </c>
      <c r="B1539" s="89" t="s">
        <v>7999</v>
      </c>
      <c r="C1539" s="89" t="s">
        <v>6578</v>
      </c>
      <c r="D1539" s="278" t="str">
        <f>VLOOKUP(A:A,'Master Table'!C:D,2,FALSE)</f>
        <v>1481</v>
      </c>
      <c r="E1539" s="319"/>
      <c r="F1539" s="229">
        <v>1809.79</v>
      </c>
      <c r="G1539" s="230">
        <v>450.41</v>
      </c>
      <c r="H1539" s="86" t="s">
        <v>7899</v>
      </c>
      <c r="I1539" s="86"/>
    </row>
    <row r="1540" spans="1:9" ht="15" x14ac:dyDescent="0.2">
      <c r="A1540" s="89" t="s">
        <v>6579</v>
      </c>
      <c r="B1540" s="89" t="s">
        <v>8000</v>
      </c>
      <c r="C1540" s="89" t="s">
        <v>6581</v>
      </c>
      <c r="D1540" s="278" t="str">
        <f>VLOOKUP(A:A,'Master Table'!C:D,2,FALSE)</f>
        <v>1482</v>
      </c>
      <c r="E1540" s="319"/>
      <c r="F1540" s="229">
        <v>866.78</v>
      </c>
      <c r="G1540" s="230">
        <v>661.51</v>
      </c>
      <c r="H1540" s="86" t="s">
        <v>7944</v>
      </c>
      <c r="I1540" s="86"/>
    </row>
    <row r="1541" spans="1:9" ht="15" x14ac:dyDescent="0.2">
      <c r="A1541" s="89" t="s">
        <v>6582</v>
      </c>
      <c r="B1541" s="89" t="s">
        <v>8001</v>
      </c>
      <c r="C1541" s="89" t="s">
        <v>8002</v>
      </c>
      <c r="D1541" s="278" t="str">
        <f>VLOOKUP(A:A,'Master Table'!C:D,2,FALSE)</f>
        <v>1483</v>
      </c>
      <c r="E1541" s="319"/>
      <c r="F1541" s="229">
        <v>3884.44</v>
      </c>
      <c r="G1541" s="230">
        <v>3969.2400000000002</v>
      </c>
      <c r="H1541" s="86" t="s">
        <v>7925</v>
      </c>
      <c r="I1541" s="86"/>
    </row>
    <row r="1542" spans="1:9" ht="15" x14ac:dyDescent="0.2">
      <c r="A1542" s="89" t="s">
        <v>6584</v>
      </c>
      <c r="B1542" s="89" t="s">
        <v>8001</v>
      </c>
      <c r="C1542" s="89" t="s">
        <v>3222</v>
      </c>
      <c r="D1542" s="278" t="str">
        <f>VLOOKUP(A:A,'Master Table'!C:D,2,FALSE)</f>
        <v>1484</v>
      </c>
      <c r="E1542" s="319"/>
      <c r="F1542" s="229">
        <v>146</v>
      </c>
      <c r="G1542" s="230">
        <v>1420.85</v>
      </c>
      <c r="H1542" s="86" t="s">
        <v>7925</v>
      </c>
      <c r="I1542" s="86"/>
    </row>
    <row r="1543" spans="1:9" ht="15" x14ac:dyDescent="0.2">
      <c r="A1543" s="89" t="s">
        <v>6587</v>
      </c>
      <c r="B1543" s="89" t="s">
        <v>8003</v>
      </c>
      <c r="C1543" s="89" t="s">
        <v>783</v>
      </c>
      <c r="D1543" s="278" t="str">
        <f>VLOOKUP(A:A,'Master Table'!C:D,2,FALSE)</f>
        <v>1485</v>
      </c>
      <c r="E1543" s="319"/>
      <c r="F1543" s="229">
        <v>453.56</v>
      </c>
      <c r="G1543" s="230">
        <v>885</v>
      </c>
      <c r="H1543" s="86" t="s">
        <v>7921</v>
      </c>
      <c r="I1543" s="86"/>
    </row>
    <row r="1544" spans="1:9" ht="15" x14ac:dyDescent="0.2">
      <c r="A1544" s="89" t="s">
        <v>6589</v>
      </c>
      <c r="B1544" s="89" t="s">
        <v>8004</v>
      </c>
      <c r="C1544" s="89" t="s">
        <v>1871</v>
      </c>
      <c r="D1544" s="278" t="str">
        <f>VLOOKUP(A:A,'Master Table'!C:D,2,FALSE)</f>
        <v>1486</v>
      </c>
      <c r="E1544" s="319"/>
      <c r="F1544" s="229">
        <v>2512.31</v>
      </c>
      <c r="G1544" s="230">
        <v>2756.01</v>
      </c>
      <c r="H1544" s="86" t="s">
        <v>7944</v>
      </c>
      <c r="I1544" s="86"/>
    </row>
    <row r="1545" spans="1:9" ht="15" x14ac:dyDescent="0.2">
      <c r="A1545" s="89" t="s">
        <v>6591</v>
      </c>
      <c r="B1545" s="89" t="s">
        <v>8005</v>
      </c>
      <c r="C1545" s="89" t="s">
        <v>6593</v>
      </c>
      <c r="D1545" s="278" t="str">
        <f>VLOOKUP(A:A,'Master Table'!C:D,2,FALSE)</f>
        <v>1487</v>
      </c>
      <c r="E1545" s="319"/>
      <c r="F1545" s="229">
        <v>285</v>
      </c>
      <c r="G1545" s="230">
        <v>340</v>
      </c>
      <c r="H1545" s="86" t="s">
        <v>7921</v>
      </c>
      <c r="I1545" s="86"/>
    </row>
    <row r="1546" spans="1:9" ht="15" x14ac:dyDescent="0.2">
      <c r="A1546" s="89" t="s">
        <v>6596</v>
      </c>
      <c r="B1546" s="89" t="s">
        <v>8006</v>
      </c>
      <c r="C1546" s="89" t="s">
        <v>8007</v>
      </c>
      <c r="D1546" s="278" t="str">
        <f>VLOOKUP(A:A,'Master Table'!C:D,2,FALSE)</f>
        <v>1489</v>
      </c>
      <c r="E1546" s="319"/>
      <c r="F1546" s="229">
        <v>1418</v>
      </c>
      <c r="G1546" s="230">
        <v>1576.25</v>
      </c>
      <c r="H1546" s="86" t="s">
        <v>7944</v>
      </c>
      <c r="I1546" s="86"/>
    </row>
    <row r="1547" spans="1:9" ht="15" x14ac:dyDescent="0.2">
      <c r="A1547" s="89" t="s">
        <v>6599</v>
      </c>
      <c r="B1547" s="89" t="s">
        <v>8008</v>
      </c>
      <c r="C1547" s="89" t="s">
        <v>3238</v>
      </c>
      <c r="D1547" s="278" t="str">
        <f>VLOOKUP(A:A,'Master Table'!C:D,2,FALSE)</f>
        <v>1490</v>
      </c>
      <c r="E1547" s="319"/>
      <c r="F1547" s="229">
        <v>1631.27</v>
      </c>
      <c r="G1547" s="230">
        <v>890</v>
      </c>
      <c r="H1547" s="86" t="s">
        <v>7931</v>
      </c>
      <c r="I1547" s="86"/>
    </row>
    <row r="1548" spans="1:9" ht="15" x14ac:dyDescent="0.2">
      <c r="A1548" s="131" t="s">
        <v>6601</v>
      </c>
      <c r="B1548" s="131" t="s">
        <v>6603</v>
      </c>
      <c r="C1548" s="131" t="s">
        <v>453</v>
      </c>
      <c r="D1548" s="278" t="str">
        <f>VLOOKUP(A:A,'Master Table'!C:D,2,FALSE)</f>
        <v>1491</v>
      </c>
      <c r="E1548" s="319"/>
      <c r="F1548" s="229">
        <v>1013.11</v>
      </c>
      <c r="G1548" s="230">
        <v>963.31</v>
      </c>
      <c r="H1548" s="86" t="s">
        <v>7896</v>
      </c>
      <c r="I1548" s="86"/>
    </row>
    <row r="1549" spans="1:9" ht="15" x14ac:dyDescent="0.2">
      <c r="A1549" s="89" t="s">
        <v>6604</v>
      </c>
      <c r="B1549" s="89" t="s">
        <v>8009</v>
      </c>
      <c r="C1549" s="89" t="s">
        <v>3880</v>
      </c>
      <c r="D1549" s="278" t="str">
        <f>VLOOKUP(A:A,'Master Table'!C:D,2,FALSE)</f>
        <v>1493</v>
      </c>
      <c r="E1549" s="319"/>
      <c r="F1549" s="229">
        <v>1185.48</v>
      </c>
      <c r="G1549" s="230">
        <v>1932</v>
      </c>
      <c r="H1549" s="86" t="s">
        <v>7896</v>
      </c>
      <c r="I1549" s="86"/>
    </row>
    <row r="1550" spans="1:9" ht="15" x14ac:dyDescent="0.2">
      <c r="A1550" s="89" t="s">
        <v>6607</v>
      </c>
      <c r="B1550" s="89" t="s">
        <v>8010</v>
      </c>
      <c r="C1550" s="89" t="s">
        <v>4774</v>
      </c>
      <c r="D1550" s="278" t="str">
        <f>VLOOKUP(A:A,'Master Table'!C:D,2,FALSE)</f>
        <v>1494</v>
      </c>
      <c r="E1550" s="319"/>
      <c r="F1550" s="229">
        <v>218</v>
      </c>
      <c r="G1550" s="230">
        <v>674.05</v>
      </c>
      <c r="H1550" s="86" t="s">
        <v>7903</v>
      </c>
      <c r="I1550" s="86"/>
    </row>
    <row r="1551" spans="1:9" ht="15" x14ac:dyDescent="0.2">
      <c r="A1551" s="89" t="s">
        <v>6610</v>
      </c>
      <c r="B1551" s="89" t="s">
        <v>8011</v>
      </c>
      <c r="C1551" s="89" t="s">
        <v>8012</v>
      </c>
      <c r="D1551" s="278" t="str">
        <f>VLOOKUP(A:A,'Master Table'!C:D,2,FALSE)</f>
        <v>1495</v>
      </c>
      <c r="E1551" s="319"/>
      <c r="F1551" s="229">
        <v>1326.3899999999999</v>
      </c>
      <c r="G1551" s="230">
        <v>2829.93</v>
      </c>
      <c r="H1551" s="86" t="s">
        <v>7887</v>
      </c>
      <c r="I1551" s="86"/>
    </row>
    <row r="1552" spans="1:9" ht="15" x14ac:dyDescent="0.2">
      <c r="A1552" s="89" t="s">
        <v>6613</v>
      </c>
      <c r="B1552" s="89" t="s">
        <v>8013</v>
      </c>
      <c r="C1552" s="89" t="s">
        <v>6615</v>
      </c>
      <c r="D1552" s="278" t="str">
        <f>VLOOKUP(A:A,'Master Table'!C:D,2,FALSE)</f>
        <v>0479519</v>
      </c>
      <c r="E1552" s="319"/>
      <c r="F1552" s="229">
        <v>30</v>
      </c>
      <c r="G1552" s="230"/>
      <c r="H1552" s="86"/>
      <c r="I1552" s="86"/>
    </row>
    <row r="1553" spans="1:9" ht="15" x14ac:dyDescent="0.2">
      <c r="A1553" s="89" t="s">
        <v>6616</v>
      </c>
      <c r="B1553" s="89" t="s">
        <v>8014</v>
      </c>
      <c r="C1553" s="89" t="s">
        <v>8015</v>
      </c>
      <c r="D1553" s="278" t="str">
        <f>VLOOKUP(A:A,'Master Table'!C:D,2,FALSE)</f>
        <v>1499</v>
      </c>
      <c r="E1553" s="319"/>
      <c r="F1553" s="229">
        <v>856.83999999999992</v>
      </c>
      <c r="G1553" s="230">
        <v>1060.3399999999999</v>
      </c>
      <c r="H1553" s="86" t="s">
        <v>7901</v>
      </c>
      <c r="I1553" s="86"/>
    </row>
    <row r="1554" spans="1:9" ht="15" x14ac:dyDescent="0.2">
      <c r="A1554" s="89" t="s">
        <v>6622</v>
      </c>
      <c r="B1554" s="89" t="s">
        <v>8016</v>
      </c>
      <c r="C1554" s="89" t="s">
        <v>453</v>
      </c>
      <c r="D1554" s="278" t="str">
        <f>VLOOKUP(A:A,'Master Table'!C:D,2,FALSE)</f>
        <v>1503</v>
      </c>
      <c r="E1554" s="319"/>
      <c r="F1554" s="229">
        <v>5</v>
      </c>
      <c r="G1554" s="230">
        <v>5</v>
      </c>
      <c r="H1554" s="86" t="s">
        <v>7931</v>
      </c>
      <c r="I1554" s="86"/>
    </row>
    <row r="1555" spans="1:9" ht="15" x14ac:dyDescent="0.2">
      <c r="A1555" s="89" t="s">
        <v>6624</v>
      </c>
      <c r="B1555" s="89" t="s">
        <v>8017</v>
      </c>
      <c r="C1555" s="89" t="s">
        <v>198</v>
      </c>
      <c r="D1555" s="278" t="str">
        <f>VLOOKUP(A:A,'Master Table'!C:D,2,FALSE)</f>
        <v>1504</v>
      </c>
      <c r="E1555" s="319"/>
      <c r="F1555" s="229">
        <v>702.02</v>
      </c>
      <c r="G1555" s="230">
        <v>1128.8399999999999</v>
      </c>
      <c r="H1555" s="86" t="s">
        <v>7952</v>
      </c>
      <c r="I1555" s="86"/>
    </row>
    <row r="1556" spans="1:9" ht="15" x14ac:dyDescent="0.2">
      <c r="A1556" s="89" t="s">
        <v>6627</v>
      </c>
      <c r="B1556" s="89" t="s">
        <v>8018</v>
      </c>
      <c r="C1556" s="89" t="s">
        <v>7646</v>
      </c>
      <c r="D1556" s="278" t="str">
        <f>VLOOKUP(A:A,'Master Table'!C:D,2,FALSE)</f>
        <v>1505</v>
      </c>
      <c r="E1556" s="319"/>
      <c r="F1556" s="229">
        <v>180</v>
      </c>
      <c r="G1556" s="230">
        <v>341.51</v>
      </c>
      <c r="H1556" s="86" t="s">
        <v>7903</v>
      </c>
      <c r="I1556" s="86"/>
    </row>
    <row r="1557" spans="1:9" ht="15" x14ac:dyDescent="0.2">
      <c r="A1557" s="89" t="s">
        <v>6629</v>
      </c>
      <c r="B1557" s="89" t="s">
        <v>8019</v>
      </c>
      <c r="C1557" s="89" t="s">
        <v>164</v>
      </c>
      <c r="D1557" s="278" t="str">
        <f>VLOOKUP(A:A,'Master Table'!C:D,2,FALSE)</f>
        <v>1506</v>
      </c>
      <c r="E1557" s="319"/>
      <c r="F1557" s="229">
        <v>970.6</v>
      </c>
      <c r="G1557" s="230">
        <v>588.24</v>
      </c>
      <c r="H1557" s="86" t="s">
        <v>7889</v>
      </c>
      <c r="I1557" s="86"/>
    </row>
    <row r="1558" spans="1:9" ht="15" x14ac:dyDescent="0.2">
      <c r="A1558" s="89" t="s">
        <v>6631</v>
      </c>
      <c r="B1558" s="89" t="s">
        <v>8020</v>
      </c>
      <c r="C1558" s="89" t="s">
        <v>8021</v>
      </c>
      <c r="D1558" s="278" t="str">
        <f>VLOOKUP(A:A,'Master Table'!C:D,2,FALSE)</f>
        <v>1507</v>
      </c>
      <c r="E1558" s="319"/>
      <c r="F1558" s="229">
        <v>3209.28</v>
      </c>
      <c r="G1558" s="230">
        <v>4260.7800000000007</v>
      </c>
      <c r="H1558" s="86" t="s">
        <v>7897</v>
      </c>
      <c r="I1558" s="86"/>
    </row>
    <row r="1559" spans="1:9" ht="15" x14ac:dyDescent="0.2">
      <c r="A1559" s="89" t="s">
        <v>6634</v>
      </c>
      <c r="B1559" s="89" t="s">
        <v>8022</v>
      </c>
      <c r="C1559" s="89" t="s">
        <v>8023</v>
      </c>
      <c r="D1559" s="278" t="str">
        <f>VLOOKUP(A:A,'Master Table'!C:D,2,FALSE)</f>
        <v>1509</v>
      </c>
      <c r="E1559" s="319"/>
      <c r="F1559" s="229">
        <v>770</v>
      </c>
      <c r="G1559" s="230">
        <v>1572</v>
      </c>
      <c r="H1559" s="86" t="s">
        <v>7903</v>
      </c>
      <c r="I1559" s="86"/>
    </row>
    <row r="1560" spans="1:9" ht="15" x14ac:dyDescent="0.2">
      <c r="A1560" s="89" t="s">
        <v>6637</v>
      </c>
      <c r="B1560" s="89" t="s">
        <v>8024</v>
      </c>
      <c r="C1560" s="89" t="s">
        <v>6639</v>
      </c>
      <c r="D1560" s="278" t="str">
        <f>VLOOKUP(A:A,'Master Table'!C:D,2,FALSE)</f>
        <v>1510</v>
      </c>
      <c r="E1560" s="319"/>
      <c r="F1560" s="229">
        <v>51</v>
      </c>
      <c r="G1560" s="230">
        <v>10</v>
      </c>
      <c r="H1560" s="86" t="s">
        <v>7887</v>
      </c>
      <c r="I1560" s="86"/>
    </row>
    <row r="1561" spans="1:9" ht="15" x14ac:dyDescent="0.2">
      <c r="A1561" s="89" t="s">
        <v>6640</v>
      </c>
      <c r="B1561" s="89" t="s">
        <v>8025</v>
      </c>
      <c r="C1561" s="89" t="s">
        <v>8026</v>
      </c>
      <c r="D1561" s="278" t="str">
        <f>VLOOKUP(A:A,'Master Table'!C:D,2,FALSE)</f>
        <v>1511</v>
      </c>
      <c r="E1561" s="319"/>
      <c r="F1561" s="229">
        <v>429.34</v>
      </c>
      <c r="G1561" s="230">
        <v>466</v>
      </c>
      <c r="H1561" s="86" t="s">
        <v>7905</v>
      </c>
      <c r="I1561" s="86"/>
    </row>
    <row r="1562" spans="1:9" ht="15" x14ac:dyDescent="0.2">
      <c r="A1562" s="89" t="s">
        <v>6647</v>
      </c>
      <c r="B1562" s="89" t="s">
        <v>8027</v>
      </c>
      <c r="C1562" s="89" t="s">
        <v>158</v>
      </c>
      <c r="D1562" s="278" t="str">
        <f>VLOOKUP(A:A,'Master Table'!C:D,2,FALSE)</f>
        <v>1512</v>
      </c>
      <c r="E1562" s="319"/>
      <c r="F1562" s="229">
        <v>70</v>
      </c>
      <c r="G1562" s="230">
        <v>70</v>
      </c>
      <c r="H1562" s="86" t="s">
        <v>7944</v>
      </c>
      <c r="I1562" s="86"/>
    </row>
    <row r="1563" spans="1:9" ht="15" x14ac:dyDescent="0.2">
      <c r="A1563" s="89" t="s">
        <v>6649</v>
      </c>
      <c r="B1563" s="89" t="s">
        <v>8028</v>
      </c>
      <c r="C1563" s="89" t="s">
        <v>8029</v>
      </c>
      <c r="D1563" s="278" t="str">
        <f>VLOOKUP(A:A,'Master Table'!C:D,2,FALSE)</f>
        <v>1513</v>
      </c>
      <c r="E1563" s="319"/>
      <c r="F1563" s="229">
        <v>544.16999999999996</v>
      </c>
      <c r="G1563" s="230">
        <v>426</v>
      </c>
      <c r="H1563" s="86" t="s">
        <v>8030</v>
      </c>
      <c r="I1563" s="86"/>
    </row>
    <row r="1564" spans="1:9" ht="15" x14ac:dyDescent="0.2">
      <c r="A1564" s="89" t="s">
        <v>6652</v>
      </c>
      <c r="B1564" s="89" t="s">
        <v>8031</v>
      </c>
      <c r="C1564" s="89" t="s">
        <v>8032</v>
      </c>
      <c r="D1564" s="278" t="str">
        <f>VLOOKUP(A:A,'Master Table'!C:D,2,FALSE)</f>
        <v>1514</v>
      </c>
      <c r="E1564" s="319"/>
      <c r="F1564" s="229">
        <v>1134</v>
      </c>
      <c r="G1564" s="230">
        <v>1430</v>
      </c>
      <c r="H1564" s="86" t="s">
        <v>7897</v>
      </c>
      <c r="I1564" s="86"/>
    </row>
    <row r="1565" spans="1:9" ht="15" x14ac:dyDescent="0.2">
      <c r="A1565" s="89" t="s">
        <v>6656</v>
      </c>
      <c r="B1565" s="89" t="s">
        <v>8033</v>
      </c>
      <c r="C1565" s="89" t="s">
        <v>1203</v>
      </c>
      <c r="D1565" s="278" t="str">
        <f>VLOOKUP(A:A,'Master Table'!C:D,2,FALSE)</f>
        <v>1515</v>
      </c>
      <c r="E1565" s="319"/>
      <c r="F1565" s="229">
        <v>524</v>
      </c>
      <c r="G1565" s="230">
        <v>1069</v>
      </c>
      <c r="H1565" s="86" t="s">
        <v>7937</v>
      </c>
      <c r="I1565" s="86"/>
    </row>
    <row r="1566" spans="1:9" ht="15" x14ac:dyDescent="0.2">
      <c r="A1566" s="89" t="s">
        <v>6658</v>
      </c>
      <c r="B1566" s="89" t="s">
        <v>8034</v>
      </c>
      <c r="C1566" s="89" t="s">
        <v>942</v>
      </c>
      <c r="D1566" s="278" t="str">
        <f>VLOOKUP(A:A,'Master Table'!C:D,2,FALSE)</f>
        <v>1516</v>
      </c>
      <c r="E1566" s="319"/>
      <c r="F1566" s="229">
        <v>616</v>
      </c>
      <c r="G1566" s="230">
        <v>566</v>
      </c>
      <c r="H1566" s="86" t="s">
        <v>7891</v>
      </c>
      <c r="I1566" s="86"/>
    </row>
    <row r="1567" spans="1:9" ht="15" x14ac:dyDescent="0.2">
      <c r="A1567" s="89" t="s">
        <v>6660</v>
      </c>
      <c r="B1567" s="89" t="s">
        <v>6663</v>
      </c>
      <c r="C1567" s="89" t="s">
        <v>155</v>
      </c>
      <c r="D1567" s="278" t="str">
        <f>VLOOKUP(A:A,'Master Table'!C:D,2,FALSE)</f>
        <v>1517</v>
      </c>
      <c r="E1567" s="319"/>
      <c r="F1567" s="229">
        <v>751</v>
      </c>
      <c r="G1567" s="230">
        <v>583.98</v>
      </c>
      <c r="H1567" s="86" t="s">
        <v>7947</v>
      </c>
      <c r="I1567" s="86"/>
    </row>
    <row r="1568" spans="1:9" ht="15" x14ac:dyDescent="0.2">
      <c r="A1568" s="89" t="s">
        <v>6665</v>
      </c>
      <c r="B1568" s="89" t="s">
        <v>8035</v>
      </c>
      <c r="C1568" s="89" t="s">
        <v>896</v>
      </c>
      <c r="D1568" s="278" t="str">
        <f>VLOOKUP(A:A,'Master Table'!C:D,2,FALSE)</f>
        <v>1518</v>
      </c>
      <c r="E1568" s="319"/>
      <c r="F1568" s="229">
        <v>0</v>
      </c>
      <c r="G1568" s="230">
        <v>80</v>
      </c>
      <c r="H1568" s="86" t="s">
        <v>7899</v>
      </c>
      <c r="I1568" s="86"/>
    </row>
    <row r="1569" spans="1:9" ht="15" x14ac:dyDescent="0.2">
      <c r="A1569" s="89" t="s">
        <v>6667</v>
      </c>
      <c r="B1569" s="89" t="s">
        <v>8036</v>
      </c>
      <c r="C1569" s="89" t="s">
        <v>812</v>
      </c>
      <c r="D1569" s="278" t="str">
        <f>VLOOKUP(A:A,'Master Table'!C:D,2,FALSE)</f>
        <v>1519</v>
      </c>
      <c r="E1569" s="319"/>
      <c r="F1569" s="229">
        <v>35</v>
      </c>
      <c r="G1569" s="230">
        <v>10</v>
      </c>
      <c r="H1569" s="86" t="s">
        <v>7952</v>
      </c>
      <c r="I1569" s="86"/>
    </row>
    <row r="1570" spans="1:9" ht="15" x14ac:dyDescent="0.2">
      <c r="A1570" s="89" t="s">
        <v>6670</v>
      </c>
      <c r="B1570" s="89" t="s">
        <v>8037</v>
      </c>
      <c r="C1570" s="89" t="s">
        <v>6672</v>
      </c>
      <c r="D1570" s="278" t="str">
        <f>VLOOKUP(A:A,'Master Table'!C:D,2,FALSE)</f>
        <v>1520</v>
      </c>
      <c r="E1570" s="319"/>
      <c r="F1570" s="229">
        <v>418.64</v>
      </c>
      <c r="G1570" s="230">
        <v>1032.98</v>
      </c>
      <c r="H1570" s="86" t="s">
        <v>7905</v>
      </c>
      <c r="I1570" s="86"/>
    </row>
    <row r="1571" spans="1:9" ht="15" x14ac:dyDescent="0.2">
      <c r="A1571" s="89" t="s">
        <v>6677</v>
      </c>
      <c r="B1571" s="89" t="s">
        <v>8038</v>
      </c>
      <c r="C1571" s="89" t="s">
        <v>3662</v>
      </c>
      <c r="D1571" s="278" t="str">
        <f>VLOOKUP(A:A,'Master Table'!C:D,2,FALSE)</f>
        <v>1521</v>
      </c>
      <c r="E1571" s="319"/>
      <c r="F1571" s="229">
        <v>777</v>
      </c>
      <c r="G1571" s="230">
        <v>4074.18</v>
      </c>
      <c r="H1571" s="86" t="s">
        <v>7925</v>
      </c>
      <c r="I1571" s="86"/>
    </row>
    <row r="1572" spans="1:9" ht="15" x14ac:dyDescent="0.2">
      <c r="A1572" s="89" t="s">
        <v>6679</v>
      </c>
      <c r="B1572" s="89" t="s">
        <v>6681</v>
      </c>
      <c r="C1572" s="89" t="s">
        <v>2597</v>
      </c>
      <c r="D1572" s="278" t="str">
        <f>VLOOKUP(A:A,'Master Table'!C:D,2,FALSE)</f>
        <v>1522</v>
      </c>
      <c r="E1572" s="319"/>
      <c r="F1572" s="229">
        <v>473.07</v>
      </c>
      <c r="G1572" s="230">
        <v>774.99</v>
      </c>
      <c r="H1572" s="86" t="s">
        <v>7912</v>
      </c>
      <c r="I1572" s="86"/>
    </row>
    <row r="1573" spans="1:9" ht="15" x14ac:dyDescent="0.2">
      <c r="A1573" s="89" t="s">
        <v>6682</v>
      </c>
      <c r="B1573" s="89" t="s">
        <v>8039</v>
      </c>
      <c r="C1573" s="89" t="s">
        <v>382</v>
      </c>
      <c r="D1573" s="278" t="str">
        <f>VLOOKUP(A:A,'Master Table'!C:D,2,FALSE)</f>
        <v>1524</v>
      </c>
      <c r="E1573" s="319"/>
      <c r="F1573" s="229">
        <v>66</v>
      </c>
      <c r="G1573" s="230">
        <v>347.15</v>
      </c>
      <c r="H1573" s="86" t="s">
        <v>7899</v>
      </c>
      <c r="I1573" s="86"/>
    </row>
    <row r="1574" spans="1:9" ht="15" x14ac:dyDescent="0.2">
      <c r="A1574" s="89" t="s">
        <v>6684</v>
      </c>
      <c r="B1574" s="89" t="s">
        <v>8040</v>
      </c>
      <c r="C1574" s="89" t="s">
        <v>5382</v>
      </c>
      <c r="D1574" s="278" t="str">
        <f>VLOOKUP(A:A,'Master Table'!C:D,2,FALSE)</f>
        <v>1525</v>
      </c>
      <c r="E1574" s="319"/>
      <c r="F1574" s="229">
        <v>2792.88</v>
      </c>
      <c r="G1574" s="230">
        <v>3417.13</v>
      </c>
      <c r="H1574" s="86" t="s">
        <v>7937</v>
      </c>
      <c r="I1574" s="86"/>
    </row>
    <row r="1575" spans="1:9" ht="15" x14ac:dyDescent="0.2">
      <c r="A1575" s="89" t="s">
        <v>6688</v>
      </c>
      <c r="B1575" s="89" t="s">
        <v>8041</v>
      </c>
      <c r="C1575" s="89" t="s">
        <v>8042</v>
      </c>
      <c r="D1575" s="278" t="str">
        <f>VLOOKUP(A:A,'Master Table'!C:D,2,FALSE)</f>
        <v>1526</v>
      </c>
      <c r="E1575" s="319"/>
      <c r="F1575" s="229">
        <v>412.12</v>
      </c>
      <c r="G1575" s="230">
        <v>170</v>
      </c>
      <c r="H1575" s="86" t="s">
        <v>7914</v>
      </c>
      <c r="I1575" s="86"/>
    </row>
    <row r="1576" spans="1:9" ht="15" x14ac:dyDescent="0.2">
      <c r="A1576" s="89" t="s">
        <v>6690</v>
      </c>
      <c r="B1576" s="89" t="s">
        <v>8043</v>
      </c>
      <c r="C1576" s="89" t="s">
        <v>2578</v>
      </c>
      <c r="D1576" s="278" t="str">
        <f>VLOOKUP(A:A,'Master Table'!C:D,2,FALSE)</f>
        <v>1527</v>
      </c>
      <c r="E1576" s="319"/>
      <c r="F1576" s="229">
        <v>1006.5</v>
      </c>
      <c r="G1576" s="230">
        <v>1384.2</v>
      </c>
      <c r="H1576" s="86" t="s">
        <v>7891</v>
      </c>
      <c r="I1576" s="86"/>
    </row>
    <row r="1577" spans="1:9" ht="15" x14ac:dyDescent="0.2">
      <c r="A1577" s="89" t="s">
        <v>6693</v>
      </c>
      <c r="B1577" s="89" t="s">
        <v>8044</v>
      </c>
      <c r="C1577" s="89" t="s">
        <v>7565</v>
      </c>
      <c r="D1577" s="278" t="str">
        <f>VLOOKUP(A:A,'Master Table'!C:D,2,FALSE)</f>
        <v>1528</v>
      </c>
      <c r="E1577" s="319"/>
      <c r="F1577" s="229">
        <v>921.26</v>
      </c>
      <c r="G1577" s="230">
        <v>1883.6799999999998</v>
      </c>
      <c r="H1577" s="86" t="s">
        <v>7887</v>
      </c>
      <c r="I1577" s="86"/>
    </row>
    <row r="1578" spans="1:9" ht="15" x14ac:dyDescent="0.2">
      <c r="A1578" s="89" t="s">
        <v>6695</v>
      </c>
      <c r="B1578" s="89" t="s">
        <v>6697</v>
      </c>
      <c r="C1578" s="89" t="s">
        <v>299</v>
      </c>
      <c r="D1578" s="278" t="str">
        <f>VLOOKUP(A:A,'Master Table'!C:D,2,FALSE)</f>
        <v>1529</v>
      </c>
      <c r="E1578" s="319"/>
      <c r="F1578" s="229">
        <v>885</v>
      </c>
      <c r="G1578" s="230">
        <v>1233</v>
      </c>
      <c r="H1578" s="86" t="s">
        <v>7973</v>
      </c>
      <c r="I1578" s="86"/>
    </row>
    <row r="1579" spans="1:9" ht="15" x14ac:dyDescent="0.2">
      <c r="A1579" s="89" t="s">
        <v>6701</v>
      </c>
      <c r="B1579" s="89" t="s">
        <v>8045</v>
      </c>
      <c r="C1579" s="89" t="s">
        <v>8046</v>
      </c>
      <c r="D1579" s="278" t="str">
        <f>VLOOKUP(A:A,'Master Table'!C:D,2,FALSE)</f>
        <v>1531</v>
      </c>
      <c r="E1579" s="319"/>
      <c r="F1579" s="229">
        <v>130</v>
      </c>
      <c r="G1579" s="230">
        <v>1625</v>
      </c>
      <c r="H1579" s="86" t="s">
        <v>7937</v>
      </c>
      <c r="I1579" s="86"/>
    </row>
    <row r="1580" spans="1:9" ht="15" x14ac:dyDescent="0.2">
      <c r="A1580" s="89" t="s">
        <v>6704</v>
      </c>
      <c r="B1580" s="89" t="s">
        <v>8047</v>
      </c>
      <c r="C1580" s="89" t="s">
        <v>6706</v>
      </c>
      <c r="D1580" s="278" t="str">
        <f>VLOOKUP(A:A,'Master Table'!C:D,2,FALSE)</f>
        <v>1532</v>
      </c>
      <c r="E1580" s="319"/>
      <c r="F1580" s="229">
        <v>583.14</v>
      </c>
      <c r="G1580" s="230">
        <v>634</v>
      </c>
      <c r="H1580" s="86" t="s">
        <v>7903</v>
      </c>
      <c r="I1580" s="86"/>
    </row>
    <row r="1581" spans="1:9" ht="15" x14ac:dyDescent="0.2">
      <c r="A1581" s="89" t="s">
        <v>6707</v>
      </c>
      <c r="B1581" s="89" t="s">
        <v>6389</v>
      </c>
      <c r="C1581" s="89" t="s">
        <v>6709</v>
      </c>
      <c r="D1581" s="278" t="str">
        <f>VLOOKUP(A:A,'Master Table'!C:D,2,FALSE)</f>
        <v>1533</v>
      </c>
      <c r="E1581" s="319"/>
      <c r="F1581" s="229">
        <v>324.5</v>
      </c>
      <c r="G1581" s="230">
        <v>492.29</v>
      </c>
      <c r="H1581" s="86" t="s">
        <v>7937</v>
      </c>
      <c r="I1581" s="86"/>
    </row>
    <row r="1582" spans="1:9" ht="15" x14ac:dyDescent="0.2">
      <c r="A1582" s="89" t="s">
        <v>6710</v>
      </c>
      <c r="B1582" s="89" t="s">
        <v>8048</v>
      </c>
      <c r="C1582" s="89" t="s">
        <v>7256</v>
      </c>
      <c r="D1582" s="278" t="str">
        <f>VLOOKUP(A:A,'Master Table'!C:D,2,FALSE)</f>
        <v>1535</v>
      </c>
      <c r="E1582" s="319"/>
      <c r="F1582" s="229">
        <v>2039.35</v>
      </c>
      <c r="G1582" s="230">
        <v>1773</v>
      </c>
      <c r="H1582" s="86" t="s">
        <v>7944</v>
      </c>
      <c r="I1582" s="86"/>
    </row>
    <row r="1583" spans="1:9" ht="15" x14ac:dyDescent="0.2">
      <c r="A1583" s="89" t="s">
        <v>8049</v>
      </c>
      <c r="B1583" s="89" t="s">
        <v>8050</v>
      </c>
      <c r="C1583" s="89" t="s">
        <v>1409</v>
      </c>
      <c r="D1583" s="278" t="e">
        <f>VLOOKUP(A:A,'Master Table'!C:D,2,FALSE)</f>
        <v>#N/A</v>
      </c>
      <c r="E1583" s="319"/>
      <c r="F1583" s="229">
        <v>1231.75</v>
      </c>
      <c r="G1583" s="230">
        <v>893.25</v>
      </c>
      <c r="H1583" s="86" t="s">
        <v>7901</v>
      </c>
      <c r="I1583" s="86"/>
    </row>
    <row r="1584" spans="1:9" ht="15" x14ac:dyDescent="0.2">
      <c r="A1584" s="89" t="s">
        <v>6719</v>
      </c>
      <c r="B1584" s="89" t="s">
        <v>8051</v>
      </c>
      <c r="C1584" s="89" t="s">
        <v>2578</v>
      </c>
      <c r="D1584" s="278" t="str">
        <f>VLOOKUP(A:A,'Master Table'!C:D,2,FALSE)</f>
        <v>1538</v>
      </c>
      <c r="E1584" s="319"/>
      <c r="F1584" s="229">
        <v>374.12</v>
      </c>
      <c r="G1584" s="230">
        <v>954.83999999999992</v>
      </c>
      <c r="H1584" s="86" t="s">
        <v>7901</v>
      </c>
      <c r="I1584" s="86"/>
    </row>
    <row r="1585" spans="1:9" ht="15" x14ac:dyDescent="0.2">
      <c r="A1585" s="89" t="s">
        <v>6722</v>
      </c>
      <c r="B1585" s="89" t="s">
        <v>6361</v>
      </c>
      <c r="C1585" s="89" t="s">
        <v>783</v>
      </c>
      <c r="D1585" s="278" t="str">
        <f>VLOOKUP(A:A,'Master Table'!C:D,2,FALSE)</f>
        <v>1539</v>
      </c>
      <c r="E1585" s="319"/>
      <c r="F1585" s="229">
        <v>370</v>
      </c>
      <c r="G1585" s="230">
        <v>822</v>
      </c>
      <c r="H1585" s="86" t="s">
        <v>7889</v>
      </c>
      <c r="I1585" s="86"/>
    </row>
    <row r="1586" spans="1:9" ht="15" x14ac:dyDescent="0.2">
      <c r="A1586" s="89" t="s">
        <v>6724</v>
      </c>
      <c r="B1586" s="89" t="s">
        <v>6727</v>
      </c>
      <c r="C1586" s="89" t="s">
        <v>6726</v>
      </c>
      <c r="D1586" s="278" t="str">
        <f>VLOOKUP(A:A,'Master Table'!C:D,2,FALSE)</f>
        <v>1540</v>
      </c>
      <c r="E1586" s="319"/>
      <c r="F1586" s="229">
        <v>2145.1999999999998</v>
      </c>
      <c r="G1586" s="230">
        <v>2020.8</v>
      </c>
      <c r="H1586" s="86" t="s">
        <v>7896</v>
      </c>
      <c r="I1586" s="86"/>
    </row>
    <row r="1587" spans="1:9" ht="15" x14ac:dyDescent="0.2">
      <c r="A1587" s="89" t="s">
        <v>6729</v>
      </c>
      <c r="B1587" s="89" t="s">
        <v>6732</v>
      </c>
      <c r="C1587" s="89" t="s">
        <v>8052</v>
      </c>
      <c r="D1587" s="278" t="str">
        <f>VLOOKUP(A:A,'Master Table'!C:D,2,FALSE)</f>
        <v>1541</v>
      </c>
      <c r="E1587" s="319"/>
      <c r="F1587" s="229">
        <v>1602.8400000000001</v>
      </c>
      <c r="G1587" s="230">
        <v>2446.94</v>
      </c>
      <c r="H1587" s="86" t="s">
        <v>7947</v>
      </c>
      <c r="I1587" s="86"/>
    </row>
    <row r="1588" spans="1:9" ht="15" x14ac:dyDescent="0.2">
      <c r="A1588" s="89" t="s">
        <v>6733</v>
      </c>
      <c r="B1588" s="89" t="s">
        <v>8053</v>
      </c>
      <c r="C1588" s="89" t="s">
        <v>1588</v>
      </c>
      <c r="D1588" s="278" t="str">
        <f>VLOOKUP(A:A,'Master Table'!C:D,2,FALSE)</f>
        <v>1542</v>
      </c>
      <c r="E1588" s="319"/>
      <c r="F1588" s="229">
        <v>1166.81</v>
      </c>
      <c r="G1588" s="230">
        <v>190</v>
      </c>
      <c r="H1588" s="86" t="s">
        <v>7947</v>
      </c>
      <c r="I1588" s="86"/>
    </row>
    <row r="1589" spans="1:9" ht="15" x14ac:dyDescent="0.2">
      <c r="A1589" s="89" t="s">
        <v>6737</v>
      </c>
      <c r="B1589" s="89" t="s">
        <v>6740</v>
      </c>
      <c r="C1589" s="89" t="s">
        <v>8054</v>
      </c>
      <c r="D1589" s="278" t="str">
        <f>VLOOKUP(A:A,'Master Table'!C:D,2,FALSE)</f>
        <v>1543</v>
      </c>
      <c r="E1589" s="319"/>
      <c r="F1589" s="229">
        <v>3545.75</v>
      </c>
      <c r="G1589" s="230">
        <v>3180.4300000000003</v>
      </c>
      <c r="H1589" s="86" t="s">
        <v>7901</v>
      </c>
      <c r="I1589" s="86"/>
    </row>
    <row r="1590" spans="1:9" ht="15" x14ac:dyDescent="0.2">
      <c r="A1590" s="89" t="s">
        <v>6744</v>
      </c>
      <c r="B1590" s="89" t="s">
        <v>6740</v>
      </c>
      <c r="C1590" s="89" t="s">
        <v>8055</v>
      </c>
      <c r="D1590" s="278" t="str">
        <f>VLOOKUP(A:A,'Master Table'!C:D,2,FALSE)</f>
        <v>1544</v>
      </c>
      <c r="E1590" s="319"/>
      <c r="F1590" s="229">
        <v>534</v>
      </c>
      <c r="G1590" s="230">
        <v>992</v>
      </c>
      <c r="H1590" s="86" t="s">
        <v>7901</v>
      </c>
      <c r="I1590" s="86"/>
    </row>
    <row r="1591" spans="1:9" ht="15" x14ac:dyDescent="0.2">
      <c r="A1591" s="89" t="s">
        <v>6747</v>
      </c>
      <c r="B1591" s="89" t="s">
        <v>8056</v>
      </c>
      <c r="C1591" s="89" t="s">
        <v>5069</v>
      </c>
      <c r="D1591" s="278" t="str">
        <f>VLOOKUP(A:A,'Master Table'!C:D,2,FALSE)</f>
        <v>1545</v>
      </c>
      <c r="E1591" s="319"/>
      <c r="F1591" s="229">
        <v>1518.68</v>
      </c>
      <c r="G1591" s="230">
        <v>2083.3599999999997</v>
      </c>
      <c r="H1591" s="86" t="s">
        <v>7899</v>
      </c>
      <c r="I1591" s="86"/>
    </row>
    <row r="1592" spans="1:9" ht="15" x14ac:dyDescent="0.2">
      <c r="A1592" s="89" t="s">
        <v>6749</v>
      </c>
      <c r="B1592" s="89" t="s">
        <v>8057</v>
      </c>
      <c r="C1592" s="89" t="s">
        <v>1355</v>
      </c>
      <c r="D1592" s="278" t="str">
        <f>VLOOKUP(A:A,'Master Table'!C:D,2,FALSE)</f>
        <v>1546</v>
      </c>
      <c r="E1592" s="319"/>
      <c r="F1592" s="229">
        <v>1691.06</v>
      </c>
      <c r="G1592" s="230">
        <v>1150</v>
      </c>
      <c r="H1592" s="86" t="s">
        <v>7952</v>
      </c>
      <c r="I1592" s="86"/>
    </row>
    <row r="1593" spans="1:9" ht="15" x14ac:dyDescent="0.2">
      <c r="A1593" s="89" t="s">
        <v>6751</v>
      </c>
      <c r="B1593" s="89" t="s">
        <v>8058</v>
      </c>
      <c r="C1593" s="89" t="s">
        <v>6753</v>
      </c>
      <c r="D1593" s="278" t="str">
        <f>VLOOKUP(A:A,'Master Table'!C:D,2,FALSE)</f>
        <v>1547</v>
      </c>
      <c r="E1593" s="319"/>
      <c r="F1593" s="229">
        <v>510</v>
      </c>
      <c r="G1593" s="230">
        <v>530</v>
      </c>
      <c r="H1593" s="86" t="s">
        <v>7894</v>
      </c>
      <c r="I1593" s="86"/>
    </row>
    <row r="1594" spans="1:9" ht="15" x14ac:dyDescent="0.2">
      <c r="A1594" s="89" t="s">
        <v>6755</v>
      </c>
      <c r="B1594" s="89" t="s">
        <v>6757</v>
      </c>
      <c r="C1594" s="89" t="s">
        <v>2530</v>
      </c>
      <c r="D1594" s="278" t="str">
        <f>VLOOKUP(A:A,'Master Table'!C:D,2,FALSE)</f>
        <v>1548</v>
      </c>
      <c r="E1594" s="319"/>
      <c r="F1594" s="229">
        <v>530</v>
      </c>
      <c r="G1594" s="230">
        <v>555</v>
      </c>
      <c r="H1594" s="86" t="s">
        <v>7901</v>
      </c>
      <c r="I1594" s="86"/>
    </row>
    <row r="1595" spans="1:9" ht="15" x14ac:dyDescent="0.2">
      <c r="A1595" s="89" t="s">
        <v>6758</v>
      </c>
      <c r="B1595" s="89" t="s">
        <v>8059</v>
      </c>
      <c r="C1595" s="89" t="s">
        <v>6760</v>
      </c>
      <c r="D1595" s="278" t="str">
        <f>VLOOKUP(A:A,'Master Table'!C:D,2,FALSE)</f>
        <v>1549</v>
      </c>
      <c r="E1595" s="319"/>
      <c r="F1595" s="229">
        <v>1779</v>
      </c>
      <c r="G1595" s="230">
        <v>2339</v>
      </c>
      <c r="H1595" s="86" t="s">
        <v>7914</v>
      </c>
      <c r="I1595" s="86"/>
    </row>
    <row r="1596" spans="1:9" ht="15" x14ac:dyDescent="0.2">
      <c r="A1596" s="89" t="s">
        <v>6764</v>
      </c>
      <c r="B1596" s="89" t="s">
        <v>6766</v>
      </c>
      <c r="C1596" s="89" t="s">
        <v>2578</v>
      </c>
      <c r="D1596" s="278" t="str">
        <f>VLOOKUP(A:A,'Master Table'!C:D,2,FALSE)</f>
        <v>1551</v>
      </c>
      <c r="E1596" s="319"/>
      <c r="F1596" s="229">
        <v>1185.75</v>
      </c>
      <c r="G1596" s="230">
        <v>966.57</v>
      </c>
      <c r="H1596" s="86" t="s">
        <v>7894</v>
      </c>
      <c r="I1596" s="86"/>
    </row>
    <row r="1597" spans="1:9" ht="15" x14ac:dyDescent="0.2">
      <c r="A1597" s="89" t="s">
        <v>6768</v>
      </c>
      <c r="B1597" s="89" t="s">
        <v>8060</v>
      </c>
      <c r="C1597" s="89" t="s">
        <v>158</v>
      </c>
      <c r="D1597" s="278" t="str">
        <f>VLOOKUP(A:A,'Master Table'!C:D,2,FALSE)</f>
        <v>1552</v>
      </c>
      <c r="E1597" s="319"/>
      <c r="F1597" s="229">
        <v>50</v>
      </c>
      <c r="G1597" s="230">
        <v>85</v>
      </c>
      <c r="H1597" s="86" t="s">
        <v>7887</v>
      </c>
      <c r="I1597" s="86"/>
    </row>
    <row r="1598" spans="1:9" ht="15" x14ac:dyDescent="0.2">
      <c r="A1598" s="89" t="s">
        <v>6770</v>
      </c>
      <c r="B1598" s="89" t="s">
        <v>8061</v>
      </c>
      <c r="C1598" s="89" t="s">
        <v>7394</v>
      </c>
      <c r="D1598" s="278" t="str">
        <f>VLOOKUP(A:A,'Master Table'!C:D,2,FALSE)</f>
        <v>1554</v>
      </c>
      <c r="E1598" s="319"/>
      <c r="F1598" s="229">
        <v>315</v>
      </c>
      <c r="G1598" s="230">
        <v>194</v>
      </c>
      <c r="H1598" s="86" t="s">
        <v>7921</v>
      </c>
      <c r="I1598" s="86"/>
    </row>
    <row r="1599" spans="1:9" ht="15" x14ac:dyDescent="0.2">
      <c r="A1599" s="89" t="s">
        <v>6773</v>
      </c>
      <c r="B1599" s="89" t="s">
        <v>6775</v>
      </c>
      <c r="C1599" s="89" t="s">
        <v>583</v>
      </c>
      <c r="D1599" s="278" t="str">
        <f>VLOOKUP(A:A,'Master Table'!C:D,2,FALSE)</f>
        <v>1555</v>
      </c>
      <c r="E1599" s="319"/>
      <c r="F1599" s="229">
        <v>1084.57</v>
      </c>
      <c r="G1599" s="230">
        <v>1303.8499999999999</v>
      </c>
      <c r="H1599" s="86" t="s">
        <v>7891</v>
      </c>
      <c r="I1599" s="86"/>
    </row>
    <row r="1600" spans="1:9" ht="15" x14ac:dyDescent="0.2">
      <c r="A1600" s="89" t="s">
        <v>6776</v>
      </c>
      <c r="B1600" s="89" t="s">
        <v>8062</v>
      </c>
      <c r="C1600" s="89" t="s">
        <v>8063</v>
      </c>
      <c r="D1600" s="278" t="str">
        <f>VLOOKUP(A:A,'Master Table'!C:D,2,FALSE)</f>
        <v>1556</v>
      </c>
      <c r="E1600" s="319"/>
      <c r="F1600" s="229">
        <v>380</v>
      </c>
      <c r="G1600" s="230">
        <v>215</v>
      </c>
      <c r="H1600" s="86" t="s">
        <v>7952</v>
      </c>
      <c r="I1600" s="86"/>
    </row>
    <row r="1601" spans="1:9" ht="15" x14ac:dyDescent="0.2">
      <c r="A1601" s="89" t="s">
        <v>6778</v>
      </c>
      <c r="B1601" s="89" t="s">
        <v>6780</v>
      </c>
      <c r="C1601" s="89" t="s">
        <v>198</v>
      </c>
      <c r="D1601" s="278" t="str">
        <f>VLOOKUP(A:A,'Master Table'!C:D,2,FALSE)</f>
        <v>1557</v>
      </c>
      <c r="E1601" s="319"/>
      <c r="F1601" s="229">
        <v>1822.69</v>
      </c>
      <c r="G1601" s="230">
        <v>1424.39</v>
      </c>
      <c r="H1601" s="86" t="s">
        <v>7894</v>
      </c>
      <c r="I1601" s="86"/>
    </row>
    <row r="1602" spans="1:9" ht="15" x14ac:dyDescent="0.2">
      <c r="A1602" s="89" t="s">
        <v>6781</v>
      </c>
      <c r="B1602" s="89" t="s">
        <v>8064</v>
      </c>
      <c r="C1602" s="89" t="s">
        <v>8065</v>
      </c>
      <c r="D1602" s="278" t="str">
        <f>VLOOKUP(A:A,'Master Table'!C:D,2,FALSE)</f>
        <v>1558</v>
      </c>
      <c r="E1602" s="319"/>
      <c r="F1602" s="229">
        <v>240.72</v>
      </c>
      <c r="G1602" s="230">
        <v>834</v>
      </c>
      <c r="H1602" s="86" t="s">
        <v>8030</v>
      </c>
      <c r="I1602" s="86"/>
    </row>
    <row r="1603" spans="1:9" ht="15" x14ac:dyDescent="0.2">
      <c r="A1603" s="89" t="s">
        <v>6784</v>
      </c>
      <c r="B1603" s="89" t="s">
        <v>6787</v>
      </c>
      <c r="C1603" s="89" t="s">
        <v>5796</v>
      </c>
      <c r="D1603" s="278" t="str">
        <f>VLOOKUP(A:A,'Master Table'!C:D,2,FALSE)</f>
        <v>1559</v>
      </c>
      <c r="E1603" s="319"/>
      <c r="F1603" s="229">
        <v>1947.41</v>
      </c>
      <c r="G1603" s="230">
        <v>2958.99</v>
      </c>
      <c r="H1603" s="86" t="s">
        <v>7973</v>
      </c>
      <c r="I1603" s="86"/>
    </row>
    <row r="1604" spans="1:9" ht="15" x14ac:dyDescent="0.2">
      <c r="A1604" s="89" t="s">
        <v>6789</v>
      </c>
      <c r="B1604" s="89" t="s">
        <v>8066</v>
      </c>
      <c r="C1604" s="89" t="s">
        <v>89</v>
      </c>
      <c r="D1604" s="278" t="str">
        <f>VLOOKUP(A:A,'Master Table'!C:D,2,FALSE)</f>
        <v>1560</v>
      </c>
      <c r="E1604" s="319"/>
      <c r="F1604" s="229">
        <v>130</v>
      </c>
      <c r="G1604" s="230">
        <v>140</v>
      </c>
      <c r="H1604" s="86" t="s">
        <v>7894</v>
      </c>
      <c r="I1604" s="86"/>
    </row>
    <row r="1605" spans="1:9" ht="15" x14ac:dyDescent="0.2">
      <c r="A1605" s="89" t="s">
        <v>6792</v>
      </c>
      <c r="B1605" s="89" t="s">
        <v>8067</v>
      </c>
      <c r="C1605" s="89" t="s">
        <v>6794</v>
      </c>
      <c r="D1605" s="278" t="str">
        <f>VLOOKUP(A:A,'Master Table'!C:D,2,FALSE)</f>
        <v>1561</v>
      </c>
      <c r="E1605" s="319"/>
      <c r="F1605" s="229">
        <v>96.74</v>
      </c>
      <c r="G1605" s="230">
        <v>347</v>
      </c>
      <c r="H1605" s="86" t="s">
        <v>7914</v>
      </c>
      <c r="I1605" s="86"/>
    </row>
    <row r="1606" spans="1:9" ht="15" x14ac:dyDescent="0.2">
      <c r="A1606" s="89" t="s">
        <v>6795</v>
      </c>
      <c r="B1606" s="89" t="s">
        <v>8068</v>
      </c>
      <c r="C1606" s="89" t="s">
        <v>8069</v>
      </c>
      <c r="D1606" s="278" t="str">
        <f>VLOOKUP(A:A,'Master Table'!C:D,2,FALSE)</f>
        <v>1562</v>
      </c>
      <c r="E1606" s="319"/>
      <c r="F1606" s="229">
        <v>747.61</v>
      </c>
      <c r="G1606" s="230">
        <v>593.92999999999995</v>
      </c>
      <c r="H1606" s="86" t="s">
        <v>7896</v>
      </c>
      <c r="I1606" s="86"/>
    </row>
    <row r="1607" spans="1:9" ht="15" x14ac:dyDescent="0.2">
      <c r="A1607" s="89" t="s">
        <v>6799</v>
      </c>
      <c r="B1607" s="89" t="s">
        <v>8070</v>
      </c>
      <c r="C1607" s="89" t="s">
        <v>532</v>
      </c>
      <c r="D1607" s="278" t="str">
        <f>VLOOKUP(A:A,'Master Table'!C:D,2,FALSE)</f>
        <v>1563</v>
      </c>
      <c r="E1607" s="319"/>
      <c r="F1607" s="229">
        <v>597.15</v>
      </c>
      <c r="G1607" s="230">
        <v>514.58000000000004</v>
      </c>
      <c r="H1607" s="86" t="s">
        <v>7896</v>
      </c>
      <c r="I1607" s="86"/>
    </row>
    <row r="1608" spans="1:9" ht="15" x14ac:dyDescent="0.2">
      <c r="A1608" s="89" t="s">
        <v>6803</v>
      </c>
      <c r="B1608" s="89" t="s">
        <v>8071</v>
      </c>
      <c r="C1608" s="89" t="s">
        <v>7829</v>
      </c>
      <c r="D1608" s="278" t="str">
        <f>VLOOKUP(A:A,'Master Table'!C:D,2,FALSE)</f>
        <v>1564</v>
      </c>
      <c r="E1608" s="319"/>
      <c r="F1608" s="229">
        <v>2460.81</v>
      </c>
      <c r="G1608" s="230">
        <v>2457.25</v>
      </c>
      <c r="H1608" s="86" t="s">
        <v>7896</v>
      </c>
      <c r="I1608" s="86"/>
    </row>
    <row r="1609" spans="1:9" ht="15" x14ac:dyDescent="0.2">
      <c r="A1609" s="89" t="s">
        <v>6807</v>
      </c>
      <c r="B1609" s="89" t="s">
        <v>8072</v>
      </c>
      <c r="C1609" s="89" t="s">
        <v>4017</v>
      </c>
      <c r="D1609" s="278" t="str">
        <f>VLOOKUP(A:A,'Master Table'!C:D,2,FALSE)</f>
        <v>1565</v>
      </c>
      <c r="E1609" s="319"/>
      <c r="F1609" s="229">
        <v>830</v>
      </c>
      <c r="G1609" s="230">
        <v>923</v>
      </c>
      <c r="H1609" s="86" t="s">
        <v>7931</v>
      </c>
      <c r="I1609" s="86"/>
    </row>
    <row r="1610" spans="1:9" ht="15" x14ac:dyDescent="0.2">
      <c r="A1610" s="89" t="s">
        <v>6809</v>
      </c>
      <c r="B1610" s="89" t="s">
        <v>8073</v>
      </c>
      <c r="C1610" s="89" t="s">
        <v>8074</v>
      </c>
      <c r="D1610" s="278" t="str">
        <f>VLOOKUP(A:A,'Master Table'!C:D,2,FALSE)</f>
        <v>1566</v>
      </c>
      <c r="E1610" s="319"/>
      <c r="F1610" s="229">
        <v>1454.4</v>
      </c>
      <c r="G1610" s="230">
        <v>1190.8699999999999</v>
      </c>
      <c r="H1610" s="86" t="s">
        <v>7944</v>
      </c>
      <c r="I1610" s="86"/>
    </row>
    <row r="1611" spans="1:9" ht="15" x14ac:dyDescent="0.2">
      <c r="A1611" s="89" t="s">
        <v>6812</v>
      </c>
      <c r="B1611" s="89" t="s">
        <v>8075</v>
      </c>
      <c r="C1611" s="89" t="s">
        <v>6814</v>
      </c>
      <c r="D1611" s="278" t="str">
        <f>VLOOKUP(A:A,'Master Table'!C:D,2,FALSE)</f>
        <v>1567</v>
      </c>
      <c r="E1611" s="319"/>
      <c r="F1611" s="229">
        <v>298.99</v>
      </c>
      <c r="G1611" s="230">
        <v>416</v>
      </c>
      <c r="H1611" s="86" t="s">
        <v>8030</v>
      </c>
      <c r="I1611" s="86"/>
    </row>
    <row r="1612" spans="1:9" ht="15" x14ac:dyDescent="0.2">
      <c r="A1612" s="89" t="s">
        <v>6815</v>
      </c>
      <c r="B1612" s="89" t="s">
        <v>3259</v>
      </c>
      <c r="C1612" s="89" t="s">
        <v>2900</v>
      </c>
      <c r="D1612" s="278" t="str">
        <f>VLOOKUP(A:A,'Master Table'!C:D,2,FALSE)</f>
        <v>1568</v>
      </c>
      <c r="E1612" s="319"/>
      <c r="F1612" s="229">
        <v>709.12</v>
      </c>
      <c r="G1612" s="230">
        <v>379</v>
      </c>
      <c r="H1612" s="86" t="s">
        <v>7944</v>
      </c>
      <c r="I1612" s="86"/>
    </row>
    <row r="1613" spans="1:9" ht="15" x14ac:dyDescent="0.2">
      <c r="A1613" s="89" t="s">
        <v>6817</v>
      </c>
      <c r="B1613" s="89" t="s">
        <v>6820</v>
      </c>
      <c r="C1613" s="89" t="s">
        <v>6819</v>
      </c>
      <c r="D1613" s="278" t="str">
        <f>VLOOKUP(A:A,'Master Table'!C:D,2,FALSE)</f>
        <v>1569</v>
      </c>
      <c r="E1613" s="319"/>
      <c r="F1613" s="229">
        <v>594.74</v>
      </c>
      <c r="G1613" s="230">
        <v>1371.6599999999999</v>
      </c>
      <c r="H1613" s="86" t="s">
        <v>7894</v>
      </c>
      <c r="I1613" s="86"/>
    </row>
    <row r="1614" spans="1:9" ht="15" x14ac:dyDescent="0.2">
      <c r="A1614" s="89" t="s">
        <v>6821</v>
      </c>
      <c r="B1614" s="89" t="s">
        <v>8076</v>
      </c>
      <c r="C1614" s="89" t="s">
        <v>453</v>
      </c>
      <c r="D1614" s="278" t="str">
        <f>VLOOKUP(A:A,'Master Table'!C:D,2,FALSE)</f>
        <v>1570</v>
      </c>
      <c r="E1614" s="319"/>
      <c r="F1614" s="229">
        <v>1264.25</v>
      </c>
      <c r="G1614" s="230">
        <v>1225.75</v>
      </c>
      <c r="H1614" s="86" t="s">
        <v>7921</v>
      </c>
      <c r="I1614" s="86"/>
    </row>
    <row r="1615" spans="1:9" ht="15" x14ac:dyDescent="0.2">
      <c r="A1615" s="89" t="s">
        <v>6823</v>
      </c>
      <c r="B1615" s="89" t="s">
        <v>8077</v>
      </c>
      <c r="C1615" s="89" t="s">
        <v>1284</v>
      </c>
      <c r="D1615" s="278" t="str">
        <f>VLOOKUP(A:A,'Master Table'!C:D,2,FALSE)</f>
        <v>1571</v>
      </c>
      <c r="E1615" s="319"/>
      <c r="F1615" s="229">
        <v>1038</v>
      </c>
      <c r="G1615" s="230">
        <v>553</v>
      </c>
      <c r="H1615" s="86" t="s">
        <v>7894</v>
      </c>
      <c r="I1615" s="86"/>
    </row>
    <row r="1616" spans="1:9" ht="15" x14ac:dyDescent="0.2">
      <c r="A1616" s="89" t="s">
        <v>6826</v>
      </c>
      <c r="B1616" s="89" t="s">
        <v>8078</v>
      </c>
      <c r="C1616" s="89" t="s">
        <v>8079</v>
      </c>
      <c r="D1616" s="278" t="str">
        <f>VLOOKUP(A:A,'Master Table'!C:D,2,FALSE)</f>
        <v>1572</v>
      </c>
      <c r="E1616" s="319"/>
      <c r="F1616" s="229">
        <v>86.24</v>
      </c>
      <c r="G1616" s="230">
        <v>391.65</v>
      </c>
      <c r="H1616" s="86" t="s">
        <v>7917</v>
      </c>
      <c r="I1616" s="86"/>
    </row>
    <row r="1617" spans="1:9" ht="15" x14ac:dyDescent="0.2">
      <c r="A1617" s="89" t="s">
        <v>6829</v>
      </c>
      <c r="B1617" s="89" t="s">
        <v>8080</v>
      </c>
      <c r="C1617" s="89" t="s">
        <v>1770</v>
      </c>
      <c r="D1617" s="278" t="str">
        <f>VLOOKUP(A:A,'Master Table'!C:D,2,FALSE)</f>
        <v>1573</v>
      </c>
      <c r="E1617" s="319"/>
      <c r="F1617" s="229">
        <v>1643.06</v>
      </c>
      <c r="G1617" s="230">
        <v>2641.31</v>
      </c>
      <c r="H1617" s="86" t="s">
        <v>8030</v>
      </c>
      <c r="I1617" s="86"/>
    </row>
    <row r="1618" spans="1:9" ht="15" x14ac:dyDescent="0.2">
      <c r="A1618" s="89" t="s">
        <v>6831</v>
      </c>
      <c r="B1618" s="89" t="s">
        <v>8081</v>
      </c>
      <c r="C1618" s="89" t="s">
        <v>1047</v>
      </c>
      <c r="D1618" s="278" t="str">
        <f>VLOOKUP(A:A,'Master Table'!C:D,2,FALSE)</f>
        <v>1574</v>
      </c>
      <c r="E1618" s="319"/>
      <c r="F1618" s="229">
        <v>0</v>
      </c>
      <c r="G1618" s="230">
        <v>153.22999999999999</v>
      </c>
      <c r="H1618" s="86" t="s">
        <v>7903</v>
      </c>
      <c r="I1618" s="86"/>
    </row>
    <row r="1619" spans="1:9" ht="15" x14ac:dyDescent="0.2">
      <c r="A1619" s="89" t="s">
        <v>6833</v>
      </c>
      <c r="B1619" s="89" t="s">
        <v>6835</v>
      </c>
      <c r="C1619" s="89" t="s">
        <v>7216</v>
      </c>
      <c r="D1619" s="278" t="str">
        <f>VLOOKUP(A:A,'Master Table'!C:D,2,FALSE)</f>
        <v>1575</v>
      </c>
      <c r="E1619" s="319"/>
      <c r="F1619" s="229">
        <v>461.4</v>
      </c>
      <c r="G1619" s="230">
        <v>529.63</v>
      </c>
      <c r="H1619" s="86" t="s">
        <v>7901</v>
      </c>
      <c r="I1619" s="86"/>
    </row>
    <row r="1620" spans="1:9" ht="15" x14ac:dyDescent="0.2">
      <c r="A1620" s="89" t="s">
        <v>6836</v>
      </c>
      <c r="B1620" s="89" t="s">
        <v>6754</v>
      </c>
      <c r="C1620" s="89" t="s">
        <v>8063</v>
      </c>
      <c r="D1620" s="278" t="str">
        <f>VLOOKUP(A:A,'Master Table'!C:D,2,FALSE)</f>
        <v>1576</v>
      </c>
      <c r="E1620" s="319"/>
      <c r="F1620" s="229">
        <v>442.57</v>
      </c>
      <c r="G1620" s="230">
        <v>639.4</v>
      </c>
      <c r="H1620" s="86" t="s">
        <v>7894</v>
      </c>
      <c r="I1620" s="86"/>
    </row>
    <row r="1621" spans="1:9" ht="15" x14ac:dyDescent="0.2">
      <c r="A1621" s="344" t="s">
        <v>8082</v>
      </c>
      <c r="B1621" s="89" t="s">
        <v>8083</v>
      </c>
      <c r="C1621" s="89" t="s">
        <v>8084</v>
      </c>
      <c r="D1621" s="343">
        <f>VLOOKUP(A:A,'Master Table'!C:D,2,FALSE)</f>
        <v>0</v>
      </c>
      <c r="E1621" s="319"/>
      <c r="F1621" s="229">
        <v>0</v>
      </c>
      <c r="G1621" s="230">
        <v>256.92</v>
      </c>
      <c r="H1621" s="86" t="s">
        <v>7952</v>
      </c>
      <c r="I1621" s="86"/>
    </row>
    <row r="1622" spans="1:9" ht="15" x14ac:dyDescent="0.2">
      <c r="A1622" s="89" t="s">
        <v>6840</v>
      </c>
      <c r="B1622" s="89" t="s">
        <v>8085</v>
      </c>
      <c r="C1622" s="89" t="s">
        <v>5074</v>
      </c>
      <c r="D1622" s="278" t="str">
        <f>VLOOKUP(A:A,'Master Table'!C:D,2,FALSE)</f>
        <v>1587</v>
      </c>
      <c r="E1622" s="319"/>
      <c r="F1622" s="229">
        <v>840.86</v>
      </c>
      <c r="G1622" s="230">
        <v>3390</v>
      </c>
      <c r="H1622" s="86" t="s">
        <v>7917</v>
      </c>
      <c r="I1622" s="86"/>
    </row>
    <row r="1623" spans="1:9" ht="15" x14ac:dyDescent="0.2">
      <c r="A1623" s="89" t="s">
        <v>6843</v>
      </c>
      <c r="B1623" s="89" t="s">
        <v>6472</v>
      </c>
      <c r="C1623" s="89" t="s">
        <v>6845</v>
      </c>
      <c r="D1623" s="278" t="str">
        <f>VLOOKUP(A:A,'Master Table'!C:D,2,FALSE)</f>
        <v>1589</v>
      </c>
      <c r="E1623" s="319"/>
      <c r="F1623" s="229">
        <v>949.24</v>
      </c>
      <c r="G1623" s="230">
        <v>927.9</v>
      </c>
      <c r="H1623" s="86" t="s">
        <v>7947</v>
      </c>
      <c r="I1623" s="86"/>
    </row>
    <row r="1624" spans="1:9" ht="15" x14ac:dyDescent="0.2">
      <c r="A1624" s="89" t="s">
        <v>6847</v>
      </c>
      <c r="B1624" s="89" t="s">
        <v>6355</v>
      </c>
      <c r="C1624" s="89" t="s">
        <v>3238</v>
      </c>
      <c r="D1624" s="278" t="str">
        <f>VLOOKUP(A:A,'Master Table'!C:D,2,FALSE)</f>
        <v>1591</v>
      </c>
      <c r="E1624" s="319"/>
      <c r="F1624" s="229">
        <v>1055.32</v>
      </c>
      <c r="G1624" s="230">
        <v>2654.87</v>
      </c>
      <c r="H1624" s="86" t="s">
        <v>7905</v>
      </c>
      <c r="I1624" s="86"/>
    </row>
    <row r="1625" spans="1:9" ht="15" x14ac:dyDescent="0.2">
      <c r="A1625" s="89" t="s">
        <v>6851</v>
      </c>
      <c r="B1625" s="89" t="s">
        <v>8086</v>
      </c>
      <c r="C1625" s="89" t="s">
        <v>158</v>
      </c>
      <c r="D1625" s="278" t="str">
        <f>VLOOKUP(A:A,'Master Table'!C:D,2,FALSE)</f>
        <v>1592</v>
      </c>
      <c r="E1625" s="319"/>
      <c r="F1625" s="229">
        <v>201</v>
      </c>
      <c r="G1625" s="230">
        <v>203</v>
      </c>
      <c r="H1625" s="86" t="s">
        <v>7903</v>
      </c>
      <c r="I1625" s="86"/>
    </row>
    <row r="1626" spans="1:9" ht="15" x14ac:dyDescent="0.2">
      <c r="A1626" s="89" t="s">
        <v>6853</v>
      </c>
      <c r="B1626" s="89" t="s">
        <v>6856</v>
      </c>
      <c r="C1626" s="89" t="s">
        <v>8087</v>
      </c>
      <c r="D1626" s="278" t="str">
        <f>VLOOKUP(A:A,'Master Table'!C:D,2,FALSE)</f>
        <v>1593</v>
      </c>
      <c r="E1626" s="319"/>
      <c r="F1626" s="229">
        <v>2102.85</v>
      </c>
      <c r="G1626" s="230">
        <v>2135.62</v>
      </c>
      <c r="H1626" s="86" t="s">
        <v>7905</v>
      </c>
      <c r="I1626" s="86"/>
    </row>
    <row r="1627" spans="1:9" ht="15" x14ac:dyDescent="0.2">
      <c r="A1627" s="89" t="s">
        <v>6858</v>
      </c>
      <c r="B1627" s="89" t="s">
        <v>8088</v>
      </c>
      <c r="C1627" s="89" t="s">
        <v>7732</v>
      </c>
      <c r="D1627" s="278" t="str">
        <f>VLOOKUP(A:A,'Master Table'!C:D,2,FALSE)</f>
        <v>1594</v>
      </c>
      <c r="E1627" s="319"/>
      <c r="F1627" s="229">
        <v>30</v>
      </c>
      <c r="G1627" s="230">
        <v>70</v>
      </c>
      <c r="H1627" s="86" t="s">
        <v>7887</v>
      </c>
      <c r="I1627" s="86"/>
    </row>
    <row r="1628" spans="1:9" ht="15" x14ac:dyDescent="0.2">
      <c r="A1628" s="89" t="s">
        <v>6861</v>
      </c>
      <c r="B1628" s="89" t="s">
        <v>6341</v>
      </c>
      <c r="C1628" s="89" t="s">
        <v>7454</v>
      </c>
      <c r="D1628" s="278" t="str">
        <f>VLOOKUP(A:A,'Master Table'!C:D,2,FALSE)</f>
        <v>1595</v>
      </c>
      <c r="E1628" s="319"/>
      <c r="F1628" s="229">
        <v>1604.63</v>
      </c>
      <c r="G1628" s="230">
        <v>529.9</v>
      </c>
      <c r="H1628" s="86" t="s">
        <v>7889</v>
      </c>
      <c r="I1628" s="86"/>
    </row>
    <row r="1629" spans="1:9" ht="15" x14ac:dyDescent="0.2">
      <c r="A1629" s="89" t="s">
        <v>6864</v>
      </c>
      <c r="B1629" s="89" t="s">
        <v>8089</v>
      </c>
      <c r="C1629" s="89" t="s">
        <v>3187</v>
      </c>
      <c r="D1629" s="278" t="str">
        <f>VLOOKUP(A:A,'Master Table'!C:D,2,FALSE)</f>
        <v>1596</v>
      </c>
      <c r="E1629" s="319"/>
      <c r="F1629" s="229">
        <v>927.93</v>
      </c>
      <c r="G1629" s="230">
        <v>1462.3300000000002</v>
      </c>
      <c r="H1629" s="86" t="s">
        <v>7889</v>
      </c>
      <c r="I1629" s="86"/>
    </row>
    <row r="1630" spans="1:9" ht="15" x14ac:dyDescent="0.2">
      <c r="A1630" s="89" t="s">
        <v>6866</v>
      </c>
      <c r="B1630" s="89" t="s">
        <v>8090</v>
      </c>
      <c r="C1630" s="89" t="s">
        <v>532</v>
      </c>
      <c r="D1630" s="278" t="str">
        <f>VLOOKUP(A:A,'Master Table'!C:D,2,FALSE)</f>
        <v>1597</v>
      </c>
      <c r="E1630" s="319"/>
      <c r="F1630" s="229">
        <v>648.71</v>
      </c>
      <c r="G1630" s="230">
        <v>741.24</v>
      </c>
      <c r="H1630" s="86" t="s">
        <v>7973</v>
      </c>
      <c r="I1630" s="86"/>
    </row>
    <row r="1631" spans="1:9" ht="15" x14ac:dyDescent="0.2">
      <c r="A1631" s="89" t="s">
        <v>6868</v>
      </c>
      <c r="B1631" s="89" t="s">
        <v>6871</v>
      </c>
      <c r="C1631" s="89" t="s">
        <v>8091</v>
      </c>
      <c r="D1631" s="278" t="str">
        <f>VLOOKUP(A:A,'Master Table'!C:D,2,FALSE)</f>
        <v>1598</v>
      </c>
      <c r="E1631" s="319"/>
      <c r="F1631" s="229">
        <v>1808.59</v>
      </c>
      <c r="G1631" s="230">
        <v>1610.51</v>
      </c>
      <c r="H1631" s="86" t="s">
        <v>7896</v>
      </c>
      <c r="I1631" s="86"/>
    </row>
    <row r="1632" spans="1:9" ht="15" x14ac:dyDescent="0.2">
      <c r="A1632" s="89" t="s">
        <v>6872</v>
      </c>
      <c r="B1632" s="89" t="s">
        <v>8092</v>
      </c>
      <c r="C1632" s="89" t="s">
        <v>8093</v>
      </c>
      <c r="D1632" s="278" t="str">
        <f>VLOOKUP(A:A,'Master Table'!C:D,2,FALSE)</f>
        <v>1599</v>
      </c>
      <c r="E1632" s="319"/>
      <c r="F1632" s="229">
        <v>2211.0500000000002</v>
      </c>
      <c r="G1632" s="230">
        <v>1020.26</v>
      </c>
      <c r="H1632" s="86" t="s">
        <v>7896</v>
      </c>
      <c r="I1632" s="86"/>
    </row>
    <row r="1633" spans="1:9" ht="15" x14ac:dyDescent="0.2">
      <c r="A1633" s="89" t="s">
        <v>6875</v>
      </c>
      <c r="B1633" s="89" t="s">
        <v>6871</v>
      </c>
      <c r="C1633" s="89" t="s">
        <v>1165</v>
      </c>
      <c r="D1633" s="278" t="str">
        <f>VLOOKUP(A:A,'Master Table'!C:D,2,FALSE)</f>
        <v>1600</v>
      </c>
      <c r="E1633" s="319"/>
      <c r="F1633" s="229">
        <v>770.1</v>
      </c>
      <c r="G1633" s="230">
        <v>301</v>
      </c>
      <c r="H1633" s="86" t="s">
        <v>7896</v>
      </c>
      <c r="I1633" s="86"/>
    </row>
    <row r="1634" spans="1:9" ht="15" x14ac:dyDescent="0.2">
      <c r="A1634" s="89" t="s">
        <v>6878</v>
      </c>
      <c r="B1634" s="89" t="s">
        <v>6712</v>
      </c>
      <c r="C1634" s="89" t="s">
        <v>532</v>
      </c>
      <c r="D1634" s="278" t="str">
        <f>VLOOKUP(A:A,'Master Table'!C:D,2,FALSE)</f>
        <v>1601</v>
      </c>
      <c r="E1634" s="319"/>
      <c r="F1634" s="229">
        <v>699.75</v>
      </c>
      <c r="G1634" s="230">
        <v>2000.06</v>
      </c>
      <c r="H1634" s="86" t="s">
        <v>7944</v>
      </c>
      <c r="I1634" s="86"/>
    </row>
    <row r="1635" spans="1:9" ht="15" x14ac:dyDescent="0.2">
      <c r="A1635" s="89" t="s">
        <v>6881</v>
      </c>
      <c r="B1635" s="89" t="s">
        <v>6712</v>
      </c>
      <c r="C1635" s="89" t="s">
        <v>1047</v>
      </c>
      <c r="D1635" s="278" t="str">
        <f>VLOOKUP(A:A,'Master Table'!C:D,2,FALSE)</f>
        <v>1602</v>
      </c>
      <c r="E1635" s="319"/>
      <c r="F1635" s="229">
        <v>766</v>
      </c>
      <c r="G1635" s="230">
        <v>1410.0900000000001</v>
      </c>
      <c r="H1635" s="86" t="s">
        <v>7944</v>
      </c>
      <c r="I1635" s="86"/>
    </row>
    <row r="1636" spans="1:9" ht="15" x14ac:dyDescent="0.2">
      <c r="A1636" s="89" t="s">
        <v>6883</v>
      </c>
      <c r="B1636" s="89" t="s">
        <v>8094</v>
      </c>
      <c r="C1636" s="89" t="s">
        <v>7228</v>
      </c>
      <c r="D1636" s="278" t="str">
        <f>VLOOKUP(A:A,'Master Table'!C:D,2,FALSE)</f>
        <v>1603</v>
      </c>
      <c r="E1636" s="319"/>
      <c r="F1636" s="229">
        <v>601.70000000000005</v>
      </c>
      <c r="G1636" s="230">
        <v>589.12</v>
      </c>
      <c r="H1636" s="86" t="s">
        <v>7947</v>
      </c>
      <c r="I1636" s="86"/>
    </row>
    <row r="1637" spans="1:9" ht="15" x14ac:dyDescent="0.2">
      <c r="A1637" s="89" t="s">
        <v>6887</v>
      </c>
      <c r="B1637" s="89" t="s">
        <v>8095</v>
      </c>
      <c r="C1637" s="89" t="s">
        <v>270</v>
      </c>
      <c r="D1637" s="278" t="str">
        <f>VLOOKUP(A:A,'Master Table'!C:D,2,FALSE)</f>
        <v>1604</v>
      </c>
      <c r="E1637" s="319"/>
      <c r="F1637" s="229">
        <v>761.85</v>
      </c>
      <c r="G1637" s="230">
        <v>635</v>
      </c>
      <c r="H1637" s="86" t="s">
        <v>8030</v>
      </c>
      <c r="I1637" s="86"/>
    </row>
    <row r="1638" spans="1:9" ht="15" x14ac:dyDescent="0.2">
      <c r="A1638" s="89" t="s">
        <v>6889</v>
      </c>
      <c r="B1638" s="89" t="s">
        <v>8096</v>
      </c>
      <c r="C1638" s="89" t="s">
        <v>453</v>
      </c>
      <c r="D1638" s="278" t="str">
        <f>VLOOKUP(A:A,'Master Table'!C:D,2,FALSE)</f>
        <v>1605</v>
      </c>
      <c r="E1638" s="319"/>
      <c r="F1638" s="229">
        <v>290</v>
      </c>
      <c r="G1638" s="230">
        <v>550</v>
      </c>
      <c r="H1638" s="86" t="s">
        <v>7901</v>
      </c>
      <c r="I1638" s="86"/>
    </row>
    <row r="1639" spans="1:9" ht="15" x14ac:dyDescent="0.2">
      <c r="A1639" s="89" t="s">
        <v>6892</v>
      </c>
      <c r="B1639" s="89" t="s">
        <v>8097</v>
      </c>
      <c r="C1639" s="89" t="s">
        <v>5610</v>
      </c>
      <c r="D1639" s="278" t="str">
        <f>VLOOKUP(A:A,'Master Table'!C:D,2,FALSE)</f>
        <v>1606</v>
      </c>
      <c r="E1639" s="319"/>
      <c r="F1639" s="229">
        <v>824.17</v>
      </c>
      <c r="G1639" s="230">
        <v>1264.28</v>
      </c>
      <c r="H1639" s="86" t="s">
        <v>7897</v>
      </c>
      <c r="I1639" s="86"/>
    </row>
    <row r="1640" spans="1:9" ht="15" x14ac:dyDescent="0.2">
      <c r="A1640" s="89" t="s">
        <v>6894</v>
      </c>
      <c r="B1640" s="89" t="s">
        <v>8098</v>
      </c>
      <c r="C1640" s="89" t="s">
        <v>740</v>
      </c>
      <c r="D1640" s="278" t="str">
        <f>VLOOKUP(A:A,'Master Table'!C:D,2,FALSE)</f>
        <v>1607</v>
      </c>
      <c r="E1640" s="319"/>
      <c r="F1640" s="229">
        <v>2712.19</v>
      </c>
      <c r="G1640" s="230">
        <v>662</v>
      </c>
      <c r="H1640" s="86" t="s">
        <v>7914</v>
      </c>
      <c r="I1640" s="86"/>
    </row>
    <row r="1641" spans="1:9" ht="15" x14ac:dyDescent="0.2">
      <c r="A1641" s="89" t="s">
        <v>6896</v>
      </c>
      <c r="B1641" s="89" t="s">
        <v>8099</v>
      </c>
      <c r="C1641" s="89" t="s">
        <v>5552</v>
      </c>
      <c r="D1641" s="278" t="str">
        <f>VLOOKUP(A:A,'Master Table'!C:D,2,FALSE)</f>
        <v>1608</v>
      </c>
      <c r="E1641" s="319"/>
      <c r="F1641" s="229">
        <v>1391.6200000000001</v>
      </c>
      <c r="G1641" s="230">
        <v>1252.1600000000001</v>
      </c>
      <c r="H1641" s="86" t="s">
        <v>7894</v>
      </c>
      <c r="I1641" s="86"/>
    </row>
    <row r="1642" spans="1:9" ht="15" x14ac:dyDescent="0.2">
      <c r="A1642" s="89" t="s">
        <v>6898</v>
      </c>
      <c r="B1642" s="89" t="s">
        <v>8100</v>
      </c>
      <c r="C1642" s="89" t="s">
        <v>6900</v>
      </c>
      <c r="D1642" s="278" t="str">
        <f>VLOOKUP(A:A,'Master Table'!C:D,2,FALSE)</f>
        <v>1609</v>
      </c>
      <c r="E1642" s="319"/>
      <c r="F1642" s="229">
        <v>170</v>
      </c>
      <c r="G1642" s="230">
        <v>205</v>
      </c>
      <c r="H1642" s="86" t="s">
        <v>7944</v>
      </c>
      <c r="I1642" s="86"/>
    </row>
    <row r="1643" spans="1:9" ht="15" x14ac:dyDescent="0.2">
      <c r="A1643" s="89" t="s">
        <v>6901</v>
      </c>
      <c r="B1643" s="89" t="s">
        <v>8101</v>
      </c>
      <c r="C1643" s="89" t="s">
        <v>8102</v>
      </c>
      <c r="D1643" s="278" t="str">
        <f>VLOOKUP(A:A,'Master Table'!C:D,2,FALSE)</f>
        <v>1610</v>
      </c>
      <c r="E1643" s="319"/>
      <c r="F1643" s="229">
        <v>1506.94</v>
      </c>
      <c r="G1643" s="230">
        <v>2690.95</v>
      </c>
      <c r="H1643" s="86" t="s">
        <v>7944</v>
      </c>
      <c r="I1643" s="86"/>
    </row>
    <row r="1644" spans="1:9" ht="15" x14ac:dyDescent="0.2">
      <c r="A1644" s="89" t="s">
        <v>6904</v>
      </c>
      <c r="B1644" s="89" t="s">
        <v>8103</v>
      </c>
      <c r="C1644" s="89" t="s">
        <v>4670</v>
      </c>
      <c r="D1644" s="278" t="str">
        <f>VLOOKUP(A:A,'Master Table'!C:D,2,FALSE)</f>
        <v>1611</v>
      </c>
      <c r="E1644" s="319"/>
      <c r="F1644" s="229">
        <v>2210.85</v>
      </c>
      <c r="G1644" s="230">
        <v>1848.8600000000001</v>
      </c>
      <c r="H1644" s="86" t="s">
        <v>8030</v>
      </c>
      <c r="I1644" s="86"/>
    </row>
    <row r="1645" spans="1:9" ht="15" x14ac:dyDescent="0.2">
      <c r="A1645" s="89" t="s">
        <v>6906</v>
      </c>
      <c r="B1645" s="89" t="s">
        <v>6909</v>
      </c>
      <c r="C1645" s="89" t="s">
        <v>7874</v>
      </c>
      <c r="D1645" s="278" t="str">
        <f>VLOOKUP(A:A,'Master Table'!C:D,2,FALSE)</f>
        <v>1613</v>
      </c>
      <c r="E1645" s="319"/>
      <c r="F1645" s="229">
        <v>330</v>
      </c>
      <c r="G1645" s="230">
        <v>310</v>
      </c>
      <c r="H1645" s="86" t="s">
        <v>7947</v>
      </c>
      <c r="I1645" s="86"/>
    </row>
    <row r="1646" spans="1:9" ht="15" x14ac:dyDescent="0.2">
      <c r="A1646" s="89" t="s">
        <v>6910</v>
      </c>
      <c r="B1646" s="89" t="s">
        <v>8044</v>
      </c>
      <c r="C1646" s="89" t="s">
        <v>5806</v>
      </c>
      <c r="D1646" s="278" t="str">
        <f>VLOOKUP(A:A,'Master Table'!C:D,2,FALSE)</f>
        <v>202027</v>
      </c>
      <c r="E1646" s="319"/>
      <c r="F1646" s="229">
        <v>0</v>
      </c>
      <c r="G1646" s="230">
        <v>0</v>
      </c>
      <c r="H1646" s="86" t="s">
        <v>7887</v>
      </c>
      <c r="I1646" s="86"/>
    </row>
    <row r="1647" spans="1:9" ht="15" x14ac:dyDescent="0.2">
      <c r="A1647" s="89" t="s">
        <v>8104</v>
      </c>
      <c r="B1647" s="89" t="s">
        <v>7261</v>
      </c>
      <c r="C1647" s="89" t="s">
        <v>7261</v>
      </c>
      <c r="D1647" s="278" t="e">
        <f>VLOOKUP(A:A,'Master Table'!C:D,2,FALSE)</f>
        <v>#N/A</v>
      </c>
      <c r="E1647" s="319"/>
      <c r="F1647" s="229">
        <v>4444.62</v>
      </c>
      <c r="G1647" s="230">
        <v>11402.130000000001</v>
      </c>
      <c r="H1647" s="86"/>
      <c r="I1647" s="86"/>
    </row>
    <row r="1648" spans="1:9" ht="15.75" x14ac:dyDescent="0.2">
      <c r="A1648" s="221" t="s">
        <v>307</v>
      </c>
      <c r="B1648" s="221"/>
      <c r="C1648" s="221"/>
      <c r="D1648" s="320"/>
      <c r="E1648" s="320"/>
      <c r="F1648" s="232">
        <v>199283.73000000004</v>
      </c>
      <c r="G1648" s="232">
        <v>242722</v>
      </c>
      <c r="H1648" s="86"/>
      <c r="I1648" s="86"/>
    </row>
    <row r="1649" spans="1:9" s="62" customFormat="1" x14ac:dyDescent="0.2">
      <c r="A1649" s="60" t="s">
        <v>7262</v>
      </c>
      <c r="B1649" s="60"/>
      <c r="C1649" s="60"/>
      <c r="D1649" s="275"/>
      <c r="E1649" s="275"/>
      <c r="F1649" s="61"/>
      <c r="G1649" s="61"/>
      <c r="H1649" s="60"/>
    </row>
    <row r="1650" spans="1:9" ht="20.25" x14ac:dyDescent="0.2">
      <c r="A1650" s="248" t="s">
        <v>8105</v>
      </c>
      <c r="B1650" s="248"/>
      <c r="C1650" s="248"/>
      <c r="D1650" s="289"/>
      <c r="E1650" s="289"/>
      <c r="F1650" s="248"/>
      <c r="G1650" s="248"/>
      <c r="H1650" s="233"/>
      <c r="I1650" s="233"/>
    </row>
    <row r="1651" spans="1:9" ht="15.75" x14ac:dyDescent="0.2">
      <c r="A1651" s="218" t="s">
        <v>1</v>
      </c>
      <c r="B1651" s="218" t="s">
        <v>2</v>
      </c>
      <c r="C1651" s="218" t="s">
        <v>3</v>
      </c>
      <c r="D1651" s="277" t="s">
        <v>8165</v>
      </c>
      <c r="E1651" s="277">
        <f>E3</f>
        <v>2019</v>
      </c>
      <c r="F1651" s="329">
        <v>2018</v>
      </c>
      <c r="G1651" s="234">
        <v>2017</v>
      </c>
      <c r="H1651" s="235">
        <v>2016</v>
      </c>
      <c r="I1651" s="236"/>
    </row>
    <row r="1652" spans="1:9" ht="15" x14ac:dyDescent="0.2">
      <c r="A1652" s="89" t="s">
        <v>6917</v>
      </c>
      <c r="B1652" s="89" t="s">
        <v>6924</v>
      </c>
      <c r="C1652" s="89" t="s">
        <v>6919</v>
      </c>
      <c r="D1652" s="278" t="str">
        <f>VLOOKUP(A:A,'Master Table'!C:D,2,FALSE)</f>
        <v>1618</v>
      </c>
      <c r="E1652" s="314"/>
      <c r="F1652" s="90">
        <v>2473.12</v>
      </c>
      <c r="G1652" s="91">
        <v>2416</v>
      </c>
      <c r="H1652" s="237">
        <v>1849</v>
      </c>
      <c r="I1652" s="238"/>
    </row>
    <row r="1653" spans="1:9" ht="15" x14ac:dyDescent="0.2">
      <c r="A1653" s="89" t="s">
        <v>6925</v>
      </c>
      <c r="B1653" s="89" t="s">
        <v>6924</v>
      </c>
      <c r="C1653" s="89" t="s">
        <v>839</v>
      </c>
      <c r="D1653" s="278" t="str">
        <f>VLOOKUP(A:A,'Master Table'!C:D,2,FALSE)</f>
        <v>1619</v>
      </c>
      <c r="E1653" s="314"/>
      <c r="F1653" s="90">
        <v>410</v>
      </c>
      <c r="G1653" s="91">
        <v>290</v>
      </c>
      <c r="H1653" s="237">
        <v>502.77000000000004</v>
      </c>
      <c r="I1653" s="238"/>
    </row>
    <row r="1654" spans="1:9" ht="15" x14ac:dyDescent="0.2">
      <c r="A1654" s="89" t="s">
        <v>6929</v>
      </c>
      <c r="B1654" s="89" t="s">
        <v>6932</v>
      </c>
      <c r="C1654" s="89" t="s">
        <v>3473</v>
      </c>
      <c r="D1654" s="278" t="str">
        <f>VLOOKUP(A:A,'Master Table'!C:D,2,FALSE)</f>
        <v>1620</v>
      </c>
      <c r="E1654" s="314"/>
      <c r="F1654" s="90">
        <v>797.61</v>
      </c>
      <c r="G1654" s="91">
        <v>687.38</v>
      </c>
      <c r="H1654" s="237">
        <v>746.44</v>
      </c>
      <c r="I1654" s="238"/>
    </row>
    <row r="1655" spans="1:9" ht="15" x14ac:dyDescent="0.2">
      <c r="A1655" s="89" t="s">
        <v>6935</v>
      </c>
      <c r="B1655" s="89" t="s">
        <v>6938</v>
      </c>
      <c r="C1655" s="89" t="s">
        <v>8107</v>
      </c>
      <c r="D1655" s="278" t="str">
        <f>VLOOKUP(A:A,'Master Table'!C:D,2,FALSE)</f>
        <v>1621</v>
      </c>
      <c r="E1655" s="314"/>
      <c r="F1655" s="90">
        <v>51.05</v>
      </c>
      <c r="G1655" s="91">
        <v>51</v>
      </c>
      <c r="H1655" s="237">
        <v>51.050000000000004</v>
      </c>
      <c r="I1655" s="238"/>
    </row>
    <row r="1656" spans="1:9" ht="15" x14ac:dyDescent="0.2">
      <c r="A1656" s="89" t="s">
        <v>6946</v>
      </c>
      <c r="B1656" s="89" t="s">
        <v>6949</v>
      </c>
      <c r="C1656" s="89" t="s">
        <v>8108</v>
      </c>
      <c r="D1656" s="278" t="str">
        <f>VLOOKUP(A:A,'Master Table'!C:D,2,FALSE)</f>
        <v>1623</v>
      </c>
      <c r="E1656" s="314"/>
      <c r="F1656" s="90">
        <v>326.52999999999997</v>
      </c>
      <c r="G1656" s="91">
        <v>487.66</v>
      </c>
      <c r="H1656" s="237">
        <v>379.57</v>
      </c>
      <c r="I1656" s="238"/>
    </row>
    <row r="1657" spans="1:9" ht="15" x14ac:dyDescent="0.2">
      <c r="A1657" s="89" t="s">
        <v>6955</v>
      </c>
      <c r="B1657" s="89" t="s">
        <v>8109</v>
      </c>
      <c r="C1657" s="89" t="s">
        <v>8110</v>
      </c>
      <c r="D1657" s="278" t="str">
        <f>VLOOKUP(A:A,'Master Table'!C:D,2,FALSE)</f>
        <v>1625</v>
      </c>
      <c r="E1657" s="314"/>
      <c r="F1657" s="90">
        <v>212.15</v>
      </c>
      <c r="G1657" s="91">
        <v>119.5</v>
      </c>
      <c r="H1657" s="237">
        <v>217</v>
      </c>
      <c r="I1657" s="238"/>
    </row>
    <row r="1658" spans="1:9" ht="15" x14ac:dyDescent="0.2">
      <c r="A1658" s="89" t="s">
        <v>6963</v>
      </c>
      <c r="B1658" s="89" t="s">
        <v>6966</v>
      </c>
      <c r="C1658" s="89" t="s">
        <v>7388</v>
      </c>
      <c r="D1658" s="278" t="str">
        <f>VLOOKUP(A:A,'Master Table'!C:D,2,FALSE)</f>
        <v>1626</v>
      </c>
      <c r="E1658" s="314"/>
      <c r="F1658" s="90">
        <v>120</v>
      </c>
      <c r="G1658" s="91">
        <v>120</v>
      </c>
      <c r="H1658" s="237">
        <v>120</v>
      </c>
      <c r="I1658" s="238"/>
    </row>
    <row r="1659" spans="1:9" ht="15" x14ac:dyDescent="0.2">
      <c r="A1659" s="89" t="s">
        <v>6979</v>
      </c>
      <c r="B1659" s="89" t="s">
        <v>8111</v>
      </c>
      <c r="C1659" s="89" t="s">
        <v>7188</v>
      </c>
      <c r="D1659" s="278" t="str">
        <f>VLOOKUP(A:A,'Master Table'!C:D,2,FALSE)</f>
        <v>1627</v>
      </c>
      <c r="E1659" s="314"/>
      <c r="F1659" s="90">
        <v>232.78</v>
      </c>
      <c r="G1659" s="91">
        <v>136.38</v>
      </c>
      <c r="H1659" s="237">
        <v>226.94</v>
      </c>
      <c r="I1659" s="238"/>
    </row>
    <row r="1660" spans="1:9" ht="15" x14ac:dyDescent="0.2">
      <c r="A1660" s="89" t="s">
        <v>6984</v>
      </c>
      <c r="B1660" s="89" t="s">
        <v>6986</v>
      </c>
      <c r="C1660" s="89" t="s">
        <v>198</v>
      </c>
      <c r="D1660" s="278" t="str">
        <f>VLOOKUP(A:A,'Master Table'!C:D,2,FALSE)</f>
        <v>1628</v>
      </c>
      <c r="E1660" s="314"/>
      <c r="F1660" s="90">
        <v>418.67</v>
      </c>
      <c r="G1660" s="91">
        <v>382.3</v>
      </c>
      <c r="H1660" s="237">
        <v>300.11</v>
      </c>
      <c r="I1660" s="238"/>
    </row>
    <row r="1661" spans="1:9" ht="15" x14ac:dyDescent="0.2">
      <c r="A1661" s="89" t="s">
        <v>6988</v>
      </c>
      <c r="B1661" s="89" t="s">
        <v>8112</v>
      </c>
      <c r="C1661" s="89" t="s">
        <v>8113</v>
      </c>
      <c r="D1661" s="278" t="str">
        <f>VLOOKUP(A:A,'Master Table'!C:D,2,FALSE)</f>
        <v>1629</v>
      </c>
      <c r="E1661" s="314"/>
      <c r="F1661" s="90">
        <v>599.32000000000005</v>
      </c>
      <c r="G1661" s="91">
        <v>514.37</v>
      </c>
      <c r="H1661" s="237">
        <v>585.52</v>
      </c>
      <c r="I1661" s="238"/>
    </row>
    <row r="1662" spans="1:9" ht="15" x14ac:dyDescent="0.2">
      <c r="A1662" s="89" t="s">
        <v>6996</v>
      </c>
      <c r="B1662" s="89" t="s">
        <v>8114</v>
      </c>
      <c r="C1662" s="89" t="s">
        <v>6593</v>
      </c>
      <c r="D1662" s="278" t="str">
        <f>VLOOKUP(A:A,'Master Table'!C:D,2,FALSE)</f>
        <v>1630</v>
      </c>
      <c r="E1662" s="314"/>
      <c r="F1662" s="90">
        <v>400.88</v>
      </c>
      <c r="G1662" s="91">
        <v>447.09</v>
      </c>
      <c r="H1662" s="237">
        <v>354.26</v>
      </c>
      <c r="I1662" s="238"/>
    </row>
    <row r="1663" spans="1:9" ht="15" x14ac:dyDescent="0.2">
      <c r="A1663" s="89" t="s">
        <v>6999</v>
      </c>
      <c r="B1663" s="89" t="s">
        <v>7002</v>
      </c>
      <c r="C1663" s="89" t="s">
        <v>532</v>
      </c>
      <c r="D1663" s="278" t="str">
        <f>VLOOKUP(A:A,'Master Table'!C:D,2,FALSE)</f>
        <v>1631</v>
      </c>
      <c r="E1663" s="314"/>
      <c r="F1663" s="90">
        <v>48</v>
      </c>
      <c r="G1663" s="91">
        <v>35</v>
      </c>
      <c r="H1663" s="237">
        <v>35</v>
      </c>
      <c r="I1663" s="238"/>
    </row>
    <row r="1664" spans="1:9" ht="15" x14ac:dyDescent="0.2">
      <c r="A1664" s="89" t="s">
        <v>7003</v>
      </c>
      <c r="B1664" s="89" t="s">
        <v>8115</v>
      </c>
      <c r="C1664" s="89" t="s">
        <v>3400</v>
      </c>
      <c r="D1664" s="278" t="str">
        <f>VLOOKUP(A:A,'Master Table'!C:D,2,FALSE)</f>
        <v>1632</v>
      </c>
      <c r="E1664" s="314"/>
      <c r="F1664" s="90">
        <v>811.04</v>
      </c>
      <c r="G1664" s="91">
        <v>798.04</v>
      </c>
      <c r="H1664" s="237">
        <v>875.98</v>
      </c>
      <c r="I1664" s="238"/>
    </row>
    <row r="1665" spans="1:9" ht="15" x14ac:dyDescent="0.2">
      <c r="A1665" s="89" t="s">
        <v>7007</v>
      </c>
      <c r="B1665" s="89" t="s">
        <v>7010</v>
      </c>
      <c r="C1665" s="89" t="s">
        <v>8116</v>
      </c>
      <c r="D1665" s="278" t="str">
        <f>VLOOKUP(A:A,'Master Table'!C:D,2,FALSE)</f>
        <v>1633</v>
      </c>
      <c r="E1665" s="314"/>
      <c r="F1665" s="90">
        <v>185</v>
      </c>
      <c r="G1665" s="91">
        <v>75</v>
      </c>
      <c r="H1665" s="237">
        <v>75</v>
      </c>
      <c r="I1665" s="238"/>
    </row>
    <row r="1666" spans="1:9" ht="15" x14ac:dyDescent="0.2">
      <c r="A1666" s="89" t="s">
        <v>7011</v>
      </c>
      <c r="B1666" s="89" t="s">
        <v>7014</v>
      </c>
      <c r="C1666" s="89" t="s">
        <v>532</v>
      </c>
      <c r="D1666" s="278" t="str">
        <f>VLOOKUP(A:A,'Master Table'!C:D,2,FALSE)</f>
        <v>1635</v>
      </c>
      <c r="E1666" s="314"/>
      <c r="F1666" s="90">
        <v>391.94</v>
      </c>
      <c r="G1666" s="91">
        <v>290.77</v>
      </c>
      <c r="H1666" s="237">
        <v>379.01</v>
      </c>
      <c r="I1666" s="238"/>
    </row>
    <row r="1667" spans="1:9" ht="15" x14ac:dyDescent="0.2">
      <c r="A1667" s="89" t="s">
        <v>7016</v>
      </c>
      <c r="B1667" s="89" t="s">
        <v>8118</v>
      </c>
      <c r="C1667" s="89" t="s">
        <v>8119</v>
      </c>
      <c r="D1667" s="278" t="str">
        <f>VLOOKUP(A:A,'Master Table'!C:D,2,FALSE)</f>
        <v>1636</v>
      </c>
      <c r="E1667" s="314"/>
      <c r="F1667" s="90">
        <v>169.59</v>
      </c>
      <c r="G1667" s="91">
        <v>309</v>
      </c>
      <c r="H1667" s="237">
        <v>321.63</v>
      </c>
      <c r="I1667" s="238"/>
    </row>
    <row r="1668" spans="1:9" ht="15" x14ac:dyDescent="0.2">
      <c r="A1668" s="89" t="s">
        <v>7020</v>
      </c>
      <c r="B1668" s="89" t="s">
        <v>7023</v>
      </c>
      <c r="C1668" s="89" t="s">
        <v>7022</v>
      </c>
      <c r="D1668" s="278" t="str">
        <f>VLOOKUP(A:A,'Master Table'!C:D,2,FALSE)</f>
        <v>1637</v>
      </c>
      <c r="E1668" s="314"/>
      <c r="F1668" s="90">
        <v>921.79</v>
      </c>
      <c r="G1668" s="91">
        <v>768.47</v>
      </c>
      <c r="H1668" s="237">
        <v>1084.6500000000001</v>
      </c>
      <c r="I1668" s="238"/>
    </row>
    <row r="1669" spans="1:9" ht="15" x14ac:dyDescent="0.2">
      <c r="A1669" s="89" t="s">
        <v>7024</v>
      </c>
      <c r="B1669" s="89" t="s">
        <v>8120</v>
      </c>
      <c r="C1669" s="89" t="s">
        <v>1284</v>
      </c>
      <c r="D1669" s="278" t="str">
        <f>VLOOKUP(A:A,'Master Table'!C:D,2,FALSE)</f>
        <v>1638</v>
      </c>
      <c r="E1669" s="314"/>
      <c r="F1669" s="90">
        <v>156</v>
      </c>
      <c r="G1669" s="91">
        <v>105</v>
      </c>
      <c r="H1669" s="237">
        <v>10</v>
      </c>
      <c r="I1669" s="238"/>
    </row>
    <row r="1670" spans="1:9" ht="15" x14ac:dyDescent="0.2">
      <c r="A1670" s="89" t="s">
        <v>7027</v>
      </c>
      <c r="B1670" s="89" t="s">
        <v>8121</v>
      </c>
      <c r="C1670" s="89" t="s">
        <v>7865</v>
      </c>
      <c r="D1670" s="278" t="str">
        <f>VLOOKUP(A:A,'Master Table'!C:D,2,FALSE)</f>
        <v>1639</v>
      </c>
      <c r="E1670" s="314"/>
      <c r="F1670" s="90">
        <v>5</v>
      </c>
      <c r="G1670" s="91">
        <v>45</v>
      </c>
      <c r="H1670" s="237">
        <v>15</v>
      </c>
      <c r="I1670" s="238"/>
    </row>
    <row r="1671" spans="1:9" ht="15" x14ac:dyDescent="0.2">
      <c r="A1671" s="89" t="s">
        <v>7035</v>
      </c>
      <c r="B1671" s="89" t="s">
        <v>7037</v>
      </c>
      <c r="C1671" s="89" t="s">
        <v>5066</v>
      </c>
      <c r="D1671" s="278" t="str">
        <f>VLOOKUP(A:A,'Master Table'!C:D,2,FALSE)</f>
        <v>1640</v>
      </c>
      <c r="E1671" s="314"/>
      <c r="F1671" s="90">
        <v>808.5</v>
      </c>
      <c r="G1671" s="91">
        <v>663</v>
      </c>
      <c r="H1671" s="237">
        <v>893</v>
      </c>
      <c r="I1671" s="238"/>
    </row>
    <row r="1672" spans="1:9" ht="15" x14ac:dyDescent="0.2">
      <c r="A1672" s="89" t="s">
        <v>7038</v>
      </c>
      <c r="B1672" s="89" t="s">
        <v>7040</v>
      </c>
      <c r="C1672" s="89" t="s">
        <v>119</v>
      </c>
      <c r="D1672" s="278" t="str">
        <f>VLOOKUP(A:A,'Master Table'!C:D,2,FALSE)</f>
        <v>1641</v>
      </c>
      <c r="E1672" s="314"/>
      <c r="F1672" s="90">
        <v>1038.8800000000001</v>
      </c>
      <c r="G1672" s="91">
        <v>856.35</v>
      </c>
      <c r="H1672" s="237">
        <v>840.98</v>
      </c>
      <c r="I1672" s="238"/>
    </row>
    <row r="1673" spans="1:9" ht="15" x14ac:dyDescent="0.2">
      <c r="A1673" s="89" t="s">
        <v>7041</v>
      </c>
      <c r="B1673" s="89" t="s">
        <v>7044</v>
      </c>
      <c r="C1673" s="89" t="s">
        <v>8122</v>
      </c>
      <c r="D1673" s="278" t="str">
        <f>VLOOKUP(A:A,'Master Table'!C:D,2,FALSE)</f>
        <v>1642</v>
      </c>
      <c r="E1673" s="314"/>
      <c r="F1673" s="90">
        <v>588.1</v>
      </c>
      <c r="G1673" s="91">
        <v>326.5</v>
      </c>
      <c r="H1673" s="237">
        <v>499.2</v>
      </c>
      <c r="I1673" s="238"/>
    </row>
    <row r="1674" spans="1:9" ht="15" x14ac:dyDescent="0.2">
      <c r="A1674" s="89" t="s">
        <v>7049</v>
      </c>
      <c r="B1674" s="89" t="s">
        <v>7052</v>
      </c>
      <c r="C1674" s="89" t="s">
        <v>8123</v>
      </c>
      <c r="D1674" s="278" t="str">
        <f>VLOOKUP(A:A,'Master Table'!C:D,2,FALSE)</f>
        <v>1644</v>
      </c>
      <c r="E1674" s="314"/>
      <c r="F1674" s="90">
        <v>516.65</v>
      </c>
      <c r="G1674" s="91">
        <v>505.46</v>
      </c>
      <c r="H1674" s="237">
        <v>530.32000000000005</v>
      </c>
      <c r="I1674" s="238"/>
    </row>
    <row r="1675" spans="1:9" ht="15" x14ac:dyDescent="0.2">
      <c r="A1675" s="89" t="s">
        <v>7053</v>
      </c>
      <c r="B1675" s="89" t="s">
        <v>7056</v>
      </c>
      <c r="C1675" s="89" t="s">
        <v>8124</v>
      </c>
      <c r="D1675" s="278" t="str">
        <f>VLOOKUP(A:A,'Master Table'!C:D,2,FALSE)</f>
        <v>1645</v>
      </c>
      <c r="E1675" s="314"/>
      <c r="F1675" s="90">
        <v>228.16</v>
      </c>
      <c r="G1675" s="91">
        <v>293.67</v>
      </c>
      <c r="H1675" s="237">
        <v>364.25</v>
      </c>
      <c r="I1675" s="238"/>
    </row>
    <row r="1676" spans="1:9" ht="15" x14ac:dyDescent="0.2">
      <c r="A1676" s="89" t="s">
        <v>7057</v>
      </c>
      <c r="B1676" s="89" t="s">
        <v>8125</v>
      </c>
      <c r="C1676" s="89" t="s">
        <v>896</v>
      </c>
      <c r="D1676" s="278" t="str">
        <f>VLOOKUP(A:A,'Master Table'!C:D,2,FALSE)</f>
        <v>1646</v>
      </c>
      <c r="E1676" s="314"/>
      <c r="F1676" s="90">
        <v>1628.72</v>
      </c>
      <c r="G1676" s="91">
        <v>53</v>
      </c>
      <c r="H1676" s="237">
        <v>1076.77</v>
      </c>
      <c r="I1676" s="238"/>
    </row>
    <row r="1677" spans="1:9" ht="15" x14ac:dyDescent="0.2">
      <c r="A1677" s="89" t="s">
        <v>7062</v>
      </c>
      <c r="B1677" s="89" t="s">
        <v>7065</v>
      </c>
      <c r="C1677" s="89" t="s">
        <v>8126</v>
      </c>
      <c r="D1677" s="278" t="str">
        <f>VLOOKUP(A:A,'Master Table'!C:D,2,FALSE)</f>
        <v>1647</v>
      </c>
      <c r="E1677" s="314"/>
      <c r="F1677" s="90">
        <v>196.6</v>
      </c>
      <c r="G1677" s="91">
        <v>117.55</v>
      </c>
      <c r="H1677" s="237">
        <v>112.8</v>
      </c>
      <c r="I1677" s="238"/>
    </row>
    <row r="1678" spans="1:9" ht="15" x14ac:dyDescent="0.2">
      <c r="A1678" s="89" t="s">
        <v>7066</v>
      </c>
      <c r="B1678" s="89" t="s">
        <v>8127</v>
      </c>
      <c r="C1678" s="89" t="s">
        <v>89</v>
      </c>
      <c r="D1678" s="278" t="str">
        <f>VLOOKUP(A:A,'Master Table'!C:D,2,FALSE)</f>
        <v>1649</v>
      </c>
      <c r="E1678" s="314"/>
      <c r="F1678" s="90">
        <v>728.67000000000007</v>
      </c>
      <c r="G1678" s="91">
        <v>741.98</v>
      </c>
      <c r="H1678" s="237">
        <v>955.22</v>
      </c>
      <c r="I1678" s="238"/>
    </row>
    <row r="1679" spans="1:9" ht="15" x14ac:dyDescent="0.2">
      <c r="A1679" s="89" t="s">
        <v>7069</v>
      </c>
      <c r="B1679" s="89" t="s">
        <v>8128</v>
      </c>
      <c r="C1679" s="89" t="s">
        <v>8129</v>
      </c>
      <c r="D1679" s="278" t="str">
        <f>VLOOKUP(A:A,'Master Table'!C:D,2,FALSE)</f>
        <v>1650</v>
      </c>
      <c r="E1679" s="314"/>
      <c r="F1679" s="90">
        <v>348</v>
      </c>
      <c r="G1679" s="91">
        <v>79</v>
      </c>
      <c r="H1679" s="237">
        <v>463</v>
      </c>
      <c r="I1679" s="238"/>
    </row>
    <row r="1680" spans="1:9" ht="15" x14ac:dyDescent="0.2">
      <c r="A1680" s="89" t="s">
        <v>7077</v>
      </c>
      <c r="B1680" s="89" t="s">
        <v>8130</v>
      </c>
      <c r="C1680" s="89" t="s">
        <v>1284</v>
      </c>
      <c r="D1680" s="278" t="str">
        <f>VLOOKUP(A:A,'Master Table'!C:D,2,FALSE)</f>
        <v>1651</v>
      </c>
      <c r="E1680" s="314"/>
      <c r="F1680" s="90">
        <v>650.99</v>
      </c>
      <c r="G1680" s="91">
        <v>835.68</v>
      </c>
      <c r="H1680" s="237">
        <v>749.54</v>
      </c>
      <c r="I1680" s="238"/>
    </row>
    <row r="1681" spans="1:9" ht="15" x14ac:dyDescent="0.2">
      <c r="A1681" s="89" t="s">
        <v>7080</v>
      </c>
      <c r="B1681" s="89" t="s">
        <v>8131</v>
      </c>
      <c r="C1681" s="89" t="s">
        <v>8132</v>
      </c>
      <c r="D1681" s="278" t="str">
        <f>VLOOKUP(A:A,'Master Table'!C:D,2,FALSE)</f>
        <v>1652</v>
      </c>
      <c r="E1681" s="314"/>
      <c r="F1681" s="90">
        <v>723.42</v>
      </c>
      <c r="G1681" s="91">
        <v>419.82</v>
      </c>
      <c r="H1681" s="237">
        <v>426.90000000000003</v>
      </c>
      <c r="I1681" s="238"/>
    </row>
    <row r="1682" spans="1:9" ht="15" x14ac:dyDescent="0.2">
      <c r="A1682" s="89" t="s">
        <v>7083</v>
      </c>
      <c r="B1682" s="89" t="s">
        <v>8133</v>
      </c>
      <c r="C1682" s="89" t="s">
        <v>89</v>
      </c>
      <c r="D1682" s="278" t="str">
        <f>VLOOKUP(A:A,'Master Table'!C:D,2,FALSE)</f>
        <v>1653</v>
      </c>
      <c r="E1682" s="314"/>
      <c r="F1682" s="90">
        <v>0</v>
      </c>
      <c r="G1682" s="91">
        <v>91.5</v>
      </c>
      <c r="H1682" s="237">
        <v>107.17</v>
      </c>
      <c r="I1682" s="238"/>
    </row>
    <row r="1683" spans="1:9" ht="15" x14ac:dyDescent="0.2">
      <c r="A1683" s="89" t="s">
        <v>8134</v>
      </c>
      <c r="B1683" s="89" t="s">
        <v>8135</v>
      </c>
      <c r="C1683" s="89" t="s">
        <v>8136</v>
      </c>
      <c r="D1683" s="278" t="e">
        <f>VLOOKUP(A:A,'Master Table'!C:D,2,FALSE)</f>
        <v>#N/A</v>
      </c>
      <c r="E1683" s="314"/>
      <c r="F1683" s="90">
        <v>128</v>
      </c>
      <c r="G1683" s="91">
        <v>816.15</v>
      </c>
      <c r="H1683" s="237">
        <v>40</v>
      </c>
      <c r="I1683" s="238"/>
    </row>
    <row r="1684" spans="1:9" ht="15" x14ac:dyDescent="0.2">
      <c r="A1684" s="89" t="s">
        <v>7097</v>
      </c>
      <c r="B1684" s="89" t="s">
        <v>8137</v>
      </c>
      <c r="C1684" s="89" t="s">
        <v>8138</v>
      </c>
      <c r="D1684" s="278" t="str">
        <f>VLOOKUP(A:A,'Master Table'!C:D,2,FALSE)</f>
        <v>1657</v>
      </c>
      <c r="E1684" s="314"/>
      <c r="F1684" s="90">
        <v>0</v>
      </c>
      <c r="G1684" s="91">
        <v>0</v>
      </c>
      <c r="H1684" s="237">
        <v>10</v>
      </c>
      <c r="I1684" s="238"/>
    </row>
    <row r="1685" spans="1:9" ht="15" x14ac:dyDescent="0.2">
      <c r="A1685" s="89" t="s">
        <v>7101</v>
      </c>
      <c r="B1685" s="89" t="s">
        <v>8139</v>
      </c>
      <c r="C1685" s="89" t="s">
        <v>532</v>
      </c>
      <c r="D1685" s="278" t="str">
        <f>VLOOKUP(A:A,'Master Table'!C:D,2,FALSE)</f>
        <v>1658</v>
      </c>
      <c r="E1685" s="314"/>
      <c r="F1685" s="90">
        <v>1373.76</v>
      </c>
      <c r="G1685" s="91">
        <v>0</v>
      </c>
      <c r="H1685" s="237">
        <v>434.85</v>
      </c>
      <c r="I1685" s="238"/>
    </row>
    <row r="1686" spans="1:9" ht="15" x14ac:dyDescent="0.2">
      <c r="A1686" s="89" t="s">
        <v>7113</v>
      </c>
      <c r="B1686" s="89" t="s">
        <v>8140</v>
      </c>
      <c r="C1686" s="89" t="s">
        <v>8141</v>
      </c>
      <c r="D1686" s="278" t="str">
        <f>VLOOKUP(A:A,'Master Table'!C:D,2,FALSE)</f>
        <v>1659</v>
      </c>
      <c r="E1686" s="314"/>
      <c r="F1686" s="90">
        <v>66.16</v>
      </c>
      <c r="G1686" s="91">
        <v>30.2</v>
      </c>
      <c r="H1686" s="237">
        <v>64.14</v>
      </c>
      <c r="I1686" s="238"/>
    </row>
    <row r="1687" spans="1:9" ht="15" x14ac:dyDescent="0.2">
      <c r="A1687" s="89" t="s">
        <v>7116</v>
      </c>
      <c r="B1687" s="89" t="s">
        <v>7133</v>
      </c>
      <c r="C1687" s="89" t="s">
        <v>127</v>
      </c>
      <c r="D1687" s="278" t="str">
        <f>VLOOKUP(A:A,'Master Table'!C:D,2,FALSE)</f>
        <v>1660</v>
      </c>
      <c r="E1687" s="314"/>
      <c r="F1687" s="90">
        <v>3455.43</v>
      </c>
      <c r="G1687" s="91">
        <v>3556.52</v>
      </c>
      <c r="H1687" s="237">
        <v>3615.29</v>
      </c>
      <c r="I1687" s="238"/>
    </row>
    <row r="1688" spans="1:9" ht="15" x14ac:dyDescent="0.2">
      <c r="A1688" s="89" t="s">
        <v>7119</v>
      </c>
      <c r="B1688" s="89" t="s">
        <v>8142</v>
      </c>
      <c r="C1688" s="89" t="s">
        <v>8143</v>
      </c>
      <c r="D1688" s="278" t="str">
        <f>VLOOKUP(A:A,'Master Table'!C:D,2,FALSE)</f>
        <v>1661</v>
      </c>
      <c r="E1688" s="314"/>
      <c r="F1688" s="90">
        <v>804.99</v>
      </c>
      <c r="G1688" s="91">
        <v>808.82</v>
      </c>
      <c r="H1688" s="237">
        <v>529.03</v>
      </c>
      <c r="I1688" s="238"/>
    </row>
    <row r="1689" spans="1:9" ht="15" x14ac:dyDescent="0.2">
      <c r="A1689" s="89" t="s">
        <v>7123</v>
      </c>
      <c r="B1689" s="89" t="s">
        <v>8144</v>
      </c>
      <c r="C1689" s="89" t="s">
        <v>783</v>
      </c>
      <c r="D1689" s="278" t="str">
        <f>VLOOKUP(A:A,'Master Table'!C:D,2,FALSE)</f>
        <v>1662</v>
      </c>
      <c r="E1689" s="314"/>
      <c r="F1689" s="90">
        <v>1748.75</v>
      </c>
      <c r="G1689" s="91">
        <v>1133.67</v>
      </c>
      <c r="H1689" s="237">
        <v>946.95</v>
      </c>
      <c r="I1689" s="238"/>
    </row>
    <row r="1690" spans="1:9" ht="15" x14ac:dyDescent="0.2">
      <c r="A1690" s="89" t="s">
        <v>7128</v>
      </c>
      <c r="B1690" s="89" t="s">
        <v>7130</v>
      </c>
      <c r="C1690" s="89" t="s">
        <v>5066</v>
      </c>
      <c r="D1690" s="278" t="str">
        <f>VLOOKUP(A:A,'Master Table'!C:D,2,FALSE)</f>
        <v>1663</v>
      </c>
      <c r="E1690" s="314"/>
      <c r="F1690" s="90">
        <v>164.1</v>
      </c>
      <c r="G1690" s="91">
        <v>211.11</v>
      </c>
      <c r="H1690" s="237">
        <v>139.76</v>
      </c>
      <c r="I1690" s="238"/>
    </row>
    <row r="1691" spans="1:9" ht="15" x14ac:dyDescent="0.2">
      <c r="A1691" s="89" t="s">
        <v>7137</v>
      </c>
      <c r="B1691" s="89" t="s">
        <v>8145</v>
      </c>
      <c r="C1691" s="89" t="s">
        <v>1409</v>
      </c>
      <c r="D1691" s="278" t="str">
        <f>VLOOKUP(A:A,'Master Table'!C:D,2,FALSE)</f>
        <v>1664</v>
      </c>
      <c r="E1691" s="314"/>
      <c r="F1691" s="90">
        <v>471.97</v>
      </c>
      <c r="G1691" s="91">
        <v>541.13</v>
      </c>
      <c r="H1691" s="237">
        <v>0</v>
      </c>
      <c r="I1691" s="238"/>
    </row>
    <row r="1692" spans="1:9" ht="15" x14ac:dyDescent="0.2">
      <c r="A1692" s="89" t="s">
        <v>7140</v>
      </c>
      <c r="B1692" s="89" t="s">
        <v>8146</v>
      </c>
      <c r="C1692" s="89" t="s">
        <v>89</v>
      </c>
      <c r="D1692" s="278" t="str">
        <f>VLOOKUP(A:A,'Master Table'!C:D,2,FALSE)</f>
        <v>1666</v>
      </c>
      <c r="E1692" s="314"/>
      <c r="F1692" s="90">
        <v>624.91</v>
      </c>
      <c r="G1692" s="91">
        <v>627.4</v>
      </c>
      <c r="H1692" s="237">
        <v>489.96000000000004</v>
      </c>
      <c r="I1692" s="238"/>
    </row>
    <row r="1693" spans="1:9" ht="15" x14ac:dyDescent="0.2">
      <c r="A1693" s="89" t="s">
        <v>7146</v>
      </c>
      <c r="B1693" s="89" t="s">
        <v>7149</v>
      </c>
      <c r="C1693" s="89" t="s">
        <v>5066</v>
      </c>
      <c r="D1693" s="278" t="str">
        <f>VLOOKUP(A:A,'Master Table'!C:D,2,FALSE)</f>
        <v>1667</v>
      </c>
      <c r="E1693" s="314"/>
      <c r="F1693" s="90">
        <v>644</v>
      </c>
      <c r="G1693" s="91">
        <v>631</v>
      </c>
      <c r="H1693" s="237">
        <v>602.68000000000006</v>
      </c>
      <c r="I1693" s="238"/>
    </row>
    <row r="1694" spans="1:9" ht="15" x14ac:dyDescent="0.2">
      <c r="A1694" s="89" t="s">
        <v>7154</v>
      </c>
      <c r="B1694" s="89" t="s">
        <v>7261</v>
      </c>
      <c r="C1694" s="89"/>
      <c r="D1694" s="278" t="str">
        <f>VLOOKUP(A:A,'Master Table'!C:D,2,FALSE)</f>
        <v>1670</v>
      </c>
      <c r="E1694" s="314"/>
      <c r="F1694" s="90">
        <v>170</v>
      </c>
      <c r="G1694" s="91">
        <v>376.52</v>
      </c>
      <c r="H1694" s="237"/>
      <c r="I1694" s="238"/>
    </row>
    <row r="1695" spans="1:9" ht="15.75" x14ac:dyDescent="0.2">
      <c r="A1695" s="221" t="s">
        <v>307</v>
      </c>
      <c r="B1695" s="221"/>
      <c r="C1695" s="221"/>
      <c r="D1695" s="316"/>
      <c r="E1695" s="316"/>
      <c r="F1695" s="222">
        <v>25839.23</v>
      </c>
      <c r="G1695" s="222">
        <v>21793.989999999998</v>
      </c>
      <c r="H1695" s="239">
        <v>22020.74</v>
      </c>
      <c r="I1695" s="238"/>
    </row>
    <row r="1696" spans="1:9" s="62" customFormat="1" x14ac:dyDescent="0.2">
      <c r="A1696" s="60" t="s">
        <v>7262</v>
      </c>
      <c r="B1696" s="60"/>
      <c r="C1696" s="60"/>
      <c r="D1696" s="275"/>
      <c r="E1696" s="275"/>
      <c r="F1696" s="61"/>
      <c r="G1696" s="61"/>
      <c r="H1696" s="60"/>
    </row>
  </sheetData>
  <autoFilter ref="A1:I1696" xr:uid="{00000000-0009-0000-0000-000002000000}"/>
  <conditionalFormatting sqref="A89:A118 A3:A36 A38:A87">
    <cfRule type="duplicateValues" dxfId="111" priority="11" stopIfTrue="1"/>
  </conditionalFormatting>
  <conditionalFormatting sqref="A88">
    <cfRule type="duplicateValues" dxfId="110" priority="10" stopIfTrue="1"/>
  </conditionalFormatting>
  <conditionalFormatting sqref="A121:A348">
    <cfRule type="duplicateValues" dxfId="109" priority="9" stopIfTrue="1"/>
  </conditionalFormatting>
  <conditionalFormatting sqref="A351:A446">
    <cfRule type="duplicateValues" dxfId="108" priority="8" stopIfTrue="1"/>
  </conditionalFormatting>
  <conditionalFormatting sqref="A525:A627">
    <cfRule type="duplicateValues" dxfId="107" priority="7" stopIfTrue="1"/>
  </conditionalFormatting>
  <conditionalFormatting sqref="A687">
    <cfRule type="duplicateValues" dxfId="106" priority="6" stopIfTrue="1"/>
  </conditionalFormatting>
  <conditionalFormatting sqref="E813:F813">
    <cfRule type="cellIs" dxfId="105" priority="2" stopIfTrue="1" operator="equal">
      <formula>0</formula>
    </cfRule>
  </conditionalFormatting>
  <conditionalFormatting sqref="E810:F810 F811:F923">
    <cfRule type="cellIs" dxfId="104" priority="4" stopIfTrue="1" operator="equal">
      <formula>0</formula>
    </cfRule>
  </conditionalFormatting>
  <conditionalFormatting sqref="E812:F812">
    <cfRule type="cellIs" dxfId="103" priority="3" stopIfTrue="1" operator="equal">
      <formula>0</formula>
    </cfRule>
  </conditionalFormatting>
  <conditionalFormatting sqref="A37">
    <cfRule type="duplicateValues" dxfId="102" priority="1" stopIfTrue="1"/>
  </conditionalFormatting>
  <pageMargins left="0.7" right="0.7" top="0.75" bottom="0.75" header="0.3" footer="0.3"/>
  <legacy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249977111117893"/>
    <pageSetUpPr fitToPage="1"/>
  </sheetPr>
  <dimension ref="A1:T68"/>
  <sheetViews>
    <sheetView zoomScaleNormal="100" workbookViewId="0">
      <pane ySplit="2" topLeftCell="A3" activePane="bottomLeft" state="frozen"/>
      <selection pane="bottomLeft" activeCell="O1" sqref="O1:O1048576"/>
    </sheetView>
  </sheetViews>
  <sheetFormatPr defaultRowHeight="15" outlineLevelCol="1" x14ac:dyDescent="0.2"/>
  <cols>
    <col min="1" max="1" width="20" style="238" customWidth="1"/>
    <col min="2" max="2" width="40.7109375" style="238" bestFit="1" customWidth="1"/>
    <col min="3" max="3" width="43.7109375" style="238" customWidth="1"/>
    <col min="4" max="4" width="19" style="481" hidden="1" customWidth="1" outlineLevel="1"/>
    <col min="5" max="5" width="18.7109375" style="355" hidden="1" customWidth="1" outlineLevel="1"/>
    <col min="6" max="6" width="16.140625" style="240" hidden="1" customWidth="1" outlineLevel="1"/>
    <col min="7" max="7" width="16.140625" style="553" hidden="1" customWidth="1" collapsed="1"/>
    <col min="8" max="8" width="16.140625" style="553" hidden="1" customWidth="1"/>
    <col min="9" max="9" width="14.28515625" style="240" hidden="1" customWidth="1"/>
    <col min="10" max="10" width="17.28515625" style="642" hidden="1" customWidth="1"/>
    <col min="11" max="11" width="12.85546875" style="238" bestFit="1" customWidth="1"/>
    <col min="12" max="12" width="16" style="238" bestFit="1" customWidth="1"/>
    <col min="13" max="13" width="20" style="238" bestFit="1" customWidth="1"/>
    <col min="14" max="14" width="12.85546875" style="238" bestFit="1" customWidth="1"/>
    <col min="15" max="15" width="12.85546875" style="554" hidden="1" customWidth="1"/>
    <col min="16" max="18" width="12.85546875" style="238" bestFit="1" customWidth="1"/>
    <col min="19" max="19" width="14.28515625" style="238" bestFit="1" customWidth="1"/>
    <col min="20" max="253" width="9.140625" style="238"/>
    <col min="254" max="254" width="13.7109375" style="238" bestFit="1" customWidth="1"/>
    <col min="255" max="255" width="40.7109375" style="238" bestFit="1" customWidth="1"/>
    <col min="256" max="256" width="43.7109375" style="238" customWidth="1"/>
    <col min="257" max="258" width="0" style="238" hidden="1" customWidth="1"/>
    <col min="259" max="259" width="16.140625" style="238" bestFit="1" customWidth="1"/>
    <col min="260" max="260" width="14.28515625" style="238" bestFit="1" customWidth="1"/>
    <col min="261" max="261" width="10.140625" style="238" bestFit="1" customWidth="1"/>
    <col min="262" max="509" width="9.140625" style="238"/>
    <col min="510" max="510" width="13.7109375" style="238" bestFit="1" customWidth="1"/>
    <col min="511" max="511" width="40.7109375" style="238" bestFit="1" customWidth="1"/>
    <col min="512" max="512" width="43.7109375" style="238" customWidth="1"/>
    <col min="513" max="514" width="0" style="238" hidden="1" customWidth="1"/>
    <col min="515" max="515" width="16.140625" style="238" bestFit="1" customWidth="1"/>
    <col min="516" max="516" width="14.28515625" style="238" bestFit="1" customWidth="1"/>
    <col min="517" max="517" width="10.140625" style="238" bestFit="1" customWidth="1"/>
    <col min="518" max="765" width="9.140625" style="238"/>
    <col min="766" max="766" width="13.7109375" style="238" bestFit="1" customWidth="1"/>
    <col min="767" max="767" width="40.7109375" style="238" bestFit="1" customWidth="1"/>
    <col min="768" max="768" width="43.7109375" style="238" customWidth="1"/>
    <col min="769" max="770" width="0" style="238" hidden="1" customWidth="1"/>
    <col min="771" max="771" width="16.140625" style="238" bestFit="1" customWidth="1"/>
    <col min="772" max="772" width="14.28515625" style="238" bestFit="1" customWidth="1"/>
    <col min="773" max="773" width="10.140625" style="238" bestFit="1" customWidth="1"/>
    <col min="774" max="1021" width="9.140625" style="238"/>
    <col min="1022" max="1022" width="13.7109375" style="238" bestFit="1" customWidth="1"/>
    <col min="1023" max="1023" width="40.7109375" style="238" bestFit="1" customWidth="1"/>
    <col min="1024" max="1024" width="43.7109375" style="238" customWidth="1"/>
    <col min="1025" max="1026" width="0" style="238" hidden="1" customWidth="1"/>
    <col min="1027" max="1027" width="16.140625" style="238" bestFit="1" customWidth="1"/>
    <col min="1028" max="1028" width="14.28515625" style="238" bestFit="1" customWidth="1"/>
    <col min="1029" max="1029" width="10.140625" style="238" bestFit="1" customWidth="1"/>
    <col min="1030" max="1277" width="9.140625" style="238"/>
    <col min="1278" max="1278" width="13.7109375" style="238" bestFit="1" customWidth="1"/>
    <col min="1279" max="1279" width="40.7109375" style="238" bestFit="1" customWidth="1"/>
    <col min="1280" max="1280" width="43.7109375" style="238" customWidth="1"/>
    <col min="1281" max="1282" width="0" style="238" hidden="1" customWidth="1"/>
    <col min="1283" max="1283" width="16.140625" style="238" bestFit="1" customWidth="1"/>
    <col min="1284" max="1284" width="14.28515625" style="238" bestFit="1" customWidth="1"/>
    <col min="1285" max="1285" width="10.140625" style="238" bestFit="1" customWidth="1"/>
    <col min="1286" max="1533" width="9.140625" style="238"/>
    <col min="1534" max="1534" width="13.7109375" style="238" bestFit="1" customWidth="1"/>
    <col min="1535" max="1535" width="40.7109375" style="238" bestFit="1" customWidth="1"/>
    <col min="1536" max="1536" width="43.7109375" style="238" customWidth="1"/>
    <col min="1537" max="1538" width="0" style="238" hidden="1" customWidth="1"/>
    <col min="1539" max="1539" width="16.140625" style="238" bestFit="1" customWidth="1"/>
    <col min="1540" max="1540" width="14.28515625" style="238" bestFit="1" customWidth="1"/>
    <col min="1541" max="1541" width="10.140625" style="238" bestFit="1" customWidth="1"/>
    <col min="1542" max="1789" width="9.140625" style="238"/>
    <col min="1790" max="1790" width="13.7109375" style="238" bestFit="1" customWidth="1"/>
    <col min="1791" max="1791" width="40.7109375" style="238" bestFit="1" customWidth="1"/>
    <col min="1792" max="1792" width="43.7109375" style="238" customWidth="1"/>
    <col min="1793" max="1794" width="0" style="238" hidden="1" customWidth="1"/>
    <col min="1795" max="1795" width="16.140625" style="238" bestFit="1" customWidth="1"/>
    <col min="1796" max="1796" width="14.28515625" style="238" bestFit="1" customWidth="1"/>
    <col min="1797" max="1797" width="10.140625" style="238" bestFit="1" customWidth="1"/>
    <col min="1798" max="2045" width="9.140625" style="238"/>
    <col min="2046" max="2046" width="13.7109375" style="238" bestFit="1" customWidth="1"/>
    <col min="2047" max="2047" width="40.7109375" style="238" bestFit="1" customWidth="1"/>
    <col min="2048" max="2048" width="43.7109375" style="238" customWidth="1"/>
    <col min="2049" max="2050" width="0" style="238" hidden="1" customWidth="1"/>
    <col min="2051" max="2051" width="16.140625" style="238" bestFit="1" customWidth="1"/>
    <col min="2052" max="2052" width="14.28515625" style="238" bestFit="1" customWidth="1"/>
    <col min="2053" max="2053" width="10.140625" style="238" bestFit="1" customWidth="1"/>
    <col min="2054" max="2301" width="9.140625" style="238"/>
    <col min="2302" max="2302" width="13.7109375" style="238" bestFit="1" customWidth="1"/>
    <col min="2303" max="2303" width="40.7109375" style="238" bestFit="1" customWidth="1"/>
    <col min="2304" max="2304" width="43.7109375" style="238" customWidth="1"/>
    <col min="2305" max="2306" width="0" style="238" hidden="1" customWidth="1"/>
    <col min="2307" max="2307" width="16.140625" style="238" bestFit="1" customWidth="1"/>
    <col min="2308" max="2308" width="14.28515625" style="238" bestFit="1" customWidth="1"/>
    <col min="2309" max="2309" width="10.140625" style="238" bestFit="1" customWidth="1"/>
    <col min="2310" max="2557" width="9.140625" style="238"/>
    <col min="2558" max="2558" width="13.7109375" style="238" bestFit="1" customWidth="1"/>
    <col min="2559" max="2559" width="40.7109375" style="238" bestFit="1" customWidth="1"/>
    <col min="2560" max="2560" width="43.7109375" style="238" customWidth="1"/>
    <col min="2561" max="2562" width="0" style="238" hidden="1" customWidth="1"/>
    <col min="2563" max="2563" width="16.140625" style="238" bestFit="1" customWidth="1"/>
    <col min="2564" max="2564" width="14.28515625" style="238" bestFit="1" customWidth="1"/>
    <col min="2565" max="2565" width="10.140625" style="238" bestFit="1" customWidth="1"/>
    <col min="2566" max="2813" width="9.140625" style="238"/>
    <col min="2814" max="2814" width="13.7109375" style="238" bestFit="1" customWidth="1"/>
    <col min="2815" max="2815" width="40.7109375" style="238" bestFit="1" customWidth="1"/>
    <col min="2816" max="2816" width="43.7109375" style="238" customWidth="1"/>
    <col min="2817" max="2818" width="0" style="238" hidden="1" customWidth="1"/>
    <col min="2819" max="2819" width="16.140625" style="238" bestFit="1" customWidth="1"/>
    <col min="2820" max="2820" width="14.28515625" style="238" bestFit="1" customWidth="1"/>
    <col min="2821" max="2821" width="10.140625" style="238" bestFit="1" customWidth="1"/>
    <col min="2822" max="3069" width="9.140625" style="238"/>
    <col min="3070" max="3070" width="13.7109375" style="238" bestFit="1" customWidth="1"/>
    <col min="3071" max="3071" width="40.7109375" style="238" bestFit="1" customWidth="1"/>
    <col min="3072" max="3072" width="43.7109375" style="238" customWidth="1"/>
    <col min="3073" max="3074" width="0" style="238" hidden="1" customWidth="1"/>
    <col min="3075" max="3075" width="16.140625" style="238" bestFit="1" customWidth="1"/>
    <col min="3076" max="3076" width="14.28515625" style="238" bestFit="1" customWidth="1"/>
    <col min="3077" max="3077" width="10.140625" style="238" bestFit="1" customWidth="1"/>
    <col min="3078" max="3325" width="9.140625" style="238"/>
    <col min="3326" max="3326" width="13.7109375" style="238" bestFit="1" customWidth="1"/>
    <col min="3327" max="3327" width="40.7109375" style="238" bestFit="1" customWidth="1"/>
    <col min="3328" max="3328" width="43.7109375" style="238" customWidth="1"/>
    <col min="3329" max="3330" width="0" style="238" hidden="1" customWidth="1"/>
    <col min="3331" max="3331" width="16.140625" style="238" bestFit="1" customWidth="1"/>
    <col min="3332" max="3332" width="14.28515625" style="238" bestFit="1" customWidth="1"/>
    <col min="3333" max="3333" width="10.140625" style="238" bestFit="1" customWidth="1"/>
    <col min="3334" max="3581" width="9.140625" style="238"/>
    <col min="3582" max="3582" width="13.7109375" style="238" bestFit="1" customWidth="1"/>
    <col min="3583" max="3583" width="40.7109375" style="238" bestFit="1" customWidth="1"/>
    <col min="3584" max="3584" width="43.7109375" style="238" customWidth="1"/>
    <col min="3585" max="3586" width="0" style="238" hidden="1" customWidth="1"/>
    <col min="3587" max="3587" width="16.140625" style="238" bestFit="1" customWidth="1"/>
    <col min="3588" max="3588" width="14.28515625" style="238" bestFit="1" customWidth="1"/>
    <col min="3589" max="3589" width="10.140625" style="238" bestFit="1" customWidth="1"/>
    <col min="3590" max="3837" width="9.140625" style="238"/>
    <col min="3838" max="3838" width="13.7109375" style="238" bestFit="1" customWidth="1"/>
    <col min="3839" max="3839" width="40.7109375" style="238" bestFit="1" customWidth="1"/>
    <col min="3840" max="3840" width="43.7109375" style="238" customWidth="1"/>
    <col min="3841" max="3842" width="0" style="238" hidden="1" customWidth="1"/>
    <col min="3843" max="3843" width="16.140625" style="238" bestFit="1" customWidth="1"/>
    <col min="3844" max="3844" width="14.28515625" style="238" bestFit="1" customWidth="1"/>
    <col min="3845" max="3845" width="10.140625" style="238" bestFit="1" customWidth="1"/>
    <col min="3846" max="4093" width="9.140625" style="238"/>
    <col min="4094" max="4094" width="13.7109375" style="238" bestFit="1" customWidth="1"/>
    <col min="4095" max="4095" width="40.7109375" style="238" bestFit="1" customWidth="1"/>
    <col min="4096" max="4096" width="43.7109375" style="238" customWidth="1"/>
    <col min="4097" max="4098" width="0" style="238" hidden="1" customWidth="1"/>
    <col min="4099" max="4099" width="16.140625" style="238" bestFit="1" customWidth="1"/>
    <col min="4100" max="4100" width="14.28515625" style="238" bestFit="1" customWidth="1"/>
    <col min="4101" max="4101" width="10.140625" style="238" bestFit="1" customWidth="1"/>
    <col min="4102" max="4349" width="9.140625" style="238"/>
    <col min="4350" max="4350" width="13.7109375" style="238" bestFit="1" customWidth="1"/>
    <col min="4351" max="4351" width="40.7109375" style="238" bestFit="1" customWidth="1"/>
    <col min="4352" max="4352" width="43.7109375" style="238" customWidth="1"/>
    <col min="4353" max="4354" width="0" style="238" hidden="1" customWidth="1"/>
    <col min="4355" max="4355" width="16.140625" style="238" bestFit="1" customWidth="1"/>
    <col min="4356" max="4356" width="14.28515625" style="238" bestFit="1" customWidth="1"/>
    <col min="4357" max="4357" width="10.140625" style="238" bestFit="1" customWidth="1"/>
    <col min="4358" max="4605" width="9.140625" style="238"/>
    <col min="4606" max="4606" width="13.7109375" style="238" bestFit="1" customWidth="1"/>
    <col min="4607" max="4607" width="40.7109375" style="238" bestFit="1" customWidth="1"/>
    <col min="4608" max="4608" width="43.7109375" style="238" customWidth="1"/>
    <col min="4609" max="4610" width="0" style="238" hidden="1" customWidth="1"/>
    <col min="4611" max="4611" width="16.140625" style="238" bestFit="1" customWidth="1"/>
    <col min="4612" max="4612" width="14.28515625" style="238" bestFit="1" customWidth="1"/>
    <col min="4613" max="4613" width="10.140625" style="238" bestFit="1" customWidth="1"/>
    <col min="4614" max="4861" width="9.140625" style="238"/>
    <col min="4862" max="4862" width="13.7109375" style="238" bestFit="1" customWidth="1"/>
    <col min="4863" max="4863" width="40.7109375" style="238" bestFit="1" customWidth="1"/>
    <col min="4864" max="4864" width="43.7109375" style="238" customWidth="1"/>
    <col min="4865" max="4866" width="0" style="238" hidden="1" customWidth="1"/>
    <col min="4867" max="4867" width="16.140625" style="238" bestFit="1" customWidth="1"/>
    <col min="4868" max="4868" width="14.28515625" style="238" bestFit="1" customWidth="1"/>
    <col min="4869" max="4869" width="10.140625" style="238" bestFit="1" customWidth="1"/>
    <col min="4870" max="5117" width="9.140625" style="238"/>
    <col min="5118" max="5118" width="13.7109375" style="238" bestFit="1" customWidth="1"/>
    <col min="5119" max="5119" width="40.7109375" style="238" bestFit="1" customWidth="1"/>
    <col min="5120" max="5120" width="43.7109375" style="238" customWidth="1"/>
    <col min="5121" max="5122" width="0" style="238" hidden="1" customWidth="1"/>
    <col min="5123" max="5123" width="16.140625" style="238" bestFit="1" customWidth="1"/>
    <col min="5124" max="5124" width="14.28515625" style="238" bestFit="1" customWidth="1"/>
    <col min="5125" max="5125" width="10.140625" style="238" bestFit="1" customWidth="1"/>
    <col min="5126" max="5373" width="9.140625" style="238"/>
    <col min="5374" max="5374" width="13.7109375" style="238" bestFit="1" customWidth="1"/>
    <col min="5375" max="5375" width="40.7109375" style="238" bestFit="1" customWidth="1"/>
    <col min="5376" max="5376" width="43.7109375" style="238" customWidth="1"/>
    <col min="5377" max="5378" width="0" style="238" hidden="1" customWidth="1"/>
    <col min="5379" max="5379" width="16.140625" style="238" bestFit="1" customWidth="1"/>
    <col min="5380" max="5380" width="14.28515625" style="238" bestFit="1" customWidth="1"/>
    <col min="5381" max="5381" width="10.140625" style="238" bestFit="1" customWidth="1"/>
    <col min="5382" max="5629" width="9.140625" style="238"/>
    <col min="5630" max="5630" width="13.7109375" style="238" bestFit="1" customWidth="1"/>
    <col min="5631" max="5631" width="40.7109375" style="238" bestFit="1" customWidth="1"/>
    <col min="5632" max="5632" width="43.7109375" style="238" customWidth="1"/>
    <col min="5633" max="5634" width="0" style="238" hidden="1" customWidth="1"/>
    <col min="5635" max="5635" width="16.140625" style="238" bestFit="1" customWidth="1"/>
    <col min="5636" max="5636" width="14.28515625" style="238" bestFit="1" customWidth="1"/>
    <col min="5637" max="5637" width="10.140625" style="238" bestFit="1" customWidth="1"/>
    <col min="5638" max="5885" width="9.140625" style="238"/>
    <col min="5886" max="5886" width="13.7109375" style="238" bestFit="1" customWidth="1"/>
    <col min="5887" max="5887" width="40.7109375" style="238" bestFit="1" customWidth="1"/>
    <col min="5888" max="5888" width="43.7109375" style="238" customWidth="1"/>
    <col min="5889" max="5890" width="0" style="238" hidden="1" customWidth="1"/>
    <col min="5891" max="5891" width="16.140625" style="238" bestFit="1" customWidth="1"/>
    <col min="5892" max="5892" width="14.28515625" style="238" bestFit="1" customWidth="1"/>
    <col min="5893" max="5893" width="10.140625" style="238" bestFit="1" customWidth="1"/>
    <col min="5894" max="6141" width="9.140625" style="238"/>
    <col min="6142" max="6142" width="13.7109375" style="238" bestFit="1" customWidth="1"/>
    <col min="6143" max="6143" width="40.7109375" style="238" bestFit="1" customWidth="1"/>
    <col min="6144" max="6144" width="43.7109375" style="238" customWidth="1"/>
    <col min="6145" max="6146" width="0" style="238" hidden="1" customWidth="1"/>
    <col min="6147" max="6147" width="16.140625" style="238" bestFit="1" customWidth="1"/>
    <col min="6148" max="6148" width="14.28515625" style="238" bestFit="1" customWidth="1"/>
    <col min="6149" max="6149" width="10.140625" style="238" bestFit="1" customWidth="1"/>
    <col min="6150" max="6397" width="9.140625" style="238"/>
    <col min="6398" max="6398" width="13.7109375" style="238" bestFit="1" customWidth="1"/>
    <col min="6399" max="6399" width="40.7109375" style="238" bestFit="1" customWidth="1"/>
    <col min="6400" max="6400" width="43.7109375" style="238" customWidth="1"/>
    <col min="6401" max="6402" width="0" style="238" hidden="1" customWidth="1"/>
    <col min="6403" max="6403" width="16.140625" style="238" bestFit="1" customWidth="1"/>
    <col min="6404" max="6404" width="14.28515625" style="238" bestFit="1" customWidth="1"/>
    <col min="6405" max="6405" width="10.140625" style="238" bestFit="1" customWidth="1"/>
    <col min="6406" max="6653" width="9.140625" style="238"/>
    <col min="6654" max="6654" width="13.7109375" style="238" bestFit="1" customWidth="1"/>
    <col min="6655" max="6655" width="40.7109375" style="238" bestFit="1" customWidth="1"/>
    <col min="6656" max="6656" width="43.7109375" style="238" customWidth="1"/>
    <col min="6657" max="6658" width="0" style="238" hidden="1" customWidth="1"/>
    <col min="6659" max="6659" width="16.140625" style="238" bestFit="1" customWidth="1"/>
    <col min="6660" max="6660" width="14.28515625" style="238" bestFit="1" customWidth="1"/>
    <col min="6661" max="6661" width="10.140625" style="238" bestFit="1" customWidth="1"/>
    <col min="6662" max="6909" width="9.140625" style="238"/>
    <col min="6910" max="6910" width="13.7109375" style="238" bestFit="1" customWidth="1"/>
    <col min="6911" max="6911" width="40.7109375" style="238" bestFit="1" customWidth="1"/>
    <col min="6912" max="6912" width="43.7109375" style="238" customWidth="1"/>
    <col min="6913" max="6914" width="0" style="238" hidden="1" customWidth="1"/>
    <col min="6915" max="6915" width="16.140625" style="238" bestFit="1" customWidth="1"/>
    <col min="6916" max="6916" width="14.28515625" style="238" bestFit="1" customWidth="1"/>
    <col min="6917" max="6917" width="10.140625" style="238" bestFit="1" customWidth="1"/>
    <col min="6918" max="7165" width="9.140625" style="238"/>
    <col min="7166" max="7166" width="13.7109375" style="238" bestFit="1" customWidth="1"/>
    <col min="7167" max="7167" width="40.7109375" style="238" bestFit="1" customWidth="1"/>
    <col min="7168" max="7168" width="43.7109375" style="238" customWidth="1"/>
    <col min="7169" max="7170" width="0" style="238" hidden="1" customWidth="1"/>
    <col min="7171" max="7171" width="16.140625" style="238" bestFit="1" customWidth="1"/>
    <col min="7172" max="7172" width="14.28515625" style="238" bestFit="1" customWidth="1"/>
    <col min="7173" max="7173" width="10.140625" style="238" bestFit="1" customWidth="1"/>
    <col min="7174" max="7421" width="9.140625" style="238"/>
    <col min="7422" max="7422" width="13.7109375" style="238" bestFit="1" customWidth="1"/>
    <col min="7423" max="7423" width="40.7109375" style="238" bestFit="1" customWidth="1"/>
    <col min="7424" max="7424" width="43.7109375" style="238" customWidth="1"/>
    <col min="7425" max="7426" width="0" style="238" hidden="1" customWidth="1"/>
    <col min="7427" max="7427" width="16.140625" style="238" bestFit="1" customWidth="1"/>
    <col min="7428" max="7428" width="14.28515625" style="238" bestFit="1" customWidth="1"/>
    <col min="7429" max="7429" width="10.140625" style="238" bestFit="1" customWidth="1"/>
    <col min="7430" max="7677" width="9.140625" style="238"/>
    <col min="7678" max="7678" width="13.7109375" style="238" bestFit="1" customWidth="1"/>
    <col min="7679" max="7679" width="40.7109375" style="238" bestFit="1" customWidth="1"/>
    <col min="7680" max="7680" width="43.7109375" style="238" customWidth="1"/>
    <col min="7681" max="7682" width="0" style="238" hidden="1" customWidth="1"/>
    <col min="7683" max="7683" width="16.140625" style="238" bestFit="1" customWidth="1"/>
    <col min="7684" max="7684" width="14.28515625" style="238" bestFit="1" customWidth="1"/>
    <col min="7685" max="7685" width="10.140625" style="238" bestFit="1" customWidth="1"/>
    <col min="7686" max="7933" width="9.140625" style="238"/>
    <col min="7934" max="7934" width="13.7109375" style="238" bestFit="1" customWidth="1"/>
    <col min="7935" max="7935" width="40.7109375" style="238" bestFit="1" customWidth="1"/>
    <col min="7936" max="7936" width="43.7109375" style="238" customWidth="1"/>
    <col min="7937" max="7938" width="0" style="238" hidden="1" customWidth="1"/>
    <col min="7939" max="7939" width="16.140625" style="238" bestFit="1" customWidth="1"/>
    <col min="7940" max="7940" width="14.28515625" style="238" bestFit="1" customWidth="1"/>
    <col min="7941" max="7941" width="10.140625" style="238" bestFit="1" customWidth="1"/>
    <col min="7942" max="8189" width="9.140625" style="238"/>
    <col min="8190" max="8190" width="13.7109375" style="238" bestFit="1" customWidth="1"/>
    <col min="8191" max="8191" width="40.7109375" style="238" bestFit="1" customWidth="1"/>
    <col min="8192" max="8192" width="43.7109375" style="238" customWidth="1"/>
    <col min="8193" max="8194" width="0" style="238" hidden="1" customWidth="1"/>
    <col min="8195" max="8195" width="16.140625" style="238" bestFit="1" customWidth="1"/>
    <col min="8196" max="8196" width="14.28515625" style="238" bestFit="1" customWidth="1"/>
    <col min="8197" max="8197" width="10.140625" style="238" bestFit="1" customWidth="1"/>
    <col min="8198" max="8445" width="9.140625" style="238"/>
    <col min="8446" max="8446" width="13.7109375" style="238" bestFit="1" customWidth="1"/>
    <col min="8447" max="8447" width="40.7109375" style="238" bestFit="1" customWidth="1"/>
    <col min="8448" max="8448" width="43.7109375" style="238" customWidth="1"/>
    <col min="8449" max="8450" width="0" style="238" hidden="1" customWidth="1"/>
    <col min="8451" max="8451" width="16.140625" style="238" bestFit="1" customWidth="1"/>
    <col min="8452" max="8452" width="14.28515625" style="238" bestFit="1" customWidth="1"/>
    <col min="8453" max="8453" width="10.140625" style="238" bestFit="1" customWidth="1"/>
    <col min="8454" max="8701" width="9.140625" style="238"/>
    <col min="8702" max="8702" width="13.7109375" style="238" bestFit="1" customWidth="1"/>
    <col min="8703" max="8703" width="40.7109375" style="238" bestFit="1" customWidth="1"/>
    <col min="8704" max="8704" width="43.7109375" style="238" customWidth="1"/>
    <col min="8705" max="8706" width="0" style="238" hidden="1" customWidth="1"/>
    <col min="8707" max="8707" width="16.140625" style="238" bestFit="1" customWidth="1"/>
    <col min="8708" max="8708" width="14.28515625" style="238" bestFit="1" customWidth="1"/>
    <col min="8709" max="8709" width="10.140625" style="238" bestFit="1" customWidth="1"/>
    <col min="8710" max="8957" width="9.140625" style="238"/>
    <col min="8958" max="8958" width="13.7109375" style="238" bestFit="1" customWidth="1"/>
    <col min="8959" max="8959" width="40.7109375" style="238" bestFit="1" customWidth="1"/>
    <col min="8960" max="8960" width="43.7109375" style="238" customWidth="1"/>
    <col min="8961" max="8962" width="0" style="238" hidden="1" customWidth="1"/>
    <col min="8963" max="8963" width="16.140625" style="238" bestFit="1" customWidth="1"/>
    <col min="8964" max="8964" width="14.28515625" style="238" bestFit="1" customWidth="1"/>
    <col min="8965" max="8965" width="10.140625" style="238" bestFit="1" customWidth="1"/>
    <col min="8966" max="9213" width="9.140625" style="238"/>
    <col min="9214" max="9214" width="13.7109375" style="238" bestFit="1" customWidth="1"/>
    <col min="9215" max="9215" width="40.7109375" style="238" bestFit="1" customWidth="1"/>
    <col min="9216" max="9216" width="43.7109375" style="238" customWidth="1"/>
    <col min="9217" max="9218" width="0" style="238" hidden="1" customWidth="1"/>
    <col min="9219" max="9219" width="16.140625" style="238" bestFit="1" customWidth="1"/>
    <col min="9220" max="9220" width="14.28515625" style="238" bestFit="1" customWidth="1"/>
    <col min="9221" max="9221" width="10.140625" style="238" bestFit="1" customWidth="1"/>
    <col min="9222" max="9469" width="9.140625" style="238"/>
    <col min="9470" max="9470" width="13.7109375" style="238" bestFit="1" customWidth="1"/>
    <col min="9471" max="9471" width="40.7109375" style="238" bestFit="1" customWidth="1"/>
    <col min="9472" max="9472" width="43.7109375" style="238" customWidth="1"/>
    <col min="9473" max="9474" width="0" style="238" hidden="1" customWidth="1"/>
    <col min="9475" max="9475" width="16.140625" style="238" bestFit="1" customWidth="1"/>
    <col min="9476" max="9476" width="14.28515625" style="238" bestFit="1" customWidth="1"/>
    <col min="9477" max="9477" width="10.140625" style="238" bestFit="1" customWidth="1"/>
    <col min="9478" max="9725" width="9.140625" style="238"/>
    <col min="9726" max="9726" width="13.7109375" style="238" bestFit="1" customWidth="1"/>
    <col min="9727" max="9727" width="40.7109375" style="238" bestFit="1" customWidth="1"/>
    <col min="9728" max="9728" width="43.7109375" style="238" customWidth="1"/>
    <col min="9729" max="9730" width="0" style="238" hidden="1" customWidth="1"/>
    <col min="9731" max="9731" width="16.140625" style="238" bestFit="1" customWidth="1"/>
    <col min="9732" max="9732" width="14.28515625" style="238" bestFit="1" customWidth="1"/>
    <col min="9733" max="9733" width="10.140625" style="238" bestFit="1" customWidth="1"/>
    <col min="9734" max="9981" width="9.140625" style="238"/>
    <col min="9982" max="9982" width="13.7109375" style="238" bestFit="1" customWidth="1"/>
    <col min="9983" max="9983" width="40.7109375" style="238" bestFit="1" customWidth="1"/>
    <col min="9984" max="9984" width="43.7109375" style="238" customWidth="1"/>
    <col min="9985" max="9986" width="0" style="238" hidden="1" customWidth="1"/>
    <col min="9987" max="9987" width="16.140625" style="238" bestFit="1" customWidth="1"/>
    <col min="9988" max="9988" width="14.28515625" style="238" bestFit="1" customWidth="1"/>
    <col min="9989" max="9989" width="10.140625" style="238" bestFit="1" customWidth="1"/>
    <col min="9990" max="10237" width="9.140625" style="238"/>
    <col min="10238" max="10238" width="13.7109375" style="238" bestFit="1" customWidth="1"/>
    <col min="10239" max="10239" width="40.7109375" style="238" bestFit="1" customWidth="1"/>
    <col min="10240" max="10240" width="43.7109375" style="238" customWidth="1"/>
    <col min="10241" max="10242" width="0" style="238" hidden="1" customWidth="1"/>
    <col min="10243" max="10243" width="16.140625" style="238" bestFit="1" customWidth="1"/>
    <col min="10244" max="10244" width="14.28515625" style="238" bestFit="1" customWidth="1"/>
    <col min="10245" max="10245" width="10.140625" style="238" bestFit="1" customWidth="1"/>
    <col min="10246" max="10493" width="9.140625" style="238"/>
    <col min="10494" max="10494" width="13.7109375" style="238" bestFit="1" customWidth="1"/>
    <col min="10495" max="10495" width="40.7109375" style="238" bestFit="1" customWidth="1"/>
    <col min="10496" max="10496" width="43.7109375" style="238" customWidth="1"/>
    <col min="10497" max="10498" width="0" style="238" hidden="1" customWidth="1"/>
    <col min="10499" max="10499" width="16.140625" style="238" bestFit="1" customWidth="1"/>
    <col min="10500" max="10500" width="14.28515625" style="238" bestFit="1" customWidth="1"/>
    <col min="10501" max="10501" width="10.140625" style="238" bestFit="1" customWidth="1"/>
    <col min="10502" max="10749" width="9.140625" style="238"/>
    <col min="10750" max="10750" width="13.7109375" style="238" bestFit="1" customWidth="1"/>
    <col min="10751" max="10751" width="40.7109375" style="238" bestFit="1" customWidth="1"/>
    <col min="10752" max="10752" width="43.7109375" style="238" customWidth="1"/>
    <col min="10753" max="10754" width="0" style="238" hidden="1" customWidth="1"/>
    <col min="10755" max="10755" width="16.140625" style="238" bestFit="1" customWidth="1"/>
    <col min="10756" max="10756" width="14.28515625" style="238" bestFit="1" customWidth="1"/>
    <col min="10757" max="10757" width="10.140625" style="238" bestFit="1" customWidth="1"/>
    <col min="10758" max="11005" width="9.140625" style="238"/>
    <col min="11006" max="11006" width="13.7109375" style="238" bestFit="1" customWidth="1"/>
    <col min="11007" max="11007" width="40.7109375" style="238" bestFit="1" customWidth="1"/>
    <col min="11008" max="11008" width="43.7109375" style="238" customWidth="1"/>
    <col min="11009" max="11010" width="0" style="238" hidden="1" customWidth="1"/>
    <col min="11011" max="11011" width="16.140625" style="238" bestFit="1" customWidth="1"/>
    <col min="11012" max="11012" width="14.28515625" style="238" bestFit="1" customWidth="1"/>
    <col min="11013" max="11013" width="10.140625" style="238" bestFit="1" customWidth="1"/>
    <col min="11014" max="11261" width="9.140625" style="238"/>
    <col min="11262" max="11262" width="13.7109375" style="238" bestFit="1" customWidth="1"/>
    <col min="11263" max="11263" width="40.7109375" style="238" bestFit="1" customWidth="1"/>
    <col min="11264" max="11264" width="43.7109375" style="238" customWidth="1"/>
    <col min="11265" max="11266" width="0" style="238" hidden="1" customWidth="1"/>
    <col min="11267" max="11267" width="16.140625" style="238" bestFit="1" customWidth="1"/>
    <col min="11268" max="11268" width="14.28515625" style="238" bestFit="1" customWidth="1"/>
    <col min="11269" max="11269" width="10.140625" style="238" bestFit="1" customWidth="1"/>
    <col min="11270" max="11517" width="9.140625" style="238"/>
    <col min="11518" max="11518" width="13.7109375" style="238" bestFit="1" customWidth="1"/>
    <col min="11519" max="11519" width="40.7109375" style="238" bestFit="1" customWidth="1"/>
    <col min="11520" max="11520" width="43.7109375" style="238" customWidth="1"/>
    <col min="11521" max="11522" width="0" style="238" hidden="1" customWidth="1"/>
    <col min="11523" max="11523" width="16.140625" style="238" bestFit="1" customWidth="1"/>
    <col min="11524" max="11524" width="14.28515625" style="238" bestFit="1" customWidth="1"/>
    <col min="11525" max="11525" width="10.140625" style="238" bestFit="1" customWidth="1"/>
    <col min="11526" max="11773" width="9.140625" style="238"/>
    <col min="11774" max="11774" width="13.7109375" style="238" bestFit="1" customWidth="1"/>
    <col min="11775" max="11775" width="40.7109375" style="238" bestFit="1" customWidth="1"/>
    <col min="11776" max="11776" width="43.7109375" style="238" customWidth="1"/>
    <col min="11777" max="11778" width="0" style="238" hidden="1" customWidth="1"/>
    <col min="11779" max="11779" width="16.140625" style="238" bestFit="1" customWidth="1"/>
    <col min="11780" max="11780" width="14.28515625" style="238" bestFit="1" customWidth="1"/>
    <col min="11781" max="11781" width="10.140625" style="238" bestFit="1" customWidth="1"/>
    <col min="11782" max="12029" width="9.140625" style="238"/>
    <col min="12030" max="12030" width="13.7109375" style="238" bestFit="1" customWidth="1"/>
    <col min="12031" max="12031" width="40.7109375" style="238" bestFit="1" customWidth="1"/>
    <col min="12032" max="12032" width="43.7109375" style="238" customWidth="1"/>
    <col min="12033" max="12034" width="0" style="238" hidden="1" customWidth="1"/>
    <col min="12035" max="12035" width="16.140625" style="238" bestFit="1" customWidth="1"/>
    <col min="12036" max="12036" width="14.28515625" style="238" bestFit="1" customWidth="1"/>
    <col min="12037" max="12037" width="10.140625" style="238" bestFit="1" customWidth="1"/>
    <col min="12038" max="12285" width="9.140625" style="238"/>
    <col min="12286" max="12286" width="13.7109375" style="238" bestFit="1" customWidth="1"/>
    <col min="12287" max="12287" width="40.7109375" style="238" bestFit="1" customWidth="1"/>
    <col min="12288" max="12288" width="43.7109375" style="238" customWidth="1"/>
    <col min="12289" max="12290" width="0" style="238" hidden="1" customWidth="1"/>
    <col min="12291" max="12291" width="16.140625" style="238" bestFit="1" customWidth="1"/>
    <col min="12292" max="12292" width="14.28515625" style="238" bestFit="1" customWidth="1"/>
    <col min="12293" max="12293" width="10.140625" style="238" bestFit="1" customWidth="1"/>
    <col min="12294" max="12541" width="9.140625" style="238"/>
    <col min="12542" max="12542" width="13.7109375" style="238" bestFit="1" customWidth="1"/>
    <col min="12543" max="12543" width="40.7109375" style="238" bestFit="1" customWidth="1"/>
    <col min="12544" max="12544" width="43.7109375" style="238" customWidth="1"/>
    <col min="12545" max="12546" width="0" style="238" hidden="1" customWidth="1"/>
    <col min="12547" max="12547" width="16.140625" style="238" bestFit="1" customWidth="1"/>
    <col min="12548" max="12548" width="14.28515625" style="238" bestFit="1" customWidth="1"/>
    <col min="12549" max="12549" width="10.140625" style="238" bestFit="1" customWidth="1"/>
    <col min="12550" max="12797" width="9.140625" style="238"/>
    <col min="12798" max="12798" width="13.7109375" style="238" bestFit="1" customWidth="1"/>
    <col min="12799" max="12799" width="40.7109375" style="238" bestFit="1" customWidth="1"/>
    <col min="12800" max="12800" width="43.7109375" style="238" customWidth="1"/>
    <col min="12801" max="12802" width="0" style="238" hidden="1" customWidth="1"/>
    <col min="12803" max="12803" width="16.140625" style="238" bestFit="1" customWidth="1"/>
    <col min="12804" max="12804" width="14.28515625" style="238" bestFit="1" customWidth="1"/>
    <col min="12805" max="12805" width="10.140625" style="238" bestFit="1" customWidth="1"/>
    <col min="12806" max="13053" width="9.140625" style="238"/>
    <col min="13054" max="13054" width="13.7109375" style="238" bestFit="1" customWidth="1"/>
    <col min="13055" max="13055" width="40.7109375" style="238" bestFit="1" customWidth="1"/>
    <col min="13056" max="13056" width="43.7109375" style="238" customWidth="1"/>
    <col min="13057" max="13058" width="0" style="238" hidden="1" customWidth="1"/>
    <col min="13059" max="13059" width="16.140625" style="238" bestFit="1" customWidth="1"/>
    <col min="13060" max="13060" width="14.28515625" style="238" bestFit="1" customWidth="1"/>
    <col min="13061" max="13061" width="10.140625" style="238" bestFit="1" customWidth="1"/>
    <col min="13062" max="13309" width="9.140625" style="238"/>
    <col min="13310" max="13310" width="13.7109375" style="238" bestFit="1" customWidth="1"/>
    <col min="13311" max="13311" width="40.7109375" style="238" bestFit="1" customWidth="1"/>
    <col min="13312" max="13312" width="43.7109375" style="238" customWidth="1"/>
    <col min="13313" max="13314" width="0" style="238" hidden="1" customWidth="1"/>
    <col min="13315" max="13315" width="16.140625" style="238" bestFit="1" customWidth="1"/>
    <col min="13316" max="13316" width="14.28515625" style="238" bestFit="1" customWidth="1"/>
    <col min="13317" max="13317" width="10.140625" style="238" bestFit="1" customWidth="1"/>
    <col min="13318" max="13565" width="9.140625" style="238"/>
    <col min="13566" max="13566" width="13.7109375" style="238" bestFit="1" customWidth="1"/>
    <col min="13567" max="13567" width="40.7109375" style="238" bestFit="1" customWidth="1"/>
    <col min="13568" max="13568" width="43.7109375" style="238" customWidth="1"/>
    <col min="13569" max="13570" width="0" style="238" hidden="1" customWidth="1"/>
    <col min="13571" max="13571" width="16.140625" style="238" bestFit="1" customWidth="1"/>
    <col min="13572" max="13572" width="14.28515625" style="238" bestFit="1" customWidth="1"/>
    <col min="13573" max="13573" width="10.140625" style="238" bestFit="1" customWidth="1"/>
    <col min="13574" max="13821" width="9.140625" style="238"/>
    <col min="13822" max="13822" width="13.7109375" style="238" bestFit="1" customWidth="1"/>
    <col min="13823" max="13823" width="40.7109375" style="238" bestFit="1" customWidth="1"/>
    <col min="13824" max="13824" width="43.7109375" style="238" customWidth="1"/>
    <col min="13825" max="13826" width="0" style="238" hidden="1" customWidth="1"/>
    <col min="13827" max="13827" width="16.140625" style="238" bestFit="1" customWidth="1"/>
    <col min="13828" max="13828" width="14.28515625" style="238" bestFit="1" customWidth="1"/>
    <col min="13829" max="13829" width="10.140625" style="238" bestFit="1" customWidth="1"/>
    <col min="13830" max="14077" width="9.140625" style="238"/>
    <col min="14078" max="14078" width="13.7109375" style="238" bestFit="1" customWidth="1"/>
    <col min="14079" max="14079" width="40.7109375" style="238" bestFit="1" customWidth="1"/>
    <col min="14080" max="14080" width="43.7109375" style="238" customWidth="1"/>
    <col min="14081" max="14082" width="0" style="238" hidden="1" customWidth="1"/>
    <col min="14083" max="14083" width="16.140625" style="238" bestFit="1" customWidth="1"/>
    <col min="14084" max="14084" width="14.28515625" style="238" bestFit="1" customWidth="1"/>
    <col min="14085" max="14085" width="10.140625" style="238" bestFit="1" customWidth="1"/>
    <col min="14086" max="14333" width="9.140625" style="238"/>
    <col min="14334" max="14334" width="13.7109375" style="238" bestFit="1" customWidth="1"/>
    <col min="14335" max="14335" width="40.7109375" style="238" bestFit="1" customWidth="1"/>
    <col min="14336" max="14336" width="43.7109375" style="238" customWidth="1"/>
    <col min="14337" max="14338" width="0" style="238" hidden="1" customWidth="1"/>
    <col min="14339" max="14339" width="16.140625" style="238" bestFit="1" customWidth="1"/>
    <col min="14340" max="14340" width="14.28515625" style="238" bestFit="1" customWidth="1"/>
    <col min="14341" max="14341" width="10.140625" style="238" bestFit="1" customWidth="1"/>
    <col min="14342" max="14589" width="9.140625" style="238"/>
    <col min="14590" max="14590" width="13.7109375" style="238" bestFit="1" customWidth="1"/>
    <col min="14591" max="14591" width="40.7109375" style="238" bestFit="1" customWidth="1"/>
    <col min="14592" max="14592" width="43.7109375" style="238" customWidth="1"/>
    <col min="14593" max="14594" width="0" style="238" hidden="1" customWidth="1"/>
    <col min="14595" max="14595" width="16.140625" style="238" bestFit="1" customWidth="1"/>
    <col min="14596" max="14596" width="14.28515625" style="238" bestFit="1" customWidth="1"/>
    <col min="14597" max="14597" width="10.140625" style="238" bestFit="1" customWidth="1"/>
    <col min="14598" max="14845" width="9.140625" style="238"/>
    <col min="14846" max="14846" width="13.7109375" style="238" bestFit="1" customWidth="1"/>
    <col min="14847" max="14847" width="40.7109375" style="238" bestFit="1" customWidth="1"/>
    <col min="14848" max="14848" width="43.7109375" style="238" customWidth="1"/>
    <col min="14849" max="14850" width="0" style="238" hidden="1" customWidth="1"/>
    <col min="14851" max="14851" width="16.140625" style="238" bestFit="1" customWidth="1"/>
    <col min="14852" max="14852" width="14.28515625" style="238" bestFit="1" customWidth="1"/>
    <col min="14853" max="14853" width="10.140625" style="238" bestFit="1" customWidth="1"/>
    <col min="14854" max="15101" width="9.140625" style="238"/>
    <col min="15102" max="15102" width="13.7109375" style="238" bestFit="1" customWidth="1"/>
    <col min="15103" max="15103" width="40.7109375" style="238" bestFit="1" customWidth="1"/>
    <col min="15104" max="15104" width="43.7109375" style="238" customWidth="1"/>
    <col min="15105" max="15106" width="0" style="238" hidden="1" customWidth="1"/>
    <col min="15107" max="15107" width="16.140625" style="238" bestFit="1" customWidth="1"/>
    <col min="15108" max="15108" width="14.28515625" style="238" bestFit="1" customWidth="1"/>
    <col min="15109" max="15109" width="10.140625" style="238" bestFit="1" customWidth="1"/>
    <col min="15110" max="15357" width="9.140625" style="238"/>
    <col min="15358" max="15358" width="13.7109375" style="238" bestFit="1" customWidth="1"/>
    <col min="15359" max="15359" width="40.7109375" style="238" bestFit="1" customWidth="1"/>
    <col min="15360" max="15360" width="43.7109375" style="238" customWidth="1"/>
    <col min="15361" max="15362" width="0" style="238" hidden="1" customWidth="1"/>
    <col min="15363" max="15363" width="16.140625" style="238" bestFit="1" customWidth="1"/>
    <col min="15364" max="15364" width="14.28515625" style="238" bestFit="1" customWidth="1"/>
    <col min="15365" max="15365" width="10.140625" style="238" bestFit="1" customWidth="1"/>
    <col min="15366" max="15613" width="9.140625" style="238"/>
    <col min="15614" max="15614" width="13.7109375" style="238" bestFit="1" customWidth="1"/>
    <col min="15615" max="15615" width="40.7109375" style="238" bestFit="1" customWidth="1"/>
    <col min="15616" max="15616" width="43.7109375" style="238" customWidth="1"/>
    <col min="15617" max="15618" width="0" style="238" hidden="1" customWidth="1"/>
    <col min="15619" max="15619" width="16.140625" style="238" bestFit="1" customWidth="1"/>
    <col min="15620" max="15620" width="14.28515625" style="238" bestFit="1" customWidth="1"/>
    <col min="15621" max="15621" width="10.140625" style="238" bestFit="1" customWidth="1"/>
    <col min="15622" max="15869" width="9.140625" style="238"/>
    <col min="15870" max="15870" width="13.7109375" style="238" bestFit="1" customWidth="1"/>
    <col min="15871" max="15871" width="40.7109375" style="238" bestFit="1" customWidth="1"/>
    <col min="15872" max="15872" width="43.7109375" style="238" customWidth="1"/>
    <col min="15873" max="15874" width="0" style="238" hidden="1" customWidth="1"/>
    <col min="15875" max="15875" width="16.140625" style="238" bestFit="1" customWidth="1"/>
    <col min="15876" max="15876" width="14.28515625" style="238" bestFit="1" customWidth="1"/>
    <col min="15877" max="15877" width="10.140625" style="238" bestFit="1" customWidth="1"/>
    <col min="15878" max="16125" width="9.140625" style="238"/>
    <col min="16126" max="16126" width="13.7109375" style="238" bestFit="1" customWidth="1"/>
    <col min="16127" max="16127" width="40.7109375" style="238" bestFit="1" customWidth="1"/>
    <col min="16128" max="16128" width="43.7109375" style="238" customWidth="1"/>
    <col min="16129" max="16130" width="0" style="238" hidden="1" customWidth="1"/>
    <col min="16131" max="16131" width="16.140625" style="238" bestFit="1" customWidth="1"/>
    <col min="16132" max="16132" width="14.28515625" style="238" bestFit="1" customWidth="1"/>
    <col min="16133" max="16133" width="10.140625" style="238" bestFit="1" customWidth="1"/>
    <col min="16134" max="16384" width="9.140625" style="238"/>
  </cols>
  <sheetData>
    <row r="1" spans="1:19" s="233" customFormat="1" ht="49.5" customHeight="1" x14ac:dyDescent="0.25">
      <c r="A1" s="841" t="str">
        <f>"Missio and Mill Hill Red Box Parish Results 2020 - Wrexham Diocese"</f>
        <v>Missio and Mill Hill Red Box Parish Results 2020 - Wrexham Diocese</v>
      </c>
      <c r="B1" s="248"/>
      <c r="C1" s="248"/>
      <c r="D1" s="167"/>
      <c r="E1" s="248"/>
      <c r="F1" s="240"/>
      <c r="G1" s="553"/>
      <c r="H1" s="553"/>
      <c r="I1" s="240"/>
      <c r="J1" s="642"/>
      <c r="K1" s="757">
        <v>2020</v>
      </c>
      <c r="L1" s="757">
        <v>2020</v>
      </c>
      <c r="M1" s="757">
        <v>2020</v>
      </c>
      <c r="N1" s="238"/>
      <c r="O1" s="483"/>
      <c r="P1" s="483"/>
      <c r="Q1" s="483"/>
      <c r="R1" s="248"/>
      <c r="S1" s="666"/>
    </row>
    <row r="2" spans="1:19" s="236" customFormat="1" ht="30" customHeight="1" x14ac:dyDescent="0.3">
      <c r="A2" s="622" t="s">
        <v>1</v>
      </c>
      <c r="B2" s="622" t="s">
        <v>2</v>
      </c>
      <c r="C2" s="622" t="s">
        <v>3</v>
      </c>
      <c r="D2" s="622" t="s">
        <v>8214</v>
      </c>
      <c r="E2" s="622" t="s">
        <v>8165</v>
      </c>
      <c r="F2" s="786" t="s">
        <v>7809</v>
      </c>
      <c r="G2" s="786" t="s">
        <v>311</v>
      </c>
      <c r="H2" s="786" t="s">
        <v>312</v>
      </c>
      <c r="I2" s="787" t="s">
        <v>2</v>
      </c>
      <c r="J2" s="786" t="s">
        <v>10989</v>
      </c>
      <c r="K2" s="622" t="s">
        <v>308</v>
      </c>
      <c r="L2" s="622" t="s">
        <v>11319</v>
      </c>
      <c r="M2" s="622" t="s">
        <v>10991</v>
      </c>
      <c r="N2" s="622">
        <v>2020</v>
      </c>
      <c r="O2" s="622">
        <f>ARU!P2</f>
        <v>2019</v>
      </c>
      <c r="P2" s="622">
        <v>2019</v>
      </c>
      <c r="Q2" s="622">
        <v>2018</v>
      </c>
      <c r="R2" s="622">
        <v>2017</v>
      </c>
      <c r="S2" s="622">
        <v>2016</v>
      </c>
    </row>
    <row r="3" spans="1:19" ht="30" customHeight="1" x14ac:dyDescent="0.2">
      <c r="A3" s="291" t="str">
        <f t="shared" ref="A3:A46" si="0">D3&amp;" / "&amp;E3</f>
        <v>WRX001 / 1618</v>
      </c>
      <c r="B3" s="89" t="s">
        <v>6924</v>
      </c>
      <c r="C3" s="89" t="s">
        <v>6919</v>
      </c>
      <c r="D3" s="318" t="s">
        <v>6917</v>
      </c>
      <c r="E3" s="369" t="str">
        <f>VLOOKUP(D:D,'Master Table'!C:D,2,FALSE)</f>
        <v>1618</v>
      </c>
      <c r="F3" s="766" t="s">
        <v>6917</v>
      </c>
      <c r="G3" s="766" t="s">
        <v>6918</v>
      </c>
      <c r="H3" s="769" t="s">
        <v>6919</v>
      </c>
      <c r="I3" s="769" t="s">
        <v>6920</v>
      </c>
      <c r="J3" s="766" t="s">
        <v>324</v>
      </c>
      <c r="K3" s="790">
        <v>977.03</v>
      </c>
      <c r="L3" s="790">
        <v>505</v>
      </c>
      <c r="M3" s="790"/>
      <c r="N3" s="312">
        <f>K3+L3+M3</f>
        <v>1482.03</v>
      </c>
      <c r="O3" s="657">
        <f>VLOOKUP(D:D,'Master Table'!C:O,13,FALSE)</f>
        <v>2278.5700000000002</v>
      </c>
      <c r="P3" s="657">
        <v>2278.5700000000002</v>
      </c>
      <c r="Q3" s="476">
        <v>2473.12</v>
      </c>
      <c r="R3" s="91">
        <v>2416</v>
      </c>
      <c r="S3" s="667">
        <v>1849</v>
      </c>
    </row>
    <row r="4" spans="1:19" ht="30" customHeight="1" x14ac:dyDescent="0.2">
      <c r="A4" s="291" t="str">
        <f t="shared" si="0"/>
        <v>WRX002 / 1619</v>
      </c>
      <c r="B4" s="89" t="s">
        <v>6924</v>
      </c>
      <c r="C4" s="89" t="s">
        <v>839</v>
      </c>
      <c r="D4" s="318" t="s">
        <v>6925</v>
      </c>
      <c r="E4" s="369" t="str">
        <f>VLOOKUP(D:D,'Master Table'!C:D,2,FALSE)</f>
        <v>1619</v>
      </c>
      <c r="F4" s="766" t="s">
        <v>6925</v>
      </c>
      <c r="G4" s="766" t="s">
        <v>6926</v>
      </c>
      <c r="H4" s="769" t="s">
        <v>6927</v>
      </c>
      <c r="I4" s="769" t="s">
        <v>6928</v>
      </c>
      <c r="J4" s="766" t="s">
        <v>324</v>
      </c>
      <c r="K4" s="790">
        <v>0</v>
      </c>
      <c r="L4" s="790">
        <v>414</v>
      </c>
      <c r="M4" s="790">
        <v>230</v>
      </c>
      <c r="N4" s="312">
        <f t="shared" ref="N4:N45" si="1">K4+L4+M4</f>
        <v>644</v>
      </c>
      <c r="O4" s="657">
        <f>VLOOKUP(D:D,'Master Table'!C:O,13,FALSE)</f>
        <v>390</v>
      </c>
      <c r="P4" s="657">
        <v>390</v>
      </c>
      <c r="Q4" s="476">
        <v>410</v>
      </c>
      <c r="R4" s="91">
        <v>290</v>
      </c>
      <c r="S4" s="667">
        <v>502.77000000000004</v>
      </c>
    </row>
    <row r="5" spans="1:19" ht="30" customHeight="1" x14ac:dyDescent="0.2">
      <c r="A5" s="291" t="str">
        <f t="shared" si="0"/>
        <v>WRX003 / 1620</v>
      </c>
      <c r="B5" s="89" t="s">
        <v>6932</v>
      </c>
      <c r="C5" s="89" t="s">
        <v>3473</v>
      </c>
      <c r="D5" s="318" t="s">
        <v>6929</v>
      </c>
      <c r="E5" s="369" t="str">
        <f>VLOOKUP(D:D,'Master Table'!C:D,2,FALSE)</f>
        <v>1620</v>
      </c>
      <c r="F5" s="766" t="s">
        <v>6929</v>
      </c>
      <c r="G5" s="766" t="s">
        <v>6930</v>
      </c>
      <c r="H5" s="769" t="s">
        <v>6931</v>
      </c>
      <c r="I5" s="769" t="s">
        <v>6932</v>
      </c>
      <c r="J5" s="766" t="s">
        <v>351</v>
      </c>
      <c r="K5" s="790">
        <v>17.840000000000003</v>
      </c>
      <c r="L5" s="790">
        <v>105</v>
      </c>
      <c r="M5" s="790">
        <v>185.9</v>
      </c>
      <c r="N5" s="312">
        <f t="shared" si="1"/>
        <v>308.74</v>
      </c>
      <c r="O5" s="657">
        <f>VLOOKUP(D:D,'Master Table'!C:O,13,FALSE)</f>
        <v>569.49</v>
      </c>
      <c r="P5" s="657">
        <v>569.49</v>
      </c>
      <c r="Q5" s="476">
        <v>797.61</v>
      </c>
      <c r="R5" s="91">
        <v>687.38</v>
      </c>
      <c r="S5" s="667">
        <v>746.44</v>
      </c>
    </row>
    <row r="6" spans="1:19" ht="30" customHeight="1" x14ac:dyDescent="0.2">
      <c r="A6" s="291" t="str">
        <f t="shared" si="0"/>
        <v>WRX005 / 1621</v>
      </c>
      <c r="B6" s="89" t="s">
        <v>6938</v>
      </c>
      <c r="C6" s="89" t="s">
        <v>8107</v>
      </c>
      <c r="D6" s="318" t="s">
        <v>6935</v>
      </c>
      <c r="E6" s="369" t="str">
        <f>VLOOKUP(D:D,'Master Table'!C:D,2,FALSE)</f>
        <v>1621</v>
      </c>
      <c r="F6" s="766" t="s">
        <v>6935</v>
      </c>
      <c r="G6" s="766" t="s">
        <v>6936</v>
      </c>
      <c r="H6" s="769" t="s">
        <v>6937</v>
      </c>
      <c r="I6" s="769" t="s">
        <v>6938</v>
      </c>
      <c r="J6" s="766" t="s">
        <v>351</v>
      </c>
      <c r="K6" s="790">
        <v>0</v>
      </c>
      <c r="L6" s="790">
        <v>50</v>
      </c>
      <c r="M6" s="790"/>
      <c r="N6" s="312">
        <f t="shared" si="1"/>
        <v>50</v>
      </c>
      <c r="O6" s="657">
        <f>VLOOKUP(D:D,'Master Table'!C:O,13,FALSE)</f>
        <v>50</v>
      </c>
      <c r="P6" s="657">
        <v>50</v>
      </c>
      <c r="Q6" s="476">
        <v>51.05</v>
      </c>
      <c r="R6" s="91">
        <v>51</v>
      </c>
      <c r="S6" s="667">
        <v>51.050000000000004</v>
      </c>
    </row>
    <row r="7" spans="1:19" ht="30" customHeight="1" x14ac:dyDescent="0.2">
      <c r="A7" s="291" t="s">
        <v>11400</v>
      </c>
      <c r="B7" s="89" t="s">
        <v>6945</v>
      </c>
      <c r="C7" s="769" t="s">
        <v>6944</v>
      </c>
      <c r="D7" s="318"/>
      <c r="E7" s="369"/>
      <c r="F7" s="766" t="s">
        <v>6942</v>
      </c>
      <c r="G7" s="766" t="s">
        <v>6943</v>
      </c>
      <c r="H7" s="769" t="s">
        <v>6944</v>
      </c>
      <c r="I7" s="769" t="s">
        <v>6945</v>
      </c>
      <c r="J7" s="766" t="s">
        <v>324</v>
      </c>
      <c r="K7" s="790">
        <v>0</v>
      </c>
      <c r="L7" s="790">
        <v>25</v>
      </c>
      <c r="M7" s="790"/>
      <c r="N7" s="312">
        <f t="shared" si="1"/>
        <v>25</v>
      </c>
      <c r="O7" s="657"/>
      <c r="P7" s="657"/>
      <c r="Q7" s="476"/>
      <c r="R7" s="91"/>
      <c r="S7" s="667"/>
    </row>
    <row r="8" spans="1:19" ht="30" customHeight="1" x14ac:dyDescent="0.2">
      <c r="A8" s="291" t="str">
        <f t="shared" si="0"/>
        <v>WRX008 / 1623</v>
      </c>
      <c r="B8" s="89" t="s">
        <v>6949</v>
      </c>
      <c r="C8" s="89" t="s">
        <v>8108</v>
      </c>
      <c r="D8" s="318" t="s">
        <v>6946</v>
      </c>
      <c r="E8" s="369" t="str">
        <f>VLOOKUP(D:D,'Master Table'!C:D,2,FALSE)</f>
        <v>1623</v>
      </c>
      <c r="F8" s="766" t="s">
        <v>6946</v>
      </c>
      <c r="G8" s="766" t="s">
        <v>6947</v>
      </c>
      <c r="H8" s="769" t="s">
        <v>6948</v>
      </c>
      <c r="I8" s="769" t="s">
        <v>6949</v>
      </c>
      <c r="J8" s="766" t="s">
        <v>324</v>
      </c>
      <c r="K8" s="790">
        <v>118.93</v>
      </c>
      <c r="L8" s="790">
        <v>230</v>
      </c>
      <c r="M8" s="790"/>
      <c r="N8" s="312">
        <f t="shared" si="1"/>
        <v>348.93</v>
      </c>
      <c r="O8" s="657">
        <f>VLOOKUP(D:D,'Master Table'!C:O,13,FALSE)</f>
        <v>621.33999999999992</v>
      </c>
      <c r="P8" s="657">
        <v>621.33999999999992</v>
      </c>
      <c r="Q8" s="476">
        <v>326.52999999999997</v>
      </c>
      <c r="R8" s="91">
        <v>487.66</v>
      </c>
      <c r="S8" s="667">
        <v>379.57</v>
      </c>
    </row>
    <row r="9" spans="1:19" ht="30" customHeight="1" x14ac:dyDescent="0.2">
      <c r="A9" s="291" t="str">
        <f t="shared" si="0"/>
        <v>WRX010 / 1625</v>
      </c>
      <c r="B9" s="89" t="s">
        <v>8109</v>
      </c>
      <c r="C9" s="89" t="s">
        <v>8110</v>
      </c>
      <c r="D9" s="318" t="s">
        <v>6955</v>
      </c>
      <c r="E9" s="369" t="str">
        <f>VLOOKUP(D:D,'Master Table'!C:D,2,FALSE)</f>
        <v>1625</v>
      </c>
      <c r="F9" s="766" t="s">
        <v>6955</v>
      </c>
      <c r="G9" s="766" t="s">
        <v>6956</v>
      </c>
      <c r="H9" s="769" t="s">
        <v>6957</v>
      </c>
      <c r="I9" s="769" t="s">
        <v>6958</v>
      </c>
      <c r="J9" s="766" t="s">
        <v>324</v>
      </c>
      <c r="K9" s="790">
        <v>78.13</v>
      </c>
      <c r="L9" s="790">
        <v>5</v>
      </c>
      <c r="M9" s="790"/>
      <c r="N9" s="312">
        <f t="shared" si="1"/>
        <v>83.13</v>
      </c>
      <c r="O9" s="657">
        <f>VLOOKUP(D:D,'Master Table'!C:O,13,FALSE)</f>
        <v>153.82999999999998</v>
      </c>
      <c r="P9" s="657">
        <v>153.82999999999998</v>
      </c>
      <c r="Q9" s="476">
        <v>212.15</v>
      </c>
      <c r="R9" s="91">
        <v>119.5</v>
      </c>
      <c r="S9" s="667">
        <v>217</v>
      </c>
    </row>
    <row r="10" spans="1:19" ht="30" customHeight="1" x14ac:dyDescent="0.2">
      <c r="A10" s="291" t="str">
        <f t="shared" si="0"/>
        <v>WRX011 / 1626</v>
      </c>
      <c r="B10" s="89" t="s">
        <v>6966</v>
      </c>
      <c r="C10" s="89" t="s">
        <v>7388</v>
      </c>
      <c r="D10" s="318" t="s">
        <v>6963</v>
      </c>
      <c r="E10" s="369" t="str">
        <f>VLOOKUP(D:D,'Master Table'!C:D,2,FALSE)</f>
        <v>1626</v>
      </c>
      <c r="F10" s="766" t="s">
        <v>6963</v>
      </c>
      <c r="G10" s="766" t="s">
        <v>6964</v>
      </c>
      <c r="H10" s="769" t="s">
        <v>6965</v>
      </c>
      <c r="I10" s="769" t="s">
        <v>6966</v>
      </c>
      <c r="J10" s="766" t="s">
        <v>324</v>
      </c>
      <c r="K10" s="790">
        <v>0</v>
      </c>
      <c r="L10" s="790"/>
      <c r="M10" s="790"/>
      <c r="N10" s="312">
        <f t="shared" si="1"/>
        <v>0</v>
      </c>
      <c r="O10" s="657">
        <f>VLOOKUP(D:D,'Master Table'!C:O,13,FALSE)</f>
        <v>0</v>
      </c>
      <c r="P10" s="657">
        <v>0</v>
      </c>
      <c r="Q10" s="476">
        <v>120</v>
      </c>
      <c r="R10" s="91">
        <v>120</v>
      </c>
      <c r="S10" s="667">
        <v>120</v>
      </c>
    </row>
    <row r="11" spans="1:19" ht="30" customHeight="1" x14ac:dyDescent="0.2">
      <c r="A11" s="291" t="str">
        <f t="shared" si="0"/>
        <v>WRX012 / 1627</v>
      </c>
      <c r="B11" s="89" t="s">
        <v>8111</v>
      </c>
      <c r="C11" s="89" t="s">
        <v>7188</v>
      </c>
      <c r="D11" s="318" t="s">
        <v>6979</v>
      </c>
      <c r="E11" s="369" t="str">
        <f>VLOOKUP(D:D,'Master Table'!C:D,2,FALSE)</f>
        <v>1627</v>
      </c>
      <c r="F11" s="766" t="s">
        <v>6979</v>
      </c>
      <c r="G11" s="766" t="s">
        <v>6980</v>
      </c>
      <c r="H11" s="769" t="s">
        <v>366</v>
      </c>
      <c r="I11" s="769" t="s">
        <v>6981</v>
      </c>
      <c r="J11" s="766" t="s">
        <v>324</v>
      </c>
      <c r="K11" s="790">
        <v>0</v>
      </c>
      <c r="L11" s="790"/>
      <c r="M11" s="790"/>
      <c r="N11" s="312">
        <f t="shared" si="1"/>
        <v>0</v>
      </c>
      <c r="O11" s="657">
        <f>VLOOKUP(D:D,'Master Table'!C:O,13,FALSE)</f>
        <v>287.29000000000002</v>
      </c>
      <c r="P11" s="657">
        <v>287.29000000000002</v>
      </c>
      <c r="Q11" s="476">
        <v>232.78</v>
      </c>
      <c r="R11" s="91">
        <v>136.38</v>
      </c>
      <c r="S11" s="667">
        <v>226.94</v>
      </c>
    </row>
    <row r="12" spans="1:19" ht="30" customHeight="1" x14ac:dyDescent="0.2">
      <c r="A12" s="291" t="str">
        <f t="shared" si="0"/>
        <v>WRX014 / 1628</v>
      </c>
      <c r="B12" s="89" t="s">
        <v>6986</v>
      </c>
      <c r="C12" s="89" t="s">
        <v>198</v>
      </c>
      <c r="D12" s="318" t="s">
        <v>6984</v>
      </c>
      <c r="E12" s="369" t="str">
        <f>VLOOKUP(D:D,'Master Table'!C:D,2,FALSE)</f>
        <v>1628</v>
      </c>
      <c r="F12" s="766" t="s">
        <v>6984</v>
      </c>
      <c r="G12" s="766" t="s">
        <v>6985</v>
      </c>
      <c r="H12" s="769" t="s">
        <v>198</v>
      </c>
      <c r="I12" s="769" t="s">
        <v>6986</v>
      </c>
      <c r="J12" s="766" t="s">
        <v>324</v>
      </c>
      <c r="K12" s="790">
        <v>173.18</v>
      </c>
      <c r="L12" s="790">
        <v>60</v>
      </c>
      <c r="M12" s="790"/>
      <c r="N12" s="312">
        <f t="shared" si="1"/>
        <v>233.18</v>
      </c>
      <c r="O12" s="657">
        <f>VLOOKUP(D:D,'Master Table'!C:O,13,FALSE)</f>
        <v>297.54000000000002</v>
      </c>
      <c r="P12" s="657">
        <v>297.54000000000002</v>
      </c>
      <c r="Q12" s="476">
        <v>418.67</v>
      </c>
      <c r="R12" s="91">
        <v>382.3</v>
      </c>
      <c r="S12" s="667">
        <v>300.11</v>
      </c>
    </row>
    <row r="13" spans="1:19" ht="30" customHeight="1" x14ac:dyDescent="0.2">
      <c r="A13" s="291" t="str">
        <f t="shared" si="0"/>
        <v>WRX016 / 1629</v>
      </c>
      <c r="B13" s="89" t="s">
        <v>8112</v>
      </c>
      <c r="C13" s="89" t="s">
        <v>8113</v>
      </c>
      <c r="D13" s="318" t="s">
        <v>6988</v>
      </c>
      <c r="E13" s="369" t="str">
        <f>VLOOKUP(D:D,'Master Table'!C:D,2,FALSE)</f>
        <v>1629</v>
      </c>
      <c r="F13" s="766" t="s">
        <v>6988</v>
      </c>
      <c r="G13" s="766" t="s">
        <v>6989</v>
      </c>
      <c r="H13" s="769" t="s">
        <v>6990</v>
      </c>
      <c r="I13" s="769" t="s">
        <v>6991</v>
      </c>
      <c r="J13" s="766" t="s">
        <v>324</v>
      </c>
      <c r="K13" s="790">
        <v>399.49</v>
      </c>
      <c r="L13" s="790">
        <v>119</v>
      </c>
      <c r="M13" s="790"/>
      <c r="N13" s="312">
        <f t="shared" si="1"/>
        <v>518.49</v>
      </c>
      <c r="O13" s="657">
        <f>VLOOKUP(D:D,'Master Table'!C:O,13,FALSE)</f>
        <v>631.41</v>
      </c>
      <c r="P13" s="657">
        <v>631.41</v>
      </c>
      <c r="Q13" s="476">
        <v>599.32000000000005</v>
      </c>
      <c r="R13" s="91">
        <v>514.37</v>
      </c>
      <c r="S13" s="667">
        <v>585.52</v>
      </c>
    </row>
    <row r="14" spans="1:19" ht="30" customHeight="1" x14ac:dyDescent="0.2">
      <c r="A14" s="291" t="str">
        <f t="shared" si="0"/>
        <v>WRX020 / 1630</v>
      </c>
      <c r="B14" s="89" t="s">
        <v>8114</v>
      </c>
      <c r="C14" s="89" t="s">
        <v>6593</v>
      </c>
      <c r="D14" s="318" t="s">
        <v>6996</v>
      </c>
      <c r="E14" s="369" t="str">
        <f>VLOOKUP(D:D,'Master Table'!C:D,2,FALSE)</f>
        <v>1630</v>
      </c>
      <c r="F14" s="766" t="s">
        <v>6996</v>
      </c>
      <c r="G14" s="766" t="s">
        <v>6997</v>
      </c>
      <c r="H14" s="769" t="s">
        <v>6998</v>
      </c>
      <c r="I14" s="769" t="s">
        <v>6924</v>
      </c>
      <c r="J14" s="766" t="s">
        <v>324</v>
      </c>
      <c r="K14" s="790">
        <v>190.23</v>
      </c>
      <c r="L14" s="790">
        <v>132</v>
      </c>
      <c r="M14" s="790"/>
      <c r="N14" s="312">
        <f t="shared" si="1"/>
        <v>322.23</v>
      </c>
      <c r="O14" s="657">
        <f>VLOOKUP(D:D,'Master Table'!C:O,13,FALSE)</f>
        <v>421.07</v>
      </c>
      <c r="P14" s="657">
        <v>421.07</v>
      </c>
      <c r="Q14" s="476">
        <v>400.88</v>
      </c>
      <c r="R14" s="91">
        <v>447.09</v>
      </c>
      <c r="S14" s="667">
        <v>354.26</v>
      </c>
    </row>
    <row r="15" spans="1:19" ht="30" customHeight="1" x14ac:dyDescent="0.2">
      <c r="A15" s="291" t="str">
        <f t="shared" si="0"/>
        <v>WRX021 / 1631</v>
      </c>
      <c r="B15" s="89" t="s">
        <v>7002</v>
      </c>
      <c r="C15" s="89" t="s">
        <v>532</v>
      </c>
      <c r="D15" s="318" t="s">
        <v>6999</v>
      </c>
      <c r="E15" s="369" t="str">
        <f>VLOOKUP(D:D,'Master Table'!C:D,2,FALSE)</f>
        <v>1631</v>
      </c>
      <c r="F15" s="766" t="s">
        <v>6999</v>
      </c>
      <c r="G15" s="766" t="s">
        <v>7000</v>
      </c>
      <c r="H15" s="769" t="s">
        <v>7001</v>
      </c>
      <c r="I15" s="769" t="s">
        <v>7002</v>
      </c>
      <c r="J15" s="766" t="s">
        <v>324</v>
      </c>
      <c r="K15" s="790">
        <v>0</v>
      </c>
      <c r="L15" s="790">
        <v>5</v>
      </c>
      <c r="M15" s="790"/>
      <c r="N15" s="312">
        <f t="shared" si="1"/>
        <v>5</v>
      </c>
      <c r="O15" s="657">
        <f>VLOOKUP(D:D,'Master Table'!C:O,13,FALSE)</f>
        <v>5</v>
      </c>
      <c r="P15" s="657">
        <v>5</v>
      </c>
      <c r="Q15" s="476">
        <v>48</v>
      </c>
      <c r="R15" s="91">
        <v>35</v>
      </c>
      <c r="S15" s="667">
        <v>35</v>
      </c>
    </row>
    <row r="16" spans="1:19" ht="30" customHeight="1" x14ac:dyDescent="0.2">
      <c r="A16" s="291" t="str">
        <f t="shared" si="0"/>
        <v>WRX022 / 1632</v>
      </c>
      <c r="B16" s="89" t="s">
        <v>8115</v>
      </c>
      <c r="C16" s="89" t="s">
        <v>3400</v>
      </c>
      <c r="D16" s="318" t="s">
        <v>7003</v>
      </c>
      <c r="E16" s="369" t="str">
        <f>VLOOKUP(D:D,'Master Table'!C:D,2,FALSE)</f>
        <v>1632</v>
      </c>
      <c r="F16" s="766" t="s">
        <v>7003</v>
      </c>
      <c r="G16" s="766" t="s">
        <v>7004</v>
      </c>
      <c r="H16" s="769" t="s">
        <v>3400</v>
      </c>
      <c r="I16" s="769" t="s">
        <v>7005</v>
      </c>
      <c r="J16" s="766" t="s">
        <v>324</v>
      </c>
      <c r="K16" s="790">
        <v>404.21</v>
      </c>
      <c r="L16" s="790">
        <v>10</v>
      </c>
      <c r="M16" s="790"/>
      <c r="N16" s="312">
        <f t="shared" si="1"/>
        <v>414.21</v>
      </c>
      <c r="O16" s="657">
        <f>VLOOKUP(D:D,'Master Table'!C:O,13,FALSE)</f>
        <v>497.61</v>
      </c>
      <c r="P16" s="657">
        <v>497.61</v>
      </c>
      <c r="Q16" s="476">
        <v>811.04</v>
      </c>
      <c r="R16" s="91">
        <v>798.04</v>
      </c>
      <c r="S16" s="667">
        <v>875.98</v>
      </c>
    </row>
    <row r="17" spans="1:20" ht="30" customHeight="1" x14ac:dyDescent="0.2">
      <c r="A17" s="291" t="str">
        <f t="shared" si="0"/>
        <v>WRX023 / 1633</v>
      </c>
      <c r="B17" s="89" t="s">
        <v>7010</v>
      </c>
      <c r="C17" s="89" t="s">
        <v>8116</v>
      </c>
      <c r="D17" s="318" t="s">
        <v>7007</v>
      </c>
      <c r="E17" s="369" t="str">
        <f>VLOOKUP(D:D,'Master Table'!C:D,2,FALSE)</f>
        <v>1633</v>
      </c>
      <c r="F17" s="766" t="s">
        <v>7007</v>
      </c>
      <c r="G17" s="766" t="s">
        <v>7008</v>
      </c>
      <c r="H17" s="769" t="s">
        <v>7009</v>
      </c>
      <c r="I17" s="769" t="s">
        <v>7010</v>
      </c>
      <c r="J17" s="766" t="s">
        <v>324</v>
      </c>
      <c r="K17" s="790">
        <v>0</v>
      </c>
      <c r="L17" s="790">
        <v>210</v>
      </c>
      <c r="M17" s="790"/>
      <c r="N17" s="312">
        <f t="shared" si="1"/>
        <v>210</v>
      </c>
      <c r="O17" s="657">
        <f>VLOOKUP(D:D,'Master Table'!C:O,13,FALSE)</f>
        <v>195</v>
      </c>
      <c r="P17" s="657">
        <v>195</v>
      </c>
      <c r="Q17" s="476">
        <v>185</v>
      </c>
      <c r="R17" s="91">
        <v>75</v>
      </c>
      <c r="S17" s="667">
        <v>75</v>
      </c>
      <c r="T17" s="238" t="s">
        <v>8117</v>
      </c>
    </row>
    <row r="18" spans="1:20" ht="30" customHeight="1" x14ac:dyDescent="0.2">
      <c r="A18" s="291" t="str">
        <f t="shared" si="0"/>
        <v>WRX026 / 1635</v>
      </c>
      <c r="B18" s="89" t="s">
        <v>7014</v>
      </c>
      <c r="C18" s="89" t="s">
        <v>532</v>
      </c>
      <c r="D18" s="318" t="s">
        <v>7011</v>
      </c>
      <c r="E18" s="369" t="str">
        <f>VLOOKUP(D:D,'Master Table'!C:D,2,FALSE)</f>
        <v>1635</v>
      </c>
      <c r="F18" s="766" t="s">
        <v>7011</v>
      </c>
      <c r="G18" s="766" t="s">
        <v>7012</v>
      </c>
      <c r="H18" s="769" t="s">
        <v>7013</v>
      </c>
      <c r="I18" s="769" t="s">
        <v>7014</v>
      </c>
      <c r="J18" s="766" t="s">
        <v>351</v>
      </c>
      <c r="K18" s="790">
        <v>165</v>
      </c>
      <c r="L18" s="790">
        <v>91.92</v>
      </c>
      <c r="M18" s="790"/>
      <c r="N18" s="312">
        <f t="shared" si="1"/>
        <v>256.92</v>
      </c>
      <c r="O18" s="657">
        <f>VLOOKUP(D:D,'Master Table'!C:O,13,FALSE)</f>
        <v>399.94999999999993</v>
      </c>
      <c r="P18" s="657">
        <v>399.94999999999993</v>
      </c>
      <c r="Q18" s="476">
        <v>391.94</v>
      </c>
      <c r="R18" s="91">
        <v>290.77</v>
      </c>
      <c r="S18" s="667">
        <v>379.01</v>
      </c>
    </row>
    <row r="19" spans="1:20" ht="30" customHeight="1" x14ac:dyDescent="0.2">
      <c r="A19" s="291" t="str">
        <f t="shared" si="0"/>
        <v>WRX027 / 1636</v>
      </c>
      <c r="B19" s="89" t="s">
        <v>8118</v>
      </c>
      <c r="C19" s="89" t="s">
        <v>8119</v>
      </c>
      <c r="D19" s="318" t="s">
        <v>7016</v>
      </c>
      <c r="E19" s="369" t="str">
        <f>VLOOKUP(D:D,'Master Table'!C:D,2,FALSE)</f>
        <v>1636</v>
      </c>
      <c r="F19" s="766" t="s">
        <v>7016</v>
      </c>
      <c r="G19" s="766" t="s">
        <v>7017</v>
      </c>
      <c r="H19" s="769" t="s">
        <v>7018</v>
      </c>
      <c r="I19" s="769" t="s">
        <v>7019</v>
      </c>
      <c r="J19" s="766" t="s">
        <v>324</v>
      </c>
      <c r="K19" s="790">
        <v>0</v>
      </c>
      <c r="L19" s="790"/>
      <c r="M19" s="790">
        <v>64.45</v>
      </c>
      <c r="N19" s="312">
        <f t="shared" si="1"/>
        <v>64.45</v>
      </c>
      <c r="O19" s="657">
        <f>VLOOKUP(D:D,'Master Table'!C:O,13,FALSE)</f>
        <v>218.05</v>
      </c>
      <c r="P19" s="657">
        <v>218.05</v>
      </c>
      <c r="Q19" s="476">
        <v>169.59</v>
      </c>
      <c r="R19" s="91">
        <v>309</v>
      </c>
      <c r="S19" s="667">
        <v>321.63</v>
      </c>
    </row>
    <row r="20" spans="1:20" ht="30" customHeight="1" x14ac:dyDescent="0.2">
      <c r="A20" s="291" t="str">
        <f t="shared" si="0"/>
        <v>WRX029 / 1637</v>
      </c>
      <c r="B20" s="89" t="s">
        <v>7023</v>
      </c>
      <c r="C20" s="89" t="s">
        <v>7022</v>
      </c>
      <c r="D20" s="318" t="s">
        <v>7020</v>
      </c>
      <c r="E20" s="369" t="str">
        <f>VLOOKUP(D:D,'Master Table'!C:D,2,FALSE)</f>
        <v>1637</v>
      </c>
      <c r="F20" s="766" t="s">
        <v>7020</v>
      </c>
      <c r="G20" s="766" t="s">
        <v>7021</v>
      </c>
      <c r="H20" s="769" t="s">
        <v>7022</v>
      </c>
      <c r="I20" s="769" t="s">
        <v>7023</v>
      </c>
      <c r="J20" s="766" t="s">
        <v>324</v>
      </c>
      <c r="K20" s="790">
        <v>543.68000000000006</v>
      </c>
      <c r="L20" s="790">
        <v>1120</v>
      </c>
      <c r="M20" s="790"/>
      <c r="N20" s="312">
        <f t="shared" si="1"/>
        <v>1663.68</v>
      </c>
      <c r="O20" s="657">
        <f>VLOOKUP(D:D,'Master Table'!C:O,13,FALSE)</f>
        <v>2128.42</v>
      </c>
      <c r="P20" s="657">
        <v>2128.42</v>
      </c>
      <c r="Q20" s="476">
        <v>921.79</v>
      </c>
      <c r="R20" s="91">
        <v>768.47</v>
      </c>
      <c r="S20" s="667">
        <v>1084.6500000000001</v>
      </c>
    </row>
    <row r="21" spans="1:20" ht="30" customHeight="1" x14ac:dyDescent="0.2">
      <c r="A21" s="291" t="str">
        <f t="shared" si="0"/>
        <v>WRX031 / 1638</v>
      </c>
      <c r="B21" s="89" t="s">
        <v>8120</v>
      </c>
      <c r="C21" s="89" t="s">
        <v>1284</v>
      </c>
      <c r="D21" s="318" t="s">
        <v>7024</v>
      </c>
      <c r="E21" s="369" t="str">
        <f>VLOOKUP(D:D,'Master Table'!C:D,2,FALSE)</f>
        <v>1638</v>
      </c>
      <c r="F21" s="766" t="s">
        <v>7024</v>
      </c>
      <c r="G21" s="766" t="s">
        <v>7025</v>
      </c>
      <c r="H21" s="769" t="s">
        <v>47</v>
      </c>
      <c r="I21" s="769" t="s">
        <v>7026</v>
      </c>
      <c r="J21" s="766" t="s">
        <v>324</v>
      </c>
      <c r="K21" s="790">
        <v>0</v>
      </c>
      <c r="L21" s="790">
        <v>30</v>
      </c>
      <c r="M21" s="790"/>
      <c r="N21" s="312">
        <f t="shared" si="1"/>
        <v>30</v>
      </c>
      <c r="O21" s="657">
        <f>VLOOKUP(D:D,'Master Table'!C:O,13,FALSE)</f>
        <v>227.45</v>
      </c>
      <c r="P21" s="657">
        <v>227.45</v>
      </c>
      <c r="Q21" s="476">
        <v>156</v>
      </c>
      <c r="R21" s="91">
        <v>105</v>
      </c>
      <c r="S21" s="667">
        <v>10</v>
      </c>
    </row>
    <row r="22" spans="1:20" ht="30" customHeight="1" x14ac:dyDescent="0.2">
      <c r="A22" s="291" t="str">
        <f t="shared" si="0"/>
        <v>WRX033 / 1639</v>
      </c>
      <c r="B22" s="89" t="s">
        <v>8121</v>
      </c>
      <c r="C22" s="89" t="s">
        <v>7865</v>
      </c>
      <c r="D22" s="318" t="s">
        <v>7027</v>
      </c>
      <c r="E22" s="369" t="str">
        <f>VLOOKUP(D:D,'Master Table'!C:D,2,FALSE)</f>
        <v>1639</v>
      </c>
      <c r="F22" s="766" t="s">
        <v>7027</v>
      </c>
      <c r="G22" s="766" t="s">
        <v>7028</v>
      </c>
      <c r="H22" s="769" t="s">
        <v>7029</v>
      </c>
      <c r="I22" s="769" t="s">
        <v>7030</v>
      </c>
      <c r="J22" s="766" t="s">
        <v>351</v>
      </c>
      <c r="K22" s="790">
        <v>0</v>
      </c>
      <c r="L22" s="790">
        <v>5</v>
      </c>
      <c r="M22" s="790"/>
      <c r="N22" s="312">
        <f t="shared" si="1"/>
        <v>5</v>
      </c>
      <c r="O22" s="657">
        <f>VLOOKUP(D:D,'Master Table'!C:O,13,FALSE)</f>
        <v>5</v>
      </c>
      <c r="P22" s="657">
        <v>5</v>
      </c>
      <c r="Q22" s="476">
        <v>5</v>
      </c>
      <c r="R22" s="91">
        <v>45</v>
      </c>
      <c r="S22" s="667">
        <v>15</v>
      </c>
    </row>
    <row r="23" spans="1:20" ht="30" customHeight="1" x14ac:dyDescent="0.2">
      <c r="A23" s="291" t="str">
        <f t="shared" si="0"/>
        <v>WRX034 / 1640</v>
      </c>
      <c r="B23" s="89" t="s">
        <v>7037</v>
      </c>
      <c r="C23" s="89" t="s">
        <v>5066</v>
      </c>
      <c r="D23" s="318" t="s">
        <v>7035</v>
      </c>
      <c r="E23" s="369" t="str">
        <f>VLOOKUP(D:D,'Master Table'!C:D,2,FALSE)</f>
        <v>1640</v>
      </c>
      <c r="F23" s="766" t="s">
        <v>7035</v>
      </c>
      <c r="G23" s="766" t="s">
        <v>7036</v>
      </c>
      <c r="H23" s="769" t="s">
        <v>4258</v>
      </c>
      <c r="I23" s="769" t="s">
        <v>7037</v>
      </c>
      <c r="J23" s="766" t="s">
        <v>324</v>
      </c>
      <c r="K23" s="790">
        <v>490.75</v>
      </c>
      <c r="L23" s="790"/>
      <c r="M23" s="790"/>
      <c r="N23" s="312">
        <f t="shared" si="1"/>
        <v>490.75</v>
      </c>
      <c r="O23" s="657">
        <f>VLOOKUP(D:D,'Master Table'!C:O,13,FALSE)</f>
        <v>649.96</v>
      </c>
      <c r="P23" s="657">
        <v>649.96</v>
      </c>
      <c r="Q23" s="476">
        <v>808.5</v>
      </c>
      <c r="R23" s="91">
        <v>663</v>
      </c>
      <c r="S23" s="667">
        <v>893</v>
      </c>
    </row>
    <row r="24" spans="1:20" ht="30" customHeight="1" x14ac:dyDescent="0.2">
      <c r="A24" s="291" t="str">
        <f t="shared" si="0"/>
        <v>WRX038 / 1641</v>
      </c>
      <c r="B24" s="89" t="s">
        <v>7040</v>
      </c>
      <c r="C24" s="89" t="s">
        <v>119</v>
      </c>
      <c r="D24" s="318" t="s">
        <v>7038</v>
      </c>
      <c r="E24" s="369" t="str">
        <f>VLOOKUP(D:D,'Master Table'!C:D,2,FALSE)</f>
        <v>1641</v>
      </c>
      <c r="F24" s="766" t="s">
        <v>7038</v>
      </c>
      <c r="G24" s="766" t="s">
        <v>7039</v>
      </c>
      <c r="H24" s="769" t="s">
        <v>119</v>
      </c>
      <c r="I24" s="769" t="s">
        <v>7040</v>
      </c>
      <c r="J24" s="766" t="s">
        <v>324</v>
      </c>
      <c r="K24" s="790">
        <v>1110.97</v>
      </c>
      <c r="L24" s="790">
        <v>10</v>
      </c>
      <c r="M24" s="790"/>
      <c r="N24" s="312">
        <f t="shared" si="1"/>
        <v>1120.97</v>
      </c>
      <c r="O24" s="657">
        <f>VLOOKUP(D:D,'Master Table'!C:O,13,FALSE)</f>
        <v>1133.25</v>
      </c>
      <c r="P24" s="657">
        <v>1133.25</v>
      </c>
      <c r="Q24" s="476">
        <v>1038.8800000000001</v>
      </c>
      <c r="R24" s="91">
        <v>856.35</v>
      </c>
      <c r="S24" s="667">
        <v>840.98</v>
      </c>
    </row>
    <row r="25" spans="1:20" ht="30" customHeight="1" x14ac:dyDescent="0.2">
      <c r="A25" s="291" t="str">
        <f t="shared" si="0"/>
        <v>WRX039 / 1642</v>
      </c>
      <c r="B25" s="89" t="s">
        <v>7044</v>
      </c>
      <c r="C25" s="89" t="s">
        <v>8122</v>
      </c>
      <c r="D25" s="318" t="s">
        <v>7041</v>
      </c>
      <c r="E25" s="369" t="str">
        <f>VLOOKUP(D:D,'Master Table'!C:D,2,FALSE)</f>
        <v>1642</v>
      </c>
      <c r="F25" s="766" t="s">
        <v>7041</v>
      </c>
      <c r="G25" s="766" t="s">
        <v>7042</v>
      </c>
      <c r="H25" s="769" t="s">
        <v>7043</v>
      </c>
      <c r="I25" s="769" t="s">
        <v>7044</v>
      </c>
      <c r="J25" s="766" t="s">
        <v>351</v>
      </c>
      <c r="K25" s="790">
        <v>0</v>
      </c>
      <c r="L25" s="790"/>
      <c r="M25" s="790"/>
      <c r="N25" s="312">
        <f t="shared" si="1"/>
        <v>0</v>
      </c>
      <c r="O25" s="657">
        <f>VLOOKUP(D:D,'Master Table'!C:O,13,FALSE)</f>
        <v>586.6</v>
      </c>
      <c r="P25" s="657">
        <v>586.6</v>
      </c>
      <c r="Q25" s="476">
        <v>588.1</v>
      </c>
      <c r="R25" s="91">
        <v>326.5</v>
      </c>
      <c r="S25" s="667">
        <v>499.2</v>
      </c>
    </row>
    <row r="26" spans="1:20" ht="30" customHeight="1" x14ac:dyDescent="0.2">
      <c r="A26" s="291" t="str">
        <f t="shared" si="0"/>
        <v>WRX041 / 1644</v>
      </c>
      <c r="B26" s="89" t="s">
        <v>7052</v>
      </c>
      <c r="C26" s="89" t="s">
        <v>8123</v>
      </c>
      <c r="D26" s="318" t="s">
        <v>7049</v>
      </c>
      <c r="E26" s="369" t="str">
        <f>VLOOKUP(D:D,'Master Table'!C:D,2,FALSE)</f>
        <v>1644</v>
      </c>
      <c r="F26" s="766" t="s">
        <v>7049</v>
      </c>
      <c r="G26" s="766" t="s">
        <v>7050</v>
      </c>
      <c r="H26" s="769" t="s">
        <v>7051</v>
      </c>
      <c r="I26" s="769" t="s">
        <v>7052</v>
      </c>
      <c r="J26" s="766" t="s">
        <v>324</v>
      </c>
      <c r="K26" s="790">
        <v>367</v>
      </c>
      <c r="L26" s="790"/>
      <c r="M26" s="790"/>
      <c r="N26" s="312">
        <f t="shared" si="1"/>
        <v>367</v>
      </c>
      <c r="O26" s="657">
        <f>VLOOKUP(D:D,'Master Table'!C:O,13,FALSE)</f>
        <v>365</v>
      </c>
      <c r="P26" s="657">
        <v>365</v>
      </c>
      <c r="Q26" s="476">
        <v>516.65</v>
      </c>
      <c r="R26" s="91">
        <v>505.46</v>
      </c>
      <c r="S26" s="667">
        <v>530.32000000000005</v>
      </c>
    </row>
    <row r="27" spans="1:20" ht="30" customHeight="1" x14ac:dyDescent="0.2">
      <c r="A27" s="291" t="str">
        <f t="shared" si="0"/>
        <v>WRX043 / 1645</v>
      </c>
      <c r="B27" s="89" t="s">
        <v>7056</v>
      </c>
      <c r="C27" s="89" t="s">
        <v>8124</v>
      </c>
      <c r="D27" s="318" t="s">
        <v>7053</v>
      </c>
      <c r="E27" s="369" t="str">
        <f>VLOOKUP(D:D,'Master Table'!C:D,2,FALSE)</f>
        <v>1645</v>
      </c>
      <c r="F27" s="766" t="s">
        <v>7053</v>
      </c>
      <c r="G27" s="766" t="s">
        <v>7054</v>
      </c>
      <c r="H27" s="769" t="s">
        <v>7055</v>
      </c>
      <c r="I27" s="769" t="s">
        <v>7056</v>
      </c>
      <c r="J27" s="766" t="s">
        <v>351</v>
      </c>
      <c r="K27" s="790">
        <v>22.77</v>
      </c>
      <c r="L27" s="790"/>
      <c r="M27" s="790"/>
      <c r="N27" s="312">
        <f t="shared" si="1"/>
        <v>22.77</v>
      </c>
      <c r="O27" s="657">
        <f>VLOOKUP(D:D,'Master Table'!C:O,13,FALSE)</f>
        <v>156.82</v>
      </c>
      <c r="P27" s="657">
        <v>156.82</v>
      </c>
      <c r="Q27" s="476">
        <v>228.16</v>
      </c>
      <c r="R27" s="91">
        <v>293.67</v>
      </c>
      <c r="S27" s="667">
        <v>364.25</v>
      </c>
    </row>
    <row r="28" spans="1:20" ht="30" customHeight="1" x14ac:dyDescent="0.2">
      <c r="A28" s="291" t="str">
        <f t="shared" si="0"/>
        <v>WRX044 / 1646</v>
      </c>
      <c r="B28" s="89" t="s">
        <v>8125</v>
      </c>
      <c r="C28" s="89" t="s">
        <v>896</v>
      </c>
      <c r="D28" s="318" t="s">
        <v>7057</v>
      </c>
      <c r="E28" s="369" t="str">
        <f>VLOOKUP(D:D,'Master Table'!C:D,2,FALSE)</f>
        <v>1646</v>
      </c>
      <c r="F28" s="766" t="s">
        <v>7057</v>
      </c>
      <c r="G28" s="766" t="s">
        <v>7058</v>
      </c>
      <c r="H28" s="769" t="s">
        <v>183</v>
      </c>
      <c r="I28" s="769" t="s">
        <v>6920</v>
      </c>
      <c r="J28" s="766" t="s">
        <v>324</v>
      </c>
      <c r="K28" s="790">
        <v>798.5</v>
      </c>
      <c r="L28" s="790">
        <v>216.11</v>
      </c>
      <c r="M28" s="790"/>
      <c r="N28" s="312">
        <f t="shared" si="1"/>
        <v>1014.61</v>
      </c>
      <c r="O28" s="657">
        <f>VLOOKUP(D:D,'Master Table'!C:O,13,FALSE)</f>
        <v>725.41000000000008</v>
      </c>
      <c r="P28" s="657">
        <v>725.41000000000008</v>
      </c>
      <c r="Q28" s="476">
        <v>1628.72</v>
      </c>
      <c r="R28" s="91">
        <v>53</v>
      </c>
      <c r="S28" s="667">
        <v>1076.77</v>
      </c>
    </row>
    <row r="29" spans="1:20" ht="30" customHeight="1" x14ac:dyDescent="0.2">
      <c r="A29" s="291" t="str">
        <f t="shared" si="0"/>
        <v>WRX045 / 1647</v>
      </c>
      <c r="B29" s="89" t="s">
        <v>7065</v>
      </c>
      <c r="C29" s="89" t="s">
        <v>8126</v>
      </c>
      <c r="D29" s="318" t="s">
        <v>7062</v>
      </c>
      <c r="E29" s="369" t="str">
        <f>VLOOKUP(D:D,'Master Table'!C:D,2,FALSE)</f>
        <v>1647</v>
      </c>
      <c r="F29" s="766" t="s">
        <v>7062</v>
      </c>
      <c r="G29" s="766" t="s">
        <v>7063</v>
      </c>
      <c r="H29" s="769" t="s">
        <v>7064</v>
      </c>
      <c r="I29" s="769" t="s">
        <v>8146</v>
      </c>
      <c r="J29" s="766" t="s">
        <v>351</v>
      </c>
      <c r="K29" s="790">
        <v>0</v>
      </c>
      <c r="L29" s="790">
        <v>40</v>
      </c>
      <c r="M29" s="790"/>
      <c r="N29" s="312">
        <f t="shared" si="1"/>
        <v>40</v>
      </c>
      <c r="O29" s="657">
        <f>VLOOKUP(D:D,'Master Table'!C:O,13,FALSE)</f>
        <v>50</v>
      </c>
      <c r="P29" s="657">
        <v>50</v>
      </c>
      <c r="Q29" s="476">
        <v>196.6</v>
      </c>
      <c r="R29" s="91">
        <v>117.55</v>
      </c>
      <c r="S29" s="667">
        <v>112.8</v>
      </c>
    </row>
    <row r="30" spans="1:20" ht="30" customHeight="1" x14ac:dyDescent="0.2">
      <c r="A30" s="291" t="str">
        <f t="shared" si="0"/>
        <v>WRX048 / 1649</v>
      </c>
      <c r="B30" s="89" t="s">
        <v>8127</v>
      </c>
      <c r="C30" s="89" t="s">
        <v>89</v>
      </c>
      <c r="D30" s="318" t="s">
        <v>7066</v>
      </c>
      <c r="E30" s="369" t="str">
        <f>VLOOKUP(D:D,'Master Table'!C:D,2,FALSE)</f>
        <v>1649</v>
      </c>
      <c r="F30" s="766" t="s">
        <v>7066</v>
      </c>
      <c r="G30" s="766" t="s">
        <v>7067</v>
      </c>
      <c r="H30" s="769" t="s">
        <v>3420</v>
      </c>
      <c r="I30" s="769" t="s">
        <v>7068</v>
      </c>
      <c r="J30" s="766" t="s">
        <v>324</v>
      </c>
      <c r="K30" s="790">
        <v>640.37</v>
      </c>
      <c r="L30" s="790">
        <v>175</v>
      </c>
      <c r="M30" s="790"/>
      <c r="N30" s="312">
        <f t="shared" si="1"/>
        <v>815.37</v>
      </c>
      <c r="O30" s="657">
        <f>VLOOKUP(D:D,'Master Table'!C:O,13,FALSE)</f>
        <v>1867.7</v>
      </c>
      <c r="P30" s="657">
        <v>1867.7</v>
      </c>
      <c r="Q30" s="476">
        <v>728.67000000000007</v>
      </c>
      <c r="R30" s="91">
        <v>741.98</v>
      </c>
      <c r="S30" s="667">
        <v>955.22</v>
      </c>
    </row>
    <row r="31" spans="1:20" ht="30" customHeight="1" x14ac:dyDescent="0.2">
      <c r="A31" s="291" t="str">
        <f t="shared" si="0"/>
        <v>WRX050 / 1650</v>
      </c>
      <c r="B31" s="89" t="s">
        <v>8128</v>
      </c>
      <c r="C31" s="89" t="s">
        <v>8129</v>
      </c>
      <c r="D31" s="318" t="s">
        <v>7069</v>
      </c>
      <c r="E31" s="369" t="str">
        <f>VLOOKUP(D:D,'Master Table'!C:D,2,FALSE)</f>
        <v>1650</v>
      </c>
      <c r="F31" s="766" t="s">
        <v>7069</v>
      </c>
      <c r="G31" s="766" t="s">
        <v>7070</v>
      </c>
      <c r="H31" s="769" t="s">
        <v>7071</v>
      </c>
      <c r="I31" s="769" t="s">
        <v>7072</v>
      </c>
      <c r="J31" s="766" t="s">
        <v>324</v>
      </c>
      <c r="K31" s="790">
        <v>0</v>
      </c>
      <c r="L31" s="790">
        <v>114</v>
      </c>
      <c r="M31" s="790"/>
      <c r="N31" s="312">
        <f t="shared" si="1"/>
        <v>114</v>
      </c>
      <c r="O31" s="657">
        <f>VLOOKUP(D:D,'Master Table'!C:O,13,FALSE)</f>
        <v>564</v>
      </c>
      <c r="P31" s="657">
        <v>564</v>
      </c>
      <c r="Q31" s="476">
        <v>348</v>
      </c>
      <c r="R31" s="91">
        <v>79</v>
      </c>
      <c r="S31" s="667">
        <v>463</v>
      </c>
    </row>
    <row r="32" spans="1:20" ht="30" customHeight="1" x14ac:dyDescent="0.2">
      <c r="A32" s="291" t="str">
        <f t="shared" si="0"/>
        <v>WRX051 / 1651</v>
      </c>
      <c r="B32" s="89" t="s">
        <v>8130</v>
      </c>
      <c r="C32" s="89" t="s">
        <v>1284</v>
      </c>
      <c r="D32" s="318" t="s">
        <v>7077</v>
      </c>
      <c r="E32" s="369" t="str">
        <f>VLOOKUP(D:D,'Master Table'!C:D,2,FALSE)</f>
        <v>1651</v>
      </c>
      <c r="F32" s="766" t="s">
        <v>7077</v>
      </c>
      <c r="G32" s="766" t="s">
        <v>7078</v>
      </c>
      <c r="H32" s="769" t="s">
        <v>7079</v>
      </c>
      <c r="I32" s="769" t="s">
        <v>7002</v>
      </c>
      <c r="J32" s="766" t="s">
        <v>324</v>
      </c>
      <c r="K32" s="790">
        <v>104.06</v>
      </c>
      <c r="L32" s="790"/>
      <c r="M32" s="790"/>
      <c r="N32" s="312">
        <f t="shared" si="1"/>
        <v>104.06</v>
      </c>
      <c r="O32" s="657">
        <f>VLOOKUP(D:D,'Master Table'!C:O,13,FALSE)</f>
        <v>426</v>
      </c>
      <c r="P32" s="657">
        <v>426</v>
      </c>
      <c r="Q32" s="476">
        <v>650.99</v>
      </c>
      <c r="R32" s="91">
        <v>835.68</v>
      </c>
      <c r="S32" s="667">
        <v>749.54</v>
      </c>
    </row>
    <row r="33" spans="1:20" ht="30" customHeight="1" x14ac:dyDescent="0.2">
      <c r="A33" s="291" t="str">
        <f t="shared" si="0"/>
        <v>WRX052 / 1652</v>
      </c>
      <c r="B33" s="89" t="s">
        <v>8131</v>
      </c>
      <c r="C33" s="89" t="s">
        <v>8132</v>
      </c>
      <c r="D33" s="318" t="s">
        <v>7080</v>
      </c>
      <c r="E33" s="369" t="str">
        <f>VLOOKUP(D:D,'Master Table'!C:D,2,FALSE)</f>
        <v>1652</v>
      </c>
      <c r="F33" s="766" t="s">
        <v>7080</v>
      </c>
      <c r="G33" s="766" t="s">
        <v>7081</v>
      </c>
      <c r="H33" s="769" t="s">
        <v>7082</v>
      </c>
      <c r="I33" s="769" t="s">
        <v>6924</v>
      </c>
      <c r="J33" s="766" t="s">
        <v>324</v>
      </c>
      <c r="K33" s="790">
        <v>0</v>
      </c>
      <c r="L33" s="790"/>
      <c r="M33" s="790"/>
      <c r="N33" s="312">
        <f t="shared" si="1"/>
        <v>0</v>
      </c>
      <c r="O33" s="657">
        <f>VLOOKUP(D:D,'Master Table'!C:O,13,FALSE)</f>
        <v>665.4</v>
      </c>
      <c r="P33" s="657">
        <v>665.4</v>
      </c>
      <c r="Q33" s="476">
        <v>723.42</v>
      </c>
      <c r="R33" s="91">
        <v>419.82</v>
      </c>
      <c r="S33" s="667">
        <v>426.90000000000003</v>
      </c>
    </row>
    <row r="34" spans="1:20" ht="30" customHeight="1" x14ac:dyDescent="0.2">
      <c r="A34" s="291" t="str">
        <f t="shared" si="0"/>
        <v>WRX053 / 1653</v>
      </c>
      <c r="B34" s="89" t="s">
        <v>8133</v>
      </c>
      <c r="C34" s="89" t="s">
        <v>89</v>
      </c>
      <c r="D34" s="318" t="s">
        <v>7083</v>
      </c>
      <c r="E34" s="369" t="str">
        <f>VLOOKUP(D:D,'Master Table'!C:D,2,FALSE)</f>
        <v>1653</v>
      </c>
      <c r="F34" s="766" t="s">
        <v>7083</v>
      </c>
      <c r="G34" s="766" t="s">
        <v>7084</v>
      </c>
      <c r="H34" s="769" t="s">
        <v>3420</v>
      </c>
      <c r="I34" s="769" t="s">
        <v>7085</v>
      </c>
      <c r="J34" s="766" t="s">
        <v>324</v>
      </c>
      <c r="K34" s="790">
        <v>0</v>
      </c>
      <c r="L34" s="790"/>
      <c r="M34" s="790"/>
      <c r="N34" s="312">
        <f t="shared" si="1"/>
        <v>0</v>
      </c>
      <c r="O34" s="657">
        <f>VLOOKUP(D:D,'Master Table'!C:O,13,FALSE)</f>
        <v>0</v>
      </c>
      <c r="P34" s="657">
        <v>0</v>
      </c>
      <c r="Q34" s="476">
        <v>0</v>
      </c>
      <c r="R34" s="91">
        <v>91.5</v>
      </c>
      <c r="S34" s="667">
        <v>107.17</v>
      </c>
    </row>
    <row r="35" spans="1:20" ht="30" customHeight="1" x14ac:dyDescent="0.2">
      <c r="A35" s="291" t="str">
        <f t="shared" si="0"/>
        <v>WRX056 / 1656</v>
      </c>
      <c r="B35" s="877" t="s">
        <v>8135</v>
      </c>
      <c r="C35" s="453" t="s">
        <v>8274</v>
      </c>
      <c r="D35" s="318" t="s">
        <v>7086</v>
      </c>
      <c r="E35" s="369" t="str">
        <f>VLOOKUP(D:D,'Master Table'!C:D,2,FALSE)</f>
        <v>1656</v>
      </c>
      <c r="F35" s="766" t="s">
        <v>7086</v>
      </c>
      <c r="G35" s="766" t="s">
        <v>7087</v>
      </c>
      <c r="H35" s="769" t="s">
        <v>11398</v>
      </c>
      <c r="I35" s="769" t="s">
        <v>7089</v>
      </c>
      <c r="J35" s="766" t="s">
        <v>351</v>
      </c>
      <c r="K35" s="790">
        <v>143.5</v>
      </c>
      <c r="L35" s="790">
        <v>40</v>
      </c>
      <c r="M35" s="790"/>
      <c r="N35" s="312">
        <f t="shared" si="1"/>
        <v>183.5</v>
      </c>
      <c r="O35" s="657">
        <f>VLOOKUP(D:D,'Master Table'!C:O,13,FALSE)</f>
        <v>184</v>
      </c>
      <c r="P35" s="657">
        <v>184</v>
      </c>
      <c r="Q35" s="476">
        <v>128</v>
      </c>
      <c r="R35" s="91">
        <v>816.15</v>
      </c>
      <c r="S35" s="667">
        <v>40</v>
      </c>
    </row>
    <row r="36" spans="1:20" ht="30" customHeight="1" x14ac:dyDescent="0.2">
      <c r="A36" s="291" t="str">
        <f t="shared" ref="A36" si="2">D36&amp;" / "&amp;E36</f>
        <v>WRX058 / 1658</v>
      </c>
      <c r="B36" s="878"/>
      <c r="C36" s="454" t="s">
        <v>8275</v>
      </c>
      <c r="D36" s="318" t="s">
        <v>7101</v>
      </c>
      <c r="E36" s="369" t="str">
        <f>VLOOKUP(D:D,'Master Table'!C:D,2,FALSE)</f>
        <v>1658</v>
      </c>
      <c r="F36" s="766" t="s">
        <v>7101</v>
      </c>
      <c r="G36" s="766" t="s">
        <v>7102</v>
      </c>
      <c r="H36" s="769" t="s">
        <v>11399</v>
      </c>
      <c r="I36" s="769" t="s">
        <v>7104</v>
      </c>
      <c r="J36" s="766" t="s">
        <v>351</v>
      </c>
      <c r="K36" s="790">
        <v>482.91</v>
      </c>
      <c r="L36" s="790">
        <v>36</v>
      </c>
      <c r="M36" s="790"/>
      <c r="N36" s="312">
        <f>K36+L36+M36</f>
        <v>518.91000000000008</v>
      </c>
      <c r="O36" s="657">
        <f>VLOOKUP(D:D,'Master Table'!C:O,13,FALSE)</f>
        <v>962.18</v>
      </c>
      <c r="P36" s="657">
        <v>962.18</v>
      </c>
      <c r="Q36" s="476">
        <v>1373.76</v>
      </c>
      <c r="R36" s="91">
        <v>0</v>
      </c>
      <c r="S36" s="667">
        <v>434.85</v>
      </c>
      <c r="T36" s="482"/>
    </row>
    <row r="37" spans="1:20" ht="30" customHeight="1" x14ac:dyDescent="0.2">
      <c r="A37" s="291" t="str">
        <f t="shared" si="0"/>
        <v>WRX057 / 1657</v>
      </c>
      <c r="B37" s="89" t="s">
        <v>8137</v>
      </c>
      <c r="C37" s="89" t="s">
        <v>8138</v>
      </c>
      <c r="D37" s="318" t="s">
        <v>7097</v>
      </c>
      <c r="E37" s="369" t="str">
        <f>VLOOKUP(D:D,'Master Table'!C:D,2,FALSE)</f>
        <v>1657</v>
      </c>
      <c r="F37" s="766" t="s">
        <v>7097</v>
      </c>
      <c r="G37" s="766" t="s">
        <v>7098</v>
      </c>
      <c r="H37" s="769" t="s">
        <v>7099</v>
      </c>
      <c r="I37" s="769" t="s">
        <v>7100</v>
      </c>
      <c r="J37" s="766" t="s">
        <v>324</v>
      </c>
      <c r="K37" s="790">
        <v>0</v>
      </c>
      <c r="L37" s="790">
        <v>130</v>
      </c>
      <c r="M37" s="790"/>
      <c r="N37" s="312">
        <f t="shared" si="1"/>
        <v>130</v>
      </c>
      <c r="O37" s="657">
        <f>VLOOKUP(D:D,'Master Table'!C:O,13,FALSE)</f>
        <v>0</v>
      </c>
      <c r="P37" s="657">
        <v>0</v>
      </c>
      <c r="Q37" s="476">
        <v>0</v>
      </c>
      <c r="R37" s="91">
        <v>0</v>
      </c>
      <c r="S37" s="667">
        <v>10</v>
      </c>
    </row>
    <row r="38" spans="1:20" ht="30" customHeight="1" x14ac:dyDescent="0.2">
      <c r="A38" s="291" t="str">
        <f t="shared" si="0"/>
        <v>WRX059 / 1659</v>
      </c>
      <c r="B38" s="89" t="s">
        <v>8140</v>
      </c>
      <c r="C38" s="89" t="s">
        <v>8141</v>
      </c>
      <c r="D38" s="318" t="s">
        <v>7113</v>
      </c>
      <c r="E38" s="369" t="str">
        <f>VLOOKUP(D:D,'Master Table'!C:D,2,FALSE)</f>
        <v>1659</v>
      </c>
      <c r="F38" s="766" t="s">
        <v>7113</v>
      </c>
      <c r="G38" s="766" t="s">
        <v>7114</v>
      </c>
      <c r="H38" s="769" t="s">
        <v>7115</v>
      </c>
      <c r="I38" s="769" t="s">
        <v>7026</v>
      </c>
      <c r="J38" s="766" t="s">
        <v>324</v>
      </c>
      <c r="K38" s="790">
        <v>0</v>
      </c>
      <c r="L38" s="790"/>
      <c r="M38" s="790"/>
      <c r="N38" s="312">
        <f t="shared" si="1"/>
        <v>0</v>
      </c>
      <c r="O38" s="657">
        <f>VLOOKUP(D:D,'Master Table'!C:O,13,FALSE)</f>
        <v>0</v>
      </c>
      <c r="P38" s="657">
        <v>0</v>
      </c>
      <c r="Q38" s="476">
        <v>66.16</v>
      </c>
      <c r="R38" s="91">
        <v>30.2</v>
      </c>
      <c r="S38" s="667">
        <v>64.14</v>
      </c>
    </row>
    <row r="39" spans="1:20" ht="30" customHeight="1" x14ac:dyDescent="0.2">
      <c r="A39" s="291" t="str">
        <f t="shared" si="0"/>
        <v>WRX060 / 1660</v>
      </c>
      <c r="B39" s="89" t="s">
        <v>7133</v>
      </c>
      <c r="C39" s="89" t="s">
        <v>127</v>
      </c>
      <c r="D39" s="318" t="s">
        <v>7116</v>
      </c>
      <c r="E39" s="369" t="str">
        <f>VLOOKUP(D:D,'Master Table'!C:D,2,FALSE)</f>
        <v>1660</v>
      </c>
      <c r="F39" s="766" t="s">
        <v>7116</v>
      </c>
      <c r="G39" s="766" t="s">
        <v>7117</v>
      </c>
      <c r="H39" s="769" t="s">
        <v>403</v>
      </c>
      <c r="I39" s="769" t="s">
        <v>7118</v>
      </c>
      <c r="J39" s="766" t="s">
        <v>324</v>
      </c>
      <c r="K39" s="790">
        <v>3556.89</v>
      </c>
      <c r="L39" s="790"/>
      <c r="M39" s="790"/>
      <c r="N39" s="312">
        <f t="shared" si="1"/>
        <v>3556.89</v>
      </c>
      <c r="O39" s="657">
        <f>VLOOKUP(D:D,'Master Table'!C:O,13,FALSE)</f>
        <v>3717.33</v>
      </c>
      <c r="P39" s="657">
        <v>3717.33</v>
      </c>
      <c r="Q39" s="476">
        <v>3455.43</v>
      </c>
      <c r="R39" s="91">
        <v>3556.52</v>
      </c>
      <c r="S39" s="667">
        <v>3615.29</v>
      </c>
    </row>
    <row r="40" spans="1:20" ht="30" customHeight="1" x14ac:dyDescent="0.2">
      <c r="A40" s="291" t="str">
        <f t="shared" si="0"/>
        <v>WRX061 / 1661</v>
      </c>
      <c r="B40" s="89" t="s">
        <v>8142</v>
      </c>
      <c r="C40" s="89" t="s">
        <v>8143</v>
      </c>
      <c r="D40" s="318" t="s">
        <v>7119</v>
      </c>
      <c r="E40" s="369" t="str">
        <f>VLOOKUP(D:D,'Master Table'!C:D,2,FALSE)</f>
        <v>1661</v>
      </c>
      <c r="F40" s="766" t="s">
        <v>7119</v>
      </c>
      <c r="G40" s="766" t="s">
        <v>7120</v>
      </c>
      <c r="H40" s="769" t="s">
        <v>7121</v>
      </c>
      <c r="I40" s="769" t="s">
        <v>6924</v>
      </c>
      <c r="J40" s="766" t="s">
        <v>324</v>
      </c>
      <c r="K40" s="790">
        <v>188.17</v>
      </c>
      <c r="L40" s="790"/>
      <c r="M40" s="790"/>
      <c r="N40" s="312">
        <f t="shared" si="1"/>
        <v>188.17</v>
      </c>
      <c r="O40" s="657">
        <f>VLOOKUP(D:D,'Master Table'!C:O,13,FALSE)</f>
        <v>956.59999999999991</v>
      </c>
      <c r="P40" s="657">
        <v>956.59999999999991</v>
      </c>
      <c r="Q40" s="476">
        <v>804.99</v>
      </c>
      <c r="R40" s="91">
        <v>808.82</v>
      </c>
      <c r="S40" s="667">
        <v>529.03</v>
      </c>
    </row>
    <row r="41" spans="1:20" ht="30" customHeight="1" x14ac:dyDescent="0.2">
      <c r="A41" s="291" t="str">
        <f t="shared" si="0"/>
        <v>WRX062 / 1662</v>
      </c>
      <c r="B41" s="89" t="s">
        <v>8144</v>
      </c>
      <c r="C41" s="89" t="s">
        <v>783</v>
      </c>
      <c r="D41" s="318" t="s">
        <v>7123</v>
      </c>
      <c r="E41" s="369" t="str">
        <f>VLOOKUP(D:D,'Master Table'!C:D,2,FALSE)</f>
        <v>1662</v>
      </c>
      <c r="F41" s="766" t="s">
        <v>7123</v>
      </c>
      <c r="G41" s="766" t="s">
        <v>7124</v>
      </c>
      <c r="H41" s="769" t="s">
        <v>7125</v>
      </c>
      <c r="I41" s="769" t="s">
        <v>7126</v>
      </c>
      <c r="J41" s="766" t="s">
        <v>351</v>
      </c>
      <c r="K41" s="790">
        <v>399.53</v>
      </c>
      <c r="L41" s="790">
        <v>900</v>
      </c>
      <c r="M41" s="790"/>
      <c r="N41" s="312">
        <f t="shared" si="1"/>
        <v>1299.53</v>
      </c>
      <c r="O41" s="657">
        <f>VLOOKUP(D:D,'Master Table'!C:O,13,FALSE)</f>
        <v>1928.51</v>
      </c>
      <c r="P41" s="657">
        <v>1928.51</v>
      </c>
      <c r="Q41" s="476">
        <v>1748.75</v>
      </c>
      <c r="R41" s="91">
        <v>1133.67</v>
      </c>
      <c r="S41" s="667">
        <v>946.95</v>
      </c>
    </row>
    <row r="42" spans="1:20" ht="30" customHeight="1" x14ac:dyDescent="0.2">
      <c r="A42" s="291" t="str">
        <f t="shared" si="0"/>
        <v>WRX063 / 1663</v>
      </c>
      <c r="B42" s="89" t="s">
        <v>7130</v>
      </c>
      <c r="C42" s="89" t="s">
        <v>5066</v>
      </c>
      <c r="D42" s="318" t="s">
        <v>7128</v>
      </c>
      <c r="E42" s="369" t="str">
        <f>VLOOKUP(D:D,'Master Table'!C:D,2,FALSE)</f>
        <v>1663</v>
      </c>
      <c r="F42" s="766" t="s">
        <v>7128</v>
      </c>
      <c r="G42" s="766" t="s">
        <v>7129</v>
      </c>
      <c r="H42" s="769" t="s">
        <v>4258</v>
      </c>
      <c r="I42" s="769" t="s">
        <v>7130</v>
      </c>
      <c r="J42" s="766" t="s">
        <v>351</v>
      </c>
      <c r="K42" s="790">
        <v>111.81</v>
      </c>
      <c r="L42" s="790">
        <v>20</v>
      </c>
      <c r="M42" s="790"/>
      <c r="N42" s="312">
        <f t="shared" si="1"/>
        <v>131.81</v>
      </c>
      <c r="O42" s="657">
        <f>VLOOKUP(D:D,'Master Table'!C:O,13,FALSE)</f>
        <v>195.48999999999998</v>
      </c>
      <c r="P42" s="657">
        <v>195.48999999999998</v>
      </c>
      <c r="Q42" s="476">
        <v>164.1</v>
      </c>
      <c r="R42" s="91">
        <v>211.11</v>
      </c>
      <c r="S42" s="667">
        <v>139.76</v>
      </c>
    </row>
    <row r="43" spans="1:20" ht="30" customHeight="1" x14ac:dyDescent="0.2">
      <c r="A43" s="291" t="str">
        <f t="shared" si="0"/>
        <v>WRX065 / 1664</v>
      </c>
      <c r="B43" s="89" t="s">
        <v>8145</v>
      </c>
      <c r="C43" s="89" t="s">
        <v>1409</v>
      </c>
      <c r="D43" s="318" t="s">
        <v>7137</v>
      </c>
      <c r="E43" s="369" t="str">
        <f>VLOOKUP(D:D,'Master Table'!C:D,2,FALSE)</f>
        <v>1664</v>
      </c>
      <c r="F43" s="766" t="s">
        <v>7137</v>
      </c>
      <c r="G43" s="766" t="s">
        <v>7138</v>
      </c>
      <c r="H43" s="769" t="s">
        <v>709</v>
      </c>
      <c r="I43" s="769" t="s">
        <v>7139</v>
      </c>
      <c r="J43" s="766" t="s">
        <v>324</v>
      </c>
      <c r="K43" s="790">
        <v>0</v>
      </c>
      <c r="L43" s="790"/>
      <c r="M43" s="790"/>
      <c r="N43" s="312">
        <f t="shared" si="1"/>
        <v>0</v>
      </c>
      <c r="O43" s="657">
        <f>VLOOKUP(D:D,'Master Table'!C:O,13,FALSE)</f>
        <v>335.61</v>
      </c>
      <c r="P43" s="657">
        <v>335.61</v>
      </c>
      <c r="Q43" s="476">
        <v>471.97</v>
      </c>
      <c r="R43" s="91">
        <v>541.13</v>
      </c>
      <c r="S43" s="667">
        <v>0</v>
      </c>
    </row>
    <row r="44" spans="1:20" ht="30" customHeight="1" x14ac:dyDescent="0.2">
      <c r="A44" s="291" t="str">
        <f t="shared" si="0"/>
        <v>WRX068 / 1666</v>
      </c>
      <c r="B44" s="89" t="s">
        <v>8146</v>
      </c>
      <c r="C44" s="89" t="s">
        <v>89</v>
      </c>
      <c r="D44" s="318" t="s">
        <v>7140</v>
      </c>
      <c r="E44" s="369" t="str">
        <f>VLOOKUP(D:D,'Master Table'!C:D,2,FALSE)</f>
        <v>1666</v>
      </c>
      <c r="F44" s="766" t="s">
        <v>7140</v>
      </c>
      <c r="G44" s="766" t="s">
        <v>7141</v>
      </c>
      <c r="H44" s="769" t="s">
        <v>3420</v>
      </c>
      <c r="I44" s="769" t="s">
        <v>7142</v>
      </c>
      <c r="J44" s="766" t="s">
        <v>351</v>
      </c>
      <c r="K44" s="790">
        <v>303.58</v>
      </c>
      <c r="L44" s="790">
        <v>40</v>
      </c>
      <c r="M44" s="790"/>
      <c r="N44" s="312">
        <f t="shared" si="1"/>
        <v>343.58</v>
      </c>
      <c r="O44" s="657">
        <f>VLOOKUP(D:D,'Master Table'!C:O,13,FALSE)</f>
        <v>459.2</v>
      </c>
      <c r="P44" s="657">
        <v>459.2</v>
      </c>
      <c r="Q44" s="476">
        <v>624.91</v>
      </c>
      <c r="R44" s="91">
        <v>627.4</v>
      </c>
      <c r="S44" s="667">
        <v>489.96000000000004</v>
      </c>
    </row>
    <row r="45" spans="1:20" ht="30" customHeight="1" x14ac:dyDescent="0.2">
      <c r="A45" s="291" t="str">
        <f t="shared" si="0"/>
        <v>WRX069 / 1667</v>
      </c>
      <c r="B45" s="89" t="s">
        <v>7149</v>
      </c>
      <c r="C45" s="89" t="s">
        <v>5066</v>
      </c>
      <c r="D45" s="318" t="s">
        <v>7146</v>
      </c>
      <c r="E45" s="369" t="str">
        <f>VLOOKUP(D:D,'Master Table'!C:D,2,FALSE)</f>
        <v>1667</v>
      </c>
      <c r="F45" s="766" t="s">
        <v>7146</v>
      </c>
      <c r="G45" s="766" t="s">
        <v>7147</v>
      </c>
      <c r="H45" s="769" t="s">
        <v>7148</v>
      </c>
      <c r="I45" s="769" t="s">
        <v>7149</v>
      </c>
      <c r="J45" s="766" t="s">
        <v>324</v>
      </c>
      <c r="K45" s="790">
        <v>0</v>
      </c>
      <c r="L45" s="790">
        <v>523</v>
      </c>
      <c r="M45" s="790"/>
      <c r="N45" s="312">
        <f t="shared" si="1"/>
        <v>523</v>
      </c>
      <c r="O45" s="657">
        <f>VLOOKUP(D:D,'Master Table'!C:O,13,FALSE)</f>
        <v>872.51</v>
      </c>
      <c r="P45" s="657">
        <v>872.51</v>
      </c>
      <c r="Q45" s="476">
        <v>644</v>
      </c>
      <c r="R45" s="91">
        <v>631</v>
      </c>
      <c r="S45" s="667">
        <v>602.68000000000006</v>
      </c>
    </row>
    <row r="46" spans="1:20" ht="42.75" x14ac:dyDescent="0.2">
      <c r="A46" s="291" t="str">
        <f t="shared" si="0"/>
        <v>WRX999 / 1670</v>
      </c>
      <c r="B46" s="89" t="s">
        <v>7261</v>
      </c>
      <c r="C46" s="89"/>
      <c r="D46" s="318" t="s">
        <v>7154</v>
      </c>
      <c r="E46" s="369" t="str">
        <f>VLOOKUP(D:D,'Master Table'!C:D,2,FALSE)</f>
        <v>1670</v>
      </c>
      <c r="F46" s="766" t="s">
        <v>7154</v>
      </c>
      <c r="G46" s="766" t="s">
        <v>7155</v>
      </c>
      <c r="H46" s="769" t="s">
        <v>7156</v>
      </c>
      <c r="I46" s="750"/>
      <c r="J46" s="766" t="s">
        <v>324</v>
      </c>
      <c r="K46" s="790">
        <v>274.85000000000002</v>
      </c>
      <c r="L46" s="790">
        <v>2474.0500000000002</v>
      </c>
      <c r="M46" s="790">
        <v>25</v>
      </c>
      <c r="N46" s="312">
        <f t="shared" ref="N46" si="3">K46+L46+M46</f>
        <v>2773.9</v>
      </c>
      <c r="O46" s="657">
        <f>VLOOKUP(D:D,'Master Table'!C:O,13,FALSE)</f>
        <v>360.17</v>
      </c>
      <c r="P46" s="657">
        <v>360.17</v>
      </c>
      <c r="Q46" s="476">
        <v>170</v>
      </c>
      <c r="R46" s="91">
        <v>376.52</v>
      </c>
      <c r="S46" s="667"/>
    </row>
    <row r="47" spans="1:20" hidden="1" x14ac:dyDescent="0.2">
      <c r="O47" s="553"/>
      <c r="P47" s="553"/>
      <c r="Q47" s="553"/>
      <c r="R47" s="240"/>
      <c r="S47" s="642"/>
    </row>
    <row r="48" spans="1:20" hidden="1" x14ac:dyDescent="0.2">
      <c r="C48" s="543" t="s">
        <v>8368</v>
      </c>
      <c r="E48" s="542" t="s">
        <v>8368</v>
      </c>
      <c r="O48" s="553"/>
      <c r="P48" s="478">
        <v>2019</v>
      </c>
      <c r="Q48" s="478">
        <v>2018</v>
      </c>
      <c r="R48" s="369">
        <v>2017</v>
      </c>
      <c r="S48" s="478">
        <v>2016</v>
      </c>
    </row>
    <row r="49" spans="1:19" ht="15.75" thickBot="1" x14ac:dyDescent="0.25">
      <c r="O49" s="553"/>
      <c r="P49" s="553">
        <v>26538.76</v>
      </c>
      <c r="Q49" s="553">
        <v>25839.23</v>
      </c>
      <c r="R49" s="240">
        <v>21793.989999999998</v>
      </c>
      <c r="S49" s="650">
        <v>22020.74</v>
      </c>
    </row>
    <row r="50" spans="1:19" s="74" customFormat="1" ht="83.25" customHeight="1" thickBot="1" x14ac:dyDescent="0.25">
      <c r="A50" s="854" t="s">
        <v>10987</v>
      </c>
      <c r="B50" s="855"/>
      <c r="C50" s="855"/>
      <c r="D50" s="855"/>
      <c r="E50" s="855"/>
      <c r="F50" s="855"/>
      <c r="G50" s="855"/>
      <c r="H50" s="855"/>
      <c r="I50" s="855"/>
      <c r="J50" s="855"/>
      <c r="K50" s="855"/>
      <c r="L50" s="855"/>
      <c r="M50" s="855"/>
      <c r="N50" s="855"/>
      <c r="O50" s="855"/>
    </row>
    <row r="51" spans="1:19" s="74" customFormat="1" x14ac:dyDescent="0.2">
      <c r="A51" s="718"/>
      <c r="B51" s="718"/>
      <c r="C51" s="718"/>
      <c r="O51" s="283"/>
    </row>
    <row r="52" spans="1:19" s="74" customFormat="1" ht="30" x14ac:dyDescent="0.2">
      <c r="A52" s="763" t="s">
        <v>7422</v>
      </c>
      <c r="B52" s="764" t="s">
        <v>11007</v>
      </c>
      <c r="C52" s="715"/>
      <c r="O52" s="283"/>
    </row>
    <row r="53" spans="1:19" s="74" customFormat="1" ht="60" x14ac:dyDescent="0.2">
      <c r="A53" s="763" t="s">
        <v>10990</v>
      </c>
      <c r="B53" s="764" t="s">
        <v>11008</v>
      </c>
      <c r="C53" s="715"/>
      <c r="O53" s="283"/>
    </row>
    <row r="54" spans="1:19" s="74" customFormat="1" ht="60" x14ac:dyDescent="0.2">
      <c r="A54" s="763" t="s">
        <v>10991</v>
      </c>
      <c r="B54" s="764" t="s">
        <v>11009</v>
      </c>
      <c r="C54" s="715"/>
      <c r="O54" s="283"/>
    </row>
    <row r="55" spans="1:19" x14ac:dyDescent="0.2">
      <c r="O55" s="553"/>
      <c r="P55" s="553"/>
      <c r="Q55" s="553"/>
      <c r="R55" s="240"/>
      <c r="S55" s="642"/>
    </row>
    <row r="56" spans="1:19" x14ac:dyDescent="0.2">
      <c r="O56" s="553"/>
      <c r="P56" s="553"/>
      <c r="Q56" s="553"/>
      <c r="R56" s="240"/>
      <c r="S56" s="642"/>
    </row>
    <row r="57" spans="1:19" x14ac:dyDescent="0.2">
      <c r="O57" s="553"/>
      <c r="P57" s="553"/>
      <c r="Q57" s="553"/>
      <c r="R57" s="240"/>
      <c r="S57" s="642"/>
    </row>
    <row r="58" spans="1:19" x14ac:dyDescent="0.2">
      <c r="O58" s="553"/>
      <c r="P58" s="553"/>
      <c r="Q58" s="553"/>
      <c r="R58" s="240"/>
      <c r="S58" s="642"/>
    </row>
    <row r="59" spans="1:19" x14ac:dyDescent="0.2">
      <c r="O59" s="553"/>
      <c r="P59" s="553"/>
      <c r="Q59" s="553"/>
      <c r="R59" s="240"/>
      <c r="S59" s="642"/>
    </row>
    <row r="60" spans="1:19" x14ac:dyDescent="0.2">
      <c r="O60" s="553"/>
      <c r="P60" s="553"/>
      <c r="Q60" s="553"/>
      <c r="R60" s="240"/>
      <c r="S60" s="642"/>
    </row>
    <row r="61" spans="1:19" x14ac:dyDescent="0.2">
      <c r="O61" s="553"/>
      <c r="P61" s="553"/>
      <c r="Q61" s="553"/>
      <c r="R61" s="240"/>
      <c r="S61" s="642"/>
    </row>
    <row r="62" spans="1:19" x14ac:dyDescent="0.2">
      <c r="O62" s="553"/>
      <c r="P62" s="553"/>
      <c r="Q62" s="553"/>
      <c r="R62" s="240"/>
      <c r="S62" s="642"/>
    </row>
    <row r="63" spans="1:19" x14ac:dyDescent="0.2">
      <c r="O63" s="553"/>
      <c r="P63" s="553"/>
      <c r="Q63" s="553"/>
      <c r="R63" s="240"/>
      <c r="S63" s="642"/>
    </row>
    <row r="64" spans="1:19" x14ac:dyDescent="0.2">
      <c r="O64" s="553"/>
      <c r="P64" s="553"/>
      <c r="Q64" s="553"/>
      <c r="R64" s="240"/>
      <c r="S64" s="642"/>
    </row>
    <row r="65" spans="15:19" x14ac:dyDescent="0.2">
      <c r="O65" s="553"/>
      <c r="P65" s="553"/>
      <c r="Q65" s="553"/>
      <c r="R65" s="240"/>
      <c r="S65" s="642"/>
    </row>
    <row r="66" spans="15:19" x14ac:dyDescent="0.2">
      <c r="O66" s="553"/>
      <c r="P66" s="553"/>
      <c r="Q66" s="553"/>
      <c r="R66" s="240"/>
      <c r="S66" s="642"/>
    </row>
    <row r="67" spans="15:19" x14ac:dyDescent="0.2">
      <c r="O67" s="553"/>
      <c r="P67" s="553"/>
      <c r="Q67" s="553"/>
      <c r="R67" s="240"/>
      <c r="S67" s="642"/>
    </row>
    <row r="68" spans="15:19" x14ac:dyDescent="0.2">
      <c r="O68" s="553"/>
      <c r="P68" s="553"/>
      <c r="Q68" s="553"/>
      <c r="R68" s="240"/>
      <c r="S68" s="642"/>
    </row>
  </sheetData>
  <mergeCells count="2">
    <mergeCell ref="B35:B36"/>
    <mergeCell ref="A50:O50"/>
  </mergeCells>
  <pageMargins left="0.23622047244094491" right="0.23622047244094491" top="0.39370078740157483" bottom="0.39370078740157483" header="0.31496062992125984" footer="0.31496062992125984"/>
  <pageSetup paperSize="9" scale="74" fitToHeight="0" orientation="portrait" r:id="rId1"/>
  <headerFooter>
    <oddFooter>&amp;RPage &amp;P / &amp;N</oddFooter>
  </headerFooter>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D44"/>
  <sheetViews>
    <sheetView topLeftCell="A13" zoomScale="110" zoomScaleNormal="110" workbookViewId="0">
      <selection activeCell="D38" sqref="D38"/>
    </sheetView>
  </sheetViews>
  <sheetFormatPr defaultRowHeight="12.75" x14ac:dyDescent="0.2"/>
  <sheetData>
    <row r="2" spans="1:3" x14ac:dyDescent="0.2">
      <c r="A2" s="378" t="s">
        <v>8401</v>
      </c>
    </row>
    <row r="3" spans="1:3" x14ac:dyDescent="0.2">
      <c r="B3" s="18" t="s">
        <v>8402</v>
      </c>
    </row>
    <row r="4" spans="1:3" x14ac:dyDescent="0.2">
      <c r="C4" s="18" t="s">
        <v>8403</v>
      </c>
    </row>
    <row r="11" spans="1:3" x14ac:dyDescent="0.2">
      <c r="A11" s="378" t="s">
        <v>8404</v>
      </c>
    </row>
    <row r="12" spans="1:3" x14ac:dyDescent="0.2">
      <c r="B12" s="18" t="s">
        <v>8379</v>
      </c>
    </row>
    <row r="13" spans="1:3" x14ac:dyDescent="0.2">
      <c r="B13" s="595" t="s">
        <v>8440</v>
      </c>
      <c r="C13" s="18" t="s">
        <v>8380</v>
      </c>
    </row>
    <row r="14" spans="1:3" x14ac:dyDescent="0.2">
      <c r="C14" s="18" t="s">
        <v>8381</v>
      </c>
    </row>
    <row r="15" spans="1:3" x14ac:dyDescent="0.2">
      <c r="C15" s="18" t="s">
        <v>8382</v>
      </c>
    </row>
    <row r="18" spans="1:4" x14ac:dyDescent="0.2">
      <c r="B18" s="595" t="s">
        <v>8441</v>
      </c>
      <c r="C18" s="18" t="s">
        <v>8442</v>
      </c>
    </row>
    <row r="19" spans="1:4" x14ac:dyDescent="0.2">
      <c r="D19" s="18" t="s">
        <v>8443</v>
      </c>
    </row>
    <row r="25" spans="1:4" x14ac:dyDescent="0.2">
      <c r="B25" s="18" t="s">
        <v>8386</v>
      </c>
    </row>
    <row r="26" spans="1:4" x14ac:dyDescent="0.2">
      <c r="C26" s="18" t="s">
        <v>8387</v>
      </c>
    </row>
    <row r="27" spans="1:4" x14ac:dyDescent="0.2">
      <c r="D27" s="18" t="s">
        <v>8389</v>
      </c>
    </row>
    <row r="28" spans="1:4" x14ac:dyDescent="0.2">
      <c r="C28" s="18" t="s">
        <v>8388</v>
      </c>
    </row>
    <row r="31" spans="1:4" x14ac:dyDescent="0.2">
      <c r="A31" s="378" t="s">
        <v>8444</v>
      </c>
    </row>
    <row r="32" spans="1:4" x14ac:dyDescent="0.2">
      <c r="A32" s="378"/>
      <c r="B32" s="18" t="s">
        <v>8450</v>
      </c>
      <c r="C32" s="595" t="s">
        <v>8452</v>
      </c>
    </row>
    <row r="33" spans="1:3" x14ac:dyDescent="0.2">
      <c r="A33" s="378"/>
      <c r="B33" s="18" t="s">
        <v>8451</v>
      </c>
      <c r="C33" s="18" t="s">
        <v>8454</v>
      </c>
    </row>
    <row r="34" spans="1:3" x14ac:dyDescent="0.2">
      <c r="A34" s="378"/>
      <c r="B34" s="18"/>
      <c r="C34" s="18"/>
    </row>
    <row r="35" spans="1:3" x14ac:dyDescent="0.2">
      <c r="A35" s="378"/>
      <c r="B35" s="492" t="s">
        <v>8453</v>
      </c>
    </row>
    <row r="36" spans="1:3" x14ac:dyDescent="0.2">
      <c r="A36" s="378"/>
      <c r="B36" s="18" t="s">
        <v>8447</v>
      </c>
    </row>
    <row r="37" spans="1:3" x14ac:dyDescent="0.2">
      <c r="A37" s="378"/>
      <c r="B37" s="18"/>
    </row>
    <row r="38" spans="1:3" x14ac:dyDescent="0.2">
      <c r="A38" s="378"/>
      <c r="B38" s="18"/>
    </row>
    <row r="39" spans="1:3" x14ac:dyDescent="0.2">
      <c r="A39" s="378"/>
      <c r="B39" s="18"/>
    </row>
    <row r="40" spans="1:3" x14ac:dyDescent="0.2">
      <c r="A40" s="378"/>
      <c r="B40" s="18"/>
    </row>
    <row r="41" spans="1:3" x14ac:dyDescent="0.2">
      <c r="A41" s="378"/>
      <c r="B41" s="18"/>
    </row>
    <row r="42" spans="1:3" x14ac:dyDescent="0.2">
      <c r="A42" s="378"/>
    </row>
    <row r="43" spans="1:3" x14ac:dyDescent="0.2">
      <c r="A43" s="18" t="s">
        <v>8448</v>
      </c>
      <c r="B43" s="492" t="s">
        <v>8445</v>
      </c>
    </row>
    <row r="44" spans="1:3" x14ac:dyDescent="0.2">
      <c r="B44" s="395" t="s">
        <v>8446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E1512"/>
  <sheetViews>
    <sheetView topLeftCell="A870" zoomScale="120" zoomScaleNormal="120" workbookViewId="0">
      <selection activeCell="F892" sqref="F892"/>
    </sheetView>
  </sheetViews>
  <sheetFormatPr defaultRowHeight="12.75" x14ac:dyDescent="0.2"/>
  <cols>
    <col min="2" max="2" width="28.85546875" customWidth="1"/>
    <col min="3" max="3" width="15.140625" style="491" customWidth="1"/>
  </cols>
  <sheetData>
    <row r="1" spans="1:5" x14ac:dyDescent="0.2">
      <c r="A1" s="18" t="s">
        <v>8288</v>
      </c>
      <c r="E1" s="378" t="s">
        <v>8287</v>
      </c>
    </row>
    <row r="4" spans="1:5" x14ac:dyDescent="0.2">
      <c r="B4" t="s">
        <v>310</v>
      </c>
      <c r="C4" s="494" t="s">
        <v>307</v>
      </c>
    </row>
    <row r="5" spans="1:5" x14ac:dyDescent="0.2">
      <c r="B5" t="s">
        <v>325</v>
      </c>
      <c r="C5" s="491">
        <v>325</v>
      </c>
    </row>
    <row r="6" spans="1:5" x14ac:dyDescent="0.2">
      <c r="B6" t="s">
        <v>333</v>
      </c>
      <c r="C6" s="491">
        <v>213</v>
      </c>
    </row>
    <row r="7" spans="1:5" x14ac:dyDescent="0.2">
      <c r="B7" t="s">
        <v>338</v>
      </c>
      <c r="C7" s="491">
        <v>155</v>
      </c>
    </row>
    <row r="8" spans="1:5" x14ac:dyDescent="0.2">
      <c r="B8" t="s">
        <v>341</v>
      </c>
      <c r="C8" s="491">
        <v>100</v>
      </c>
    </row>
    <row r="9" spans="1:5" x14ac:dyDescent="0.2">
      <c r="B9" t="s">
        <v>344</v>
      </c>
      <c r="C9" s="491">
        <v>50</v>
      </c>
    </row>
    <row r="10" spans="1:5" x14ac:dyDescent="0.2">
      <c r="B10" t="s">
        <v>348</v>
      </c>
      <c r="C10" s="491">
        <v>127</v>
      </c>
    </row>
    <row r="11" spans="1:5" x14ac:dyDescent="0.2">
      <c r="B11" t="s">
        <v>352</v>
      </c>
      <c r="C11" s="491">
        <v>420</v>
      </c>
    </row>
    <row r="12" spans="1:5" x14ac:dyDescent="0.2">
      <c r="B12" t="s">
        <v>355</v>
      </c>
      <c r="C12" s="491">
        <v>974</v>
      </c>
    </row>
    <row r="13" spans="1:5" x14ac:dyDescent="0.2">
      <c r="B13" t="s">
        <v>360</v>
      </c>
      <c r="C13" s="491">
        <v>295</v>
      </c>
    </row>
    <row r="14" spans="1:5" x14ac:dyDescent="0.2">
      <c r="B14" t="s">
        <v>364</v>
      </c>
      <c r="C14" s="491">
        <v>755</v>
      </c>
    </row>
    <row r="15" spans="1:5" x14ac:dyDescent="0.2">
      <c r="B15" t="s">
        <v>376</v>
      </c>
      <c r="C15" s="491">
        <v>4260</v>
      </c>
    </row>
    <row r="16" spans="1:5" x14ac:dyDescent="0.2">
      <c r="B16" t="s">
        <v>380</v>
      </c>
      <c r="C16" s="491">
        <v>220</v>
      </c>
    </row>
    <row r="17" spans="2:3" x14ac:dyDescent="0.2">
      <c r="B17" t="s">
        <v>388</v>
      </c>
      <c r="C17" s="491">
        <v>90</v>
      </c>
    </row>
    <row r="18" spans="2:3" x14ac:dyDescent="0.2">
      <c r="B18" t="s">
        <v>396</v>
      </c>
      <c r="C18" s="491">
        <v>194.5</v>
      </c>
    </row>
    <row r="19" spans="2:3" x14ac:dyDescent="0.2">
      <c r="B19" t="s">
        <v>398</v>
      </c>
      <c r="C19" s="491">
        <v>520</v>
      </c>
    </row>
    <row r="20" spans="2:3" x14ac:dyDescent="0.2">
      <c r="B20" t="s">
        <v>401</v>
      </c>
      <c r="C20" s="491">
        <v>315.25</v>
      </c>
    </row>
    <row r="21" spans="2:3" x14ac:dyDescent="0.2">
      <c r="B21" t="s">
        <v>404</v>
      </c>
      <c r="C21" s="491">
        <v>323</v>
      </c>
    </row>
    <row r="22" spans="2:3" x14ac:dyDescent="0.2">
      <c r="B22" t="s">
        <v>406</v>
      </c>
      <c r="C22" s="491">
        <v>125</v>
      </c>
    </row>
    <row r="23" spans="2:3" x14ac:dyDescent="0.2">
      <c r="B23" t="s">
        <v>410</v>
      </c>
      <c r="C23" s="491">
        <v>305</v>
      </c>
    </row>
    <row r="24" spans="2:3" x14ac:dyDescent="0.2">
      <c r="B24" t="s">
        <v>414</v>
      </c>
      <c r="C24" s="491">
        <v>1696.1399999999999</v>
      </c>
    </row>
    <row r="25" spans="2:3" x14ac:dyDescent="0.2">
      <c r="B25" t="s">
        <v>419</v>
      </c>
      <c r="C25" s="491">
        <v>525</v>
      </c>
    </row>
    <row r="26" spans="2:3" x14ac:dyDescent="0.2">
      <c r="B26" t="s">
        <v>423</v>
      </c>
      <c r="C26" s="491">
        <v>1012</v>
      </c>
    </row>
    <row r="27" spans="2:3" x14ac:dyDescent="0.2">
      <c r="B27" t="s">
        <v>426</v>
      </c>
      <c r="C27" s="491">
        <v>2392.77</v>
      </c>
    </row>
    <row r="28" spans="2:3" x14ac:dyDescent="0.2">
      <c r="B28" t="s">
        <v>430</v>
      </c>
      <c r="C28" s="491">
        <v>732</v>
      </c>
    </row>
    <row r="29" spans="2:3" x14ac:dyDescent="0.2">
      <c r="B29" t="s">
        <v>433</v>
      </c>
      <c r="C29" s="491">
        <v>967</v>
      </c>
    </row>
    <row r="30" spans="2:3" x14ac:dyDescent="0.2">
      <c r="B30" t="s">
        <v>444</v>
      </c>
      <c r="C30" s="491">
        <v>700</v>
      </c>
    </row>
    <row r="31" spans="2:3" x14ac:dyDescent="0.2">
      <c r="B31" t="s">
        <v>447</v>
      </c>
      <c r="C31" s="491">
        <v>169</v>
      </c>
    </row>
    <row r="32" spans="2:3" x14ac:dyDescent="0.2">
      <c r="B32" t="s">
        <v>455</v>
      </c>
      <c r="C32" s="491">
        <v>905</v>
      </c>
    </row>
    <row r="33" spans="2:3" x14ac:dyDescent="0.2">
      <c r="B33" t="s">
        <v>462</v>
      </c>
      <c r="C33" s="491">
        <v>217</v>
      </c>
    </row>
    <row r="34" spans="2:3" x14ac:dyDescent="0.2">
      <c r="B34" t="s">
        <v>466</v>
      </c>
      <c r="C34" s="491">
        <v>430</v>
      </c>
    </row>
    <row r="35" spans="2:3" x14ac:dyDescent="0.2">
      <c r="B35" t="s">
        <v>470</v>
      </c>
      <c r="C35" s="491">
        <v>830.7</v>
      </c>
    </row>
    <row r="36" spans="2:3" x14ac:dyDescent="0.2">
      <c r="B36" t="s">
        <v>477</v>
      </c>
      <c r="C36" s="491">
        <v>250</v>
      </c>
    </row>
    <row r="37" spans="2:3" x14ac:dyDescent="0.2">
      <c r="B37" t="s">
        <v>480</v>
      </c>
      <c r="C37" s="491">
        <v>145</v>
      </c>
    </row>
    <row r="38" spans="2:3" x14ac:dyDescent="0.2">
      <c r="B38" t="s">
        <v>482</v>
      </c>
      <c r="C38" s="491">
        <v>792</v>
      </c>
    </row>
    <row r="39" spans="2:3" x14ac:dyDescent="0.2">
      <c r="B39" t="s">
        <v>486</v>
      </c>
      <c r="C39" s="491">
        <v>1403.84</v>
      </c>
    </row>
    <row r="40" spans="2:3" x14ac:dyDescent="0.2">
      <c r="B40" t="s">
        <v>490</v>
      </c>
      <c r="C40" s="491">
        <v>226.84</v>
      </c>
    </row>
    <row r="41" spans="2:3" x14ac:dyDescent="0.2">
      <c r="B41" t="s">
        <v>499</v>
      </c>
      <c r="C41" s="491">
        <v>1189</v>
      </c>
    </row>
    <row r="42" spans="2:3" x14ac:dyDescent="0.2">
      <c r="B42" t="s">
        <v>502</v>
      </c>
      <c r="C42" s="491">
        <v>895</v>
      </c>
    </row>
    <row r="43" spans="2:3" x14ac:dyDescent="0.2">
      <c r="B43" t="s">
        <v>506</v>
      </c>
      <c r="C43" s="491">
        <v>883.67</v>
      </c>
    </row>
    <row r="44" spans="2:3" x14ac:dyDescent="0.2">
      <c r="B44" t="s">
        <v>510</v>
      </c>
      <c r="C44" s="491">
        <v>1282</v>
      </c>
    </row>
    <row r="45" spans="2:3" x14ac:dyDescent="0.2">
      <c r="B45" t="s">
        <v>515</v>
      </c>
      <c r="C45" s="491">
        <v>155</v>
      </c>
    </row>
    <row r="46" spans="2:3" x14ac:dyDescent="0.2">
      <c r="B46" t="s">
        <v>518</v>
      </c>
      <c r="C46" s="491">
        <v>155</v>
      </c>
    </row>
    <row r="47" spans="2:3" x14ac:dyDescent="0.2">
      <c r="B47" t="s">
        <v>521</v>
      </c>
      <c r="C47" s="491">
        <v>1130</v>
      </c>
    </row>
    <row r="48" spans="2:3" x14ac:dyDescent="0.2">
      <c r="B48" t="s">
        <v>525</v>
      </c>
      <c r="C48" s="491">
        <v>236</v>
      </c>
    </row>
    <row r="49" spans="2:3" x14ac:dyDescent="0.2">
      <c r="B49" t="s">
        <v>536</v>
      </c>
      <c r="C49" s="491">
        <v>457</v>
      </c>
    </row>
    <row r="50" spans="2:3" x14ac:dyDescent="0.2">
      <c r="B50" t="s">
        <v>539</v>
      </c>
      <c r="C50" s="491">
        <v>300</v>
      </c>
    </row>
    <row r="51" spans="2:3" x14ac:dyDescent="0.2">
      <c r="B51" t="s">
        <v>541</v>
      </c>
      <c r="C51" s="491">
        <v>506</v>
      </c>
    </row>
    <row r="52" spans="2:3" x14ac:dyDescent="0.2">
      <c r="B52" t="s">
        <v>543</v>
      </c>
      <c r="C52" s="491">
        <v>140</v>
      </c>
    </row>
    <row r="53" spans="2:3" x14ac:dyDescent="0.2">
      <c r="B53" t="s">
        <v>546</v>
      </c>
      <c r="C53" s="491">
        <v>40</v>
      </c>
    </row>
    <row r="54" spans="2:3" x14ac:dyDescent="0.2">
      <c r="B54" t="s">
        <v>550</v>
      </c>
      <c r="C54" s="491">
        <v>650.5</v>
      </c>
    </row>
    <row r="55" spans="2:3" x14ac:dyDescent="0.2">
      <c r="B55" t="s">
        <v>558</v>
      </c>
      <c r="C55" s="491">
        <v>427</v>
      </c>
    </row>
    <row r="56" spans="2:3" x14ac:dyDescent="0.2">
      <c r="B56" t="s">
        <v>562</v>
      </c>
      <c r="C56" s="491">
        <v>580</v>
      </c>
    </row>
    <row r="57" spans="2:3" x14ac:dyDescent="0.2">
      <c r="B57" t="s">
        <v>566</v>
      </c>
      <c r="C57" s="491">
        <v>822.51</v>
      </c>
    </row>
    <row r="58" spans="2:3" x14ac:dyDescent="0.2">
      <c r="B58" t="s">
        <v>571</v>
      </c>
      <c r="C58" s="491">
        <v>50</v>
      </c>
    </row>
    <row r="59" spans="2:3" x14ac:dyDescent="0.2">
      <c r="B59" t="s">
        <v>577</v>
      </c>
      <c r="C59" s="491">
        <v>945</v>
      </c>
    </row>
    <row r="60" spans="2:3" x14ac:dyDescent="0.2">
      <c r="B60" t="s">
        <v>581</v>
      </c>
      <c r="C60" s="491">
        <v>170</v>
      </c>
    </row>
    <row r="61" spans="2:3" x14ac:dyDescent="0.2">
      <c r="B61" t="s">
        <v>585</v>
      </c>
      <c r="C61" s="491">
        <v>510</v>
      </c>
    </row>
    <row r="62" spans="2:3" x14ac:dyDescent="0.2">
      <c r="B62" t="s">
        <v>588</v>
      </c>
      <c r="C62" s="491">
        <v>386.13</v>
      </c>
    </row>
    <row r="63" spans="2:3" x14ac:dyDescent="0.2">
      <c r="B63" t="s">
        <v>591</v>
      </c>
      <c r="C63" s="491">
        <v>2690.48</v>
      </c>
    </row>
    <row r="64" spans="2:3" x14ac:dyDescent="0.2">
      <c r="B64" t="s">
        <v>594</v>
      </c>
      <c r="C64" s="491">
        <v>489</v>
      </c>
    </row>
    <row r="65" spans="2:3" x14ac:dyDescent="0.2">
      <c r="B65" t="s">
        <v>597</v>
      </c>
      <c r="C65" s="491">
        <v>545</v>
      </c>
    </row>
    <row r="66" spans="2:3" x14ac:dyDescent="0.2">
      <c r="B66" t="s">
        <v>600</v>
      </c>
      <c r="C66" s="491">
        <v>125</v>
      </c>
    </row>
    <row r="67" spans="2:3" x14ac:dyDescent="0.2">
      <c r="B67" t="s">
        <v>603</v>
      </c>
      <c r="C67" s="491">
        <v>700</v>
      </c>
    </row>
    <row r="68" spans="2:3" x14ac:dyDescent="0.2">
      <c r="B68" t="s">
        <v>610</v>
      </c>
      <c r="C68" s="491">
        <v>815</v>
      </c>
    </row>
    <row r="69" spans="2:3" x14ac:dyDescent="0.2">
      <c r="B69" t="s">
        <v>614</v>
      </c>
      <c r="C69" s="491">
        <v>430</v>
      </c>
    </row>
    <row r="70" spans="2:3" x14ac:dyDescent="0.2">
      <c r="B70" t="s">
        <v>618</v>
      </c>
      <c r="C70" s="491">
        <v>117</v>
      </c>
    </row>
    <row r="71" spans="2:3" x14ac:dyDescent="0.2">
      <c r="B71" t="s">
        <v>621</v>
      </c>
      <c r="C71" s="491">
        <v>885</v>
      </c>
    </row>
    <row r="72" spans="2:3" x14ac:dyDescent="0.2">
      <c r="B72" t="s">
        <v>623</v>
      </c>
      <c r="C72" s="491">
        <v>235</v>
      </c>
    </row>
    <row r="73" spans="2:3" x14ac:dyDescent="0.2">
      <c r="B73" t="s">
        <v>628</v>
      </c>
      <c r="C73" s="491">
        <v>255</v>
      </c>
    </row>
    <row r="74" spans="2:3" x14ac:dyDescent="0.2">
      <c r="B74" t="s">
        <v>632</v>
      </c>
      <c r="C74" s="491">
        <v>218</v>
      </c>
    </row>
    <row r="75" spans="2:3" x14ac:dyDescent="0.2">
      <c r="B75" t="s">
        <v>635</v>
      </c>
      <c r="C75" s="491">
        <v>678.3</v>
      </c>
    </row>
    <row r="76" spans="2:3" x14ac:dyDescent="0.2">
      <c r="B76" t="s">
        <v>638</v>
      </c>
      <c r="C76" s="491">
        <v>516</v>
      </c>
    </row>
    <row r="77" spans="2:3" x14ac:dyDescent="0.2">
      <c r="B77" t="s">
        <v>641</v>
      </c>
      <c r="C77" s="491">
        <v>1058.6599999999999</v>
      </c>
    </row>
    <row r="78" spans="2:3" x14ac:dyDescent="0.2">
      <c r="B78" t="s">
        <v>646</v>
      </c>
      <c r="C78" s="491">
        <v>228</v>
      </c>
    </row>
    <row r="79" spans="2:3" x14ac:dyDescent="0.2">
      <c r="B79" t="s">
        <v>650</v>
      </c>
      <c r="C79" s="491">
        <v>694</v>
      </c>
    </row>
    <row r="80" spans="2:3" x14ac:dyDescent="0.2">
      <c r="B80" t="s">
        <v>654</v>
      </c>
      <c r="C80" s="491">
        <v>45</v>
      </c>
    </row>
    <row r="81" spans="2:3" x14ac:dyDescent="0.2">
      <c r="B81" t="s">
        <v>657</v>
      </c>
      <c r="C81" s="491">
        <v>240</v>
      </c>
    </row>
    <row r="82" spans="2:3" x14ac:dyDescent="0.2">
      <c r="B82" t="s">
        <v>661</v>
      </c>
      <c r="C82" s="491">
        <v>223.25</v>
      </c>
    </row>
    <row r="83" spans="2:3" x14ac:dyDescent="0.2">
      <c r="B83" t="s">
        <v>668</v>
      </c>
      <c r="C83" s="491">
        <v>190</v>
      </c>
    </row>
    <row r="84" spans="2:3" x14ac:dyDescent="0.2">
      <c r="B84" t="s">
        <v>672</v>
      </c>
      <c r="C84" s="491">
        <v>530</v>
      </c>
    </row>
    <row r="85" spans="2:3" x14ac:dyDescent="0.2">
      <c r="B85" t="s">
        <v>679</v>
      </c>
      <c r="C85" s="491">
        <v>177</v>
      </c>
    </row>
    <row r="86" spans="2:3" x14ac:dyDescent="0.2">
      <c r="B86" t="s">
        <v>688</v>
      </c>
      <c r="C86" s="491">
        <v>2725</v>
      </c>
    </row>
    <row r="87" spans="2:3" x14ac:dyDescent="0.2">
      <c r="B87" t="s">
        <v>695</v>
      </c>
      <c r="C87" s="491">
        <v>184</v>
      </c>
    </row>
    <row r="88" spans="2:3" x14ac:dyDescent="0.2">
      <c r="B88" t="s">
        <v>699</v>
      </c>
      <c r="C88" s="491">
        <v>275</v>
      </c>
    </row>
    <row r="89" spans="2:3" x14ac:dyDescent="0.2">
      <c r="B89" t="s">
        <v>703</v>
      </c>
      <c r="C89" s="491">
        <v>185</v>
      </c>
    </row>
    <row r="90" spans="2:3" x14ac:dyDescent="0.2">
      <c r="B90" t="s">
        <v>707</v>
      </c>
      <c r="C90" s="491">
        <v>212.75</v>
      </c>
    </row>
    <row r="91" spans="2:3" x14ac:dyDescent="0.2">
      <c r="B91" t="s">
        <v>711</v>
      </c>
      <c r="C91" s="491">
        <v>135</v>
      </c>
    </row>
    <row r="92" spans="2:3" x14ac:dyDescent="0.2">
      <c r="B92" t="s">
        <v>715</v>
      </c>
      <c r="C92" s="491">
        <v>905</v>
      </c>
    </row>
    <row r="93" spans="2:3" x14ac:dyDescent="0.2">
      <c r="B93" t="s">
        <v>718</v>
      </c>
      <c r="C93" s="491">
        <v>404.19</v>
      </c>
    </row>
    <row r="94" spans="2:3" x14ac:dyDescent="0.2">
      <c r="B94" t="s">
        <v>725</v>
      </c>
      <c r="C94" s="491">
        <v>220</v>
      </c>
    </row>
    <row r="95" spans="2:3" x14ac:dyDescent="0.2">
      <c r="B95" t="s">
        <v>729</v>
      </c>
      <c r="C95" s="491">
        <v>225</v>
      </c>
    </row>
    <row r="96" spans="2:3" x14ac:dyDescent="0.2">
      <c r="B96" t="s">
        <v>738</v>
      </c>
      <c r="C96" s="491">
        <v>75</v>
      </c>
    </row>
    <row r="97" spans="2:3" x14ac:dyDescent="0.2">
      <c r="B97" t="s">
        <v>741</v>
      </c>
      <c r="C97" s="491">
        <v>270</v>
      </c>
    </row>
    <row r="98" spans="2:3" x14ac:dyDescent="0.2">
      <c r="B98" t="s">
        <v>745</v>
      </c>
      <c r="C98" s="491">
        <v>995</v>
      </c>
    </row>
    <row r="99" spans="2:3" x14ac:dyDescent="0.2">
      <c r="B99" t="s">
        <v>749</v>
      </c>
      <c r="C99" s="491">
        <v>25</v>
      </c>
    </row>
    <row r="100" spans="2:3" x14ac:dyDescent="0.2">
      <c r="B100" t="s">
        <v>753</v>
      </c>
      <c r="C100" s="491">
        <v>460</v>
      </c>
    </row>
    <row r="101" spans="2:3" x14ac:dyDescent="0.2">
      <c r="B101" t="s">
        <v>758</v>
      </c>
      <c r="C101" s="491">
        <v>810</v>
      </c>
    </row>
    <row r="102" spans="2:3" x14ac:dyDescent="0.2">
      <c r="B102" t="s">
        <v>762</v>
      </c>
      <c r="C102" s="491">
        <v>629.37</v>
      </c>
    </row>
    <row r="103" spans="2:3" x14ac:dyDescent="0.2">
      <c r="B103" t="s">
        <v>765</v>
      </c>
      <c r="C103" s="491">
        <v>256</v>
      </c>
    </row>
    <row r="104" spans="2:3" x14ac:dyDescent="0.2">
      <c r="B104" t="s">
        <v>773</v>
      </c>
      <c r="C104" s="491">
        <v>900</v>
      </c>
    </row>
    <row r="105" spans="2:3" x14ac:dyDescent="0.2">
      <c r="B105" t="s">
        <v>777</v>
      </c>
      <c r="C105" s="491">
        <v>440.86</v>
      </c>
    </row>
    <row r="106" spans="2:3" x14ac:dyDescent="0.2">
      <c r="B106" t="s">
        <v>781</v>
      </c>
      <c r="C106" s="491">
        <v>1815</v>
      </c>
    </row>
    <row r="107" spans="2:3" x14ac:dyDescent="0.2">
      <c r="B107" t="s">
        <v>786</v>
      </c>
      <c r="C107" s="491">
        <v>240</v>
      </c>
    </row>
    <row r="108" spans="2:3" x14ac:dyDescent="0.2">
      <c r="B108" t="s">
        <v>790</v>
      </c>
      <c r="C108" s="491">
        <v>3645</v>
      </c>
    </row>
    <row r="109" spans="2:3" x14ac:dyDescent="0.2">
      <c r="B109" t="s">
        <v>794</v>
      </c>
      <c r="C109" s="491">
        <v>1547.01</v>
      </c>
    </row>
    <row r="110" spans="2:3" x14ac:dyDescent="0.2">
      <c r="B110" t="s">
        <v>799</v>
      </c>
      <c r="C110" s="491">
        <v>195</v>
      </c>
    </row>
    <row r="111" spans="2:3" x14ac:dyDescent="0.2">
      <c r="B111" t="s">
        <v>802</v>
      </c>
      <c r="C111" s="491">
        <v>70</v>
      </c>
    </row>
    <row r="112" spans="2:3" x14ac:dyDescent="0.2">
      <c r="B112" t="s">
        <v>807</v>
      </c>
      <c r="C112" s="491">
        <v>420</v>
      </c>
    </row>
    <row r="113" spans="2:3" x14ac:dyDescent="0.2">
      <c r="B113" t="s">
        <v>810</v>
      </c>
      <c r="C113" s="491">
        <v>200</v>
      </c>
    </row>
    <row r="114" spans="2:3" x14ac:dyDescent="0.2">
      <c r="B114" t="s">
        <v>814</v>
      </c>
      <c r="C114" s="491">
        <v>300</v>
      </c>
    </row>
    <row r="115" spans="2:3" x14ac:dyDescent="0.2">
      <c r="B115" t="s">
        <v>824</v>
      </c>
      <c r="C115" s="491">
        <v>120</v>
      </c>
    </row>
    <row r="116" spans="2:3" x14ac:dyDescent="0.2">
      <c r="B116" t="s">
        <v>829</v>
      </c>
      <c r="C116" s="491">
        <v>1429.08</v>
      </c>
    </row>
    <row r="117" spans="2:3" x14ac:dyDescent="0.2">
      <c r="B117" t="s">
        <v>833</v>
      </c>
      <c r="C117" s="491">
        <v>115</v>
      </c>
    </row>
    <row r="118" spans="2:3" x14ac:dyDescent="0.2">
      <c r="B118" t="s">
        <v>837</v>
      </c>
      <c r="C118" s="491">
        <v>75</v>
      </c>
    </row>
    <row r="119" spans="2:3" x14ac:dyDescent="0.2">
      <c r="B119" t="s">
        <v>841</v>
      </c>
      <c r="C119" s="491">
        <v>50</v>
      </c>
    </row>
    <row r="120" spans="2:3" x14ac:dyDescent="0.2">
      <c r="B120" t="s">
        <v>844</v>
      </c>
      <c r="C120" s="491">
        <v>46</v>
      </c>
    </row>
    <row r="121" spans="2:3" x14ac:dyDescent="0.2">
      <c r="B121" t="s">
        <v>848</v>
      </c>
      <c r="C121" s="491">
        <v>42.84</v>
      </c>
    </row>
    <row r="122" spans="2:3" x14ac:dyDescent="0.2">
      <c r="B122" t="s">
        <v>852</v>
      </c>
      <c r="C122" s="491">
        <v>10</v>
      </c>
    </row>
    <row r="123" spans="2:3" x14ac:dyDescent="0.2">
      <c r="B123" t="s">
        <v>855</v>
      </c>
      <c r="C123" s="491">
        <v>141.94999999999999</v>
      </c>
    </row>
    <row r="124" spans="2:3" x14ac:dyDescent="0.2">
      <c r="B124" t="s">
        <v>859</v>
      </c>
      <c r="C124" s="491">
        <v>325</v>
      </c>
    </row>
    <row r="125" spans="2:3" x14ac:dyDescent="0.2">
      <c r="B125" t="s">
        <v>862</v>
      </c>
      <c r="C125" s="491">
        <v>55</v>
      </c>
    </row>
    <row r="126" spans="2:3" x14ac:dyDescent="0.2">
      <c r="B126" t="s">
        <v>865</v>
      </c>
      <c r="C126" s="491">
        <v>12</v>
      </c>
    </row>
    <row r="127" spans="2:3" x14ac:dyDescent="0.2">
      <c r="B127" t="s">
        <v>870</v>
      </c>
      <c r="C127" s="491">
        <v>140</v>
      </c>
    </row>
    <row r="128" spans="2:3" x14ac:dyDescent="0.2">
      <c r="B128" t="s">
        <v>876</v>
      </c>
      <c r="C128" s="491">
        <v>7096</v>
      </c>
    </row>
    <row r="129" spans="2:3" x14ac:dyDescent="0.2">
      <c r="B129" t="s">
        <v>880</v>
      </c>
      <c r="C129" s="491">
        <v>419</v>
      </c>
    </row>
    <row r="130" spans="2:3" x14ac:dyDescent="0.2">
      <c r="B130" t="s">
        <v>885</v>
      </c>
      <c r="C130" s="491">
        <v>514.63</v>
      </c>
    </row>
    <row r="131" spans="2:3" x14ac:dyDescent="0.2">
      <c r="B131" t="s">
        <v>890</v>
      </c>
      <c r="C131" s="491">
        <v>695</v>
      </c>
    </row>
    <row r="132" spans="2:3" x14ac:dyDescent="0.2">
      <c r="B132" t="s">
        <v>894</v>
      </c>
      <c r="C132" s="491">
        <v>744.08</v>
      </c>
    </row>
    <row r="133" spans="2:3" x14ac:dyDescent="0.2">
      <c r="B133" t="s">
        <v>902</v>
      </c>
      <c r="C133" s="491">
        <v>110</v>
      </c>
    </row>
    <row r="134" spans="2:3" x14ac:dyDescent="0.2">
      <c r="B134" t="s">
        <v>905</v>
      </c>
      <c r="C134" s="491">
        <v>276.75</v>
      </c>
    </row>
    <row r="135" spans="2:3" x14ac:dyDescent="0.2">
      <c r="B135" t="s">
        <v>908</v>
      </c>
      <c r="C135" s="491">
        <v>130</v>
      </c>
    </row>
    <row r="136" spans="2:3" x14ac:dyDescent="0.2">
      <c r="B136" t="s">
        <v>914</v>
      </c>
      <c r="C136" s="491">
        <v>412.25</v>
      </c>
    </row>
    <row r="137" spans="2:3" x14ac:dyDescent="0.2">
      <c r="B137" t="s">
        <v>918</v>
      </c>
      <c r="C137" s="491">
        <v>1011</v>
      </c>
    </row>
    <row r="138" spans="2:3" x14ac:dyDescent="0.2">
      <c r="B138" t="s">
        <v>927</v>
      </c>
      <c r="C138" s="491">
        <v>196</v>
      </c>
    </row>
    <row r="139" spans="2:3" x14ac:dyDescent="0.2">
      <c r="B139" t="s">
        <v>932</v>
      </c>
      <c r="C139" s="491">
        <v>40</v>
      </c>
    </row>
    <row r="140" spans="2:3" x14ac:dyDescent="0.2">
      <c r="B140" t="s">
        <v>936</v>
      </c>
      <c r="C140" s="491">
        <v>65</v>
      </c>
    </row>
    <row r="141" spans="2:3" x14ac:dyDescent="0.2">
      <c r="B141" t="s">
        <v>940</v>
      </c>
      <c r="C141" s="491">
        <v>222.1</v>
      </c>
    </row>
    <row r="142" spans="2:3" x14ac:dyDescent="0.2">
      <c r="B142" t="s">
        <v>944</v>
      </c>
      <c r="C142" s="491">
        <v>20</v>
      </c>
    </row>
    <row r="143" spans="2:3" x14ac:dyDescent="0.2">
      <c r="B143" t="s">
        <v>948</v>
      </c>
      <c r="C143" s="491">
        <v>20</v>
      </c>
    </row>
    <row r="144" spans="2:3" x14ac:dyDescent="0.2">
      <c r="B144" t="s">
        <v>953</v>
      </c>
      <c r="C144" s="491">
        <v>366.77</v>
      </c>
    </row>
    <row r="145" spans="2:3" x14ac:dyDescent="0.2">
      <c r="B145" t="s">
        <v>957</v>
      </c>
      <c r="C145" s="491">
        <v>219</v>
      </c>
    </row>
    <row r="146" spans="2:3" x14ac:dyDescent="0.2">
      <c r="B146" t="s">
        <v>961</v>
      </c>
      <c r="C146" s="491">
        <v>66</v>
      </c>
    </row>
    <row r="147" spans="2:3" x14ac:dyDescent="0.2">
      <c r="B147" t="s">
        <v>965</v>
      </c>
      <c r="C147" s="491">
        <v>70</v>
      </c>
    </row>
    <row r="148" spans="2:3" x14ac:dyDescent="0.2">
      <c r="B148" t="s">
        <v>968</v>
      </c>
      <c r="C148" s="491">
        <v>516.37</v>
      </c>
    </row>
    <row r="149" spans="2:3" x14ac:dyDescent="0.2">
      <c r="B149" t="s">
        <v>972</v>
      </c>
      <c r="C149" s="491">
        <v>315</v>
      </c>
    </row>
    <row r="150" spans="2:3" x14ac:dyDescent="0.2">
      <c r="B150" t="s">
        <v>975</v>
      </c>
      <c r="C150" s="491">
        <v>16.97</v>
      </c>
    </row>
    <row r="151" spans="2:3" x14ac:dyDescent="0.2">
      <c r="B151" t="s">
        <v>983</v>
      </c>
      <c r="C151" s="491">
        <v>20</v>
      </c>
    </row>
    <row r="152" spans="2:3" x14ac:dyDescent="0.2">
      <c r="B152" t="s">
        <v>987</v>
      </c>
      <c r="C152" s="491">
        <v>170</v>
      </c>
    </row>
    <row r="153" spans="2:3" x14ac:dyDescent="0.2">
      <c r="B153" t="s">
        <v>992</v>
      </c>
      <c r="C153" s="491">
        <v>325</v>
      </c>
    </row>
    <row r="154" spans="2:3" x14ac:dyDescent="0.2">
      <c r="B154" t="s">
        <v>995</v>
      </c>
      <c r="C154" s="491">
        <v>40</v>
      </c>
    </row>
    <row r="155" spans="2:3" x14ac:dyDescent="0.2">
      <c r="B155" t="s">
        <v>1002</v>
      </c>
      <c r="C155" s="491">
        <v>600</v>
      </c>
    </row>
    <row r="156" spans="2:3" x14ac:dyDescent="0.2">
      <c r="B156" t="s">
        <v>1006</v>
      </c>
      <c r="C156" s="491">
        <v>60</v>
      </c>
    </row>
    <row r="157" spans="2:3" x14ac:dyDescent="0.2">
      <c r="B157" t="s">
        <v>1009</v>
      </c>
      <c r="C157" s="491">
        <v>125</v>
      </c>
    </row>
    <row r="158" spans="2:3" x14ac:dyDescent="0.2">
      <c r="B158" t="s">
        <v>1013</v>
      </c>
      <c r="C158" s="491">
        <v>5</v>
      </c>
    </row>
    <row r="159" spans="2:3" x14ac:dyDescent="0.2">
      <c r="B159" t="s">
        <v>1017</v>
      </c>
      <c r="C159" s="491">
        <v>295.92</v>
      </c>
    </row>
    <row r="160" spans="2:3" x14ac:dyDescent="0.2">
      <c r="B160" t="s">
        <v>1020</v>
      </c>
      <c r="C160" s="491">
        <v>180</v>
      </c>
    </row>
    <row r="161" spans="2:3" x14ac:dyDescent="0.2">
      <c r="B161" t="s">
        <v>1024</v>
      </c>
      <c r="C161" s="491">
        <v>209</v>
      </c>
    </row>
    <row r="162" spans="2:3" x14ac:dyDescent="0.2">
      <c r="B162" t="s">
        <v>1030</v>
      </c>
      <c r="C162" s="491">
        <v>280</v>
      </c>
    </row>
    <row r="163" spans="2:3" x14ac:dyDescent="0.2">
      <c r="B163" t="s">
        <v>1034</v>
      </c>
      <c r="C163" s="491">
        <v>189</v>
      </c>
    </row>
    <row r="164" spans="2:3" x14ac:dyDescent="0.2">
      <c r="B164" t="s">
        <v>1039</v>
      </c>
      <c r="C164" s="491">
        <v>385</v>
      </c>
    </row>
    <row r="165" spans="2:3" x14ac:dyDescent="0.2">
      <c r="B165" t="s">
        <v>1042</v>
      </c>
      <c r="C165" s="491">
        <v>145</v>
      </c>
    </row>
    <row r="166" spans="2:3" x14ac:dyDescent="0.2">
      <c r="B166" t="s">
        <v>1049</v>
      </c>
      <c r="C166" s="491">
        <v>34.65</v>
      </c>
    </row>
    <row r="167" spans="2:3" x14ac:dyDescent="0.2">
      <c r="B167" t="s">
        <v>1052</v>
      </c>
      <c r="C167" s="491">
        <v>145</v>
      </c>
    </row>
    <row r="168" spans="2:3" x14ac:dyDescent="0.2">
      <c r="B168" t="s">
        <v>1063</v>
      </c>
      <c r="C168" s="491">
        <v>416.4</v>
      </c>
    </row>
    <row r="169" spans="2:3" x14ac:dyDescent="0.2">
      <c r="B169" t="s">
        <v>1067</v>
      </c>
      <c r="C169" s="491">
        <v>25</v>
      </c>
    </row>
    <row r="170" spans="2:3" x14ac:dyDescent="0.2">
      <c r="B170" t="s">
        <v>1074</v>
      </c>
      <c r="C170" s="491">
        <v>152</v>
      </c>
    </row>
    <row r="171" spans="2:3" x14ac:dyDescent="0.2">
      <c r="B171" t="s">
        <v>1078</v>
      </c>
      <c r="C171" s="491">
        <v>920</v>
      </c>
    </row>
    <row r="172" spans="2:3" x14ac:dyDescent="0.2">
      <c r="B172" t="s">
        <v>1082</v>
      </c>
      <c r="C172" s="491">
        <v>70</v>
      </c>
    </row>
    <row r="173" spans="2:3" x14ac:dyDescent="0.2">
      <c r="B173" t="s">
        <v>1085</v>
      </c>
      <c r="C173" s="491">
        <v>140</v>
      </c>
    </row>
    <row r="174" spans="2:3" x14ac:dyDescent="0.2">
      <c r="B174" t="s">
        <v>1089</v>
      </c>
      <c r="C174" s="491">
        <v>290</v>
      </c>
    </row>
    <row r="175" spans="2:3" x14ac:dyDescent="0.2">
      <c r="B175" t="s">
        <v>1094</v>
      </c>
      <c r="C175" s="491">
        <v>57</v>
      </c>
    </row>
    <row r="176" spans="2:3" x14ac:dyDescent="0.2">
      <c r="B176" t="s">
        <v>1098</v>
      </c>
      <c r="C176" s="491">
        <v>1242.74</v>
      </c>
    </row>
    <row r="177" spans="2:3" x14ac:dyDescent="0.2">
      <c r="B177" t="s">
        <v>1105</v>
      </c>
      <c r="C177" s="491">
        <v>468.31</v>
      </c>
    </row>
    <row r="178" spans="2:3" x14ac:dyDescent="0.2">
      <c r="B178" t="s">
        <v>1113</v>
      </c>
      <c r="C178" s="491">
        <v>55</v>
      </c>
    </row>
    <row r="179" spans="2:3" x14ac:dyDescent="0.2">
      <c r="B179" t="s">
        <v>1122</v>
      </c>
      <c r="C179" s="491">
        <v>626.5</v>
      </c>
    </row>
    <row r="180" spans="2:3" x14ac:dyDescent="0.2">
      <c r="B180" t="s">
        <v>1134</v>
      </c>
      <c r="C180" s="491">
        <v>25</v>
      </c>
    </row>
    <row r="181" spans="2:3" x14ac:dyDescent="0.2">
      <c r="B181" t="s">
        <v>1137</v>
      </c>
      <c r="C181" s="491">
        <v>664.06</v>
      </c>
    </row>
    <row r="182" spans="2:3" x14ac:dyDescent="0.2">
      <c r="B182" t="s">
        <v>1146</v>
      </c>
      <c r="C182" s="491">
        <v>65</v>
      </c>
    </row>
    <row r="183" spans="2:3" x14ac:dyDescent="0.2">
      <c r="B183" t="s">
        <v>1150</v>
      </c>
      <c r="C183" s="491">
        <v>187.5</v>
      </c>
    </row>
    <row r="184" spans="2:3" x14ac:dyDescent="0.2">
      <c r="B184" t="s">
        <v>1155</v>
      </c>
      <c r="C184" s="491">
        <v>936.6</v>
      </c>
    </row>
    <row r="185" spans="2:3" x14ac:dyDescent="0.2">
      <c r="B185" t="s">
        <v>1161</v>
      </c>
      <c r="C185" s="491">
        <v>100</v>
      </c>
    </row>
    <row r="186" spans="2:3" x14ac:dyDescent="0.2">
      <c r="B186" t="s">
        <v>1163</v>
      </c>
      <c r="C186" s="491">
        <v>210</v>
      </c>
    </row>
    <row r="187" spans="2:3" x14ac:dyDescent="0.2">
      <c r="B187" t="s">
        <v>1166</v>
      </c>
      <c r="C187" s="491">
        <v>1000</v>
      </c>
    </row>
    <row r="188" spans="2:3" x14ac:dyDescent="0.2">
      <c r="B188" t="s">
        <v>1168</v>
      </c>
      <c r="C188" s="491">
        <v>125</v>
      </c>
    </row>
    <row r="189" spans="2:3" x14ac:dyDescent="0.2">
      <c r="B189" t="s">
        <v>1170</v>
      </c>
      <c r="C189" s="491">
        <v>195.25</v>
      </c>
    </row>
    <row r="190" spans="2:3" x14ac:dyDescent="0.2">
      <c r="B190" t="s">
        <v>1172</v>
      </c>
      <c r="C190" s="491">
        <v>345</v>
      </c>
    </row>
    <row r="191" spans="2:3" x14ac:dyDescent="0.2">
      <c r="B191" t="s">
        <v>1175</v>
      </c>
      <c r="C191" s="491">
        <v>1622.8600000000001</v>
      </c>
    </row>
    <row r="192" spans="2:3" x14ac:dyDescent="0.2">
      <c r="B192" t="s">
        <v>1178</v>
      </c>
      <c r="C192" s="491">
        <v>220</v>
      </c>
    </row>
    <row r="193" spans="2:3" x14ac:dyDescent="0.2">
      <c r="B193" t="s">
        <v>1181</v>
      </c>
      <c r="C193" s="491">
        <v>170</v>
      </c>
    </row>
    <row r="194" spans="2:3" x14ac:dyDescent="0.2">
      <c r="B194" t="s">
        <v>1184</v>
      </c>
      <c r="C194" s="491">
        <v>514.53</v>
      </c>
    </row>
    <row r="195" spans="2:3" x14ac:dyDescent="0.2">
      <c r="B195" t="s">
        <v>1188</v>
      </c>
      <c r="C195" s="491">
        <v>100</v>
      </c>
    </row>
    <row r="196" spans="2:3" x14ac:dyDescent="0.2">
      <c r="B196" t="s">
        <v>1191</v>
      </c>
      <c r="C196" s="491">
        <v>90</v>
      </c>
    </row>
    <row r="197" spans="2:3" x14ac:dyDescent="0.2">
      <c r="B197" t="s">
        <v>1196</v>
      </c>
      <c r="C197" s="491">
        <v>165</v>
      </c>
    </row>
    <row r="198" spans="2:3" x14ac:dyDescent="0.2">
      <c r="B198" t="s">
        <v>1208</v>
      </c>
      <c r="C198" s="491">
        <v>55</v>
      </c>
    </row>
    <row r="199" spans="2:3" x14ac:dyDescent="0.2">
      <c r="B199" t="s">
        <v>1216</v>
      </c>
      <c r="C199" s="491">
        <v>345</v>
      </c>
    </row>
    <row r="200" spans="2:3" x14ac:dyDescent="0.2">
      <c r="B200" t="s">
        <v>1224</v>
      </c>
      <c r="C200" s="491">
        <v>35</v>
      </c>
    </row>
    <row r="201" spans="2:3" x14ac:dyDescent="0.2">
      <c r="B201" t="s">
        <v>1228</v>
      </c>
      <c r="C201" s="491">
        <v>140</v>
      </c>
    </row>
    <row r="202" spans="2:3" x14ac:dyDescent="0.2">
      <c r="B202" t="s">
        <v>1232</v>
      </c>
      <c r="C202" s="491">
        <v>40</v>
      </c>
    </row>
    <row r="203" spans="2:3" x14ac:dyDescent="0.2">
      <c r="B203" t="s">
        <v>1235</v>
      </c>
      <c r="C203" s="491">
        <v>180</v>
      </c>
    </row>
    <row r="204" spans="2:3" x14ac:dyDescent="0.2">
      <c r="B204" t="s">
        <v>1239</v>
      </c>
      <c r="C204" s="491">
        <v>225.14</v>
      </c>
    </row>
    <row r="205" spans="2:3" x14ac:dyDescent="0.2">
      <c r="B205" t="s">
        <v>1242</v>
      </c>
      <c r="C205" s="491">
        <v>30</v>
      </c>
    </row>
    <row r="206" spans="2:3" x14ac:dyDescent="0.2">
      <c r="B206" t="s">
        <v>1246</v>
      </c>
      <c r="C206" s="491">
        <v>140</v>
      </c>
    </row>
    <row r="207" spans="2:3" x14ac:dyDescent="0.2">
      <c r="B207" t="s">
        <v>1253</v>
      </c>
      <c r="C207" s="491">
        <v>250</v>
      </c>
    </row>
    <row r="208" spans="2:3" x14ac:dyDescent="0.2">
      <c r="B208" t="s">
        <v>1257</v>
      </c>
      <c r="C208" s="491">
        <v>465</v>
      </c>
    </row>
    <row r="209" spans="2:3" x14ac:dyDescent="0.2">
      <c r="B209" t="s">
        <v>1260</v>
      </c>
      <c r="C209" s="491">
        <v>136</v>
      </c>
    </row>
    <row r="210" spans="2:3" x14ac:dyDescent="0.2">
      <c r="B210" t="s">
        <v>1264</v>
      </c>
      <c r="C210" s="491">
        <v>400</v>
      </c>
    </row>
    <row r="211" spans="2:3" x14ac:dyDescent="0.2">
      <c r="B211" t="s">
        <v>1268</v>
      </c>
      <c r="C211" s="491">
        <v>130</v>
      </c>
    </row>
    <row r="212" spans="2:3" x14ac:dyDescent="0.2">
      <c r="B212" t="s">
        <v>1271</v>
      </c>
      <c r="C212" s="491">
        <v>146</v>
      </c>
    </row>
    <row r="213" spans="2:3" x14ac:dyDescent="0.2">
      <c r="B213" t="s">
        <v>1282</v>
      </c>
      <c r="C213" s="491">
        <v>370</v>
      </c>
    </row>
    <row r="214" spans="2:3" x14ac:dyDescent="0.2">
      <c r="B214" t="s">
        <v>1293</v>
      </c>
      <c r="C214" s="491">
        <v>449</v>
      </c>
    </row>
    <row r="215" spans="2:3" x14ac:dyDescent="0.2">
      <c r="B215" t="s">
        <v>1296</v>
      </c>
      <c r="C215" s="491">
        <v>60</v>
      </c>
    </row>
    <row r="216" spans="2:3" x14ac:dyDescent="0.2">
      <c r="B216" t="s">
        <v>1302</v>
      </c>
      <c r="C216" s="491">
        <v>342.94</v>
      </c>
    </row>
    <row r="217" spans="2:3" x14ac:dyDescent="0.2">
      <c r="B217" t="s">
        <v>1310</v>
      </c>
      <c r="C217" s="491">
        <v>305</v>
      </c>
    </row>
    <row r="218" spans="2:3" x14ac:dyDescent="0.2">
      <c r="B218" t="s">
        <v>1314</v>
      </c>
      <c r="C218" s="491">
        <v>100</v>
      </c>
    </row>
    <row r="219" spans="2:3" x14ac:dyDescent="0.2">
      <c r="B219" t="s">
        <v>1331</v>
      </c>
      <c r="C219" s="491">
        <v>131</v>
      </c>
    </row>
    <row r="220" spans="2:3" x14ac:dyDescent="0.2">
      <c r="B220" t="s">
        <v>1339</v>
      </c>
      <c r="C220" s="491">
        <v>1114.49</v>
      </c>
    </row>
    <row r="221" spans="2:3" x14ac:dyDescent="0.2">
      <c r="B221" t="s">
        <v>1343</v>
      </c>
      <c r="C221" s="491">
        <v>325</v>
      </c>
    </row>
    <row r="222" spans="2:3" x14ac:dyDescent="0.2">
      <c r="B222" t="s">
        <v>1347</v>
      </c>
      <c r="C222" s="491">
        <v>913</v>
      </c>
    </row>
    <row r="223" spans="2:3" x14ac:dyDescent="0.2">
      <c r="B223" t="s">
        <v>1351</v>
      </c>
      <c r="C223" s="491">
        <v>25</v>
      </c>
    </row>
    <row r="224" spans="2:3" x14ac:dyDescent="0.2">
      <c r="B224" t="s">
        <v>1353</v>
      </c>
      <c r="C224" s="491">
        <v>40</v>
      </c>
    </row>
    <row r="225" spans="2:3" x14ac:dyDescent="0.2">
      <c r="B225" t="s">
        <v>1357</v>
      </c>
      <c r="C225" s="491">
        <v>120</v>
      </c>
    </row>
    <row r="226" spans="2:3" x14ac:dyDescent="0.2">
      <c r="B226" t="s">
        <v>1364</v>
      </c>
      <c r="C226" s="491">
        <v>90</v>
      </c>
    </row>
    <row r="227" spans="2:3" x14ac:dyDescent="0.2">
      <c r="B227" t="s">
        <v>1369</v>
      </c>
      <c r="C227" s="491">
        <v>450</v>
      </c>
    </row>
    <row r="228" spans="2:3" x14ac:dyDescent="0.2">
      <c r="B228" t="s">
        <v>1374</v>
      </c>
      <c r="C228" s="491">
        <v>244.5</v>
      </c>
    </row>
    <row r="229" spans="2:3" x14ac:dyDescent="0.2">
      <c r="B229" t="s">
        <v>1378</v>
      </c>
      <c r="C229" s="491">
        <v>39</v>
      </c>
    </row>
    <row r="230" spans="2:3" x14ac:dyDescent="0.2">
      <c r="B230" t="s">
        <v>1384</v>
      </c>
      <c r="C230" s="491">
        <v>120</v>
      </c>
    </row>
    <row r="231" spans="2:3" x14ac:dyDescent="0.2">
      <c r="B231" t="s">
        <v>1388</v>
      </c>
      <c r="C231" s="491">
        <v>150</v>
      </c>
    </row>
    <row r="232" spans="2:3" x14ac:dyDescent="0.2">
      <c r="B232" t="s">
        <v>1399</v>
      </c>
      <c r="C232" s="491">
        <v>56.97</v>
      </c>
    </row>
    <row r="233" spans="2:3" x14ac:dyDescent="0.2">
      <c r="B233" t="s">
        <v>1401</v>
      </c>
      <c r="C233" s="491">
        <v>59</v>
      </c>
    </row>
    <row r="234" spans="2:3" x14ac:dyDescent="0.2">
      <c r="B234" t="s">
        <v>1404</v>
      </c>
      <c r="C234" s="491">
        <v>525</v>
      </c>
    </row>
    <row r="235" spans="2:3" x14ac:dyDescent="0.2">
      <c r="B235" t="s">
        <v>1407</v>
      </c>
      <c r="C235" s="491">
        <v>202.22</v>
      </c>
    </row>
    <row r="236" spans="2:3" x14ac:dyDescent="0.2">
      <c r="B236" t="s">
        <v>1410</v>
      </c>
      <c r="C236" s="491">
        <v>10</v>
      </c>
    </row>
    <row r="237" spans="2:3" x14ac:dyDescent="0.2">
      <c r="B237" t="s">
        <v>1413</v>
      </c>
      <c r="C237" s="491">
        <v>5</v>
      </c>
    </row>
    <row r="238" spans="2:3" x14ac:dyDescent="0.2">
      <c r="B238" t="s">
        <v>1416</v>
      </c>
      <c r="C238" s="491">
        <v>154</v>
      </c>
    </row>
    <row r="239" spans="2:3" x14ac:dyDescent="0.2">
      <c r="B239" t="s">
        <v>1423</v>
      </c>
      <c r="C239" s="491">
        <v>415</v>
      </c>
    </row>
    <row r="240" spans="2:3" x14ac:dyDescent="0.2">
      <c r="B240" t="s">
        <v>1437</v>
      </c>
      <c r="C240" s="491">
        <v>235</v>
      </c>
    </row>
    <row r="241" spans="2:3" x14ac:dyDescent="0.2">
      <c r="B241" t="s">
        <v>1440</v>
      </c>
      <c r="C241" s="491">
        <v>480</v>
      </c>
    </row>
    <row r="242" spans="2:3" x14ac:dyDescent="0.2">
      <c r="B242" t="s">
        <v>1443</v>
      </c>
      <c r="C242" s="491">
        <v>220</v>
      </c>
    </row>
    <row r="243" spans="2:3" x14ac:dyDescent="0.2">
      <c r="B243" t="s">
        <v>1447</v>
      </c>
      <c r="C243" s="491">
        <v>30</v>
      </c>
    </row>
    <row r="244" spans="2:3" x14ac:dyDescent="0.2">
      <c r="B244" t="s">
        <v>1452</v>
      </c>
      <c r="C244" s="491">
        <v>189.89</v>
      </c>
    </row>
    <row r="245" spans="2:3" x14ac:dyDescent="0.2">
      <c r="B245" t="s">
        <v>1460</v>
      </c>
      <c r="C245" s="491">
        <v>180</v>
      </c>
    </row>
    <row r="246" spans="2:3" x14ac:dyDescent="0.2">
      <c r="B246" t="s">
        <v>1467</v>
      </c>
      <c r="C246" s="491">
        <v>290</v>
      </c>
    </row>
    <row r="247" spans="2:3" x14ac:dyDescent="0.2">
      <c r="B247" t="s">
        <v>1472</v>
      </c>
      <c r="C247" s="491">
        <v>65</v>
      </c>
    </row>
    <row r="248" spans="2:3" x14ac:dyDescent="0.2">
      <c r="B248" t="s">
        <v>1475</v>
      </c>
      <c r="C248" s="491">
        <v>35</v>
      </c>
    </row>
    <row r="249" spans="2:3" x14ac:dyDescent="0.2">
      <c r="B249" t="s">
        <v>1482</v>
      </c>
      <c r="C249" s="491">
        <v>480</v>
      </c>
    </row>
    <row r="250" spans="2:3" x14ac:dyDescent="0.2">
      <c r="B250" t="s">
        <v>1487</v>
      </c>
      <c r="C250" s="491">
        <v>660</v>
      </c>
    </row>
    <row r="251" spans="2:3" x14ac:dyDescent="0.2">
      <c r="B251" t="s">
        <v>1492</v>
      </c>
      <c r="C251" s="491">
        <v>100</v>
      </c>
    </row>
    <row r="252" spans="2:3" x14ac:dyDescent="0.2">
      <c r="B252" t="s">
        <v>1499</v>
      </c>
      <c r="C252" s="491">
        <v>30</v>
      </c>
    </row>
    <row r="253" spans="2:3" x14ac:dyDescent="0.2">
      <c r="B253" t="s">
        <v>1503</v>
      </c>
      <c r="C253" s="491">
        <v>406</v>
      </c>
    </row>
    <row r="254" spans="2:3" x14ac:dyDescent="0.2">
      <c r="B254" t="s">
        <v>1506</v>
      </c>
      <c r="C254" s="491">
        <v>57.5</v>
      </c>
    </row>
    <row r="255" spans="2:3" x14ac:dyDescent="0.2">
      <c r="B255" t="s">
        <v>1509</v>
      </c>
      <c r="C255" s="491">
        <v>50</v>
      </c>
    </row>
    <row r="256" spans="2:3" x14ac:dyDescent="0.2">
      <c r="B256" t="s">
        <v>1513</v>
      </c>
      <c r="C256" s="491">
        <v>100</v>
      </c>
    </row>
    <row r="257" spans="2:3" x14ac:dyDescent="0.2">
      <c r="B257" t="s">
        <v>1517</v>
      </c>
      <c r="C257" s="491">
        <v>35</v>
      </c>
    </row>
    <row r="258" spans="2:3" x14ac:dyDescent="0.2">
      <c r="B258" t="s">
        <v>1534</v>
      </c>
      <c r="C258" s="491">
        <v>20</v>
      </c>
    </row>
    <row r="259" spans="2:3" x14ac:dyDescent="0.2">
      <c r="B259" t="s">
        <v>1538</v>
      </c>
      <c r="C259" s="491">
        <v>55</v>
      </c>
    </row>
    <row r="260" spans="2:3" x14ac:dyDescent="0.2">
      <c r="B260" t="s">
        <v>1541</v>
      </c>
      <c r="C260" s="491">
        <v>30</v>
      </c>
    </row>
    <row r="261" spans="2:3" x14ac:dyDescent="0.2">
      <c r="B261" t="s">
        <v>1544</v>
      </c>
      <c r="C261" s="491">
        <v>50</v>
      </c>
    </row>
    <row r="262" spans="2:3" x14ac:dyDescent="0.2">
      <c r="B262" t="s">
        <v>1552</v>
      </c>
      <c r="C262" s="491">
        <v>10</v>
      </c>
    </row>
    <row r="263" spans="2:3" x14ac:dyDescent="0.2">
      <c r="B263" t="s">
        <v>1558</v>
      </c>
      <c r="C263" s="491">
        <v>20</v>
      </c>
    </row>
    <row r="264" spans="2:3" x14ac:dyDescent="0.2">
      <c r="B264" t="s">
        <v>1564</v>
      </c>
      <c r="C264" s="491">
        <v>20</v>
      </c>
    </row>
    <row r="265" spans="2:3" x14ac:dyDescent="0.2">
      <c r="B265" t="s">
        <v>1573</v>
      </c>
      <c r="C265" s="491">
        <v>1060</v>
      </c>
    </row>
    <row r="266" spans="2:3" x14ac:dyDescent="0.2">
      <c r="B266" t="s">
        <v>1577</v>
      </c>
      <c r="C266" s="491">
        <v>240</v>
      </c>
    </row>
    <row r="267" spans="2:3" x14ac:dyDescent="0.2">
      <c r="B267" t="s">
        <v>1586</v>
      </c>
      <c r="C267" s="491">
        <v>760</v>
      </c>
    </row>
    <row r="268" spans="2:3" x14ac:dyDescent="0.2">
      <c r="B268" t="s">
        <v>1594</v>
      </c>
      <c r="C268" s="491">
        <v>465.37</v>
      </c>
    </row>
    <row r="269" spans="2:3" x14ac:dyDescent="0.2">
      <c r="B269" t="s">
        <v>1597</v>
      </c>
      <c r="C269" s="491">
        <v>55</v>
      </c>
    </row>
    <row r="270" spans="2:3" x14ac:dyDescent="0.2">
      <c r="B270" t="s">
        <v>1600</v>
      </c>
      <c r="C270" s="491">
        <v>295</v>
      </c>
    </row>
    <row r="271" spans="2:3" x14ac:dyDescent="0.2">
      <c r="B271" t="s">
        <v>1604</v>
      </c>
      <c r="C271" s="491">
        <v>162</v>
      </c>
    </row>
    <row r="272" spans="2:3" x14ac:dyDescent="0.2">
      <c r="B272" t="s">
        <v>1608</v>
      </c>
      <c r="C272" s="491">
        <v>175</v>
      </c>
    </row>
    <row r="273" spans="2:3" x14ac:dyDescent="0.2">
      <c r="B273" t="s">
        <v>1610</v>
      </c>
      <c r="C273" s="491">
        <v>249</v>
      </c>
    </row>
    <row r="274" spans="2:3" x14ac:dyDescent="0.2">
      <c r="B274" t="s">
        <v>1613</v>
      </c>
      <c r="C274" s="491">
        <v>180</v>
      </c>
    </row>
    <row r="275" spans="2:3" x14ac:dyDescent="0.2">
      <c r="B275" t="s">
        <v>1616</v>
      </c>
      <c r="C275" s="491">
        <v>275</v>
      </c>
    </row>
    <row r="276" spans="2:3" x14ac:dyDescent="0.2">
      <c r="B276" t="s">
        <v>1629</v>
      </c>
      <c r="C276" s="491">
        <v>455</v>
      </c>
    </row>
    <row r="277" spans="2:3" x14ac:dyDescent="0.2">
      <c r="B277" t="s">
        <v>1632</v>
      </c>
      <c r="C277" s="491">
        <v>80</v>
      </c>
    </row>
    <row r="278" spans="2:3" x14ac:dyDescent="0.2">
      <c r="B278" t="s">
        <v>1644</v>
      </c>
      <c r="C278" s="491">
        <v>342</v>
      </c>
    </row>
    <row r="279" spans="2:3" x14ac:dyDescent="0.2">
      <c r="B279" t="s">
        <v>1651</v>
      </c>
      <c r="C279" s="491">
        <v>542.81999999999994</v>
      </c>
    </row>
    <row r="280" spans="2:3" x14ac:dyDescent="0.2">
      <c r="B280" t="s">
        <v>1654</v>
      </c>
      <c r="C280" s="491">
        <v>195.7</v>
      </c>
    </row>
    <row r="281" spans="2:3" x14ac:dyDescent="0.2">
      <c r="B281" t="s">
        <v>1656</v>
      </c>
      <c r="C281" s="491">
        <v>372.18</v>
      </c>
    </row>
    <row r="282" spans="2:3" x14ac:dyDescent="0.2">
      <c r="B282" t="s">
        <v>1658</v>
      </c>
      <c r="C282" s="491">
        <v>25</v>
      </c>
    </row>
    <row r="283" spans="2:3" x14ac:dyDescent="0.2">
      <c r="B283" t="s">
        <v>1664</v>
      </c>
      <c r="C283" s="491">
        <v>834.27</v>
      </c>
    </row>
    <row r="284" spans="2:3" x14ac:dyDescent="0.2">
      <c r="B284" t="s">
        <v>1668</v>
      </c>
      <c r="C284" s="491">
        <v>196</v>
      </c>
    </row>
    <row r="285" spans="2:3" x14ac:dyDescent="0.2">
      <c r="B285" t="s">
        <v>1694</v>
      </c>
      <c r="C285" s="491">
        <v>300</v>
      </c>
    </row>
    <row r="286" spans="2:3" x14ac:dyDescent="0.2">
      <c r="B286" t="s">
        <v>1699</v>
      </c>
      <c r="C286" s="491">
        <v>470</v>
      </c>
    </row>
    <row r="287" spans="2:3" x14ac:dyDescent="0.2">
      <c r="B287" t="s">
        <v>1702</v>
      </c>
      <c r="C287" s="491">
        <v>695</v>
      </c>
    </row>
    <row r="288" spans="2:3" x14ac:dyDescent="0.2">
      <c r="B288" t="s">
        <v>1705</v>
      </c>
      <c r="C288" s="491">
        <v>90</v>
      </c>
    </row>
    <row r="289" spans="2:3" x14ac:dyDescent="0.2">
      <c r="B289" t="s">
        <v>1709</v>
      </c>
      <c r="C289" s="491">
        <v>25</v>
      </c>
    </row>
    <row r="290" spans="2:3" x14ac:dyDescent="0.2">
      <c r="B290" t="s">
        <v>1712</v>
      </c>
      <c r="C290" s="491">
        <v>700.26</v>
      </c>
    </row>
    <row r="291" spans="2:3" x14ac:dyDescent="0.2">
      <c r="B291" t="s">
        <v>1715</v>
      </c>
      <c r="C291" s="491">
        <v>116.97</v>
      </c>
    </row>
    <row r="292" spans="2:3" x14ac:dyDescent="0.2">
      <c r="B292" t="s">
        <v>1718</v>
      </c>
      <c r="C292" s="491">
        <v>570</v>
      </c>
    </row>
    <row r="293" spans="2:3" x14ac:dyDescent="0.2">
      <c r="B293" t="s">
        <v>1720</v>
      </c>
      <c r="C293" s="491">
        <v>20</v>
      </c>
    </row>
    <row r="294" spans="2:3" x14ac:dyDescent="0.2">
      <c r="B294" t="s">
        <v>1722</v>
      </c>
      <c r="C294" s="491">
        <v>434</v>
      </c>
    </row>
    <row r="295" spans="2:3" x14ac:dyDescent="0.2">
      <c r="B295" t="s">
        <v>1725</v>
      </c>
      <c r="C295" s="491">
        <v>452</v>
      </c>
    </row>
    <row r="296" spans="2:3" x14ac:dyDescent="0.2">
      <c r="B296" t="s">
        <v>1727</v>
      </c>
      <c r="C296" s="491">
        <v>64</v>
      </c>
    </row>
    <row r="297" spans="2:3" x14ac:dyDescent="0.2">
      <c r="B297" t="s">
        <v>1729</v>
      </c>
      <c r="C297" s="491">
        <v>584.87</v>
      </c>
    </row>
    <row r="298" spans="2:3" x14ac:dyDescent="0.2">
      <c r="B298" t="s">
        <v>1735</v>
      </c>
      <c r="C298" s="491">
        <v>107.5</v>
      </c>
    </row>
    <row r="299" spans="2:3" x14ac:dyDescent="0.2">
      <c r="B299" t="s">
        <v>1738</v>
      </c>
      <c r="C299" s="491">
        <v>61</v>
      </c>
    </row>
    <row r="300" spans="2:3" x14ac:dyDescent="0.2">
      <c r="B300" t="s">
        <v>1749</v>
      </c>
      <c r="C300" s="491">
        <v>65</v>
      </c>
    </row>
    <row r="301" spans="2:3" x14ac:dyDescent="0.2">
      <c r="B301" t="s">
        <v>1753</v>
      </c>
      <c r="C301" s="491">
        <v>739</v>
      </c>
    </row>
    <row r="302" spans="2:3" x14ac:dyDescent="0.2">
      <c r="B302" t="s">
        <v>1755</v>
      </c>
      <c r="C302" s="491">
        <v>1203.81</v>
      </c>
    </row>
    <row r="303" spans="2:3" x14ac:dyDescent="0.2">
      <c r="B303" t="s">
        <v>1772</v>
      </c>
      <c r="C303" s="491">
        <v>172</v>
      </c>
    </row>
    <row r="304" spans="2:3" x14ac:dyDescent="0.2">
      <c r="B304" t="s">
        <v>1777</v>
      </c>
      <c r="C304" s="491">
        <v>736</v>
      </c>
    </row>
    <row r="305" spans="2:3" x14ac:dyDescent="0.2">
      <c r="B305" t="s">
        <v>1781</v>
      </c>
      <c r="C305" s="491">
        <v>45</v>
      </c>
    </row>
    <row r="306" spans="2:3" x14ac:dyDescent="0.2">
      <c r="B306" t="s">
        <v>1784</v>
      </c>
      <c r="C306" s="491">
        <v>276</v>
      </c>
    </row>
    <row r="307" spans="2:3" x14ac:dyDescent="0.2">
      <c r="B307" t="s">
        <v>1788</v>
      </c>
      <c r="C307" s="491">
        <v>186.97</v>
      </c>
    </row>
    <row r="308" spans="2:3" x14ac:dyDescent="0.2">
      <c r="B308" t="s">
        <v>1794</v>
      </c>
      <c r="C308" s="491">
        <v>854</v>
      </c>
    </row>
    <row r="309" spans="2:3" x14ac:dyDescent="0.2">
      <c r="B309" t="s">
        <v>1799</v>
      </c>
      <c r="C309" s="491">
        <v>275</v>
      </c>
    </row>
    <row r="310" spans="2:3" x14ac:dyDescent="0.2">
      <c r="B310" t="s">
        <v>1803</v>
      </c>
      <c r="C310" s="491">
        <v>123</v>
      </c>
    </row>
    <row r="311" spans="2:3" x14ac:dyDescent="0.2">
      <c r="B311" t="s">
        <v>1807</v>
      </c>
      <c r="C311" s="491">
        <v>20</v>
      </c>
    </row>
    <row r="312" spans="2:3" x14ac:dyDescent="0.2">
      <c r="B312" t="s">
        <v>1811</v>
      </c>
      <c r="C312" s="491">
        <v>574.9</v>
      </c>
    </row>
    <row r="313" spans="2:3" x14ac:dyDescent="0.2">
      <c r="B313" t="s">
        <v>1817</v>
      </c>
      <c r="C313" s="491">
        <v>467.97</v>
      </c>
    </row>
    <row r="314" spans="2:3" x14ac:dyDescent="0.2">
      <c r="B314" t="s">
        <v>1821</v>
      </c>
      <c r="C314" s="491">
        <v>67.5</v>
      </c>
    </row>
    <row r="315" spans="2:3" x14ac:dyDescent="0.2">
      <c r="B315" t="s">
        <v>1825</v>
      </c>
      <c r="C315" s="491">
        <v>42</v>
      </c>
    </row>
    <row r="316" spans="2:3" x14ac:dyDescent="0.2">
      <c r="B316" t="s">
        <v>1829</v>
      </c>
      <c r="C316" s="491">
        <v>784.59999999999991</v>
      </c>
    </row>
    <row r="317" spans="2:3" x14ac:dyDescent="0.2">
      <c r="B317" t="s">
        <v>1837</v>
      </c>
      <c r="C317" s="491">
        <v>528.86</v>
      </c>
    </row>
    <row r="318" spans="2:3" x14ac:dyDescent="0.2">
      <c r="B318" t="s">
        <v>1841</v>
      </c>
      <c r="C318" s="491">
        <v>790</v>
      </c>
    </row>
    <row r="319" spans="2:3" x14ac:dyDescent="0.2">
      <c r="B319" t="s">
        <v>1849</v>
      </c>
      <c r="C319" s="491">
        <v>466.14</v>
      </c>
    </row>
    <row r="320" spans="2:3" x14ac:dyDescent="0.2">
      <c r="B320" t="s">
        <v>1854</v>
      </c>
      <c r="C320" s="491">
        <v>190</v>
      </c>
    </row>
    <row r="321" spans="2:3" x14ac:dyDescent="0.2">
      <c r="B321" t="s">
        <v>1858</v>
      </c>
      <c r="C321" s="491">
        <v>520</v>
      </c>
    </row>
    <row r="322" spans="2:3" x14ac:dyDescent="0.2">
      <c r="B322" t="s">
        <v>1861</v>
      </c>
      <c r="C322" s="491">
        <v>35</v>
      </c>
    </row>
    <row r="323" spans="2:3" x14ac:dyDescent="0.2">
      <c r="B323" t="s">
        <v>1873</v>
      </c>
      <c r="C323" s="491">
        <v>538.46</v>
      </c>
    </row>
    <row r="324" spans="2:3" x14ac:dyDescent="0.2">
      <c r="B324" t="s">
        <v>1876</v>
      </c>
      <c r="C324" s="491">
        <v>1090</v>
      </c>
    </row>
    <row r="325" spans="2:3" x14ac:dyDescent="0.2">
      <c r="B325" t="s">
        <v>1889</v>
      </c>
      <c r="C325" s="491">
        <v>45</v>
      </c>
    </row>
    <row r="326" spans="2:3" x14ac:dyDescent="0.2">
      <c r="B326" t="s">
        <v>1892</v>
      </c>
      <c r="C326" s="491">
        <v>100</v>
      </c>
    </row>
    <row r="327" spans="2:3" x14ac:dyDescent="0.2">
      <c r="B327" t="s">
        <v>1898</v>
      </c>
      <c r="C327" s="491">
        <v>710.01</v>
      </c>
    </row>
    <row r="328" spans="2:3" x14ac:dyDescent="0.2">
      <c r="B328" t="s">
        <v>1900</v>
      </c>
      <c r="C328" s="491">
        <v>375</v>
      </c>
    </row>
    <row r="329" spans="2:3" x14ac:dyDescent="0.2">
      <c r="B329" t="s">
        <v>1902</v>
      </c>
      <c r="C329" s="491">
        <v>340.17</v>
      </c>
    </row>
    <row r="330" spans="2:3" x14ac:dyDescent="0.2">
      <c r="B330" t="s">
        <v>1913</v>
      </c>
      <c r="C330" s="491">
        <v>56</v>
      </c>
    </row>
    <row r="331" spans="2:3" x14ac:dyDescent="0.2">
      <c r="B331" t="s">
        <v>1922</v>
      </c>
      <c r="C331" s="491">
        <v>499.6</v>
      </c>
    </row>
    <row r="332" spans="2:3" x14ac:dyDescent="0.2">
      <c r="B332" t="s">
        <v>1927</v>
      </c>
      <c r="C332" s="491">
        <v>160</v>
      </c>
    </row>
    <row r="333" spans="2:3" x14ac:dyDescent="0.2">
      <c r="B333" t="s">
        <v>1930</v>
      </c>
      <c r="C333" s="491">
        <v>580</v>
      </c>
    </row>
    <row r="334" spans="2:3" x14ac:dyDescent="0.2">
      <c r="B334" t="s">
        <v>1934</v>
      </c>
      <c r="C334" s="491">
        <v>197.1</v>
      </c>
    </row>
    <row r="335" spans="2:3" x14ac:dyDescent="0.2">
      <c r="B335" t="s">
        <v>1937</v>
      </c>
      <c r="C335" s="491">
        <v>198.45999999999998</v>
      </c>
    </row>
    <row r="336" spans="2:3" x14ac:dyDescent="0.2">
      <c r="B336" t="s">
        <v>1943</v>
      </c>
      <c r="C336" s="491">
        <v>180</v>
      </c>
    </row>
    <row r="337" spans="2:3" x14ac:dyDescent="0.2">
      <c r="B337" t="s">
        <v>1947</v>
      </c>
      <c r="C337" s="491">
        <v>181</v>
      </c>
    </row>
    <row r="338" spans="2:3" x14ac:dyDescent="0.2">
      <c r="B338" t="s">
        <v>1953</v>
      </c>
      <c r="C338" s="491">
        <v>644</v>
      </c>
    </row>
    <row r="339" spans="2:3" x14ac:dyDescent="0.2">
      <c r="B339" t="s">
        <v>1959</v>
      </c>
      <c r="C339" s="491">
        <v>321.73</v>
      </c>
    </row>
    <row r="340" spans="2:3" x14ac:dyDescent="0.2">
      <c r="B340" t="s">
        <v>1965</v>
      </c>
      <c r="C340" s="491">
        <v>696.85</v>
      </c>
    </row>
    <row r="341" spans="2:3" x14ac:dyDescent="0.2">
      <c r="B341" t="s">
        <v>1974</v>
      </c>
      <c r="C341" s="491">
        <v>100</v>
      </c>
    </row>
    <row r="342" spans="2:3" x14ac:dyDescent="0.2">
      <c r="B342" t="s">
        <v>1978</v>
      </c>
      <c r="C342" s="491">
        <v>736.01</v>
      </c>
    </row>
    <row r="343" spans="2:3" x14ac:dyDescent="0.2">
      <c r="B343" t="s">
        <v>1985</v>
      </c>
      <c r="C343" s="491">
        <v>100</v>
      </c>
    </row>
    <row r="344" spans="2:3" x14ac:dyDescent="0.2">
      <c r="B344" t="s">
        <v>1996</v>
      </c>
      <c r="C344" s="491">
        <v>360</v>
      </c>
    </row>
    <row r="345" spans="2:3" x14ac:dyDescent="0.2">
      <c r="B345" t="s">
        <v>2002</v>
      </c>
      <c r="C345" s="491">
        <v>20</v>
      </c>
    </row>
    <row r="346" spans="2:3" x14ac:dyDescent="0.2">
      <c r="B346" t="s">
        <v>2006</v>
      </c>
      <c r="C346" s="491">
        <v>76.5</v>
      </c>
    </row>
    <row r="347" spans="2:3" x14ac:dyDescent="0.2">
      <c r="B347" t="s">
        <v>2009</v>
      </c>
      <c r="C347" s="491">
        <v>100</v>
      </c>
    </row>
    <row r="348" spans="2:3" x14ac:dyDescent="0.2">
      <c r="B348" t="s">
        <v>2014</v>
      </c>
      <c r="C348" s="491">
        <v>170</v>
      </c>
    </row>
    <row r="349" spans="2:3" x14ac:dyDescent="0.2">
      <c r="B349" t="s">
        <v>2018</v>
      </c>
      <c r="C349" s="491">
        <v>51.97</v>
      </c>
    </row>
    <row r="350" spans="2:3" x14ac:dyDescent="0.2">
      <c r="B350" t="s">
        <v>2020</v>
      </c>
      <c r="C350" s="491">
        <v>125</v>
      </c>
    </row>
    <row r="351" spans="2:3" x14ac:dyDescent="0.2">
      <c r="B351" t="s">
        <v>2022</v>
      </c>
      <c r="C351" s="491">
        <v>1145.6799999999998</v>
      </c>
    </row>
    <row r="352" spans="2:3" x14ac:dyDescent="0.2">
      <c r="B352" t="s">
        <v>2024</v>
      </c>
      <c r="C352" s="491">
        <v>20</v>
      </c>
    </row>
    <row r="353" spans="2:3" x14ac:dyDescent="0.2">
      <c r="B353" t="s">
        <v>2027</v>
      </c>
      <c r="C353" s="491">
        <v>140</v>
      </c>
    </row>
    <row r="354" spans="2:3" x14ac:dyDescent="0.2">
      <c r="B354" t="s">
        <v>2034</v>
      </c>
      <c r="C354" s="491">
        <v>40</v>
      </c>
    </row>
    <row r="355" spans="2:3" x14ac:dyDescent="0.2">
      <c r="B355" t="s">
        <v>2040</v>
      </c>
      <c r="C355" s="491">
        <v>305</v>
      </c>
    </row>
    <row r="356" spans="2:3" x14ac:dyDescent="0.2">
      <c r="B356" t="s">
        <v>2044</v>
      </c>
      <c r="C356" s="491">
        <v>2533.61</v>
      </c>
    </row>
    <row r="357" spans="2:3" x14ac:dyDescent="0.2">
      <c r="B357" t="s">
        <v>2048</v>
      </c>
      <c r="C357" s="491">
        <v>3711.9700000000003</v>
      </c>
    </row>
    <row r="358" spans="2:3" x14ac:dyDescent="0.2">
      <c r="B358" t="s">
        <v>2050</v>
      </c>
      <c r="C358" s="491">
        <v>500</v>
      </c>
    </row>
    <row r="359" spans="2:3" x14ac:dyDescent="0.2">
      <c r="B359" t="s">
        <v>2052</v>
      </c>
      <c r="C359" s="491">
        <v>310</v>
      </c>
    </row>
    <row r="360" spans="2:3" x14ac:dyDescent="0.2">
      <c r="B360" t="s">
        <v>2056</v>
      </c>
      <c r="C360" s="491">
        <v>864.45</v>
      </c>
    </row>
    <row r="361" spans="2:3" x14ac:dyDescent="0.2">
      <c r="B361" t="s">
        <v>2059</v>
      </c>
      <c r="C361" s="491">
        <v>383.28</v>
      </c>
    </row>
    <row r="362" spans="2:3" x14ac:dyDescent="0.2">
      <c r="B362" t="s">
        <v>2062</v>
      </c>
      <c r="C362" s="491">
        <v>135</v>
      </c>
    </row>
    <row r="363" spans="2:3" x14ac:dyDescent="0.2">
      <c r="B363" t="s">
        <v>2065</v>
      </c>
      <c r="C363" s="491">
        <v>337</v>
      </c>
    </row>
    <row r="364" spans="2:3" x14ac:dyDescent="0.2">
      <c r="B364" t="s">
        <v>2073</v>
      </c>
      <c r="C364" s="491">
        <v>40</v>
      </c>
    </row>
    <row r="365" spans="2:3" x14ac:dyDescent="0.2">
      <c r="B365" t="s">
        <v>2078</v>
      </c>
      <c r="C365" s="491">
        <v>311.05</v>
      </c>
    </row>
    <row r="366" spans="2:3" x14ac:dyDescent="0.2">
      <c r="B366" t="s">
        <v>2082</v>
      </c>
      <c r="C366" s="491">
        <v>70</v>
      </c>
    </row>
    <row r="367" spans="2:3" x14ac:dyDescent="0.2">
      <c r="B367" t="s">
        <v>2086</v>
      </c>
      <c r="C367" s="491">
        <v>169.65</v>
      </c>
    </row>
    <row r="368" spans="2:3" x14ac:dyDescent="0.2">
      <c r="B368" t="s">
        <v>2089</v>
      </c>
      <c r="C368" s="491">
        <v>692.69</v>
      </c>
    </row>
    <row r="369" spans="2:3" x14ac:dyDescent="0.2">
      <c r="B369" t="s">
        <v>2091</v>
      </c>
      <c r="C369" s="491">
        <v>351.97</v>
      </c>
    </row>
    <row r="370" spans="2:3" x14ac:dyDescent="0.2">
      <c r="B370" t="s">
        <v>2095</v>
      </c>
      <c r="C370" s="491">
        <v>278</v>
      </c>
    </row>
    <row r="371" spans="2:3" x14ac:dyDescent="0.2">
      <c r="B371" t="s">
        <v>2102</v>
      </c>
      <c r="C371" s="491">
        <v>145</v>
      </c>
    </row>
    <row r="372" spans="2:3" x14ac:dyDescent="0.2">
      <c r="B372" t="s">
        <v>2105</v>
      </c>
      <c r="C372" s="491">
        <v>100</v>
      </c>
    </row>
    <row r="373" spans="2:3" x14ac:dyDescent="0.2">
      <c r="B373" t="s">
        <v>2108</v>
      </c>
      <c r="C373" s="491">
        <v>145</v>
      </c>
    </row>
    <row r="374" spans="2:3" x14ac:dyDescent="0.2">
      <c r="B374" t="s">
        <v>2111</v>
      </c>
      <c r="C374" s="491">
        <v>175</v>
      </c>
    </row>
    <row r="375" spans="2:3" x14ac:dyDescent="0.2">
      <c r="B375" t="s">
        <v>2116</v>
      </c>
      <c r="C375" s="491">
        <v>60</v>
      </c>
    </row>
    <row r="376" spans="2:3" x14ac:dyDescent="0.2">
      <c r="B376" t="s">
        <v>2118</v>
      </c>
      <c r="C376" s="491">
        <v>45</v>
      </c>
    </row>
    <row r="377" spans="2:3" x14ac:dyDescent="0.2">
      <c r="B377" t="s">
        <v>2122</v>
      </c>
      <c r="C377" s="491">
        <v>415.88</v>
      </c>
    </row>
    <row r="378" spans="2:3" x14ac:dyDescent="0.2">
      <c r="B378" t="s">
        <v>2128</v>
      </c>
      <c r="C378" s="491">
        <v>167.59</v>
      </c>
    </row>
    <row r="379" spans="2:3" x14ac:dyDescent="0.2">
      <c r="B379" t="s">
        <v>2130</v>
      </c>
      <c r="C379" s="491">
        <v>166</v>
      </c>
    </row>
    <row r="380" spans="2:3" x14ac:dyDescent="0.2">
      <c r="B380" t="s">
        <v>2137</v>
      </c>
      <c r="C380" s="491">
        <v>407.68</v>
      </c>
    </row>
    <row r="381" spans="2:3" x14ac:dyDescent="0.2">
      <c r="B381" t="s">
        <v>2140</v>
      </c>
      <c r="C381" s="491">
        <v>350</v>
      </c>
    </row>
    <row r="382" spans="2:3" x14ac:dyDescent="0.2">
      <c r="B382" t="s">
        <v>2143</v>
      </c>
      <c r="C382" s="491">
        <v>648.83999999999992</v>
      </c>
    </row>
    <row r="383" spans="2:3" x14ac:dyDescent="0.2">
      <c r="B383" t="s">
        <v>2145</v>
      </c>
      <c r="C383" s="491">
        <v>1184.5999999999999</v>
      </c>
    </row>
    <row r="384" spans="2:3" x14ac:dyDescent="0.2">
      <c r="B384" t="s">
        <v>2151</v>
      </c>
      <c r="C384" s="491">
        <v>60</v>
      </c>
    </row>
    <row r="385" spans="2:3" x14ac:dyDescent="0.2">
      <c r="B385" t="s">
        <v>2155</v>
      </c>
      <c r="C385" s="491">
        <v>310</v>
      </c>
    </row>
    <row r="386" spans="2:3" x14ac:dyDescent="0.2">
      <c r="B386" t="s">
        <v>2159</v>
      </c>
      <c r="C386" s="491">
        <v>301</v>
      </c>
    </row>
    <row r="387" spans="2:3" x14ac:dyDescent="0.2">
      <c r="B387" t="s">
        <v>2167</v>
      </c>
      <c r="C387" s="491">
        <v>75</v>
      </c>
    </row>
    <row r="388" spans="2:3" x14ac:dyDescent="0.2">
      <c r="B388" t="s">
        <v>2170</v>
      </c>
      <c r="C388" s="491">
        <v>379</v>
      </c>
    </row>
    <row r="389" spans="2:3" x14ac:dyDescent="0.2">
      <c r="B389" t="s">
        <v>2174</v>
      </c>
      <c r="C389" s="491">
        <v>116.56</v>
      </c>
    </row>
    <row r="390" spans="2:3" x14ac:dyDescent="0.2">
      <c r="B390" t="s">
        <v>2188</v>
      </c>
      <c r="C390" s="491">
        <v>10</v>
      </c>
    </row>
    <row r="391" spans="2:3" x14ac:dyDescent="0.2">
      <c r="B391" t="s">
        <v>2192</v>
      </c>
      <c r="C391" s="491">
        <v>240</v>
      </c>
    </row>
    <row r="392" spans="2:3" x14ac:dyDescent="0.2">
      <c r="B392" t="s">
        <v>2196</v>
      </c>
      <c r="C392" s="491">
        <v>730</v>
      </c>
    </row>
    <row r="393" spans="2:3" x14ac:dyDescent="0.2">
      <c r="B393" t="s">
        <v>2204</v>
      </c>
      <c r="C393" s="491">
        <v>460</v>
      </c>
    </row>
    <row r="394" spans="2:3" x14ac:dyDescent="0.2">
      <c r="B394" t="s">
        <v>2208</v>
      </c>
      <c r="C394" s="491">
        <v>2055</v>
      </c>
    </row>
    <row r="395" spans="2:3" x14ac:dyDescent="0.2">
      <c r="B395" t="s">
        <v>2211</v>
      </c>
      <c r="C395" s="491">
        <v>521</v>
      </c>
    </row>
    <row r="396" spans="2:3" x14ac:dyDescent="0.2">
      <c r="B396" t="s">
        <v>2215</v>
      </c>
      <c r="C396" s="491">
        <v>140</v>
      </c>
    </row>
    <row r="397" spans="2:3" x14ac:dyDescent="0.2">
      <c r="B397" t="s">
        <v>2218</v>
      </c>
      <c r="C397" s="491">
        <v>824</v>
      </c>
    </row>
    <row r="398" spans="2:3" x14ac:dyDescent="0.2">
      <c r="B398" t="s">
        <v>2224</v>
      </c>
      <c r="C398" s="491">
        <v>256</v>
      </c>
    </row>
    <row r="399" spans="2:3" x14ac:dyDescent="0.2">
      <c r="B399" t="s">
        <v>2227</v>
      </c>
      <c r="C399" s="491">
        <v>35</v>
      </c>
    </row>
    <row r="400" spans="2:3" x14ac:dyDescent="0.2">
      <c r="B400" t="s">
        <v>2230</v>
      </c>
      <c r="C400" s="491">
        <v>100</v>
      </c>
    </row>
    <row r="401" spans="2:3" x14ac:dyDescent="0.2">
      <c r="B401" t="s">
        <v>2233</v>
      </c>
      <c r="C401" s="491">
        <v>590</v>
      </c>
    </row>
    <row r="402" spans="2:3" x14ac:dyDescent="0.2">
      <c r="B402" t="s">
        <v>2237</v>
      </c>
      <c r="C402" s="491">
        <v>275</v>
      </c>
    </row>
    <row r="403" spans="2:3" x14ac:dyDescent="0.2">
      <c r="B403" t="s">
        <v>2241</v>
      </c>
      <c r="C403" s="491">
        <v>320</v>
      </c>
    </row>
    <row r="404" spans="2:3" x14ac:dyDescent="0.2">
      <c r="B404" t="s">
        <v>2244</v>
      </c>
      <c r="C404" s="491">
        <v>160</v>
      </c>
    </row>
    <row r="405" spans="2:3" x14ac:dyDescent="0.2">
      <c r="B405" t="s">
        <v>2246</v>
      </c>
      <c r="C405" s="491">
        <v>300</v>
      </c>
    </row>
    <row r="406" spans="2:3" x14ac:dyDescent="0.2">
      <c r="B406" t="s">
        <v>2249</v>
      </c>
      <c r="C406" s="491">
        <v>935</v>
      </c>
    </row>
    <row r="407" spans="2:3" x14ac:dyDescent="0.2">
      <c r="B407" t="s">
        <v>2252</v>
      </c>
      <c r="C407" s="491">
        <v>530</v>
      </c>
    </row>
    <row r="408" spans="2:3" x14ac:dyDescent="0.2">
      <c r="B408" t="s">
        <v>2255</v>
      </c>
      <c r="C408" s="491">
        <v>842</v>
      </c>
    </row>
    <row r="409" spans="2:3" x14ac:dyDescent="0.2">
      <c r="B409" t="s">
        <v>2263</v>
      </c>
      <c r="C409" s="491">
        <v>335</v>
      </c>
    </row>
    <row r="410" spans="2:3" x14ac:dyDescent="0.2">
      <c r="B410" t="s">
        <v>2272</v>
      </c>
      <c r="C410" s="491">
        <v>100</v>
      </c>
    </row>
    <row r="411" spans="2:3" x14ac:dyDescent="0.2">
      <c r="B411" t="s">
        <v>2276</v>
      </c>
      <c r="C411" s="491">
        <v>851.95</v>
      </c>
    </row>
    <row r="412" spans="2:3" x14ac:dyDescent="0.2">
      <c r="B412" t="s">
        <v>2280</v>
      </c>
      <c r="C412" s="491">
        <v>5</v>
      </c>
    </row>
    <row r="413" spans="2:3" x14ac:dyDescent="0.2">
      <c r="B413" t="s">
        <v>2284</v>
      </c>
      <c r="C413" s="491">
        <v>427</v>
      </c>
    </row>
    <row r="414" spans="2:3" x14ac:dyDescent="0.2">
      <c r="B414" t="s">
        <v>2288</v>
      </c>
      <c r="C414" s="491">
        <v>108</v>
      </c>
    </row>
    <row r="415" spans="2:3" x14ac:dyDescent="0.2">
      <c r="B415" t="s">
        <v>2292</v>
      </c>
      <c r="C415" s="491">
        <v>130</v>
      </c>
    </row>
    <row r="416" spans="2:3" x14ac:dyDescent="0.2">
      <c r="B416" t="s">
        <v>2294</v>
      </c>
      <c r="C416" s="491">
        <v>100</v>
      </c>
    </row>
    <row r="417" spans="2:3" x14ac:dyDescent="0.2">
      <c r="B417" t="s">
        <v>2298</v>
      </c>
      <c r="C417" s="491">
        <v>90</v>
      </c>
    </row>
    <row r="418" spans="2:3" x14ac:dyDescent="0.2">
      <c r="B418" t="s">
        <v>2302</v>
      </c>
      <c r="C418" s="491">
        <v>85</v>
      </c>
    </row>
    <row r="419" spans="2:3" x14ac:dyDescent="0.2">
      <c r="B419" t="s">
        <v>2305</v>
      </c>
      <c r="C419" s="491">
        <v>143.5</v>
      </c>
    </row>
    <row r="420" spans="2:3" x14ac:dyDescent="0.2">
      <c r="B420" t="s">
        <v>2308</v>
      </c>
      <c r="C420" s="491">
        <v>203</v>
      </c>
    </row>
    <row r="421" spans="2:3" x14ac:dyDescent="0.2">
      <c r="B421" t="s">
        <v>2312</v>
      </c>
      <c r="C421" s="491">
        <v>70</v>
      </c>
    </row>
    <row r="422" spans="2:3" x14ac:dyDescent="0.2">
      <c r="B422" t="s">
        <v>2316</v>
      </c>
      <c r="C422" s="491">
        <v>266</v>
      </c>
    </row>
    <row r="423" spans="2:3" x14ac:dyDescent="0.2">
      <c r="B423" t="s">
        <v>2320</v>
      </c>
      <c r="C423" s="491">
        <v>120</v>
      </c>
    </row>
    <row r="424" spans="2:3" x14ac:dyDescent="0.2">
      <c r="B424" t="s">
        <v>2323</v>
      </c>
      <c r="C424" s="491">
        <v>25</v>
      </c>
    </row>
    <row r="425" spans="2:3" x14ac:dyDescent="0.2">
      <c r="B425" t="s">
        <v>2328</v>
      </c>
      <c r="C425" s="491">
        <v>15</v>
      </c>
    </row>
    <row r="426" spans="2:3" x14ac:dyDescent="0.2">
      <c r="B426" t="s">
        <v>2332</v>
      </c>
      <c r="C426" s="491">
        <v>135</v>
      </c>
    </row>
    <row r="427" spans="2:3" x14ac:dyDescent="0.2">
      <c r="B427" t="s">
        <v>2335</v>
      </c>
      <c r="C427" s="491">
        <v>605</v>
      </c>
    </row>
    <row r="428" spans="2:3" x14ac:dyDescent="0.2">
      <c r="B428" t="s">
        <v>2337</v>
      </c>
      <c r="C428" s="491">
        <v>110</v>
      </c>
    </row>
    <row r="429" spans="2:3" x14ac:dyDescent="0.2">
      <c r="B429" t="s">
        <v>2345</v>
      </c>
      <c r="C429" s="491">
        <v>100</v>
      </c>
    </row>
    <row r="430" spans="2:3" x14ac:dyDescent="0.2">
      <c r="B430" t="s">
        <v>2349</v>
      </c>
      <c r="C430" s="491">
        <v>895</v>
      </c>
    </row>
    <row r="431" spans="2:3" x14ac:dyDescent="0.2">
      <c r="B431" t="s">
        <v>2353</v>
      </c>
      <c r="C431" s="491">
        <v>4071.5299999999997</v>
      </c>
    </row>
    <row r="432" spans="2:3" x14ac:dyDescent="0.2">
      <c r="B432" t="s">
        <v>2357</v>
      </c>
      <c r="C432" s="491">
        <v>135</v>
      </c>
    </row>
    <row r="433" spans="2:3" x14ac:dyDescent="0.2">
      <c r="B433" t="s">
        <v>2371</v>
      </c>
      <c r="C433" s="491">
        <v>200</v>
      </c>
    </row>
    <row r="434" spans="2:3" x14ac:dyDescent="0.2">
      <c r="B434" t="s">
        <v>2374</v>
      </c>
      <c r="C434" s="491">
        <v>9</v>
      </c>
    </row>
    <row r="435" spans="2:3" x14ac:dyDescent="0.2">
      <c r="B435" t="s">
        <v>2377</v>
      </c>
      <c r="C435" s="491">
        <v>601.66999999999996</v>
      </c>
    </row>
    <row r="436" spans="2:3" x14ac:dyDescent="0.2">
      <c r="B436" t="s">
        <v>2380</v>
      </c>
      <c r="C436" s="491">
        <v>115</v>
      </c>
    </row>
    <row r="437" spans="2:3" x14ac:dyDescent="0.2">
      <c r="B437" t="s">
        <v>2385</v>
      </c>
      <c r="C437" s="491">
        <v>25</v>
      </c>
    </row>
    <row r="438" spans="2:3" x14ac:dyDescent="0.2">
      <c r="B438" t="s">
        <v>2388</v>
      </c>
      <c r="C438" s="491">
        <v>850.09</v>
      </c>
    </row>
    <row r="439" spans="2:3" x14ac:dyDescent="0.2">
      <c r="B439" t="s">
        <v>2393</v>
      </c>
      <c r="C439" s="491">
        <v>216</v>
      </c>
    </row>
    <row r="440" spans="2:3" x14ac:dyDescent="0.2">
      <c r="B440" t="s">
        <v>2396</v>
      </c>
      <c r="C440" s="491">
        <v>748.95</v>
      </c>
    </row>
    <row r="441" spans="2:3" x14ac:dyDescent="0.2">
      <c r="B441" t="s">
        <v>2399</v>
      </c>
      <c r="C441" s="491">
        <v>15</v>
      </c>
    </row>
    <row r="442" spans="2:3" x14ac:dyDescent="0.2">
      <c r="B442" t="s">
        <v>2402</v>
      </c>
      <c r="C442" s="491">
        <v>391</v>
      </c>
    </row>
    <row r="443" spans="2:3" x14ac:dyDescent="0.2">
      <c r="B443" t="s">
        <v>2406</v>
      </c>
      <c r="C443" s="491">
        <v>25</v>
      </c>
    </row>
    <row r="444" spans="2:3" x14ac:dyDescent="0.2">
      <c r="B444" t="s">
        <v>2412</v>
      </c>
      <c r="C444" s="491">
        <v>149</v>
      </c>
    </row>
    <row r="445" spans="2:3" x14ac:dyDescent="0.2">
      <c r="B445" t="s">
        <v>2415</v>
      </c>
      <c r="C445" s="491">
        <v>85</v>
      </c>
    </row>
    <row r="446" spans="2:3" x14ac:dyDescent="0.2">
      <c r="B446" t="s">
        <v>2417</v>
      </c>
      <c r="C446" s="491">
        <v>584</v>
      </c>
    </row>
    <row r="447" spans="2:3" x14ac:dyDescent="0.2">
      <c r="B447" t="s">
        <v>2421</v>
      </c>
      <c r="C447" s="491">
        <v>196</v>
      </c>
    </row>
    <row r="448" spans="2:3" x14ac:dyDescent="0.2">
      <c r="B448" t="s">
        <v>2426</v>
      </c>
      <c r="C448" s="491">
        <v>65</v>
      </c>
    </row>
    <row r="449" spans="2:3" x14ac:dyDescent="0.2">
      <c r="B449" t="s">
        <v>2432</v>
      </c>
      <c r="C449" s="491">
        <v>1167.5</v>
      </c>
    </row>
    <row r="450" spans="2:3" x14ac:dyDescent="0.2">
      <c r="B450" t="s">
        <v>2435</v>
      </c>
      <c r="C450" s="491">
        <v>10</v>
      </c>
    </row>
    <row r="451" spans="2:3" x14ac:dyDescent="0.2">
      <c r="B451" t="s">
        <v>2439</v>
      </c>
      <c r="C451" s="491">
        <v>10</v>
      </c>
    </row>
    <row r="452" spans="2:3" x14ac:dyDescent="0.2">
      <c r="B452" t="s">
        <v>2445</v>
      </c>
      <c r="C452" s="491">
        <v>5433</v>
      </c>
    </row>
    <row r="453" spans="2:3" x14ac:dyDescent="0.2">
      <c r="B453" t="s">
        <v>2449</v>
      </c>
      <c r="C453" s="491">
        <v>140</v>
      </c>
    </row>
    <row r="454" spans="2:3" x14ac:dyDescent="0.2">
      <c r="B454" t="s">
        <v>2453</v>
      </c>
      <c r="C454" s="491">
        <v>157</v>
      </c>
    </row>
    <row r="455" spans="2:3" x14ac:dyDescent="0.2">
      <c r="B455" t="s">
        <v>2457</v>
      </c>
      <c r="C455" s="491">
        <v>130</v>
      </c>
    </row>
    <row r="456" spans="2:3" x14ac:dyDescent="0.2">
      <c r="B456" t="s">
        <v>2460</v>
      </c>
      <c r="C456" s="491">
        <v>94.740000000000009</v>
      </c>
    </row>
    <row r="457" spans="2:3" x14ac:dyDescent="0.2">
      <c r="B457" t="s">
        <v>2465</v>
      </c>
      <c r="C457" s="491">
        <v>450</v>
      </c>
    </row>
    <row r="458" spans="2:3" x14ac:dyDescent="0.2">
      <c r="B458" t="s">
        <v>2469</v>
      </c>
      <c r="C458" s="491">
        <v>110</v>
      </c>
    </row>
    <row r="459" spans="2:3" x14ac:dyDescent="0.2">
      <c r="B459" t="s">
        <v>2499</v>
      </c>
      <c r="C459" s="491">
        <v>70</v>
      </c>
    </row>
    <row r="460" spans="2:3" x14ac:dyDescent="0.2">
      <c r="B460" t="s">
        <v>2503</v>
      </c>
      <c r="C460" s="491">
        <v>959</v>
      </c>
    </row>
    <row r="461" spans="2:3" x14ac:dyDescent="0.2">
      <c r="B461" t="s">
        <v>2507</v>
      </c>
      <c r="C461" s="491">
        <v>255</v>
      </c>
    </row>
    <row r="462" spans="2:3" x14ac:dyDescent="0.2">
      <c r="B462" t="s">
        <v>2510</v>
      </c>
      <c r="C462" s="491">
        <v>280</v>
      </c>
    </row>
    <row r="463" spans="2:3" x14ac:dyDescent="0.2">
      <c r="B463" t="s">
        <v>2513</v>
      </c>
      <c r="C463" s="491">
        <v>595</v>
      </c>
    </row>
    <row r="464" spans="2:3" x14ac:dyDescent="0.2">
      <c r="B464" t="s">
        <v>2520</v>
      </c>
      <c r="C464" s="491">
        <v>110</v>
      </c>
    </row>
    <row r="465" spans="2:3" x14ac:dyDescent="0.2">
      <c r="B465" t="s">
        <v>2523</v>
      </c>
      <c r="C465" s="491">
        <v>320</v>
      </c>
    </row>
    <row r="466" spans="2:3" x14ac:dyDescent="0.2">
      <c r="B466" t="s">
        <v>2528</v>
      </c>
      <c r="C466" s="491">
        <v>10</v>
      </c>
    </row>
    <row r="467" spans="2:3" x14ac:dyDescent="0.2">
      <c r="B467" t="s">
        <v>2532</v>
      </c>
      <c r="C467" s="491">
        <v>30</v>
      </c>
    </row>
    <row r="468" spans="2:3" x14ac:dyDescent="0.2">
      <c r="B468" t="s">
        <v>2535</v>
      </c>
      <c r="C468" s="491">
        <v>265</v>
      </c>
    </row>
    <row r="469" spans="2:3" x14ac:dyDescent="0.2">
      <c r="B469" t="s">
        <v>2539</v>
      </c>
      <c r="C469" s="491">
        <v>790</v>
      </c>
    </row>
    <row r="470" spans="2:3" x14ac:dyDescent="0.2">
      <c r="B470" t="s">
        <v>2544</v>
      </c>
      <c r="C470" s="491">
        <v>512.67999999999995</v>
      </c>
    </row>
    <row r="471" spans="2:3" x14ac:dyDescent="0.2">
      <c r="B471" t="s">
        <v>2547</v>
      </c>
      <c r="C471" s="491">
        <v>39</v>
      </c>
    </row>
    <row r="472" spans="2:3" x14ac:dyDescent="0.2">
      <c r="B472" t="s">
        <v>2549</v>
      </c>
      <c r="C472" s="491">
        <v>460</v>
      </c>
    </row>
    <row r="473" spans="2:3" x14ac:dyDescent="0.2">
      <c r="B473" t="s">
        <v>2555</v>
      </c>
      <c r="C473" s="491">
        <v>240</v>
      </c>
    </row>
    <row r="474" spans="2:3" x14ac:dyDescent="0.2">
      <c r="B474" t="s">
        <v>2564</v>
      </c>
      <c r="C474" s="491">
        <v>485</v>
      </c>
    </row>
    <row r="475" spans="2:3" x14ac:dyDescent="0.2">
      <c r="B475" t="s">
        <v>2567</v>
      </c>
      <c r="C475" s="491">
        <v>80</v>
      </c>
    </row>
    <row r="476" spans="2:3" x14ac:dyDescent="0.2">
      <c r="B476" t="s">
        <v>2570</v>
      </c>
      <c r="C476" s="491">
        <v>455</v>
      </c>
    </row>
    <row r="477" spans="2:3" x14ac:dyDescent="0.2">
      <c r="B477" t="s">
        <v>2573</v>
      </c>
      <c r="C477" s="491">
        <v>5</v>
      </c>
    </row>
    <row r="478" spans="2:3" x14ac:dyDescent="0.2">
      <c r="B478" t="s">
        <v>2579</v>
      </c>
      <c r="C478" s="491">
        <v>90</v>
      </c>
    </row>
    <row r="479" spans="2:3" x14ac:dyDescent="0.2">
      <c r="B479" t="s">
        <v>2581</v>
      </c>
      <c r="C479" s="491">
        <v>715.34</v>
      </c>
    </row>
    <row r="480" spans="2:3" x14ac:dyDescent="0.2">
      <c r="B480" t="s">
        <v>2587</v>
      </c>
      <c r="C480" s="491">
        <v>80</v>
      </c>
    </row>
    <row r="481" spans="2:3" x14ac:dyDescent="0.2">
      <c r="B481" t="s">
        <v>2590</v>
      </c>
      <c r="C481" s="491">
        <v>356.88</v>
      </c>
    </row>
    <row r="482" spans="2:3" x14ac:dyDescent="0.2">
      <c r="B482" t="s">
        <v>2593</v>
      </c>
      <c r="C482" s="491">
        <v>230</v>
      </c>
    </row>
    <row r="483" spans="2:3" x14ac:dyDescent="0.2">
      <c r="B483" t="s">
        <v>2595</v>
      </c>
      <c r="C483" s="491">
        <v>160</v>
      </c>
    </row>
    <row r="484" spans="2:3" x14ac:dyDescent="0.2">
      <c r="B484" t="s">
        <v>2601</v>
      </c>
      <c r="C484" s="491">
        <v>90</v>
      </c>
    </row>
    <row r="485" spans="2:3" x14ac:dyDescent="0.2">
      <c r="B485" t="s">
        <v>2604</v>
      </c>
      <c r="C485" s="491">
        <v>180</v>
      </c>
    </row>
    <row r="486" spans="2:3" x14ac:dyDescent="0.2">
      <c r="B486" t="s">
        <v>2607</v>
      </c>
      <c r="C486" s="491">
        <v>215</v>
      </c>
    </row>
    <row r="487" spans="2:3" x14ac:dyDescent="0.2">
      <c r="B487" t="s">
        <v>2613</v>
      </c>
      <c r="C487" s="491">
        <v>65</v>
      </c>
    </row>
    <row r="488" spans="2:3" x14ac:dyDescent="0.2">
      <c r="B488" t="s">
        <v>2617</v>
      </c>
      <c r="C488" s="491">
        <v>72</v>
      </c>
    </row>
    <row r="489" spans="2:3" x14ac:dyDescent="0.2">
      <c r="B489" t="s">
        <v>2621</v>
      </c>
      <c r="C489" s="491">
        <v>185</v>
      </c>
    </row>
    <row r="490" spans="2:3" x14ac:dyDescent="0.2">
      <c r="B490" t="s">
        <v>2632</v>
      </c>
      <c r="C490" s="491">
        <v>160</v>
      </c>
    </row>
    <row r="491" spans="2:3" x14ac:dyDescent="0.2">
      <c r="B491" t="s">
        <v>2636</v>
      </c>
      <c r="C491" s="491">
        <v>1098</v>
      </c>
    </row>
    <row r="492" spans="2:3" x14ac:dyDescent="0.2">
      <c r="B492" t="s">
        <v>2640</v>
      </c>
      <c r="C492" s="491">
        <v>774</v>
      </c>
    </row>
    <row r="493" spans="2:3" x14ac:dyDescent="0.2">
      <c r="B493" t="s">
        <v>2643</v>
      </c>
      <c r="C493" s="491">
        <v>255</v>
      </c>
    </row>
    <row r="494" spans="2:3" x14ac:dyDescent="0.2">
      <c r="B494" t="s">
        <v>2646</v>
      </c>
      <c r="C494" s="491">
        <v>40.730000000000004</v>
      </c>
    </row>
    <row r="495" spans="2:3" x14ac:dyDescent="0.2">
      <c r="B495" t="s">
        <v>2649</v>
      </c>
      <c r="C495" s="491">
        <v>25</v>
      </c>
    </row>
    <row r="496" spans="2:3" x14ac:dyDescent="0.2">
      <c r="B496" t="s">
        <v>2653</v>
      </c>
      <c r="C496" s="491">
        <v>377</v>
      </c>
    </row>
    <row r="497" spans="2:3" x14ac:dyDescent="0.2">
      <c r="B497" t="s">
        <v>2657</v>
      </c>
      <c r="C497" s="491">
        <v>707.39</v>
      </c>
    </row>
    <row r="498" spans="2:3" x14ac:dyDescent="0.2">
      <c r="B498" t="s">
        <v>2661</v>
      </c>
      <c r="C498" s="491">
        <v>90</v>
      </c>
    </row>
    <row r="499" spans="2:3" x14ac:dyDescent="0.2">
      <c r="B499" t="s">
        <v>2669</v>
      </c>
      <c r="C499" s="491">
        <v>335</v>
      </c>
    </row>
    <row r="500" spans="2:3" x14ac:dyDescent="0.2">
      <c r="B500" t="s">
        <v>2672</v>
      </c>
      <c r="C500" s="491">
        <v>140</v>
      </c>
    </row>
    <row r="501" spans="2:3" x14ac:dyDescent="0.2">
      <c r="B501" t="s">
        <v>2676</v>
      </c>
      <c r="C501" s="491">
        <v>127</v>
      </c>
    </row>
    <row r="502" spans="2:3" x14ac:dyDescent="0.2">
      <c r="B502" t="s">
        <v>2679</v>
      </c>
      <c r="C502" s="491">
        <v>353</v>
      </c>
    </row>
    <row r="503" spans="2:3" x14ac:dyDescent="0.2">
      <c r="B503" t="s">
        <v>2687</v>
      </c>
      <c r="C503" s="491">
        <v>55</v>
      </c>
    </row>
    <row r="504" spans="2:3" x14ac:dyDescent="0.2">
      <c r="B504" t="s">
        <v>2697</v>
      </c>
      <c r="C504" s="491">
        <v>345</v>
      </c>
    </row>
    <row r="505" spans="2:3" x14ac:dyDescent="0.2">
      <c r="B505" t="s">
        <v>2701</v>
      </c>
      <c r="C505" s="491">
        <v>260</v>
      </c>
    </row>
    <row r="506" spans="2:3" x14ac:dyDescent="0.2">
      <c r="B506" t="s">
        <v>2708</v>
      </c>
      <c r="C506" s="491">
        <v>427</v>
      </c>
    </row>
    <row r="507" spans="2:3" x14ac:dyDescent="0.2">
      <c r="B507" t="s">
        <v>2714</v>
      </c>
      <c r="C507" s="491">
        <v>280</v>
      </c>
    </row>
    <row r="508" spans="2:3" x14ac:dyDescent="0.2">
      <c r="B508" t="s">
        <v>2718</v>
      </c>
      <c r="C508" s="491">
        <v>50</v>
      </c>
    </row>
    <row r="509" spans="2:3" x14ac:dyDescent="0.2">
      <c r="B509" t="s">
        <v>2723</v>
      </c>
      <c r="C509" s="491">
        <v>50</v>
      </c>
    </row>
    <row r="510" spans="2:3" x14ac:dyDescent="0.2">
      <c r="B510" t="s">
        <v>2729</v>
      </c>
      <c r="C510" s="491">
        <v>205</v>
      </c>
    </row>
    <row r="511" spans="2:3" x14ac:dyDescent="0.2">
      <c r="B511" t="s">
        <v>2737</v>
      </c>
      <c r="C511" s="491">
        <v>384</v>
      </c>
    </row>
    <row r="512" spans="2:3" x14ac:dyDescent="0.2">
      <c r="B512" t="s">
        <v>2741</v>
      </c>
      <c r="C512" s="491">
        <v>346</v>
      </c>
    </row>
    <row r="513" spans="2:3" x14ac:dyDescent="0.2">
      <c r="B513" t="s">
        <v>2744</v>
      </c>
      <c r="C513" s="491">
        <v>361.8</v>
      </c>
    </row>
    <row r="514" spans="2:3" x14ac:dyDescent="0.2">
      <c r="B514" t="s">
        <v>2747</v>
      </c>
      <c r="C514" s="491">
        <v>170</v>
      </c>
    </row>
    <row r="515" spans="2:3" x14ac:dyDescent="0.2">
      <c r="B515" t="s">
        <v>2752</v>
      </c>
      <c r="C515" s="491">
        <v>90</v>
      </c>
    </row>
    <row r="516" spans="2:3" x14ac:dyDescent="0.2">
      <c r="B516" t="s">
        <v>2757</v>
      </c>
      <c r="C516" s="491">
        <v>10</v>
      </c>
    </row>
    <row r="517" spans="2:3" x14ac:dyDescent="0.2">
      <c r="B517" t="s">
        <v>2768</v>
      </c>
      <c r="C517" s="491">
        <v>55</v>
      </c>
    </row>
    <row r="518" spans="2:3" x14ac:dyDescent="0.2">
      <c r="B518" t="s">
        <v>2773</v>
      </c>
      <c r="C518" s="491">
        <v>153</v>
      </c>
    </row>
    <row r="519" spans="2:3" x14ac:dyDescent="0.2">
      <c r="B519" t="s">
        <v>2779</v>
      </c>
      <c r="C519" s="491">
        <v>518</v>
      </c>
    </row>
    <row r="520" spans="2:3" x14ac:dyDescent="0.2">
      <c r="B520" t="s">
        <v>2783</v>
      </c>
      <c r="C520" s="491">
        <v>324.44</v>
      </c>
    </row>
    <row r="521" spans="2:3" x14ac:dyDescent="0.2">
      <c r="B521" t="s">
        <v>2790</v>
      </c>
      <c r="C521" s="491">
        <v>10</v>
      </c>
    </row>
    <row r="522" spans="2:3" x14ac:dyDescent="0.2">
      <c r="B522" t="s">
        <v>2805</v>
      </c>
      <c r="C522" s="491">
        <v>60</v>
      </c>
    </row>
    <row r="523" spans="2:3" x14ac:dyDescent="0.2">
      <c r="B523" t="s">
        <v>2807</v>
      </c>
      <c r="C523" s="491">
        <v>125</v>
      </c>
    </row>
    <row r="524" spans="2:3" x14ac:dyDescent="0.2">
      <c r="B524" t="s">
        <v>2811</v>
      </c>
      <c r="C524" s="491">
        <v>565</v>
      </c>
    </row>
    <row r="525" spans="2:3" x14ac:dyDescent="0.2">
      <c r="B525" t="s">
        <v>2818</v>
      </c>
      <c r="C525" s="491">
        <v>310</v>
      </c>
    </row>
    <row r="526" spans="2:3" x14ac:dyDescent="0.2">
      <c r="B526" t="s">
        <v>2822</v>
      </c>
      <c r="C526" s="491">
        <v>709.69</v>
      </c>
    </row>
    <row r="527" spans="2:3" x14ac:dyDescent="0.2">
      <c r="B527" t="s">
        <v>2826</v>
      </c>
      <c r="C527" s="491">
        <v>100</v>
      </c>
    </row>
    <row r="528" spans="2:3" x14ac:dyDescent="0.2">
      <c r="B528" t="s">
        <v>2832</v>
      </c>
      <c r="C528" s="491">
        <v>36</v>
      </c>
    </row>
    <row r="529" spans="2:3" x14ac:dyDescent="0.2">
      <c r="B529" t="s">
        <v>2839</v>
      </c>
      <c r="C529" s="491">
        <v>130</v>
      </c>
    </row>
    <row r="530" spans="2:3" x14ac:dyDescent="0.2">
      <c r="B530" t="s">
        <v>2848</v>
      </c>
      <c r="C530" s="491">
        <v>500</v>
      </c>
    </row>
    <row r="531" spans="2:3" x14ac:dyDescent="0.2">
      <c r="B531" t="s">
        <v>2859</v>
      </c>
      <c r="C531" s="491">
        <v>285</v>
      </c>
    </row>
    <row r="532" spans="2:3" x14ac:dyDescent="0.2">
      <c r="B532" t="s">
        <v>2862</v>
      </c>
      <c r="C532" s="491">
        <v>993</v>
      </c>
    </row>
    <row r="533" spans="2:3" x14ac:dyDescent="0.2">
      <c r="B533" t="s">
        <v>2866</v>
      </c>
      <c r="C533" s="491">
        <v>132</v>
      </c>
    </row>
    <row r="534" spans="2:3" x14ac:dyDescent="0.2">
      <c r="B534" t="s">
        <v>2869</v>
      </c>
      <c r="C534" s="491">
        <v>210</v>
      </c>
    </row>
    <row r="535" spans="2:3" x14ac:dyDescent="0.2">
      <c r="B535" t="s">
        <v>2871</v>
      </c>
      <c r="C535" s="491">
        <v>642.04999999999995</v>
      </c>
    </row>
    <row r="536" spans="2:3" x14ac:dyDescent="0.2">
      <c r="B536" t="s">
        <v>2874</v>
      </c>
      <c r="C536" s="491">
        <v>260</v>
      </c>
    </row>
    <row r="537" spans="2:3" x14ac:dyDescent="0.2">
      <c r="B537" t="s">
        <v>2876</v>
      </c>
      <c r="C537" s="491">
        <v>240</v>
      </c>
    </row>
    <row r="538" spans="2:3" x14ac:dyDescent="0.2">
      <c r="B538" t="s">
        <v>2879</v>
      </c>
      <c r="C538" s="491">
        <v>258.48</v>
      </c>
    </row>
    <row r="539" spans="2:3" x14ac:dyDescent="0.2">
      <c r="B539" t="s">
        <v>2882</v>
      </c>
      <c r="C539" s="491">
        <v>75</v>
      </c>
    </row>
    <row r="540" spans="2:3" x14ac:dyDescent="0.2">
      <c r="B540" t="s">
        <v>2884</v>
      </c>
      <c r="C540" s="491">
        <v>75</v>
      </c>
    </row>
    <row r="541" spans="2:3" x14ac:dyDescent="0.2">
      <c r="B541" t="s">
        <v>2891</v>
      </c>
      <c r="C541" s="491">
        <v>600</v>
      </c>
    </row>
    <row r="542" spans="2:3" x14ac:dyDescent="0.2">
      <c r="B542" t="s">
        <v>2898</v>
      </c>
      <c r="C542" s="491">
        <v>245</v>
      </c>
    </row>
    <row r="543" spans="2:3" x14ac:dyDescent="0.2">
      <c r="B543" t="s">
        <v>2902</v>
      </c>
      <c r="C543" s="491">
        <v>115</v>
      </c>
    </row>
    <row r="544" spans="2:3" x14ac:dyDescent="0.2">
      <c r="B544" t="s">
        <v>2909</v>
      </c>
      <c r="C544" s="491">
        <v>30</v>
      </c>
    </row>
    <row r="545" spans="2:3" x14ac:dyDescent="0.2">
      <c r="B545" t="s">
        <v>2913</v>
      </c>
      <c r="C545" s="491">
        <v>696</v>
      </c>
    </row>
    <row r="546" spans="2:3" x14ac:dyDescent="0.2">
      <c r="B546" t="s">
        <v>2917</v>
      </c>
      <c r="C546" s="491">
        <v>45</v>
      </c>
    </row>
    <row r="547" spans="2:3" x14ac:dyDescent="0.2">
      <c r="B547" t="s">
        <v>2920</v>
      </c>
      <c r="C547" s="491">
        <v>105</v>
      </c>
    </row>
    <row r="548" spans="2:3" x14ac:dyDescent="0.2">
      <c r="B548" t="s">
        <v>2922</v>
      </c>
      <c r="C548" s="491">
        <v>1289.71</v>
      </c>
    </row>
    <row r="549" spans="2:3" x14ac:dyDescent="0.2">
      <c r="B549" t="s">
        <v>2929</v>
      </c>
      <c r="C549" s="491">
        <v>105</v>
      </c>
    </row>
    <row r="550" spans="2:3" x14ac:dyDescent="0.2">
      <c r="B550" t="s">
        <v>2940</v>
      </c>
      <c r="C550" s="491">
        <v>50</v>
      </c>
    </row>
    <row r="551" spans="2:3" x14ac:dyDescent="0.2">
      <c r="B551" t="s">
        <v>2943</v>
      </c>
      <c r="C551" s="491">
        <v>360</v>
      </c>
    </row>
    <row r="552" spans="2:3" x14ac:dyDescent="0.2">
      <c r="B552" t="s">
        <v>2946</v>
      </c>
      <c r="C552" s="491">
        <v>157</v>
      </c>
    </row>
    <row r="553" spans="2:3" x14ac:dyDescent="0.2">
      <c r="B553" t="s">
        <v>2950</v>
      </c>
      <c r="C553" s="491">
        <v>396</v>
      </c>
    </row>
    <row r="554" spans="2:3" x14ac:dyDescent="0.2">
      <c r="B554" t="s">
        <v>2957</v>
      </c>
      <c r="C554" s="491">
        <v>1024</v>
      </c>
    </row>
    <row r="555" spans="2:3" x14ac:dyDescent="0.2">
      <c r="B555" t="s">
        <v>2962</v>
      </c>
      <c r="C555" s="491">
        <v>0</v>
      </c>
    </row>
    <row r="556" spans="2:3" x14ac:dyDescent="0.2">
      <c r="B556" t="s">
        <v>2966</v>
      </c>
      <c r="C556" s="491">
        <v>450</v>
      </c>
    </row>
    <row r="557" spans="2:3" x14ac:dyDescent="0.2">
      <c r="B557" t="s">
        <v>2973</v>
      </c>
      <c r="C557" s="491">
        <v>160</v>
      </c>
    </row>
    <row r="558" spans="2:3" x14ac:dyDescent="0.2">
      <c r="B558" t="s">
        <v>2976</v>
      </c>
      <c r="C558" s="491">
        <v>231</v>
      </c>
    </row>
    <row r="559" spans="2:3" x14ac:dyDescent="0.2">
      <c r="B559" t="s">
        <v>2987</v>
      </c>
      <c r="C559" s="491">
        <v>75</v>
      </c>
    </row>
    <row r="560" spans="2:3" x14ac:dyDescent="0.2">
      <c r="B560" t="s">
        <v>2994</v>
      </c>
      <c r="C560" s="491">
        <v>80</v>
      </c>
    </row>
    <row r="561" spans="2:3" x14ac:dyDescent="0.2">
      <c r="B561" t="s">
        <v>3005</v>
      </c>
      <c r="C561" s="491">
        <v>225</v>
      </c>
    </row>
    <row r="562" spans="2:3" x14ac:dyDescent="0.2">
      <c r="B562" t="s">
        <v>3013</v>
      </c>
      <c r="C562" s="491">
        <v>65</v>
      </c>
    </row>
    <row r="563" spans="2:3" x14ac:dyDescent="0.2">
      <c r="B563" t="s">
        <v>3017</v>
      </c>
      <c r="C563" s="491">
        <v>560</v>
      </c>
    </row>
    <row r="564" spans="2:3" x14ac:dyDescent="0.2">
      <c r="B564" t="s">
        <v>3027</v>
      </c>
      <c r="C564" s="491">
        <v>704</v>
      </c>
    </row>
    <row r="565" spans="2:3" x14ac:dyDescent="0.2">
      <c r="B565" t="s">
        <v>3039</v>
      </c>
      <c r="C565" s="491">
        <v>685</v>
      </c>
    </row>
    <row r="566" spans="2:3" x14ac:dyDescent="0.2">
      <c r="B566" t="s">
        <v>3050</v>
      </c>
      <c r="C566" s="491">
        <v>631.1</v>
      </c>
    </row>
    <row r="567" spans="2:3" x14ac:dyDescent="0.2">
      <c r="B567" t="s">
        <v>3056</v>
      </c>
      <c r="C567" s="491">
        <v>2158.5500000000002</v>
      </c>
    </row>
    <row r="568" spans="2:3" x14ac:dyDescent="0.2">
      <c r="B568" t="s">
        <v>3059</v>
      </c>
      <c r="C568" s="491">
        <v>50</v>
      </c>
    </row>
    <row r="569" spans="2:3" x14ac:dyDescent="0.2">
      <c r="B569" t="s">
        <v>3067</v>
      </c>
      <c r="C569" s="491">
        <v>330</v>
      </c>
    </row>
    <row r="570" spans="2:3" x14ac:dyDescent="0.2">
      <c r="B570" t="s">
        <v>3070</v>
      </c>
      <c r="C570" s="491">
        <v>80</v>
      </c>
    </row>
    <row r="571" spans="2:3" x14ac:dyDescent="0.2">
      <c r="B571" t="s">
        <v>3074</v>
      </c>
      <c r="C571" s="491">
        <v>797.65</v>
      </c>
    </row>
    <row r="572" spans="2:3" x14ac:dyDescent="0.2">
      <c r="B572" t="s">
        <v>3078</v>
      </c>
      <c r="C572" s="491">
        <v>110</v>
      </c>
    </row>
    <row r="573" spans="2:3" x14ac:dyDescent="0.2">
      <c r="B573" t="s">
        <v>3082</v>
      </c>
      <c r="C573" s="491">
        <v>75</v>
      </c>
    </row>
    <row r="574" spans="2:3" x14ac:dyDescent="0.2">
      <c r="B574" t="s">
        <v>3090</v>
      </c>
      <c r="C574" s="491">
        <v>275</v>
      </c>
    </row>
    <row r="575" spans="2:3" x14ac:dyDescent="0.2">
      <c r="B575" t="s">
        <v>3094</v>
      </c>
      <c r="C575" s="491">
        <v>60</v>
      </c>
    </row>
    <row r="576" spans="2:3" x14ac:dyDescent="0.2">
      <c r="B576" t="s">
        <v>3098</v>
      </c>
      <c r="C576" s="491">
        <v>135</v>
      </c>
    </row>
    <row r="577" spans="2:3" x14ac:dyDescent="0.2">
      <c r="B577" t="s">
        <v>3102</v>
      </c>
      <c r="C577" s="491">
        <v>40</v>
      </c>
    </row>
    <row r="578" spans="2:3" x14ac:dyDescent="0.2">
      <c r="B578" t="s">
        <v>3108</v>
      </c>
      <c r="C578" s="491">
        <v>50</v>
      </c>
    </row>
    <row r="579" spans="2:3" x14ac:dyDescent="0.2">
      <c r="B579" t="s">
        <v>3114</v>
      </c>
      <c r="C579" s="491">
        <v>220</v>
      </c>
    </row>
    <row r="580" spans="2:3" x14ac:dyDescent="0.2">
      <c r="B580" t="s">
        <v>3118</v>
      </c>
      <c r="C580" s="491">
        <v>215</v>
      </c>
    </row>
    <row r="581" spans="2:3" x14ac:dyDescent="0.2">
      <c r="B581" t="s">
        <v>3122</v>
      </c>
      <c r="C581" s="491">
        <v>768.44999999999993</v>
      </c>
    </row>
    <row r="582" spans="2:3" x14ac:dyDescent="0.2">
      <c r="B582" t="s">
        <v>3130</v>
      </c>
      <c r="C582" s="491">
        <v>319</v>
      </c>
    </row>
    <row r="583" spans="2:3" x14ac:dyDescent="0.2">
      <c r="B583" t="s">
        <v>3133</v>
      </c>
      <c r="C583" s="491">
        <v>1775</v>
      </c>
    </row>
    <row r="584" spans="2:3" x14ac:dyDescent="0.2">
      <c r="B584" t="s">
        <v>3140</v>
      </c>
      <c r="C584" s="491">
        <v>80</v>
      </c>
    </row>
    <row r="585" spans="2:3" x14ac:dyDescent="0.2">
      <c r="B585" t="s">
        <v>3143</v>
      </c>
      <c r="C585" s="491">
        <v>210</v>
      </c>
    </row>
    <row r="586" spans="2:3" x14ac:dyDescent="0.2">
      <c r="B586" t="s">
        <v>3146</v>
      </c>
      <c r="C586" s="491">
        <v>611.97</v>
      </c>
    </row>
    <row r="587" spans="2:3" x14ac:dyDescent="0.2">
      <c r="B587" t="s">
        <v>3151</v>
      </c>
      <c r="C587" s="491">
        <v>2185</v>
      </c>
    </row>
    <row r="588" spans="2:3" x14ac:dyDescent="0.2">
      <c r="B588" t="s">
        <v>3159</v>
      </c>
      <c r="C588" s="491">
        <v>2000</v>
      </c>
    </row>
    <row r="589" spans="2:3" x14ac:dyDescent="0.2">
      <c r="B589" t="s">
        <v>3163</v>
      </c>
      <c r="C589" s="491">
        <v>182</v>
      </c>
    </row>
    <row r="590" spans="2:3" x14ac:dyDescent="0.2">
      <c r="B590" t="s">
        <v>3171</v>
      </c>
      <c r="C590" s="491">
        <v>2580</v>
      </c>
    </row>
    <row r="591" spans="2:3" x14ac:dyDescent="0.2">
      <c r="B591" t="s">
        <v>3178</v>
      </c>
      <c r="C591" s="491">
        <v>826</v>
      </c>
    </row>
    <row r="592" spans="2:3" x14ac:dyDescent="0.2">
      <c r="B592" t="s">
        <v>3182</v>
      </c>
      <c r="C592" s="491">
        <v>50</v>
      </c>
    </row>
    <row r="593" spans="2:3" x14ac:dyDescent="0.2">
      <c r="B593" t="s">
        <v>3192</v>
      </c>
      <c r="C593" s="491">
        <v>295</v>
      </c>
    </row>
    <row r="594" spans="2:3" x14ac:dyDescent="0.2">
      <c r="B594" t="s">
        <v>3197</v>
      </c>
      <c r="C594" s="491">
        <v>100</v>
      </c>
    </row>
    <row r="595" spans="2:3" x14ac:dyDescent="0.2">
      <c r="B595" t="s">
        <v>3206</v>
      </c>
      <c r="C595" s="491">
        <v>1109.5200000000002</v>
      </c>
    </row>
    <row r="596" spans="2:3" x14ac:dyDescent="0.2">
      <c r="B596" t="s">
        <v>3213</v>
      </c>
      <c r="C596" s="491">
        <v>847.2</v>
      </c>
    </row>
    <row r="597" spans="2:3" x14ac:dyDescent="0.2">
      <c r="B597" t="s">
        <v>3223</v>
      </c>
      <c r="C597" s="491">
        <v>500</v>
      </c>
    </row>
    <row r="598" spans="2:3" x14ac:dyDescent="0.2">
      <c r="B598" t="s">
        <v>3226</v>
      </c>
      <c r="C598" s="491">
        <v>851</v>
      </c>
    </row>
    <row r="599" spans="2:3" x14ac:dyDescent="0.2">
      <c r="B599" t="s">
        <v>3231</v>
      </c>
      <c r="C599" s="491">
        <v>480</v>
      </c>
    </row>
    <row r="600" spans="2:3" x14ac:dyDescent="0.2">
      <c r="B600" t="s">
        <v>3233</v>
      </c>
      <c r="C600" s="491">
        <v>99.999999999999986</v>
      </c>
    </row>
    <row r="601" spans="2:3" x14ac:dyDescent="0.2">
      <c r="B601" t="s">
        <v>3236</v>
      </c>
      <c r="C601" s="491">
        <v>900</v>
      </c>
    </row>
    <row r="602" spans="2:3" x14ac:dyDescent="0.2">
      <c r="B602" t="s">
        <v>3241</v>
      </c>
      <c r="C602" s="491">
        <v>130</v>
      </c>
    </row>
    <row r="603" spans="2:3" x14ac:dyDescent="0.2">
      <c r="B603" t="s">
        <v>3248</v>
      </c>
      <c r="C603" s="491">
        <v>135</v>
      </c>
    </row>
    <row r="604" spans="2:3" x14ac:dyDescent="0.2">
      <c r="B604" t="s">
        <v>3256</v>
      </c>
      <c r="C604" s="491">
        <v>340</v>
      </c>
    </row>
    <row r="605" spans="2:3" x14ac:dyDescent="0.2">
      <c r="B605" t="s">
        <v>3260</v>
      </c>
      <c r="C605" s="491">
        <v>645</v>
      </c>
    </row>
    <row r="606" spans="2:3" x14ac:dyDescent="0.2">
      <c r="B606" t="s">
        <v>3272</v>
      </c>
      <c r="C606" s="491">
        <v>325.45</v>
      </c>
    </row>
    <row r="607" spans="2:3" x14ac:dyDescent="0.2">
      <c r="B607" t="s">
        <v>3289</v>
      </c>
      <c r="C607" s="491">
        <v>15</v>
      </c>
    </row>
    <row r="608" spans="2:3" x14ac:dyDescent="0.2">
      <c r="B608" t="s">
        <v>3293</v>
      </c>
      <c r="C608" s="491">
        <v>265</v>
      </c>
    </row>
    <row r="609" spans="2:3" x14ac:dyDescent="0.2">
      <c r="B609" t="s">
        <v>3296</v>
      </c>
      <c r="C609" s="491">
        <v>1135</v>
      </c>
    </row>
    <row r="610" spans="2:3" x14ac:dyDescent="0.2">
      <c r="B610" t="s">
        <v>3315</v>
      </c>
      <c r="C610" s="491">
        <v>506.5</v>
      </c>
    </row>
    <row r="611" spans="2:3" x14ac:dyDescent="0.2">
      <c r="B611" t="s">
        <v>3319</v>
      </c>
      <c r="C611" s="491">
        <v>63</v>
      </c>
    </row>
    <row r="612" spans="2:3" x14ac:dyDescent="0.2">
      <c r="B612" t="s">
        <v>3323</v>
      </c>
      <c r="C612" s="491">
        <v>149</v>
      </c>
    </row>
    <row r="613" spans="2:3" x14ac:dyDescent="0.2">
      <c r="B613" t="s">
        <v>3327</v>
      </c>
      <c r="C613" s="491">
        <v>20</v>
      </c>
    </row>
    <row r="614" spans="2:3" x14ac:dyDescent="0.2">
      <c r="B614" t="s">
        <v>3330</v>
      </c>
      <c r="C614" s="491">
        <v>278.14999999999998</v>
      </c>
    </row>
    <row r="615" spans="2:3" x14ac:dyDescent="0.2">
      <c r="B615" t="s">
        <v>3333</v>
      </c>
      <c r="C615" s="491">
        <v>220</v>
      </c>
    </row>
    <row r="616" spans="2:3" x14ac:dyDescent="0.2">
      <c r="B616" t="s">
        <v>3336</v>
      </c>
      <c r="C616" s="491">
        <v>5</v>
      </c>
    </row>
    <row r="617" spans="2:3" x14ac:dyDescent="0.2">
      <c r="B617" t="s">
        <v>3339</v>
      </c>
      <c r="C617" s="491">
        <v>25</v>
      </c>
    </row>
    <row r="618" spans="2:3" x14ac:dyDescent="0.2">
      <c r="B618" t="s">
        <v>3345</v>
      </c>
      <c r="C618" s="491">
        <v>100</v>
      </c>
    </row>
    <row r="619" spans="2:3" x14ac:dyDescent="0.2">
      <c r="B619" t="s">
        <v>3348</v>
      </c>
      <c r="C619" s="491">
        <v>402.05</v>
      </c>
    </row>
    <row r="620" spans="2:3" x14ac:dyDescent="0.2">
      <c r="B620" t="s">
        <v>3350</v>
      </c>
      <c r="C620" s="491">
        <v>130</v>
      </c>
    </row>
    <row r="621" spans="2:3" x14ac:dyDescent="0.2">
      <c r="B621" t="s">
        <v>3352</v>
      </c>
      <c r="C621" s="491">
        <v>280</v>
      </c>
    </row>
    <row r="622" spans="2:3" x14ac:dyDescent="0.2">
      <c r="B622" t="s">
        <v>3361</v>
      </c>
      <c r="C622" s="491">
        <v>60</v>
      </c>
    </row>
    <row r="623" spans="2:3" x14ac:dyDescent="0.2">
      <c r="B623" t="s">
        <v>3394</v>
      </c>
      <c r="C623" s="491">
        <v>100</v>
      </c>
    </row>
    <row r="624" spans="2:3" x14ac:dyDescent="0.2">
      <c r="B624" t="s">
        <v>3398</v>
      </c>
      <c r="C624" s="491">
        <v>120</v>
      </c>
    </row>
    <row r="625" spans="2:3" x14ac:dyDescent="0.2">
      <c r="B625" t="s">
        <v>3401</v>
      </c>
      <c r="C625" s="491">
        <v>205</v>
      </c>
    </row>
    <row r="626" spans="2:3" x14ac:dyDescent="0.2">
      <c r="B626" t="s">
        <v>3409</v>
      </c>
      <c r="C626" s="491">
        <v>330</v>
      </c>
    </row>
    <row r="627" spans="2:3" x14ac:dyDescent="0.2">
      <c r="B627" t="s">
        <v>3412</v>
      </c>
      <c r="C627" s="491">
        <v>45</v>
      </c>
    </row>
    <row r="628" spans="2:3" x14ac:dyDescent="0.2">
      <c r="B628" t="s">
        <v>3425</v>
      </c>
      <c r="C628" s="491">
        <v>1500</v>
      </c>
    </row>
    <row r="629" spans="2:3" x14ac:dyDescent="0.2">
      <c r="B629" t="s">
        <v>3434</v>
      </c>
      <c r="C629" s="491">
        <v>110</v>
      </c>
    </row>
    <row r="630" spans="2:3" x14ac:dyDescent="0.2">
      <c r="B630" t="s">
        <v>3437</v>
      </c>
      <c r="C630" s="491">
        <v>1300</v>
      </c>
    </row>
    <row r="631" spans="2:3" x14ac:dyDescent="0.2">
      <c r="B631" t="s">
        <v>3440</v>
      </c>
      <c r="C631" s="491">
        <v>20</v>
      </c>
    </row>
    <row r="632" spans="2:3" x14ac:dyDescent="0.2">
      <c r="B632" t="s">
        <v>3448</v>
      </c>
      <c r="C632" s="491">
        <v>15</v>
      </c>
    </row>
    <row r="633" spans="2:3" x14ac:dyDescent="0.2">
      <c r="B633" t="s">
        <v>3457</v>
      </c>
      <c r="C633" s="491">
        <v>130</v>
      </c>
    </row>
    <row r="634" spans="2:3" x14ac:dyDescent="0.2">
      <c r="B634" t="s">
        <v>3465</v>
      </c>
      <c r="C634" s="491">
        <v>85</v>
      </c>
    </row>
    <row r="635" spans="2:3" x14ac:dyDescent="0.2">
      <c r="B635" t="s">
        <v>3471</v>
      </c>
      <c r="C635" s="491">
        <v>5</v>
      </c>
    </row>
    <row r="636" spans="2:3" x14ac:dyDescent="0.2">
      <c r="B636" t="s">
        <v>3474</v>
      </c>
      <c r="C636" s="491">
        <v>60</v>
      </c>
    </row>
    <row r="637" spans="2:3" x14ac:dyDescent="0.2">
      <c r="B637" t="s">
        <v>3478</v>
      </c>
      <c r="C637" s="491">
        <v>60</v>
      </c>
    </row>
    <row r="638" spans="2:3" x14ac:dyDescent="0.2">
      <c r="B638" t="s">
        <v>3485</v>
      </c>
      <c r="C638" s="491">
        <v>169</v>
      </c>
    </row>
    <row r="639" spans="2:3" x14ac:dyDescent="0.2">
      <c r="B639" t="s">
        <v>3493</v>
      </c>
      <c r="C639" s="491">
        <v>10</v>
      </c>
    </row>
    <row r="640" spans="2:3" x14ac:dyDescent="0.2">
      <c r="B640" t="s">
        <v>3497</v>
      </c>
      <c r="C640" s="491">
        <v>15</v>
      </c>
    </row>
    <row r="641" spans="2:3" x14ac:dyDescent="0.2">
      <c r="B641" t="s">
        <v>3501</v>
      </c>
      <c r="C641" s="491">
        <v>198.45000000000002</v>
      </c>
    </row>
    <row r="642" spans="2:3" x14ac:dyDescent="0.2">
      <c r="B642" t="s">
        <v>3505</v>
      </c>
      <c r="C642" s="491">
        <v>1087.3999999999999</v>
      </c>
    </row>
    <row r="643" spans="2:3" x14ac:dyDescent="0.2">
      <c r="B643" t="s">
        <v>3508</v>
      </c>
      <c r="C643" s="491">
        <v>324</v>
      </c>
    </row>
    <row r="644" spans="2:3" x14ac:dyDescent="0.2">
      <c r="B644" t="s">
        <v>3512</v>
      </c>
      <c r="C644" s="491">
        <v>245</v>
      </c>
    </row>
    <row r="645" spans="2:3" x14ac:dyDescent="0.2">
      <c r="B645" t="s">
        <v>3514</v>
      </c>
      <c r="C645" s="491">
        <v>1302.69</v>
      </c>
    </row>
    <row r="646" spans="2:3" x14ac:dyDescent="0.2">
      <c r="B646" t="s">
        <v>3523</v>
      </c>
      <c r="C646" s="491">
        <v>390</v>
      </c>
    </row>
    <row r="647" spans="2:3" x14ac:dyDescent="0.2">
      <c r="B647" t="s">
        <v>3527</v>
      </c>
      <c r="C647" s="491">
        <v>2430</v>
      </c>
    </row>
    <row r="648" spans="2:3" x14ac:dyDescent="0.2">
      <c r="B648" t="s">
        <v>3531</v>
      </c>
      <c r="C648" s="491">
        <v>365</v>
      </c>
    </row>
    <row r="649" spans="2:3" x14ac:dyDescent="0.2">
      <c r="B649" t="s">
        <v>3535</v>
      </c>
      <c r="C649" s="491">
        <v>195</v>
      </c>
    </row>
    <row r="650" spans="2:3" x14ac:dyDescent="0.2">
      <c r="B650" t="s">
        <v>3539</v>
      </c>
      <c r="C650" s="491">
        <v>3493.6699999999996</v>
      </c>
    </row>
    <row r="651" spans="2:3" x14ac:dyDescent="0.2">
      <c r="B651" t="s">
        <v>3545</v>
      </c>
      <c r="C651" s="491">
        <v>800</v>
      </c>
    </row>
    <row r="652" spans="2:3" x14ac:dyDescent="0.2">
      <c r="B652" t="s">
        <v>3547</v>
      </c>
      <c r="C652" s="491">
        <v>15</v>
      </c>
    </row>
    <row r="653" spans="2:3" x14ac:dyDescent="0.2">
      <c r="B653" t="s">
        <v>3550</v>
      </c>
      <c r="C653" s="491">
        <v>250</v>
      </c>
    </row>
    <row r="654" spans="2:3" x14ac:dyDescent="0.2">
      <c r="B654" t="s">
        <v>3554</v>
      </c>
      <c r="C654" s="491">
        <v>929</v>
      </c>
    </row>
    <row r="655" spans="2:3" x14ac:dyDescent="0.2">
      <c r="B655" t="s">
        <v>3559</v>
      </c>
      <c r="C655" s="491">
        <v>20</v>
      </c>
    </row>
    <row r="656" spans="2:3" x14ac:dyDescent="0.2">
      <c r="B656" t="s">
        <v>3565</v>
      </c>
      <c r="C656" s="491">
        <v>193</v>
      </c>
    </row>
    <row r="657" spans="2:3" x14ac:dyDescent="0.2">
      <c r="B657" t="s">
        <v>3572</v>
      </c>
      <c r="C657" s="491">
        <v>352</v>
      </c>
    </row>
    <row r="658" spans="2:3" x14ac:dyDescent="0.2">
      <c r="B658" t="s">
        <v>3576</v>
      </c>
      <c r="C658" s="491">
        <v>224.97</v>
      </c>
    </row>
    <row r="659" spans="2:3" x14ac:dyDescent="0.2">
      <c r="B659" t="s">
        <v>3579</v>
      </c>
      <c r="C659" s="491">
        <v>140</v>
      </c>
    </row>
    <row r="660" spans="2:3" x14ac:dyDescent="0.2">
      <c r="B660" t="s">
        <v>3582</v>
      </c>
      <c r="C660" s="491">
        <v>1240.82</v>
      </c>
    </row>
    <row r="661" spans="2:3" x14ac:dyDescent="0.2">
      <c r="B661" t="s">
        <v>3589</v>
      </c>
      <c r="C661" s="491">
        <v>535</v>
      </c>
    </row>
    <row r="662" spans="2:3" x14ac:dyDescent="0.2">
      <c r="B662" t="s">
        <v>3593</v>
      </c>
      <c r="C662" s="491">
        <v>40</v>
      </c>
    </row>
    <row r="663" spans="2:3" x14ac:dyDescent="0.2">
      <c r="B663" t="s">
        <v>3601</v>
      </c>
      <c r="C663" s="491">
        <v>290</v>
      </c>
    </row>
    <row r="664" spans="2:3" x14ac:dyDescent="0.2">
      <c r="B664" t="s">
        <v>3606</v>
      </c>
      <c r="C664" s="491">
        <v>120</v>
      </c>
    </row>
    <row r="665" spans="2:3" x14ac:dyDescent="0.2">
      <c r="B665" t="s">
        <v>3609</v>
      </c>
      <c r="C665" s="491">
        <v>425</v>
      </c>
    </row>
    <row r="666" spans="2:3" x14ac:dyDescent="0.2">
      <c r="B666" t="s">
        <v>3613</v>
      </c>
      <c r="C666" s="491">
        <v>372.52</v>
      </c>
    </row>
    <row r="667" spans="2:3" x14ac:dyDescent="0.2">
      <c r="B667" t="s">
        <v>3616</v>
      </c>
      <c r="C667" s="491">
        <v>451.28</v>
      </c>
    </row>
    <row r="668" spans="2:3" x14ac:dyDescent="0.2">
      <c r="B668" t="s">
        <v>3618</v>
      </c>
      <c r="C668" s="491">
        <v>235</v>
      </c>
    </row>
    <row r="669" spans="2:3" x14ac:dyDescent="0.2">
      <c r="B669" t="s">
        <v>3624</v>
      </c>
      <c r="C669" s="491">
        <v>110</v>
      </c>
    </row>
    <row r="670" spans="2:3" x14ac:dyDescent="0.2">
      <c r="B670" t="s">
        <v>3632</v>
      </c>
      <c r="C670" s="491">
        <v>355</v>
      </c>
    </row>
    <row r="671" spans="2:3" x14ac:dyDescent="0.2">
      <c r="B671" t="s">
        <v>3643</v>
      </c>
      <c r="C671" s="491">
        <v>20</v>
      </c>
    </row>
    <row r="672" spans="2:3" x14ac:dyDescent="0.2">
      <c r="B672" t="s">
        <v>3647</v>
      </c>
      <c r="C672" s="491">
        <v>843.23</v>
      </c>
    </row>
    <row r="673" spans="2:3" x14ac:dyDescent="0.2">
      <c r="B673" t="s">
        <v>3654</v>
      </c>
      <c r="C673" s="491">
        <v>616</v>
      </c>
    </row>
    <row r="674" spans="2:3" x14ac:dyDescent="0.2">
      <c r="B674" t="s">
        <v>3660</v>
      </c>
      <c r="C674" s="491">
        <v>530</v>
      </c>
    </row>
    <row r="675" spans="2:3" x14ac:dyDescent="0.2">
      <c r="B675" t="s">
        <v>3664</v>
      </c>
      <c r="C675" s="491">
        <v>80</v>
      </c>
    </row>
    <row r="676" spans="2:3" x14ac:dyDescent="0.2">
      <c r="B676" t="s">
        <v>3671</v>
      </c>
      <c r="C676" s="491">
        <v>580</v>
      </c>
    </row>
    <row r="677" spans="2:3" x14ac:dyDescent="0.2">
      <c r="B677" t="s">
        <v>3675</v>
      </c>
      <c r="C677" s="491">
        <v>65</v>
      </c>
    </row>
    <row r="678" spans="2:3" x14ac:dyDescent="0.2">
      <c r="B678" t="s">
        <v>3681</v>
      </c>
      <c r="C678" s="491">
        <v>10</v>
      </c>
    </row>
    <row r="679" spans="2:3" x14ac:dyDescent="0.2">
      <c r="B679" t="s">
        <v>3685</v>
      </c>
      <c r="C679" s="491">
        <v>3.8</v>
      </c>
    </row>
    <row r="680" spans="2:3" x14ac:dyDescent="0.2">
      <c r="B680" t="s">
        <v>3690</v>
      </c>
      <c r="C680" s="491">
        <v>40</v>
      </c>
    </row>
    <row r="681" spans="2:3" x14ac:dyDescent="0.2">
      <c r="B681" t="s">
        <v>3695</v>
      </c>
      <c r="C681" s="491">
        <v>1302.6300000000001</v>
      </c>
    </row>
    <row r="682" spans="2:3" x14ac:dyDescent="0.2">
      <c r="B682" t="s">
        <v>3700</v>
      </c>
      <c r="C682" s="491">
        <v>35.25</v>
      </c>
    </row>
    <row r="683" spans="2:3" x14ac:dyDescent="0.2">
      <c r="B683" t="s">
        <v>3710</v>
      </c>
      <c r="C683" s="491">
        <v>608.6</v>
      </c>
    </row>
    <row r="684" spans="2:3" x14ac:dyDescent="0.2">
      <c r="B684" t="s">
        <v>3713</v>
      </c>
      <c r="C684" s="491">
        <v>298.36</v>
      </c>
    </row>
    <row r="685" spans="2:3" x14ac:dyDescent="0.2">
      <c r="B685" t="s">
        <v>3717</v>
      </c>
      <c r="C685" s="491">
        <v>89</v>
      </c>
    </row>
    <row r="686" spans="2:3" x14ac:dyDescent="0.2">
      <c r="B686" t="s">
        <v>3721</v>
      </c>
      <c r="C686" s="491">
        <v>140</v>
      </c>
    </row>
    <row r="687" spans="2:3" x14ac:dyDescent="0.2">
      <c r="B687" t="s">
        <v>3724</v>
      </c>
      <c r="C687" s="491">
        <v>270</v>
      </c>
    </row>
    <row r="688" spans="2:3" x14ac:dyDescent="0.2">
      <c r="B688" t="s">
        <v>3726</v>
      </c>
      <c r="C688" s="491">
        <v>150</v>
      </c>
    </row>
    <row r="689" spans="2:3" x14ac:dyDescent="0.2">
      <c r="B689" t="s">
        <v>3729</v>
      </c>
      <c r="C689" s="491">
        <v>55</v>
      </c>
    </row>
    <row r="690" spans="2:3" x14ac:dyDescent="0.2">
      <c r="B690" t="s">
        <v>3732</v>
      </c>
      <c r="C690" s="491">
        <v>1337.08</v>
      </c>
    </row>
    <row r="691" spans="2:3" x14ac:dyDescent="0.2">
      <c r="B691" t="s">
        <v>3734</v>
      </c>
      <c r="C691" s="491">
        <v>65</v>
      </c>
    </row>
    <row r="692" spans="2:3" x14ac:dyDescent="0.2">
      <c r="B692" t="s">
        <v>3740</v>
      </c>
      <c r="C692" s="491">
        <v>730</v>
      </c>
    </row>
    <row r="693" spans="2:3" x14ac:dyDescent="0.2">
      <c r="B693" t="s">
        <v>3743</v>
      </c>
      <c r="C693" s="491">
        <v>327.06</v>
      </c>
    </row>
    <row r="694" spans="2:3" x14ac:dyDescent="0.2">
      <c r="B694" t="s">
        <v>3745</v>
      </c>
      <c r="C694" s="491">
        <v>230</v>
      </c>
    </row>
    <row r="695" spans="2:3" x14ac:dyDescent="0.2">
      <c r="B695" t="s">
        <v>3748</v>
      </c>
      <c r="C695" s="491">
        <v>15</v>
      </c>
    </row>
    <row r="696" spans="2:3" x14ac:dyDescent="0.2">
      <c r="B696" t="s">
        <v>3754</v>
      </c>
      <c r="C696" s="491">
        <v>319</v>
      </c>
    </row>
    <row r="697" spans="2:3" x14ac:dyDescent="0.2">
      <c r="B697" t="s">
        <v>3757</v>
      </c>
      <c r="C697" s="491">
        <v>387</v>
      </c>
    </row>
    <row r="698" spans="2:3" x14ac:dyDescent="0.2">
      <c r="B698" t="s">
        <v>3763</v>
      </c>
      <c r="C698" s="491">
        <v>796</v>
      </c>
    </row>
    <row r="699" spans="2:3" x14ac:dyDescent="0.2">
      <c r="B699" t="s">
        <v>3769</v>
      </c>
      <c r="C699" s="491">
        <v>265</v>
      </c>
    </row>
    <row r="700" spans="2:3" x14ac:dyDescent="0.2">
      <c r="B700" t="s">
        <v>3772</v>
      </c>
      <c r="C700" s="491">
        <v>719</v>
      </c>
    </row>
    <row r="701" spans="2:3" x14ac:dyDescent="0.2">
      <c r="B701" t="s">
        <v>3778</v>
      </c>
      <c r="C701" s="491">
        <v>1148.0900000000001</v>
      </c>
    </row>
    <row r="702" spans="2:3" x14ac:dyDescent="0.2">
      <c r="B702" t="s">
        <v>3782</v>
      </c>
      <c r="C702" s="491">
        <v>535</v>
      </c>
    </row>
    <row r="703" spans="2:3" x14ac:dyDescent="0.2">
      <c r="B703" t="s">
        <v>3786</v>
      </c>
      <c r="C703" s="491">
        <v>2445</v>
      </c>
    </row>
    <row r="704" spans="2:3" x14ac:dyDescent="0.2">
      <c r="B704" t="s">
        <v>3789</v>
      </c>
      <c r="C704" s="491">
        <v>440</v>
      </c>
    </row>
    <row r="705" spans="2:3" x14ac:dyDescent="0.2">
      <c r="B705" t="s">
        <v>3793</v>
      </c>
      <c r="C705" s="491">
        <v>80</v>
      </c>
    </row>
    <row r="706" spans="2:3" x14ac:dyDescent="0.2">
      <c r="B706" t="s">
        <v>3796</v>
      </c>
      <c r="C706" s="491">
        <v>170</v>
      </c>
    </row>
    <row r="707" spans="2:3" x14ac:dyDescent="0.2">
      <c r="B707" t="s">
        <v>3800</v>
      </c>
      <c r="C707" s="491">
        <v>1741</v>
      </c>
    </row>
    <row r="708" spans="2:3" x14ac:dyDescent="0.2">
      <c r="B708" t="s">
        <v>3802</v>
      </c>
      <c r="C708" s="491">
        <v>125</v>
      </c>
    </row>
    <row r="709" spans="2:3" x14ac:dyDescent="0.2">
      <c r="B709" t="s">
        <v>3806</v>
      </c>
      <c r="C709" s="491">
        <v>100</v>
      </c>
    </row>
    <row r="710" spans="2:3" x14ac:dyDescent="0.2">
      <c r="B710" t="s">
        <v>3808</v>
      </c>
      <c r="C710" s="491">
        <v>250</v>
      </c>
    </row>
    <row r="711" spans="2:3" x14ac:dyDescent="0.2">
      <c r="B711" t="s">
        <v>3811</v>
      </c>
      <c r="C711" s="491">
        <v>1705.45</v>
      </c>
    </row>
    <row r="712" spans="2:3" x14ac:dyDescent="0.2">
      <c r="B712" t="s">
        <v>3823</v>
      </c>
      <c r="C712" s="491">
        <v>85</v>
      </c>
    </row>
    <row r="713" spans="2:3" x14ac:dyDescent="0.2">
      <c r="B713" t="s">
        <v>3827</v>
      </c>
      <c r="C713" s="491">
        <v>450</v>
      </c>
    </row>
    <row r="714" spans="2:3" x14ac:dyDescent="0.2">
      <c r="B714" t="s">
        <v>3836</v>
      </c>
      <c r="C714" s="491">
        <v>175.64</v>
      </c>
    </row>
    <row r="715" spans="2:3" x14ac:dyDescent="0.2">
      <c r="B715" t="s">
        <v>3839</v>
      </c>
      <c r="C715" s="491">
        <v>11.05</v>
      </c>
    </row>
    <row r="716" spans="2:3" x14ac:dyDescent="0.2">
      <c r="B716" t="s">
        <v>3843</v>
      </c>
      <c r="C716" s="491">
        <v>1415</v>
      </c>
    </row>
    <row r="717" spans="2:3" x14ac:dyDescent="0.2">
      <c r="B717" t="s">
        <v>3848</v>
      </c>
      <c r="C717" s="491">
        <v>54.14</v>
      </c>
    </row>
    <row r="718" spans="2:3" x14ac:dyDescent="0.2">
      <c r="B718" t="s">
        <v>3851</v>
      </c>
      <c r="C718" s="491">
        <v>595</v>
      </c>
    </row>
    <row r="719" spans="2:3" x14ac:dyDescent="0.2">
      <c r="B719" t="s">
        <v>3853</v>
      </c>
      <c r="C719" s="491">
        <v>990</v>
      </c>
    </row>
    <row r="720" spans="2:3" x14ac:dyDescent="0.2">
      <c r="B720" t="s">
        <v>3855</v>
      </c>
      <c r="C720" s="491">
        <v>2493</v>
      </c>
    </row>
    <row r="721" spans="2:3" x14ac:dyDescent="0.2">
      <c r="B721" t="s">
        <v>3859</v>
      </c>
      <c r="C721" s="491">
        <v>236</v>
      </c>
    </row>
    <row r="722" spans="2:3" x14ac:dyDescent="0.2">
      <c r="B722" t="s">
        <v>3862</v>
      </c>
      <c r="C722" s="491">
        <v>85</v>
      </c>
    </row>
    <row r="723" spans="2:3" x14ac:dyDescent="0.2">
      <c r="B723" t="s">
        <v>3865</v>
      </c>
      <c r="C723" s="491">
        <v>600.29</v>
      </c>
    </row>
    <row r="724" spans="2:3" x14ac:dyDescent="0.2">
      <c r="B724" t="s">
        <v>3871</v>
      </c>
      <c r="C724" s="491">
        <v>510</v>
      </c>
    </row>
    <row r="725" spans="2:3" x14ac:dyDescent="0.2">
      <c r="B725" t="s">
        <v>3874</v>
      </c>
      <c r="C725" s="491">
        <v>65</v>
      </c>
    </row>
    <row r="726" spans="2:3" x14ac:dyDescent="0.2">
      <c r="B726" t="s">
        <v>3878</v>
      </c>
      <c r="C726" s="491">
        <v>50</v>
      </c>
    </row>
    <row r="727" spans="2:3" x14ac:dyDescent="0.2">
      <c r="B727" t="s">
        <v>3882</v>
      </c>
      <c r="C727" s="491">
        <v>369</v>
      </c>
    </row>
    <row r="728" spans="2:3" x14ac:dyDescent="0.2">
      <c r="B728" t="s">
        <v>3885</v>
      </c>
      <c r="C728" s="491">
        <v>497.29</v>
      </c>
    </row>
    <row r="729" spans="2:3" x14ac:dyDescent="0.2">
      <c r="B729" t="s">
        <v>3887</v>
      </c>
      <c r="C729" s="491">
        <v>35</v>
      </c>
    </row>
    <row r="730" spans="2:3" x14ac:dyDescent="0.2">
      <c r="B730" t="s">
        <v>3889</v>
      </c>
      <c r="C730" s="491">
        <v>200</v>
      </c>
    </row>
    <row r="731" spans="2:3" x14ac:dyDescent="0.2">
      <c r="B731" t="s">
        <v>3892</v>
      </c>
      <c r="C731" s="491">
        <v>415.24</v>
      </c>
    </row>
    <row r="732" spans="2:3" x14ac:dyDescent="0.2">
      <c r="B732" t="s">
        <v>3899</v>
      </c>
      <c r="C732" s="491">
        <v>325</v>
      </c>
    </row>
    <row r="733" spans="2:3" x14ac:dyDescent="0.2">
      <c r="B733" t="s">
        <v>3903</v>
      </c>
      <c r="C733" s="491">
        <v>300</v>
      </c>
    </row>
    <row r="734" spans="2:3" x14ac:dyDescent="0.2">
      <c r="B734" t="s">
        <v>3907</v>
      </c>
      <c r="C734" s="491">
        <v>90</v>
      </c>
    </row>
    <row r="735" spans="2:3" x14ac:dyDescent="0.2">
      <c r="B735" t="s">
        <v>3912</v>
      </c>
      <c r="C735" s="491">
        <v>2490</v>
      </c>
    </row>
    <row r="736" spans="2:3" x14ac:dyDescent="0.2">
      <c r="B736" t="s">
        <v>3920</v>
      </c>
      <c r="C736" s="491">
        <v>15</v>
      </c>
    </row>
    <row r="737" spans="2:3" x14ac:dyDescent="0.2">
      <c r="B737" t="s">
        <v>3928</v>
      </c>
      <c r="C737" s="491">
        <v>60</v>
      </c>
    </row>
    <row r="738" spans="2:3" x14ac:dyDescent="0.2">
      <c r="B738" t="s">
        <v>3932</v>
      </c>
      <c r="C738" s="491">
        <v>130</v>
      </c>
    </row>
    <row r="739" spans="2:3" x14ac:dyDescent="0.2">
      <c r="B739" t="s">
        <v>3936</v>
      </c>
      <c r="C739" s="491">
        <v>325</v>
      </c>
    </row>
    <row r="740" spans="2:3" x14ac:dyDescent="0.2">
      <c r="B740" t="s">
        <v>3945</v>
      </c>
      <c r="C740" s="491">
        <v>50</v>
      </c>
    </row>
    <row r="741" spans="2:3" x14ac:dyDescent="0.2">
      <c r="B741" t="s">
        <v>3948</v>
      </c>
      <c r="C741" s="491">
        <v>100</v>
      </c>
    </row>
    <row r="742" spans="2:3" x14ac:dyDescent="0.2">
      <c r="B742" t="s">
        <v>3950</v>
      </c>
      <c r="C742" s="491">
        <v>30</v>
      </c>
    </row>
    <row r="743" spans="2:3" x14ac:dyDescent="0.2">
      <c r="B743" t="s">
        <v>3952</v>
      </c>
      <c r="C743" s="491">
        <v>95</v>
      </c>
    </row>
    <row r="744" spans="2:3" x14ac:dyDescent="0.2">
      <c r="B744" t="s">
        <v>3955</v>
      </c>
      <c r="C744" s="491">
        <v>600.92999999999995</v>
      </c>
    </row>
    <row r="745" spans="2:3" x14ac:dyDescent="0.2">
      <c r="B745" t="s">
        <v>3961</v>
      </c>
      <c r="C745" s="491">
        <v>125</v>
      </c>
    </row>
    <row r="746" spans="2:3" x14ac:dyDescent="0.2">
      <c r="B746" t="s">
        <v>3964</v>
      </c>
      <c r="C746" s="491">
        <v>310</v>
      </c>
    </row>
    <row r="747" spans="2:3" x14ac:dyDescent="0.2">
      <c r="B747" t="s">
        <v>3968</v>
      </c>
      <c r="C747" s="491">
        <v>65</v>
      </c>
    </row>
    <row r="748" spans="2:3" x14ac:dyDescent="0.2">
      <c r="B748" t="s">
        <v>3972</v>
      </c>
      <c r="C748" s="491">
        <v>80</v>
      </c>
    </row>
    <row r="749" spans="2:3" x14ac:dyDescent="0.2">
      <c r="B749" t="s">
        <v>3976</v>
      </c>
      <c r="C749" s="491">
        <v>111.84</v>
      </c>
    </row>
    <row r="750" spans="2:3" x14ac:dyDescent="0.2">
      <c r="B750" t="s">
        <v>3980</v>
      </c>
      <c r="C750" s="491">
        <v>1832.63</v>
      </c>
    </row>
    <row r="751" spans="2:3" x14ac:dyDescent="0.2">
      <c r="B751" t="s">
        <v>3984</v>
      </c>
      <c r="C751" s="491">
        <v>155</v>
      </c>
    </row>
    <row r="752" spans="2:3" x14ac:dyDescent="0.2">
      <c r="B752" t="s">
        <v>3986</v>
      </c>
      <c r="C752" s="491">
        <v>900</v>
      </c>
    </row>
    <row r="753" spans="2:3" x14ac:dyDescent="0.2">
      <c r="B753" t="s">
        <v>3993</v>
      </c>
      <c r="C753" s="491">
        <v>332</v>
      </c>
    </row>
    <row r="754" spans="2:3" x14ac:dyDescent="0.2">
      <c r="B754" t="s">
        <v>3998</v>
      </c>
      <c r="C754" s="491">
        <v>191.38</v>
      </c>
    </row>
    <row r="755" spans="2:3" x14ac:dyDescent="0.2">
      <c r="B755" t="s">
        <v>4005</v>
      </c>
      <c r="C755" s="491">
        <v>65</v>
      </c>
    </row>
    <row r="756" spans="2:3" x14ac:dyDescent="0.2">
      <c r="B756" t="s">
        <v>4007</v>
      </c>
      <c r="C756" s="491">
        <v>369</v>
      </c>
    </row>
    <row r="757" spans="2:3" x14ac:dyDescent="0.2">
      <c r="B757" t="s">
        <v>4009</v>
      </c>
      <c r="C757" s="491">
        <v>215</v>
      </c>
    </row>
    <row r="758" spans="2:3" x14ac:dyDescent="0.2">
      <c r="B758" t="s">
        <v>4012</v>
      </c>
      <c r="C758" s="491">
        <v>420</v>
      </c>
    </row>
    <row r="759" spans="2:3" x14ac:dyDescent="0.2">
      <c r="B759" t="s">
        <v>4015</v>
      </c>
      <c r="C759" s="491">
        <v>150</v>
      </c>
    </row>
    <row r="760" spans="2:3" x14ac:dyDescent="0.2">
      <c r="B760" t="s">
        <v>4019</v>
      </c>
      <c r="C760" s="491">
        <v>195</v>
      </c>
    </row>
    <row r="761" spans="2:3" x14ac:dyDescent="0.2">
      <c r="B761" t="s">
        <v>4033</v>
      </c>
      <c r="C761" s="491">
        <v>30</v>
      </c>
    </row>
    <row r="762" spans="2:3" x14ac:dyDescent="0.2">
      <c r="B762" t="s">
        <v>4035</v>
      </c>
      <c r="C762" s="491">
        <v>618.14</v>
      </c>
    </row>
    <row r="763" spans="2:3" x14ac:dyDescent="0.2">
      <c r="B763" t="s">
        <v>4039</v>
      </c>
      <c r="C763" s="491">
        <v>165</v>
      </c>
    </row>
    <row r="764" spans="2:3" x14ac:dyDescent="0.2">
      <c r="B764" t="s">
        <v>4045</v>
      </c>
      <c r="C764" s="491">
        <v>25</v>
      </c>
    </row>
    <row r="765" spans="2:3" x14ac:dyDescent="0.2">
      <c r="B765" t="s">
        <v>4049</v>
      </c>
      <c r="C765" s="491">
        <v>405</v>
      </c>
    </row>
    <row r="766" spans="2:3" x14ac:dyDescent="0.2">
      <c r="B766" t="s">
        <v>4052</v>
      </c>
      <c r="C766" s="491">
        <v>478</v>
      </c>
    </row>
    <row r="767" spans="2:3" x14ac:dyDescent="0.2">
      <c r="B767" t="s">
        <v>4058</v>
      </c>
      <c r="C767" s="491">
        <v>248.02</v>
      </c>
    </row>
    <row r="768" spans="2:3" x14ac:dyDescent="0.2">
      <c r="B768" t="s">
        <v>4064</v>
      </c>
      <c r="C768" s="491">
        <v>157.9</v>
      </c>
    </row>
    <row r="769" spans="2:3" x14ac:dyDescent="0.2">
      <c r="B769" t="s">
        <v>4067</v>
      </c>
      <c r="C769" s="491">
        <v>175</v>
      </c>
    </row>
    <row r="770" spans="2:3" x14ac:dyDescent="0.2">
      <c r="B770" t="s">
        <v>4074</v>
      </c>
      <c r="C770" s="491">
        <v>90</v>
      </c>
    </row>
    <row r="771" spans="2:3" x14ac:dyDescent="0.2">
      <c r="B771" t="s">
        <v>4077</v>
      </c>
      <c r="C771" s="491">
        <v>600</v>
      </c>
    </row>
    <row r="772" spans="2:3" x14ac:dyDescent="0.2">
      <c r="B772" t="s">
        <v>4084</v>
      </c>
      <c r="C772" s="491">
        <v>1444.97</v>
      </c>
    </row>
    <row r="773" spans="2:3" x14ac:dyDescent="0.2">
      <c r="B773" t="s">
        <v>4087</v>
      </c>
      <c r="C773" s="491">
        <v>237.32999999999998</v>
      </c>
    </row>
    <row r="774" spans="2:3" x14ac:dyDescent="0.2">
      <c r="B774" t="s">
        <v>4091</v>
      </c>
      <c r="C774" s="491">
        <v>370</v>
      </c>
    </row>
    <row r="775" spans="2:3" x14ac:dyDescent="0.2">
      <c r="B775" t="s">
        <v>4097</v>
      </c>
      <c r="C775" s="491">
        <v>184</v>
      </c>
    </row>
    <row r="776" spans="2:3" x14ac:dyDescent="0.2">
      <c r="B776" t="s">
        <v>4101</v>
      </c>
      <c r="C776" s="491">
        <v>791.97</v>
      </c>
    </row>
    <row r="777" spans="2:3" x14ac:dyDescent="0.2">
      <c r="B777" t="s">
        <v>4107</v>
      </c>
      <c r="C777" s="491">
        <v>120</v>
      </c>
    </row>
    <row r="778" spans="2:3" x14ac:dyDescent="0.2">
      <c r="B778" t="s">
        <v>4110</v>
      </c>
      <c r="C778" s="491">
        <v>52</v>
      </c>
    </row>
    <row r="779" spans="2:3" x14ac:dyDescent="0.2">
      <c r="B779" t="s">
        <v>4112</v>
      </c>
      <c r="C779" s="491">
        <v>390</v>
      </c>
    </row>
    <row r="780" spans="2:3" x14ac:dyDescent="0.2">
      <c r="B780" t="s">
        <v>4115</v>
      </c>
      <c r="C780" s="491">
        <v>230</v>
      </c>
    </row>
    <row r="781" spans="2:3" x14ac:dyDescent="0.2">
      <c r="B781" t="s">
        <v>4124</v>
      </c>
      <c r="C781" s="491">
        <v>280</v>
      </c>
    </row>
    <row r="782" spans="2:3" x14ac:dyDescent="0.2">
      <c r="B782" t="s">
        <v>4127</v>
      </c>
      <c r="C782" s="491">
        <v>398</v>
      </c>
    </row>
    <row r="783" spans="2:3" x14ac:dyDescent="0.2">
      <c r="B783" t="s">
        <v>4129</v>
      </c>
      <c r="C783" s="491">
        <v>475</v>
      </c>
    </row>
    <row r="784" spans="2:3" x14ac:dyDescent="0.2">
      <c r="B784" t="s">
        <v>4132</v>
      </c>
      <c r="C784" s="491">
        <v>183</v>
      </c>
    </row>
    <row r="785" spans="2:3" x14ac:dyDescent="0.2">
      <c r="B785" t="s">
        <v>4135</v>
      </c>
      <c r="C785" s="491">
        <v>145</v>
      </c>
    </row>
    <row r="786" spans="2:3" x14ac:dyDescent="0.2">
      <c r="B786" t="s">
        <v>4137</v>
      </c>
      <c r="C786" s="491">
        <v>490</v>
      </c>
    </row>
    <row r="787" spans="2:3" x14ac:dyDescent="0.2">
      <c r="B787" t="s">
        <v>4140</v>
      </c>
      <c r="C787" s="491">
        <v>360</v>
      </c>
    </row>
    <row r="788" spans="2:3" x14ac:dyDescent="0.2">
      <c r="B788" t="s">
        <v>4144</v>
      </c>
      <c r="C788" s="491">
        <v>75</v>
      </c>
    </row>
    <row r="789" spans="2:3" x14ac:dyDescent="0.2">
      <c r="B789" t="s">
        <v>4147</v>
      </c>
      <c r="C789" s="491">
        <v>371.89</v>
      </c>
    </row>
    <row r="790" spans="2:3" x14ac:dyDescent="0.2">
      <c r="B790" t="s">
        <v>4151</v>
      </c>
      <c r="C790" s="491">
        <v>155</v>
      </c>
    </row>
    <row r="791" spans="2:3" x14ac:dyDescent="0.2">
      <c r="B791" t="s">
        <v>4157</v>
      </c>
      <c r="C791" s="491">
        <v>190</v>
      </c>
    </row>
    <row r="792" spans="2:3" x14ac:dyDescent="0.2">
      <c r="B792" t="s">
        <v>4163</v>
      </c>
      <c r="C792" s="491">
        <v>150</v>
      </c>
    </row>
    <row r="793" spans="2:3" x14ac:dyDescent="0.2">
      <c r="B793" t="s">
        <v>4176</v>
      </c>
      <c r="C793" s="491">
        <v>285</v>
      </c>
    </row>
    <row r="794" spans="2:3" x14ac:dyDescent="0.2">
      <c r="B794" t="s">
        <v>4179</v>
      </c>
      <c r="C794" s="491">
        <v>573.87</v>
      </c>
    </row>
    <row r="795" spans="2:3" x14ac:dyDescent="0.2">
      <c r="B795" t="s">
        <v>4186</v>
      </c>
      <c r="C795" s="491">
        <v>30</v>
      </c>
    </row>
    <row r="796" spans="2:3" x14ac:dyDescent="0.2">
      <c r="B796" t="s">
        <v>4190</v>
      </c>
      <c r="C796" s="491">
        <v>110</v>
      </c>
    </row>
    <row r="797" spans="2:3" x14ac:dyDescent="0.2">
      <c r="B797" t="s">
        <v>4198</v>
      </c>
      <c r="C797" s="491">
        <v>215</v>
      </c>
    </row>
    <row r="798" spans="2:3" x14ac:dyDescent="0.2">
      <c r="B798" t="s">
        <v>4206</v>
      </c>
      <c r="C798" s="491">
        <v>936</v>
      </c>
    </row>
    <row r="799" spans="2:3" x14ac:dyDescent="0.2">
      <c r="B799" t="s">
        <v>4211</v>
      </c>
      <c r="C799" s="491">
        <v>165</v>
      </c>
    </row>
    <row r="800" spans="2:3" x14ac:dyDescent="0.2">
      <c r="B800" t="s">
        <v>4215</v>
      </c>
      <c r="C800" s="491">
        <v>729</v>
      </c>
    </row>
    <row r="801" spans="2:3" x14ac:dyDescent="0.2">
      <c r="B801" t="s">
        <v>4218</v>
      </c>
      <c r="C801" s="491">
        <v>150</v>
      </c>
    </row>
    <row r="802" spans="2:3" x14ac:dyDescent="0.2">
      <c r="B802" t="s">
        <v>4221</v>
      </c>
      <c r="C802" s="491">
        <v>177.78</v>
      </c>
    </row>
    <row r="803" spans="2:3" x14ac:dyDescent="0.2">
      <c r="B803" t="s">
        <v>4225</v>
      </c>
      <c r="C803" s="491">
        <v>247</v>
      </c>
    </row>
    <row r="804" spans="2:3" x14ac:dyDescent="0.2">
      <c r="B804" t="s">
        <v>4229</v>
      </c>
      <c r="C804" s="491">
        <v>465</v>
      </c>
    </row>
    <row r="805" spans="2:3" x14ac:dyDescent="0.2">
      <c r="B805" t="s">
        <v>4235</v>
      </c>
      <c r="C805" s="491">
        <v>1813</v>
      </c>
    </row>
    <row r="806" spans="2:3" x14ac:dyDescent="0.2">
      <c r="B806" t="s">
        <v>4243</v>
      </c>
      <c r="C806" s="491">
        <v>115</v>
      </c>
    </row>
    <row r="807" spans="2:3" x14ac:dyDescent="0.2">
      <c r="B807" t="s">
        <v>4246</v>
      </c>
      <c r="C807" s="491">
        <v>385</v>
      </c>
    </row>
    <row r="808" spans="2:3" x14ac:dyDescent="0.2">
      <c r="B808" t="s">
        <v>4250</v>
      </c>
      <c r="C808" s="491">
        <v>260</v>
      </c>
    </row>
    <row r="809" spans="2:3" x14ac:dyDescent="0.2">
      <c r="B809" t="s">
        <v>4256</v>
      </c>
      <c r="C809" s="491">
        <v>120</v>
      </c>
    </row>
    <row r="810" spans="2:3" x14ac:dyDescent="0.2">
      <c r="B810" t="s">
        <v>4260</v>
      </c>
      <c r="C810" s="491">
        <v>30</v>
      </c>
    </row>
    <row r="811" spans="2:3" x14ac:dyDescent="0.2">
      <c r="B811" t="s">
        <v>4266</v>
      </c>
      <c r="C811" s="491">
        <v>369</v>
      </c>
    </row>
    <row r="812" spans="2:3" x14ac:dyDescent="0.2">
      <c r="B812" t="s">
        <v>4270</v>
      </c>
      <c r="C812" s="491">
        <v>206.98000000000002</v>
      </c>
    </row>
    <row r="813" spans="2:3" x14ac:dyDescent="0.2">
      <c r="B813" t="s">
        <v>4273</v>
      </c>
      <c r="C813" s="491">
        <v>270</v>
      </c>
    </row>
    <row r="814" spans="2:3" x14ac:dyDescent="0.2">
      <c r="B814" t="s">
        <v>4279</v>
      </c>
      <c r="C814" s="491">
        <v>867.8</v>
      </c>
    </row>
    <row r="815" spans="2:3" x14ac:dyDescent="0.2">
      <c r="B815" t="s">
        <v>4283</v>
      </c>
      <c r="C815" s="491">
        <v>135</v>
      </c>
    </row>
    <row r="816" spans="2:3" x14ac:dyDescent="0.2">
      <c r="B816" t="s">
        <v>4287</v>
      </c>
      <c r="C816" s="491">
        <v>135</v>
      </c>
    </row>
    <row r="817" spans="2:3" x14ac:dyDescent="0.2">
      <c r="B817" t="s">
        <v>4290</v>
      </c>
      <c r="C817" s="491">
        <v>100</v>
      </c>
    </row>
    <row r="818" spans="2:3" x14ac:dyDescent="0.2">
      <c r="B818" t="s">
        <v>4294</v>
      </c>
      <c r="C818" s="491">
        <v>941.89</v>
      </c>
    </row>
    <row r="819" spans="2:3" x14ac:dyDescent="0.2">
      <c r="B819" t="s">
        <v>4298</v>
      </c>
      <c r="C819" s="491">
        <v>245</v>
      </c>
    </row>
    <row r="820" spans="2:3" x14ac:dyDescent="0.2">
      <c r="B820" t="s">
        <v>4302</v>
      </c>
      <c r="C820" s="491">
        <v>20</v>
      </c>
    </row>
    <row r="821" spans="2:3" x14ac:dyDescent="0.2">
      <c r="B821" t="s">
        <v>4305</v>
      </c>
      <c r="C821" s="491">
        <v>235</v>
      </c>
    </row>
    <row r="822" spans="2:3" x14ac:dyDescent="0.2">
      <c r="B822" t="s">
        <v>4309</v>
      </c>
      <c r="C822" s="491">
        <v>440</v>
      </c>
    </row>
    <row r="823" spans="2:3" x14ac:dyDescent="0.2">
      <c r="B823" t="s">
        <v>4317</v>
      </c>
      <c r="C823" s="491">
        <v>50</v>
      </c>
    </row>
    <row r="824" spans="2:3" x14ac:dyDescent="0.2">
      <c r="B824" t="s">
        <v>4320</v>
      </c>
      <c r="C824" s="491">
        <v>245</v>
      </c>
    </row>
    <row r="825" spans="2:3" x14ac:dyDescent="0.2">
      <c r="B825" t="s">
        <v>4331</v>
      </c>
      <c r="C825" s="491">
        <v>200</v>
      </c>
    </row>
    <row r="826" spans="2:3" x14ac:dyDescent="0.2">
      <c r="B826" t="s">
        <v>4338</v>
      </c>
      <c r="C826" s="491">
        <v>50</v>
      </c>
    </row>
    <row r="827" spans="2:3" x14ac:dyDescent="0.2">
      <c r="B827" t="s">
        <v>4342</v>
      </c>
      <c r="C827" s="491">
        <v>806.81999999999994</v>
      </c>
    </row>
    <row r="828" spans="2:3" x14ac:dyDescent="0.2">
      <c r="B828" t="s">
        <v>4352</v>
      </c>
      <c r="C828" s="491">
        <v>60</v>
      </c>
    </row>
    <row r="829" spans="2:3" x14ac:dyDescent="0.2">
      <c r="B829" t="s">
        <v>4355</v>
      </c>
      <c r="C829" s="491">
        <v>170.92</v>
      </c>
    </row>
    <row r="830" spans="2:3" x14ac:dyDescent="0.2">
      <c r="B830" t="s">
        <v>4358</v>
      </c>
      <c r="C830" s="491">
        <v>120</v>
      </c>
    </row>
    <row r="831" spans="2:3" x14ac:dyDescent="0.2">
      <c r="B831" t="s">
        <v>4361</v>
      </c>
      <c r="C831" s="491">
        <v>30</v>
      </c>
    </row>
    <row r="832" spans="2:3" x14ac:dyDescent="0.2">
      <c r="B832" t="s">
        <v>4364</v>
      </c>
      <c r="C832" s="491">
        <v>175</v>
      </c>
    </row>
    <row r="833" spans="2:3" x14ac:dyDescent="0.2">
      <c r="B833" t="s">
        <v>4367</v>
      </c>
      <c r="C833" s="491">
        <v>895</v>
      </c>
    </row>
    <row r="834" spans="2:3" x14ac:dyDescent="0.2">
      <c r="B834" t="s">
        <v>4369</v>
      </c>
      <c r="C834" s="491">
        <v>35</v>
      </c>
    </row>
    <row r="835" spans="2:3" x14ac:dyDescent="0.2">
      <c r="B835" t="s">
        <v>4373</v>
      </c>
      <c r="C835" s="491">
        <v>20</v>
      </c>
    </row>
    <row r="836" spans="2:3" x14ac:dyDescent="0.2">
      <c r="B836" t="s">
        <v>4375</v>
      </c>
      <c r="C836" s="491">
        <v>30</v>
      </c>
    </row>
    <row r="837" spans="2:3" x14ac:dyDescent="0.2">
      <c r="B837" t="s">
        <v>4377</v>
      </c>
      <c r="C837" s="491">
        <v>350.04</v>
      </c>
    </row>
    <row r="838" spans="2:3" x14ac:dyDescent="0.2">
      <c r="B838" t="s">
        <v>4380</v>
      </c>
      <c r="C838" s="491">
        <v>300</v>
      </c>
    </row>
    <row r="839" spans="2:3" x14ac:dyDescent="0.2">
      <c r="B839" t="s">
        <v>4383</v>
      </c>
      <c r="C839" s="491">
        <v>775</v>
      </c>
    </row>
    <row r="840" spans="2:3" x14ac:dyDescent="0.2">
      <c r="B840" t="s">
        <v>4395</v>
      </c>
      <c r="C840" s="491">
        <v>107</v>
      </c>
    </row>
    <row r="841" spans="2:3" x14ac:dyDescent="0.2">
      <c r="B841" t="s">
        <v>4401</v>
      </c>
      <c r="C841" s="491">
        <v>230</v>
      </c>
    </row>
    <row r="842" spans="2:3" x14ac:dyDescent="0.2">
      <c r="B842" t="s">
        <v>4405</v>
      </c>
      <c r="C842" s="491">
        <v>894.02</v>
      </c>
    </row>
    <row r="843" spans="2:3" x14ac:dyDescent="0.2">
      <c r="B843" t="s">
        <v>4408</v>
      </c>
      <c r="C843" s="491">
        <v>50</v>
      </c>
    </row>
    <row r="844" spans="2:3" x14ac:dyDescent="0.2">
      <c r="B844" t="s">
        <v>4412</v>
      </c>
      <c r="C844" s="491">
        <v>105</v>
      </c>
    </row>
    <row r="845" spans="2:3" x14ac:dyDescent="0.2">
      <c r="B845" t="s">
        <v>4417</v>
      </c>
      <c r="C845" s="491">
        <v>145</v>
      </c>
    </row>
    <row r="846" spans="2:3" x14ac:dyDescent="0.2">
      <c r="B846" t="s">
        <v>4420</v>
      </c>
      <c r="C846" s="491">
        <v>145</v>
      </c>
    </row>
    <row r="847" spans="2:3" x14ac:dyDescent="0.2">
      <c r="B847" t="s">
        <v>4423</v>
      </c>
      <c r="C847" s="491">
        <v>90</v>
      </c>
    </row>
    <row r="848" spans="2:3" x14ac:dyDescent="0.2">
      <c r="B848" t="s">
        <v>4427</v>
      </c>
      <c r="C848" s="491">
        <v>70</v>
      </c>
    </row>
    <row r="849" spans="2:3" x14ac:dyDescent="0.2">
      <c r="B849" t="s">
        <v>4432</v>
      </c>
      <c r="C849" s="491">
        <v>460</v>
      </c>
    </row>
    <row r="850" spans="2:3" x14ac:dyDescent="0.2">
      <c r="B850" t="s">
        <v>4441</v>
      </c>
      <c r="C850" s="491">
        <v>30</v>
      </c>
    </row>
    <row r="851" spans="2:3" x14ac:dyDescent="0.2">
      <c r="B851" t="s">
        <v>4444</v>
      </c>
      <c r="C851" s="491">
        <v>255</v>
      </c>
    </row>
    <row r="852" spans="2:3" x14ac:dyDescent="0.2">
      <c r="B852" t="s">
        <v>4468</v>
      </c>
      <c r="C852" s="491">
        <v>5</v>
      </c>
    </row>
    <row r="853" spans="2:3" x14ac:dyDescent="0.2">
      <c r="B853" t="s">
        <v>4472</v>
      </c>
      <c r="C853" s="491">
        <v>45</v>
      </c>
    </row>
    <row r="854" spans="2:3" x14ac:dyDescent="0.2">
      <c r="B854" t="s">
        <v>4479</v>
      </c>
      <c r="C854" s="491">
        <v>1138.9299999999998</v>
      </c>
    </row>
    <row r="855" spans="2:3" x14ac:dyDescent="0.2">
      <c r="B855" t="s">
        <v>4482</v>
      </c>
      <c r="C855" s="491">
        <v>495</v>
      </c>
    </row>
    <row r="856" spans="2:3" x14ac:dyDescent="0.2">
      <c r="B856" t="s">
        <v>4486</v>
      </c>
      <c r="C856" s="491">
        <v>343.21000000000004</v>
      </c>
    </row>
    <row r="857" spans="2:3" x14ac:dyDescent="0.2">
      <c r="B857" t="s">
        <v>4488</v>
      </c>
      <c r="C857" s="491">
        <v>160</v>
      </c>
    </row>
    <row r="858" spans="2:3" x14ac:dyDescent="0.2">
      <c r="B858" t="s">
        <v>4492</v>
      </c>
      <c r="C858" s="491">
        <v>225</v>
      </c>
    </row>
    <row r="859" spans="2:3" x14ac:dyDescent="0.2">
      <c r="B859" t="s">
        <v>4500</v>
      </c>
      <c r="C859" s="491">
        <v>70</v>
      </c>
    </row>
    <row r="860" spans="2:3" x14ac:dyDescent="0.2">
      <c r="B860" t="s">
        <v>4507</v>
      </c>
      <c r="C860" s="491">
        <v>70</v>
      </c>
    </row>
    <row r="861" spans="2:3" x14ac:dyDescent="0.2">
      <c r="B861" t="s">
        <v>4516</v>
      </c>
      <c r="C861" s="491">
        <v>255</v>
      </c>
    </row>
    <row r="862" spans="2:3" x14ac:dyDescent="0.2">
      <c r="B862" t="s">
        <v>4521</v>
      </c>
      <c r="C862" s="491">
        <v>60</v>
      </c>
    </row>
    <row r="863" spans="2:3" x14ac:dyDescent="0.2">
      <c r="B863" t="s">
        <v>4528</v>
      </c>
      <c r="C863" s="491">
        <v>180</v>
      </c>
    </row>
    <row r="864" spans="2:3" x14ac:dyDescent="0.2">
      <c r="B864" t="s">
        <v>4536</v>
      </c>
      <c r="C864" s="491">
        <v>1186.6600000000001</v>
      </c>
    </row>
    <row r="865" spans="2:3" x14ac:dyDescent="0.2">
      <c r="B865" t="s">
        <v>4539</v>
      </c>
      <c r="C865" s="491">
        <v>10</v>
      </c>
    </row>
    <row r="866" spans="2:3" x14ac:dyDescent="0.2">
      <c r="B866" t="s">
        <v>4544</v>
      </c>
      <c r="C866" s="491">
        <v>160</v>
      </c>
    </row>
    <row r="867" spans="2:3" x14ac:dyDescent="0.2">
      <c r="B867" t="s">
        <v>4551</v>
      </c>
      <c r="C867" s="491">
        <v>220</v>
      </c>
    </row>
    <row r="868" spans="2:3" x14ac:dyDescent="0.2">
      <c r="B868" t="s">
        <v>4558</v>
      </c>
      <c r="C868" s="491">
        <v>415</v>
      </c>
    </row>
    <row r="869" spans="2:3" x14ac:dyDescent="0.2">
      <c r="B869" t="s">
        <v>4565</v>
      </c>
      <c r="C869" s="491">
        <v>4722</v>
      </c>
    </row>
    <row r="870" spans="2:3" x14ac:dyDescent="0.2">
      <c r="B870" t="s">
        <v>4572</v>
      </c>
      <c r="C870" s="491">
        <v>1995</v>
      </c>
    </row>
    <row r="871" spans="2:3" x14ac:dyDescent="0.2">
      <c r="B871" t="s">
        <v>4574</v>
      </c>
      <c r="C871" s="491">
        <v>5</v>
      </c>
    </row>
    <row r="872" spans="2:3" x14ac:dyDescent="0.2">
      <c r="B872" t="s">
        <v>4580</v>
      </c>
      <c r="C872" s="491">
        <v>425</v>
      </c>
    </row>
    <row r="873" spans="2:3" x14ac:dyDescent="0.2">
      <c r="B873" t="s">
        <v>4586</v>
      </c>
      <c r="C873" s="491">
        <v>408</v>
      </c>
    </row>
    <row r="874" spans="2:3" x14ac:dyDescent="0.2">
      <c r="B874" t="s">
        <v>4590</v>
      </c>
      <c r="C874" s="491">
        <v>190</v>
      </c>
    </row>
    <row r="875" spans="2:3" x14ac:dyDescent="0.2">
      <c r="B875" t="s">
        <v>4594</v>
      </c>
      <c r="C875" s="491">
        <v>436.5</v>
      </c>
    </row>
    <row r="876" spans="2:3" x14ac:dyDescent="0.2">
      <c r="B876" t="s">
        <v>4603</v>
      </c>
      <c r="C876" s="491">
        <v>158.05000000000001</v>
      </c>
    </row>
    <row r="877" spans="2:3" x14ac:dyDescent="0.2">
      <c r="B877" t="s">
        <v>4606</v>
      </c>
      <c r="C877" s="491">
        <v>200</v>
      </c>
    </row>
    <row r="878" spans="2:3" x14ac:dyDescent="0.2">
      <c r="B878" t="s">
        <v>4609</v>
      </c>
      <c r="C878" s="491">
        <v>40</v>
      </c>
    </row>
    <row r="879" spans="2:3" x14ac:dyDescent="0.2">
      <c r="B879" t="s">
        <v>4611</v>
      </c>
      <c r="C879" s="491">
        <v>714</v>
      </c>
    </row>
    <row r="880" spans="2:3" x14ac:dyDescent="0.2">
      <c r="B880" t="s">
        <v>4613</v>
      </c>
      <c r="C880" s="491">
        <v>170</v>
      </c>
    </row>
    <row r="881" spans="2:3" x14ac:dyDescent="0.2">
      <c r="B881" t="s">
        <v>4618</v>
      </c>
      <c r="C881" s="491">
        <v>145</v>
      </c>
    </row>
    <row r="882" spans="2:3" x14ac:dyDescent="0.2">
      <c r="B882" t="s">
        <v>4621</v>
      </c>
      <c r="C882" s="491">
        <v>690</v>
      </c>
    </row>
    <row r="883" spans="2:3" x14ac:dyDescent="0.2">
      <c r="B883" t="s">
        <v>4628</v>
      </c>
      <c r="C883" s="491">
        <v>85</v>
      </c>
    </row>
    <row r="884" spans="2:3" x14ac:dyDescent="0.2">
      <c r="B884" t="s">
        <v>4635</v>
      </c>
      <c r="C884" s="491">
        <v>270</v>
      </c>
    </row>
    <row r="885" spans="2:3" x14ac:dyDescent="0.2">
      <c r="B885" t="s">
        <v>4638</v>
      </c>
      <c r="C885" s="491">
        <v>262</v>
      </c>
    </row>
    <row r="886" spans="2:3" x14ac:dyDescent="0.2">
      <c r="B886" t="s">
        <v>4646</v>
      </c>
      <c r="C886" s="491">
        <v>295</v>
      </c>
    </row>
    <row r="887" spans="2:3" x14ac:dyDescent="0.2">
      <c r="B887" t="s">
        <v>4651</v>
      </c>
      <c r="C887" s="491">
        <v>85</v>
      </c>
    </row>
    <row r="888" spans="2:3" x14ac:dyDescent="0.2">
      <c r="B888" t="s">
        <v>4656</v>
      </c>
      <c r="C888" s="491">
        <v>85</v>
      </c>
    </row>
    <row r="889" spans="2:3" x14ac:dyDescent="0.2">
      <c r="B889" t="s">
        <v>4659</v>
      </c>
      <c r="C889" s="491">
        <v>422.5</v>
      </c>
    </row>
    <row r="890" spans="2:3" x14ac:dyDescent="0.2">
      <c r="B890" t="s">
        <v>4662</v>
      </c>
      <c r="C890" s="491">
        <v>30</v>
      </c>
    </row>
    <row r="891" spans="2:3" x14ac:dyDescent="0.2">
      <c r="B891" t="s">
        <v>4664</v>
      </c>
      <c r="C891" s="491">
        <v>269.75</v>
      </c>
    </row>
    <row r="892" spans="2:3" x14ac:dyDescent="0.2">
      <c r="B892" t="s">
        <v>4668</v>
      </c>
      <c r="C892" s="491">
        <v>40</v>
      </c>
    </row>
    <row r="893" spans="2:3" x14ac:dyDescent="0.2">
      <c r="B893" t="s">
        <v>4672</v>
      </c>
      <c r="C893" s="491">
        <v>60</v>
      </c>
    </row>
    <row r="894" spans="2:3" x14ac:dyDescent="0.2">
      <c r="B894" t="s">
        <v>4675</v>
      </c>
      <c r="C894" s="491">
        <v>108</v>
      </c>
    </row>
    <row r="895" spans="2:3" x14ac:dyDescent="0.2">
      <c r="B895" t="s">
        <v>4681</v>
      </c>
      <c r="C895" s="491">
        <v>27.5</v>
      </c>
    </row>
    <row r="896" spans="2:3" x14ac:dyDescent="0.2">
      <c r="B896" t="s">
        <v>4685</v>
      </c>
      <c r="C896" s="491">
        <v>170</v>
      </c>
    </row>
    <row r="897" spans="2:3" x14ac:dyDescent="0.2">
      <c r="B897" t="s">
        <v>4688</v>
      </c>
      <c r="C897" s="491">
        <v>284.03999999999996</v>
      </c>
    </row>
    <row r="898" spans="2:3" x14ac:dyDescent="0.2">
      <c r="B898" t="s">
        <v>4691</v>
      </c>
      <c r="C898" s="491">
        <v>109</v>
      </c>
    </row>
    <row r="899" spans="2:3" x14ac:dyDescent="0.2">
      <c r="B899" t="s">
        <v>4695</v>
      </c>
      <c r="C899" s="491">
        <v>355</v>
      </c>
    </row>
    <row r="900" spans="2:3" x14ac:dyDescent="0.2">
      <c r="B900" t="s">
        <v>4699</v>
      </c>
      <c r="C900" s="491">
        <v>250</v>
      </c>
    </row>
    <row r="901" spans="2:3" x14ac:dyDescent="0.2">
      <c r="B901" t="s">
        <v>4702</v>
      </c>
      <c r="C901" s="491">
        <v>225</v>
      </c>
    </row>
    <row r="902" spans="2:3" x14ac:dyDescent="0.2">
      <c r="B902" t="s">
        <v>4708</v>
      </c>
      <c r="C902" s="491">
        <v>295</v>
      </c>
    </row>
    <row r="903" spans="2:3" x14ac:dyDescent="0.2">
      <c r="B903" t="s">
        <v>4711</v>
      </c>
      <c r="C903" s="491">
        <v>743</v>
      </c>
    </row>
    <row r="904" spans="2:3" x14ac:dyDescent="0.2">
      <c r="B904" t="s">
        <v>4714</v>
      </c>
      <c r="C904" s="491">
        <v>10</v>
      </c>
    </row>
    <row r="905" spans="2:3" x14ac:dyDescent="0.2">
      <c r="B905" t="s">
        <v>4717</v>
      </c>
      <c r="C905" s="491">
        <v>0</v>
      </c>
    </row>
    <row r="906" spans="2:3" x14ac:dyDescent="0.2">
      <c r="B906" t="s">
        <v>7</v>
      </c>
      <c r="C906" s="491">
        <v>50</v>
      </c>
    </row>
    <row r="907" spans="2:3" x14ac:dyDescent="0.2">
      <c r="B907" t="s">
        <v>12</v>
      </c>
      <c r="C907" s="491">
        <v>395</v>
      </c>
    </row>
    <row r="908" spans="2:3" x14ac:dyDescent="0.2">
      <c r="B908" t="s">
        <v>16</v>
      </c>
      <c r="C908" s="491">
        <v>339.7</v>
      </c>
    </row>
    <row r="909" spans="2:3" x14ac:dyDescent="0.2">
      <c r="B909" t="s">
        <v>18</v>
      </c>
      <c r="C909" s="491">
        <v>1390</v>
      </c>
    </row>
    <row r="910" spans="2:3" x14ac:dyDescent="0.2">
      <c r="B910" t="s">
        <v>21</v>
      </c>
      <c r="C910" s="491">
        <v>492.39</v>
      </c>
    </row>
    <row r="911" spans="2:3" x14ac:dyDescent="0.2">
      <c r="B911" t="s">
        <v>24</v>
      </c>
      <c r="C911" s="491">
        <v>555.5</v>
      </c>
    </row>
    <row r="912" spans="2:3" x14ac:dyDescent="0.2">
      <c r="B912" t="s">
        <v>26</v>
      </c>
      <c r="C912" s="491">
        <v>1417.96</v>
      </c>
    </row>
    <row r="913" spans="2:3" x14ac:dyDescent="0.2">
      <c r="B913" t="s">
        <v>29</v>
      </c>
      <c r="C913" s="491">
        <v>950.75</v>
      </c>
    </row>
    <row r="914" spans="2:3" x14ac:dyDescent="0.2">
      <c r="B914" t="s">
        <v>32</v>
      </c>
      <c r="C914" s="491">
        <v>1341</v>
      </c>
    </row>
    <row r="915" spans="2:3" x14ac:dyDescent="0.2">
      <c r="B915" t="s">
        <v>35</v>
      </c>
      <c r="C915" s="491">
        <v>135</v>
      </c>
    </row>
    <row r="916" spans="2:3" x14ac:dyDescent="0.2">
      <c r="B916" t="s">
        <v>38</v>
      </c>
      <c r="C916" s="491">
        <v>1550</v>
      </c>
    </row>
    <row r="917" spans="2:3" x14ac:dyDescent="0.2">
      <c r="B917" t="s">
        <v>41</v>
      </c>
      <c r="C917" s="491">
        <v>685</v>
      </c>
    </row>
    <row r="918" spans="2:3" x14ac:dyDescent="0.2">
      <c r="B918" t="s">
        <v>42</v>
      </c>
      <c r="C918" s="491">
        <v>195</v>
      </c>
    </row>
    <row r="919" spans="2:3" x14ac:dyDescent="0.2">
      <c r="B919" t="s">
        <v>45</v>
      </c>
      <c r="C919" s="491">
        <v>100</v>
      </c>
    </row>
    <row r="920" spans="2:3" x14ac:dyDescent="0.2">
      <c r="B920" t="s">
        <v>48</v>
      </c>
      <c r="C920" s="491">
        <v>355</v>
      </c>
    </row>
    <row r="921" spans="2:3" x14ac:dyDescent="0.2">
      <c r="B921" t="s">
        <v>50</v>
      </c>
      <c r="C921" s="491">
        <v>870</v>
      </c>
    </row>
    <row r="922" spans="2:3" x14ac:dyDescent="0.2">
      <c r="B922" t="s">
        <v>51</v>
      </c>
      <c r="C922" s="491">
        <v>812.97</v>
      </c>
    </row>
    <row r="923" spans="2:3" x14ac:dyDescent="0.2">
      <c r="B923" t="s">
        <v>53</v>
      </c>
      <c r="C923" s="491">
        <v>165</v>
      </c>
    </row>
    <row r="924" spans="2:3" x14ac:dyDescent="0.2">
      <c r="B924" t="s">
        <v>55</v>
      </c>
      <c r="C924" s="491">
        <v>817.75</v>
      </c>
    </row>
    <row r="925" spans="2:3" x14ac:dyDescent="0.2">
      <c r="B925" t="s">
        <v>4778</v>
      </c>
      <c r="C925" s="491">
        <v>170</v>
      </c>
    </row>
    <row r="926" spans="2:3" x14ac:dyDescent="0.2">
      <c r="B926" t="s">
        <v>59</v>
      </c>
      <c r="C926" s="491">
        <v>195</v>
      </c>
    </row>
    <row r="927" spans="2:3" x14ac:dyDescent="0.2">
      <c r="B927" t="s">
        <v>62</v>
      </c>
      <c r="C927" s="491">
        <v>50</v>
      </c>
    </row>
    <row r="928" spans="2:3" x14ac:dyDescent="0.2">
      <c r="B928" t="s">
        <v>64</v>
      </c>
      <c r="C928" s="491">
        <v>125</v>
      </c>
    </row>
    <row r="929" spans="2:3" x14ac:dyDescent="0.2">
      <c r="B929" t="s">
        <v>67</v>
      </c>
      <c r="C929" s="491">
        <v>15</v>
      </c>
    </row>
    <row r="930" spans="2:3" x14ac:dyDescent="0.2">
      <c r="B930" t="s">
        <v>70</v>
      </c>
      <c r="C930" s="491">
        <v>460</v>
      </c>
    </row>
    <row r="931" spans="2:3" x14ac:dyDescent="0.2">
      <c r="B931" t="s">
        <v>73</v>
      </c>
      <c r="C931" s="491">
        <v>340</v>
      </c>
    </row>
    <row r="932" spans="2:3" x14ac:dyDescent="0.2">
      <c r="B932" t="s">
        <v>76</v>
      </c>
      <c r="C932" s="491">
        <v>25</v>
      </c>
    </row>
    <row r="933" spans="2:3" x14ac:dyDescent="0.2">
      <c r="B933" t="s">
        <v>4794</v>
      </c>
      <c r="C933" s="491">
        <v>215</v>
      </c>
    </row>
    <row r="934" spans="2:3" x14ac:dyDescent="0.2">
      <c r="B934" t="s">
        <v>79</v>
      </c>
      <c r="C934" s="491">
        <v>380</v>
      </c>
    </row>
    <row r="935" spans="2:3" x14ac:dyDescent="0.2">
      <c r="B935" t="s">
        <v>81</v>
      </c>
      <c r="C935" s="491">
        <v>430</v>
      </c>
    </row>
    <row r="936" spans="2:3" x14ac:dyDescent="0.2">
      <c r="B936" t="s">
        <v>84</v>
      </c>
      <c r="C936" s="491">
        <v>2208.1999999999998</v>
      </c>
    </row>
    <row r="937" spans="2:3" x14ac:dyDescent="0.2">
      <c r="B937" t="s">
        <v>87</v>
      </c>
      <c r="C937" s="491">
        <v>120</v>
      </c>
    </row>
    <row r="938" spans="2:3" x14ac:dyDescent="0.2">
      <c r="B938" t="s">
        <v>90</v>
      </c>
      <c r="C938" s="491">
        <v>1608</v>
      </c>
    </row>
    <row r="939" spans="2:3" x14ac:dyDescent="0.2">
      <c r="B939" t="s">
        <v>95</v>
      </c>
      <c r="C939" s="491">
        <v>780</v>
      </c>
    </row>
    <row r="940" spans="2:3" x14ac:dyDescent="0.2">
      <c r="B940" t="s">
        <v>98</v>
      </c>
      <c r="C940" s="491">
        <v>220</v>
      </c>
    </row>
    <row r="941" spans="2:3" x14ac:dyDescent="0.2">
      <c r="B941" t="s">
        <v>101</v>
      </c>
      <c r="C941" s="491">
        <v>300</v>
      </c>
    </row>
    <row r="942" spans="2:3" x14ac:dyDescent="0.2">
      <c r="B942" t="s">
        <v>4834</v>
      </c>
      <c r="C942" s="491">
        <v>405</v>
      </c>
    </row>
    <row r="943" spans="2:3" x14ac:dyDescent="0.2">
      <c r="B943" t="s">
        <v>106</v>
      </c>
      <c r="C943" s="491">
        <v>708.5</v>
      </c>
    </row>
    <row r="944" spans="2:3" x14ac:dyDescent="0.2">
      <c r="B944" t="s">
        <v>109</v>
      </c>
      <c r="C944" s="491">
        <v>175</v>
      </c>
    </row>
    <row r="945" spans="2:3" x14ac:dyDescent="0.2">
      <c r="B945" t="s">
        <v>111</v>
      </c>
      <c r="C945" s="491">
        <v>95</v>
      </c>
    </row>
    <row r="946" spans="2:3" x14ac:dyDescent="0.2">
      <c r="B946" t="s">
        <v>116</v>
      </c>
      <c r="C946" s="491">
        <v>100</v>
      </c>
    </row>
    <row r="947" spans="2:3" x14ac:dyDescent="0.2">
      <c r="B947" t="s">
        <v>118</v>
      </c>
      <c r="C947" s="491">
        <v>750</v>
      </c>
    </row>
    <row r="948" spans="2:3" x14ac:dyDescent="0.2">
      <c r="B948" t="s">
        <v>120</v>
      </c>
      <c r="C948" s="491">
        <v>667.5</v>
      </c>
    </row>
    <row r="949" spans="2:3" x14ac:dyDescent="0.2">
      <c r="B949" t="s">
        <v>122</v>
      </c>
      <c r="C949" s="491">
        <v>647.19000000000005</v>
      </c>
    </row>
    <row r="950" spans="2:3" x14ac:dyDescent="0.2">
      <c r="B950" t="s">
        <v>125</v>
      </c>
      <c r="C950" s="491">
        <v>160</v>
      </c>
    </row>
    <row r="951" spans="2:3" x14ac:dyDescent="0.2">
      <c r="B951" t="s">
        <v>131</v>
      </c>
      <c r="C951" s="491">
        <v>120</v>
      </c>
    </row>
    <row r="952" spans="2:3" x14ac:dyDescent="0.2">
      <c r="B952" t="s">
        <v>134</v>
      </c>
      <c r="C952" s="491">
        <v>395</v>
      </c>
    </row>
    <row r="953" spans="2:3" x14ac:dyDescent="0.2">
      <c r="B953" t="s">
        <v>137</v>
      </c>
      <c r="C953" s="491">
        <v>50</v>
      </c>
    </row>
    <row r="954" spans="2:3" x14ac:dyDescent="0.2">
      <c r="B954" t="s">
        <v>139</v>
      </c>
      <c r="C954" s="491">
        <v>90</v>
      </c>
    </row>
    <row r="955" spans="2:3" x14ac:dyDescent="0.2">
      <c r="B955" t="s">
        <v>142</v>
      </c>
      <c r="C955" s="491">
        <v>880</v>
      </c>
    </row>
    <row r="956" spans="2:3" x14ac:dyDescent="0.2">
      <c r="B956" t="s">
        <v>145</v>
      </c>
      <c r="C956" s="491">
        <v>285</v>
      </c>
    </row>
    <row r="957" spans="2:3" x14ac:dyDescent="0.2">
      <c r="B957" t="s">
        <v>148</v>
      </c>
      <c r="C957" s="491">
        <v>275</v>
      </c>
    </row>
    <row r="958" spans="2:3" x14ac:dyDescent="0.2">
      <c r="B958" t="s">
        <v>151</v>
      </c>
      <c r="C958" s="491">
        <v>85</v>
      </c>
    </row>
    <row r="959" spans="2:3" x14ac:dyDescent="0.2">
      <c r="B959" t="s">
        <v>153</v>
      </c>
      <c r="C959" s="491">
        <v>316</v>
      </c>
    </row>
    <row r="960" spans="2:3" x14ac:dyDescent="0.2">
      <c r="B960" t="s">
        <v>156</v>
      </c>
      <c r="C960" s="491">
        <v>230</v>
      </c>
    </row>
    <row r="961" spans="2:3" x14ac:dyDescent="0.2">
      <c r="B961" t="s">
        <v>159</v>
      </c>
      <c r="C961" s="491">
        <v>157.19999999999999</v>
      </c>
    </row>
    <row r="962" spans="2:3" x14ac:dyDescent="0.2">
      <c r="B962" t="s">
        <v>4894</v>
      </c>
      <c r="C962" s="491">
        <v>20</v>
      </c>
    </row>
    <row r="963" spans="2:3" x14ac:dyDescent="0.2">
      <c r="B963" t="s">
        <v>162</v>
      </c>
      <c r="C963" s="491">
        <v>1434.6</v>
      </c>
    </row>
    <row r="964" spans="2:3" x14ac:dyDescent="0.2">
      <c r="B964" t="s">
        <v>165</v>
      </c>
      <c r="C964" s="491">
        <v>565.89</v>
      </c>
    </row>
    <row r="965" spans="2:3" x14ac:dyDescent="0.2">
      <c r="B965" t="s">
        <v>171</v>
      </c>
      <c r="C965" s="491">
        <v>5900</v>
      </c>
    </row>
    <row r="966" spans="2:3" x14ac:dyDescent="0.2">
      <c r="B966" t="s">
        <v>174</v>
      </c>
      <c r="C966" s="491">
        <v>70</v>
      </c>
    </row>
    <row r="967" spans="2:3" x14ac:dyDescent="0.2">
      <c r="B967" t="s">
        <v>177</v>
      </c>
      <c r="C967" s="491">
        <v>1800</v>
      </c>
    </row>
    <row r="968" spans="2:3" x14ac:dyDescent="0.2">
      <c r="B968" t="s">
        <v>179</v>
      </c>
      <c r="C968" s="491">
        <v>252.4</v>
      </c>
    </row>
    <row r="969" spans="2:3" x14ac:dyDescent="0.2">
      <c r="B969" t="s">
        <v>181</v>
      </c>
      <c r="C969" s="491">
        <v>580</v>
      </c>
    </row>
    <row r="970" spans="2:3" x14ac:dyDescent="0.2">
      <c r="B970" t="s">
        <v>184</v>
      </c>
      <c r="C970" s="491">
        <v>215</v>
      </c>
    </row>
    <row r="971" spans="2:3" x14ac:dyDescent="0.2">
      <c r="B971" t="s">
        <v>187</v>
      </c>
      <c r="C971" s="491">
        <v>98</v>
      </c>
    </row>
    <row r="972" spans="2:3" x14ac:dyDescent="0.2">
      <c r="B972" t="s">
        <v>189</v>
      </c>
      <c r="C972" s="491">
        <v>516.9</v>
      </c>
    </row>
    <row r="973" spans="2:3" x14ac:dyDescent="0.2">
      <c r="B973" t="s">
        <v>191</v>
      </c>
      <c r="C973" s="491">
        <v>495</v>
      </c>
    </row>
    <row r="974" spans="2:3" x14ac:dyDescent="0.2">
      <c r="B974" t="s">
        <v>194</v>
      </c>
      <c r="C974" s="491">
        <v>370</v>
      </c>
    </row>
    <row r="975" spans="2:3" x14ac:dyDescent="0.2">
      <c r="B975" t="s">
        <v>196</v>
      </c>
      <c r="C975" s="491">
        <v>429</v>
      </c>
    </row>
    <row r="976" spans="2:3" x14ac:dyDescent="0.2">
      <c r="B976" t="s">
        <v>199</v>
      </c>
      <c r="C976" s="491">
        <v>375</v>
      </c>
    </row>
    <row r="977" spans="2:3" x14ac:dyDescent="0.2">
      <c r="B977" t="s">
        <v>202</v>
      </c>
      <c r="C977" s="491">
        <v>460</v>
      </c>
    </row>
    <row r="978" spans="2:3" x14ac:dyDescent="0.2">
      <c r="B978" t="s">
        <v>205</v>
      </c>
      <c r="C978" s="491">
        <v>45</v>
      </c>
    </row>
    <row r="979" spans="2:3" x14ac:dyDescent="0.2">
      <c r="B979" t="s">
        <v>208</v>
      </c>
      <c r="C979" s="491">
        <v>65</v>
      </c>
    </row>
    <row r="980" spans="2:3" x14ac:dyDescent="0.2">
      <c r="B980" t="s">
        <v>211</v>
      </c>
      <c r="C980" s="491">
        <v>852</v>
      </c>
    </row>
    <row r="981" spans="2:3" x14ac:dyDescent="0.2">
      <c r="B981" t="s">
        <v>213</v>
      </c>
      <c r="C981" s="491">
        <v>90</v>
      </c>
    </row>
    <row r="982" spans="2:3" x14ac:dyDescent="0.2">
      <c r="B982" t="s">
        <v>215</v>
      </c>
      <c r="C982" s="491">
        <v>516.29999999999995</v>
      </c>
    </row>
    <row r="983" spans="2:3" x14ac:dyDescent="0.2">
      <c r="B983" t="s">
        <v>217</v>
      </c>
      <c r="C983" s="491">
        <v>155</v>
      </c>
    </row>
    <row r="984" spans="2:3" x14ac:dyDescent="0.2">
      <c r="B984" t="s">
        <v>221</v>
      </c>
      <c r="C984" s="491">
        <v>410</v>
      </c>
    </row>
    <row r="985" spans="2:3" x14ac:dyDescent="0.2">
      <c r="B985" t="s">
        <v>224</v>
      </c>
      <c r="C985" s="491">
        <v>375</v>
      </c>
    </row>
    <row r="986" spans="2:3" x14ac:dyDescent="0.2">
      <c r="B986" t="s">
        <v>227</v>
      </c>
      <c r="C986" s="491">
        <v>120</v>
      </c>
    </row>
    <row r="987" spans="2:3" x14ac:dyDescent="0.2">
      <c r="B987" t="s">
        <v>229</v>
      </c>
      <c r="C987" s="491">
        <v>8686.91</v>
      </c>
    </row>
    <row r="988" spans="2:3" x14ac:dyDescent="0.2">
      <c r="B988" t="s">
        <v>232</v>
      </c>
      <c r="C988" s="491">
        <v>938</v>
      </c>
    </row>
    <row r="989" spans="2:3" x14ac:dyDescent="0.2">
      <c r="B989" t="s">
        <v>235</v>
      </c>
      <c r="C989" s="491">
        <v>140</v>
      </c>
    </row>
    <row r="990" spans="2:3" x14ac:dyDescent="0.2">
      <c r="B990" t="s">
        <v>237</v>
      </c>
      <c r="C990" s="491">
        <v>70</v>
      </c>
    </row>
    <row r="991" spans="2:3" x14ac:dyDescent="0.2">
      <c r="B991" t="s">
        <v>239</v>
      </c>
      <c r="C991" s="491">
        <v>90</v>
      </c>
    </row>
    <row r="992" spans="2:3" x14ac:dyDescent="0.2">
      <c r="B992" t="s">
        <v>241</v>
      </c>
      <c r="C992" s="491">
        <v>170</v>
      </c>
    </row>
    <row r="993" spans="2:3" x14ac:dyDescent="0.2">
      <c r="B993" t="s">
        <v>245</v>
      </c>
      <c r="C993" s="491">
        <v>360</v>
      </c>
    </row>
    <row r="994" spans="2:3" x14ac:dyDescent="0.2">
      <c r="B994" t="s">
        <v>247</v>
      </c>
      <c r="C994" s="491">
        <v>421</v>
      </c>
    </row>
    <row r="995" spans="2:3" x14ac:dyDescent="0.2">
      <c r="B995" t="s">
        <v>250</v>
      </c>
      <c r="C995" s="491">
        <v>270</v>
      </c>
    </row>
    <row r="996" spans="2:3" x14ac:dyDescent="0.2">
      <c r="B996" t="s">
        <v>4991</v>
      </c>
      <c r="C996" s="491">
        <v>60</v>
      </c>
    </row>
    <row r="997" spans="2:3" x14ac:dyDescent="0.2">
      <c r="B997" t="s">
        <v>253</v>
      </c>
      <c r="C997" s="491">
        <v>1057</v>
      </c>
    </row>
    <row r="998" spans="2:3" x14ac:dyDescent="0.2">
      <c r="B998" t="s">
        <v>255</v>
      </c>
      <c r="C998" s="491">
        <v>470</v>
      </c>
    </row>
    <row r="999" spans="2:3" x14ac:dyDescent="0.2">
      <c r="B999" t="s">
        <v>258</v>
      </c>
      <c r="C999" s="491">
        <v>300</v>
      </c>
    </row>
    <row r="1000" spans="2:3" x14ac:dyDescent="0.2">
      <c r="B1000" t="s">
        <v>261</v>
      </c>
      <c r="C1000" s="491">
        <v>155</v>
      </c>
    </row>
    <row r="1001" spans="2:3" x14ac:dyDescent="0.2">
      <c r="B1001" t="s">
        <v>263</v>
      </c>
      <c r="C1001" s="491">
        <v>239</v>
      </c>
    </row>
    <row r="1002" spans="2:3" x14ac:dyDescent="0.2">
      <c r="B1002" t="s">
        <v>266</v>
      </c>
      <c r="C1002" s="491">
        <v>1014.4</v>
      </c>
    </row>
    <row r="1003" spans="2:3" x14ac:dyDescent="0.2">
      <c r="B1003" t="s">
        <v>268</v>
      </c>
      <c r="C1003" s="491">
        <v>77.2</v>
      </c>
    </row>
    <row r="1004" spans="2:3" x14ac:dyDescent="0.2">
      <c r="B1004" t="s">
        <v>271</v>
      </c>
      <c r="C1004" s="491">
        <v>719.27</v>
      </c>
    </row>
    <row r="1005" spans="2:3" x14ac:dyDescent="0.2">
      <c r="B1005" t="s">
        <v>274</v>
      </c>
      <c r="C1005" s="491">
        <v>1077.8900000000001</v>
      </c>
    </row>
    <row r="1006" spans="2:3" x14ac:dyDescent="0.2">
      <c r="B1006" t="s">
        <v>277</v>
      </c>
      <c r="C1006" s="491">
        <v>1101.48</v>
      </c>
    </row>
    <row r="1007" spans="2:3" x14ac:dyDescent="0.2">
      <c r="B1007" t="s">
        <v>280</v>
      </c>
      <c r="C1007" s="491">
        <v>1030</v>
      </c>
    </row>
    <row r="1008" spans="2:3" x14ac:dyDescent="0.2">
      <c r="B1008" t="s">
        <v>282</v>
      </c>
      <c r="C1008" s="491">
        <v>630</v>
      </c>
    </row>
    <row r="1009" spans="2:3" x14ac:dyDescent="0.2">
      <c r="B1009" t="s">
        <v>285</v>
      </c>
      <c r="C1009" s="491">
        <v>820</v>
      </c>
    </row>
    <row r="1010" spans="2:3" x14ac:dyDescent="0.2">
      <c r="B1010" t="s">
        <v>290</v>
      </c>
      <c r="C1010" s="491">
        <v>40</v>
      </c>
    </row>
    <row r="1011" spans="2:3" x14ac:dyDescent="0.2">
      <c r="B1011" t="s">
        <v>292</v>
      </c>
      <c r="C1011" s="491">
        <v>230</v>
      </c>
    </row>
    <row r="1012" spans="2:3" x14ac:dyDescent="0.2">
      <c r="B1012" t="s">
        <v>295</v>
      </c>
      <c r="C1012" s="491">
        <v>230</v>
      </c>
    </row>
    <row r="1013" spans="2:3" x14ac:dyDescent="0.2">
      <c r="B1013" t="s">
        <v>300</v>
      </c>
      <c r="C1013" s="491">
        <v>662.98</v>
      </c>
    </row>
    <row r="1014" spans="2:3" x14ac:dyDescent="0.2">
      <c r="B1014" t="s">
        <v>5052</v>
      </c>
      <c r="C1014" s="491">
        <v>105</v>
      </c>
    </row>
    <row r="1015" spans="2:3" x14ac:dyDescent="0.2">
      <c r="B1015" t="s">
        <v>5056</v>
      </c>
      <c r="C1015" s="491">
        <v>755</v>
      </c>
    </row>
    <row r="1016" spans="2:3" x14ac:dyDescent="0.2">
      <c r="B1016" t="s">
        <v>5061</v>
      </c>
      <c r="C1016" s="491">
        <v>25</v>
      </c>
    </row>
    <row r="1017" spans="2:3" x14ac:dyDescent="0.2">
      <c r="B1017" t="s">
        <v>5064</v>
      </c>
      <c r="C1017" s="491">
        <v>70</v>
      </c>
    </row>
    <row r="1018" spans="2:3" x14ac:dyDescent="0.2">
      <c r="B1018" t="s">
        <v>5067</v>
      </c>
      <c r="C1018" s="491">
        <v>170</v>
      </c>
    </row>
    <row r="1019" spans="2:3" x14ac:dyDescent="0.2">
      <c r="B1019" t="s">
        <v>5072</v>
      </c>
      <c r="C1019" s="491">
        <v>472</v>
      </c>
    </row>
    <row r="1020" spans="2:3" x14ac:dyDescent="0.2">
      <c r="B1020" t="s">
        <v>5077</v>
      </c>
      <c r="C1020" s="491">
        <v>815</v>
      </c>
    </row>
    <row r="1021" spans="2:3" x14ac:dyDescent="0.2">
      <c r="B1021" t="s">
        <v>5082</v>
      </c>
      <c r="C1021" s="491">
        <v>1109</v>
      </c>
    </row>
    <row r="1022" spans="2:3" x14ac:dyDescent="0.2">
      <c r="B1022" t="s">
        <v>5084</v>
      </c>
      <c r="C1022" s="491">
        <v>84</v>
      </c>
    </row>
    <row r="1023" spans="2:3" x14ac:dyDescent="0.2">
      <c r="B1023" t="s">
        <v>5089</v>
      </c>
      <c r="C1023" s="491">
        <v>265</v>
      </c>
    </row>
    <row r="1024" spans="2:3" x14ac:dyDescent="0.2">
      <c r="B1024" t="s">
        <v>5093</v>
      </c>
      <c r="C1024" s="491">
        <v>383</v>
      </c>
    </row>
    <row r="1025" spans="2:3" x14ac:dyDescent="0.2">
      <c r="B1025" t="s">
        <v>5097</v>
      </c>
      <c r="C1025" s="491">
        <v>96</v>
      </c>
    </row>
    <row r="1026" spans="2:3" x14ac:dyDescent="0.2">
      <c r="B1026" t="s">
        <v>5100</v>
      </c>
      <c r="C1026" s="491">
        <v>1005</v>
      </c>
    </row>
    <row r="1027" spans="2:3" x14ac:dyDescent="0.2">
      <c r="B1027" t="s">
        <v>5103</v>
      </c>
      <c r="C1027" s="491">
        <v>75</v>
      </c>
    </row>
    <row r="1028" spans="2:3" x14ac:dyDescent="0.2">
      <c r="B1028" t="s">
        <v>5109</v>
      </c>
      <c r="C1028" s="491">
        <v>5</v>
      </c>
    </row>
    <row r="1029" spans="2:3" x14ac:dyDescent="0.2">
      <c r="B1029" t="s">
        <v>5115</v>
      </c>
      <c r="C1029" s="491">
        <v>80</v>
      </c>
    </row>
    <row r="1030" spans="2:3" x14ac:dyDescent="0.2">
      <c r="B1030" t="s">
        <v>5118</v>
      </c>
      <c r="C1030" s="491">
        <v>245</v>
      </c>
    </row>
    <row r="1031" spans="2:3" x14ac:dyDescent="0.2">
      <c r="B1031" t="s">
        <v>5121</v>
      </c>
      <c r="C1031" s="491">
        <v>300</v>
      </c>
    </row>
    <row r="1032" spans="2:3" x14ac:dyDescent="0.2">
      <c r="B1032" t="s">
        <v>5124</v>
      </c>
      <c r="C1032" s="491">
        <v>138</v>
      </c>
    </row>
    <row r="1033" spans="2:3" x14ac:dyDescent="0.2">
      <c r="B1033" t="s">
        <v>5128</v>
      </c>
      <c r="C1033" s="491">
        <v>475</v>
      </c>
    </row>
    <row r="1034" spans="2:3" x14ac:dyDescent="0.2">
      <c r="B1034" t="s">
        <v>5131</v>
      </c>
      <c r="C1034" s="491">
        <v>230</v>
      </c>
    </row>
    <row r="1035" spans="2:3" x14ac:dyDescent="0.2">
      <c r="B1035" t="s">
        <v>5136</v>
      </c>
      <c r="C1035" s="491">
        <v>80</v>
      </c>
    </row>
    <row r="1036" spans="2:3" x14ac:dyDescent="0.2">
      <c r="B1036" t="s">
        <v>5139</v>
      </c>
      <c r="C1036" s="491">
        <v>695</v>
      </c>
    </row>
    <row r="1037" spans="2:3" x14ac:dyDescent="0.2">
      <c r="B1037" t="s">
        <v>5143</v>
      </c>
      <c r="C1037" s="491">
        <v>865</v>
      </c>
    </row>
    <row r="1038" spans="2:3" x14ac:dyDescent="0.2">
      <c r="B1038" t="s">
        <v>5148</v>
      </c>
      <c r="C1038" s="491">
        <v>296</v>
      </c>
    </row>
    <row r="1039" spans="2:3" x14ac:dyDescent="0.2">
      <c r="B1039" t="s">
        <v>5153</v>
      </c>
      <c r="C1039" s="491">
        <v>20</v>
      </c>
    </row>
    <row r="1040" spans="2:3" x14ac:dyDescent="0.2">
      <c r="B1040" t="s">
        <v>5156</v>
      </c>
      <c r="C1040" s="491">
        <v>315</v>
      </c>
    </row>
    <row r="1041" spans="2:3" x14ac:dyDescent="0.2">
      <c r="B1041" t="s">
        <v>5163</v>
      </c>
      <c r="C1041" s="491">
        <v>105</v>
      </c>
    </row>
    <row r="1042" spans="2:3" x14ac:dyDescent="0.2">
      <c r="B1042" t="s">
        <v>5171</v>
      </c>
      <c r="C1042" s="491">
        <v>190</v>
      </c>
    </row>
    <row r="1043" spans="2:3" x14ac:dyDescent="0.2">
      <c r="B1043" t="s">
        <v>5174</v>
      </c>
      <c r="C1043" s="491">
        <v>273</v>
      </c>
    </row>
    <row r="1044" spans="2:3" x14ac:dyDescent="0.2">
      <c r="B1044" t="s">
        <v>5178</v>
      </c>
      <c r="C1044" s="491">
        <v>230</v>
      </c>
    </row>
    <row r="1045" spans="2:3" x14ac:dyDescent="0.2">
      <c r="B1045" t="s">
        <v>5181</v>
      </c>
      <c r="C1045" s="491">
        <v>50</v>
      </c>
    </row>
    <row r="1046" spans="2:3" x14ac:dyDescent="0.2">
      <c r="B1046" t="s">
        <v>5184</v>
      </c>
      <c r="C1046" s="491">
        <v>200</v>
      </c>
    </row>
    <row r="1047" spans="2:3" x14ac:dyDescent="0.2">
      <c r="B1047" t="s">
        <v>5188</v>
      </c>
      <c r="C1047" s="491">
        <v>272</v>
      </c>
    </row>
    <row r="1048" spans="2:3" x14ac:dyDescent="0.2">
      <c r="B1048" t="s">
        <v>5191</v>
      </c>
      <c r="C1048" s="491">
        <v>75</v>
      </c>
    </row>
    <row r="1049" spans="2:3" x14ac:dyDescent="0.2">
      <c r="B1049" t="s">
        <v>5194</v>
      </c>
      <c r="C1049" s="491">
        <v>1071.17</v>
      </c>
    </row>
    <row r="1050" spans="2:3" x14ac:dyDescent="0.2">
      <c r="B1050" t="s">
        <v>5197</v>
      </c>
      <c r="C1050" s="491">
        <v>541</v>
      </c>
    </row>
    <row r="1051" spans="2:3" x14ac:dyDescent="0.2">
      <c r="B1051" t="s">
        <v>5201</v>
      </c>
      <c r="C1051" s="491">
        <v>275</v>
      </c>
    </row>
    <row r="1052" spans="2:3" x14ac:dyDescent="0.2">
      <c r="B1052" t="s">
        <v>5204</v>
      </c>
      <c r="C1052" s="491">
        <v>885</v>
      </c>
    </row>
    <row r="1053" spans="2:3" x14ac:dyDescent="0.2">
      <c r="B1053" t="s">
        <v>5209</v>
      </c>
      <c r="C1053" s="491">
        <v>55</v>
      </c>
    </row>
    <row r="1054" spans="2:3" x14ac:dyDescent="0.2">
      <c r="B1054" t="s">
        <v>5213</v>
      </c>
      <c r="C1054" s="491">
        <v>266.89</v>
      </c>
    </row>
    <row r="1055" spans="2:3" x14ac:dyDescent="0.2">
      <c r="B1055" t="s">
        <v>5217</v>
      </c>
      <c r="C1055" s="491">
        <v>755</v>
      </c>
    </row>
    <row r="1056" spans="2:3" x14ac:dyDescent="0.2">
      <c r="B1056" t="s">
        <v>5221</v>
      </c>
      <c r="C1056" s="491">
        <v>365</v>
      </c>
    </row>
    <row r="1057" spans="2:3" x14ac:dyDescent="0.2">
      <c r="B1057" t="s">
        <v>5225</v>
      </c>
      <c r="C1057" s="491">
        <v>555</v>
      </c>
    </row>
    <row r="1058" spans="2:3" x14ac:dyDescent="0.2">
      <c r="B1058" t="s">
        <v>5229</v>
      </c>
      <c r="C1058" s="491">
        <v>255</v>
      </c>
    </row>
    <row r="1059" spans="2:3" x14ac:dyDescent="0.2">
      <c r="B1059" t="s">
        <v>5233</v>
      </c>
      <c r="C1059" s="491">
        <v>175</v>
      </c>
    </row>
    <row r="1060" spans="2:3" x14ac:dyDescent="0.2">
      <c r="B1060" t="s">
        <v>5236</v>
      </c>
      <c r="C1060" s="491">
        <v>1249.94</v>
      </c>
    </row>
    <row r="1061" spans="2:3" x14ac:dyDescent="0.2">
      <c r="B1061" t="s">
        <v>5240</v>
      </c>
      <c r="C1061" s="491">
        <v>228</v>
      </c>
    </row>
    <row r="1062" spans="2:3" x14ac:dyDescent="0.2">
      <c r="B1062" t="s">
        <v>5244</v>
      </c>
      <c r="C1062" s="491">
        <v>222.71</v>
      </c>
    </row>
    <row r="1063" spans="2:3" x14ac:dyDescent="0.2">
      <c r="B1063" t="s">
        <v>5251</v>
      </c>
      <c r="C1063" s="491">
        <v>245</v>
      </c>
    </row>
    <row r="1064" spans="2:3" x14ac:dyDescent="0.2">
      <c r="B1064" t="s">
        <v>5254</v>
      </c>
      <c r="C1064" s="491">
        <v>885</v>
      </c>
    </row>
    <row r="1065" spans="2:3" x14ac:dyDescent="0.2">
      <c r="B1065" t="s">
        <v>5259</v>
      </c>
      <c r="C1065" s="491">
        <v>35</v>
      </c>
    </row>
    <row r="1066" spans="2:3" x14ac:dyDescent="0.2">
      <c r="B1066" t="s">
        <v>5264</v>
      </c>
      <c r="C1066" s="491">
        <v>110</v>
      </c>
    </row>
    <row r="1067" spans="2:3" x14ac:dyDescent="0.2">
      <c r="B1067" t="s">
        <v>5268</v>
      </c>
      <c r="C1067" s="491">
        <v>905</v>
      </c>
    </row>
    <row r="1068" spans="2:3" x14ac:dyDescent="0.2">
      <c r="B1068" t="s">
        <v>5272</v>
      </c>
      <c r="C1068" s="491">
        <v>1165</v>
      </c>
    </row>
    <row r="1069" spans="2:3" x14ac:dyDescent="0.2">
      <c r="B1069" t="s">
        <v>5283</v>
      </c>
      <c r="C1069" s="491">
        <v>840</v>
      </c>
    </row>
    <row r="1070" spans="2:3" x14ac:dyDescent="0.2">
      <c r="B1070" t="s">
        <v>5286</v>
      </c>
      <c r="C1070" s="491">
        <v>135</v>
      </c>
    </row>
    <row r="1071" spans="2:3" x14ac:dyDescent="0.2">
      <c r="B1071" t="s">
        <v>5289</v>
      </c>
      <c r="C1071" s="491">
        <v>126.05</v>
      </c>
    </row>
    <row r="1072" spans="2:3" x14ac:dyDescent="0.2">
      <c r="B1072" t="s">
        <v>5292</v>
      </c>
      <c r="C1072" s="491">
        <v>253</v>
      </c>
    </row>
    <row r="1073" spans="2:3" x14ac:dyDescent="0.2">
      <c r="B1073" t="s">
        <v>5294</v>
      </c>
      <c r="C1073" s="491">
        <v>434</v>
      </c>
    </row>
    <row r="1074" spans="2:3" x14ac:dyDescent="0.2">
      <c r="B1074" t="s">
        <v>5300</v>
      </c>
      <c r="C1074" s="491">
        <v>160</v>
      </c>
    </row>
    <row r="1075" spans="2:3" x14ac:dyDescent="0.2">
      <c r="B1075" t="s">
        <v>5305</v>
      </c>
      <c r="C1075" s="491">
        <v>10</v>
      </c>
    </row>
    <row r="1076" spans="2:3" x14ac:dyDescent="0.2">
      <c r="B1076" t="s">
        <v>5308</v>
      </c>
      <c r="C1076" s="491">
        <v>40</v>
      </c>
    </row>
    <row r="1077" spans="2:3" x14ac:dyDescent="0.2">
      <c r="B1077" t="s">
        <v>5311</v>
      </c>
      <c r="C1077" s="491">
        <v>355</v>
      </c>
    </row>
    <row r="1078" spans="2:3" x14ac:dyDescent="0.2">
      <c r="B1078" t="s">
        <v>5314</v>
      </c>
      <c r="C1078" s="491">
        <v>45</v>
      </c>
    </row>
    <row r="1079" spans="2:3" x14ac:dyDescent="0.2">
      <c r="B1079" t="s">
        <v>5319</v>
      </c>
      <c r="C1079" s="491">
        <v>130</v>
      </c>
    </row>
    <row r="1080" spans="2:3" x14ac:dyDescent="0.2">
      <c r="B1080" t="s">
        <v>5323</v>
      </c>
      <c r="C1080" s="491">
        <v>165</v>
      </c>
    </row>
    <row r="1081" spans="2:3" x14ac:dyDescent="0.2">
      <c r="B1081" t="s">
        <v>5326</v>
      </c>
      <c r="C1081" s="491">
        <v>35</v>
      </c>
    </row>
    <row r="1082" spans="2:3" x14ac:dyDescent="0.2">
      <c r="B1082" t="s">
        <v>5329</v>
      </c>
      <c r="C1082" s="491">
        <v>173</v>
      </c>
    </row>
    <row r="1083" spans="2:3" x14ac:dyDescent="0.2">
      <c r="B1083" t="s">
        <v>5333</v>
      </c>
      <c r="C1083" s="491">
        <v>20</v>
      </c>
    </row>
    <row r="1084" spans="2:3" x14ac:dyDescent="0.2">
      <c r="B1084" t="s">
        <v>5336</v>
      </c>
      <c r="C1084" s="491">
        <v>50</v>
      </c>
    </row>
    <row r="1085" spans="2:3" x14ac:dyDescent="0.2">
      <c r="B1085" t="s">
        <v>5339</v>
      </c>
      <c r="C1085" s="491">
        <v>230</v>
      </c>
    </row>
    <row r="1086" spans="2:3" x14ac:dyDescent="0.2">
      <c r="B1086" t="s">
        <v>5341</v>
      </c>
      <c r="C1086" s="491">
        <v>430</v>
      </c>
    </row>
    <row r="1087" spans="2:3" x14ac:dyDescent="0.2">
      <c r="B1087" t="s">
        <v>5343</v>
      </c>
      <c r="C1087" s="491">
        <v>177</v>
      </c>
    </row>
    <row r="1088" spans="2:3" x14ac:dyDescent="0.2">
      <c r="B1088" t="s">
        <v>5347</v>
      </c>
      <c r="C1088" s="491">
        <v>236</v>
      </c>
    </row>
    <row r="1089" spans="2:3" x14ac:dyDescent="0.2">
      <c r="B1089" t="s">
        <v>5350</v>
      </c>
      <c r="C1089" s="491">
        <v>60</v>
      </c>
    </row>
    <row r="1090" spans="2:3" x14ac:dyDescent="0.2">
      <c r="B1090" t="s">
        <v>5357</v>
      </c>
      <c r="C1090" s="491">
        <v>380</v>
      </c>
    </row>
    <row r="1091" spans="2:3" x14ac:dyDescent="0.2">
      <c r="B1091" t="s">
        <v>5365</v>
      </c>
      <c r="C1091" s="491">
        <v>485.58000000000004</v>
      </c>
    </row>
    <row r="1092" spans="2:3" x14ac:dyDescent="0.2">
      <c r="B1092" t="s">
        <v>5375</v>
      </c>
      <c r="C1092" s="491">
        <v>260</v>
      </c>
    </row>
    <row r="1093" spans="2:3" x14ac:dyDescent="0.2">
      <c r="B1093" t="s">
        <v>5377</v>
      </c>
      <c r="C1093" s="491">
        <v>465.64</v>
      </c>
    </row>
    <row r="1094" spans="2:3" x14ac:dyDescent="0.2">
      <c r="B1094" t="s">
        <v>5380</v>
      </c>
      <c r="C1094" s="491">
        <v>499</v>
      </c>
    </row>
    <row r="1095" spans="2:3" x14ac:dyDescent="0.2">
      <c r="B1095" t="s">
        <v>5384</v>
      </c>
      <c r="C1095" s="491">
        <v>170</v>
      </c>
    </row>
    <row r="1096" spans="2:3" x14ac:dyDescent="0.2">
      <c r="B1096" t="s">
        <v>5392</v>
      </c>
      <c r="C1096" s="491">
        <v>225</v>
      </c>
    </row>
    <row r="1097" spans="2:3" x14ac:dyDescent="0.2">
      <c r="B1097" t="s">
        <v>5395</v>
      </c>
      <c r="C1097" s="491">
        <v>30</v>
      </c>
    </row>
    <row r="1098" spans="2:3" x14ac:dyDescent="0.2">
      <c r="B1098" t="s">
        <v>5401</v>
      </c>
      <c r="C1098" s="491">
        <v>699.25</v>
      </c>
    </row>
    <row r="1099" spans="2:3" x14ac:dyDescent="0.2">
      <c r="B1099" t="s">
        <v>5407</v>
      </c>
      <c r="C1099" s="491">
        <v>542.59999999999991</v>
      </c>
    </row>
    <row r="1100" spans="2:3" x14ac:dyDescent="0.2">
      <c r="B1100" t="s">
        <v>5410</v>
      </c>
      <c r="C1100" s="491">
        <v>45</v>
      </c>
    </row>
    <row r="1101" spans="2:3" x14ac:dyDescent="0.2">
      <c r="B1101" t="s">
        <v>5413</v>
      </c>
      <c r="C1101" s="491">
        <v>25</v>
      </c>
    </row>
    <row r="1102" spans="2:3" x14ac:dyDescent="0.2">
      <c r="B1102" t="s">
        <v>5419</v>
      </c>
      <c r="C1102" s="491">
        <v>137</v>
      </c>
    </row>
    <row r="1103" spans="2:3" x14ac:dyDescent="0.2">
      <c r="B1103" t="s">
        <v>5422</v>
      </c>
      <c r="C1103" s="491">
        <v>125</v>
      </c>
    </row>
    <row r="1104" spans="2:3" x14ac:dyDescent="0.2">
      <c r="B1104" t="s">
        <v>5426</v>
      </c>
      <c r="C1104" s="491">
        <v>485</v>
      </c>
    </row>
    <row r="1105" spans="2:3" x14ac:dyDescent="0.2">
      <c r="B1105" t="s">
        <v>5430</v>
      </c>
      <c r="C1105" s="491">
        <v>345</v>
      </c>
    </row>
    <row r="1106" spans="2:3" x14ac:dyDescent="0.2">
      <c r="B1106" t="s">
        <v>5434</v>
      </c>
      <c r="C1106" s="491">
        <v>1985</v>
      </c>
    </row>
    <row r="1107" spans="2:3" x14ac:dyDescent="0.2">
      <c r="B1107" t="s">
        <v>5439</v>
      </c>
      <c r="C1107" s="491">
        <v>370</v>
      </c>
    </row>
    <row r="1108" spans="2:3" x14ac:dyDescent="0.2">
      <c r="B1108" t="s">
        <v>5446</v>
      </c>
      <c r="C1108" s="491">
        <v>55</v>
      </c>
    </row>
    <row r="1109" spans="2:3" x14ac:dyDescent="0.2">
      <c r="B1109" t="s">
        <v>5450</v>
      </c>
      <c r="C1109" s="491">
        <v>465</v>
      </c>
    </row>
    <row r="1110" spans="2:3" x14ac:dyDescent="0.2">
      <c r="B1110" t="s">
        <v>5454</v>
      </c>
      <c r="C1110" s="491">
        <v>751</v>
      </c>
    </row>
    <row r="1111" spans="2:3" x14ac:dyDescent="0.2">
      <c r="B1111" t="s">
        <v>5458</v>
      </c>
      <c r="C1111" s="491">
        <v>105</v>
      </c>
    </row>
    <row r="1112" spans="2:3" x14ac:dyDescent="0.2">
      <c r="B1112" t="s">
        <v>5465</v>
      </c>
      <c r="C1112" s="491">
        <v>60</v>
      </c>
    </row>
    <row r="1113" spans="2:3" x14ac:dyDescent="0.2">
      <c r="B1113" t="s">
        <v>5468</v>
      </c>
      <c r="C1113" s="491">
        <v>100</v>
      </c>
    </row>
    <row r="1114" spans="2:3" x14ac:dyDescent="0.2">
      <c r="B1114" t="s">
        <v>5471</v>
      </c>
      <c r="C1114" s="491">
        <v>65</v>
      </c>
    </row>
    <row r="1115" spans="2:3" x14ac:dyDescent="0.2">
      <c r="B1115" t="s">
        <v>5474</v>
      </c>
      <c r="C1115" s="491">
        <v>35</v>
      </c>
    </row>
    <row r="1116" spans="2:3" x14ac:dyDescent="0.2">
      <c r="B1116" t="s">
        <v>5478</v>
      </c>
      <c r="C1116" s="491">
        <v>10</v>
      </c>
    </row>
    <row r="1117" spans="2:3" x14ac:dyDescent="0.2">
      <c r="B1117" t="s">
        <v>5483</v>
      </c>
      <c r="C1117" s="491">
        <v>210</v>
      </c>
    </row>
    <row r="1118" spans="2:3" x14ac:dyDescent="0.2">
      <c r="B1118" t="s">
        <v>5487</v>
      </c>
      <c r="C1118" s="491">
        <v>140</v>
      </c>
    </row>
    <row r="1119" spans="2:3" x14ac:dyDescent="0.2">
      <c r="B1119" t="s">
        <v>5493</v>
      </c>
      <c r="C1119" s="491">
        <v>240</v>
      </c>
    </row>
    <row r="1120" spans="2:3" x14ac:dyDescent="0.2">
      <c r="B1120" t="s">
        <v>5495</v>
      </c>
      <c r="C1120" s="491">
        <v>325</v>
      </c>
    </row>
    <row r="1121" spans="2:3" x14ac:dyDescent="0.2">
      <c r="B1121" t="s">
        <v>5499</v>
      </c>
      <c r="C1121" s="491">
        <v>2229.6000000000004</v>
      </c>
    </row>
    <row r="1122" spans="2:3" x14ac:dyDescent="0.2">
      <c r="B1122" t="s">
        <v>5502</v>
      </c>
      <c r="C1122" s="491">
        <v>420</v>
      </c>
    </row>
    <row r="1123" spans="2:3" x14ac:dyDescent="0.2">
      <c r="B1123" t="s">
        <v>5510</v>
      </c>
      <c r="C1123" s="491">
        <v>10</v>
      </c>
    </row>
    <row r="1124" spans="2:3" x14ac:dyDescent="0.2">
      <c r="B1124" t="s">
        <v>5515</v>
      </c>
      <c r="C1124" s="491">
        <v>85</v>
      </c>
    </row>
    <row r="1125" spans="2:3" x14ac:dyDescent="0.2">
      <c r="B1125" t="s">
        <v>5528</v>
      </c>
      <c r="C1125" s="491">
        <v>770</v>
      </c>
    </row>
    <row r="1126" spans="2:3" x14ac:dyDescent="0.2">
      <c r="B1126" t="s">
        <v>5532</v>
      </c>
      <c r="C1126" s="491">
        <v>1954.33</v>
      </c>
    </row>
    <row r="1127" spans="2:3" x14ac:dyDescent="0.2">
      <c r="B1127" t="s">
        <v>5535</v>
      </c>
      <c r="C1127" s="491">
        <v>10</v>
      </c>
    </row>
    <row r="1128" spans="2:3" x14ac:dyDescent="0.2">
      <c r="B1128" t="s">
        <v>5539</v>
      </c>
      <c r="C1128" s="491">
        <v>194</v>
      </c>
    </row>
    <row r="1129" spans="2:3" x14ac:dyDescent="0.2">
      <c r="B1129" t="s">
        <v>5543</v>
      </c>
      <c r="C1129" s="491">
        <v>126</v>
      </c>
    </row>
    <row r="1130" spans="2:3" x14ac:dyDescent="0.2">
      <c r="B1130" t="s">
        <v>5550</v>
      </c>
      <c r="C1130" s="491">
        <v>306</v>
      </c>
    </row>
    <row r="1131" spans="2:3" x14ac:dyDescent="0.2">
      <c r="B1131" t="s">
        <v>5554</v>
      </c>
      <c r="C1131" s="491">
        <v>210</v>
      </c>
    </row>
    <row r="1132" spans="2:3" x14ac:dyDescent="0.2">
      <c r="B1132" t="s">
        <v>5558</v>
      </c>
      <c r="C1132" s="491">
        <v>67.95</v>
      </c>
    </row>
    <row r="1133" spans="2:3" x14ac:dyDescent="0.2">
      <c r="B1133" t="s">
        <v>5561</v>
      </c>
      <c r="C1133" s="491">
        <v>1626.8600000000001</v>
      </c>
    </row>
    <row r="1134" spans="2:3" x14ac:dyDescent="0.2">
      <c r="B1134" t="s">
        <v>5566</v>
      </c>
      <c r="C1134" s="491">
        <v>396.2</v>
      </c>
    </row>
    <row r="1135" spans="2:3" x14ac:dyDescent="0.2">
      <c r="B1135" t="s">
        <v>5570</v>
      </c>
      <c r="C1135" s="491">
        <v>165</v>
      </c>
    </row>
    <row r="1136" spans="2:3" x14ac:dyDescent="0.2">
      <c r="B1136" t="s">
        <v>5573</v>
      </c>
      <c r="C1136" s="491">
        <v>610</v>
      </c>
    </row>
    <row r="1137" spans="2:3" x14ac:dyDescent="0.2">
      <c r="B1137" t="s">
        <v>5576</v>
      </c>
      <c r="C1137" s="491">
        <v>135</v>
      </c>
    </row>
    <row r="1138" spans="2:3" x14ac:dyDescent="0.2">
      <c r="B1138" t="s">
        <v>5579</v>
      </c>
      <c r="C1138" s="491">
        <v>40</v>
      </c>
    </row>
    <row r="1139" spans="2:3" x14ac:dyDescent="0.2">
      <c r="B1139" t="s">
        <v>5591</v>
      </c>
      <c r="C1139" s="491">
        <v>265</v>
      </c>
    </row>
    <row r="1140" spans="2:3" x14ac:dyDescent="0.2">
      <c r="B1140" t="s">
        <v>5594</v>
      </c>
      <c r="C1140" s="491">
        <v>210</v>
      </c>
    </row>
    <row r="1141" spans="2:3" x14ac:dyDescent="0.2">
      <c r="B1141" t="s">
        <v>5597</v>
      </c>
      <c r="C1141" s="491">
        <v>26.91</v>
      </c>
    </row>
    <row r="1142" spans="2:3" x14ac:dyDescent="0.2">
      <c r="B1142" t="s">
        <v>5601</v>
      </c>
      <c r="C1142" s="491">
        <v>346</v>
      </c>
    </row>
    <row r="1143" spans="2:3" x14ac:dyDescent="0.2">
      <c r="B1143" t="s">
        <v>5605</v>
      </c>
      <c r="C1143" s="491">
        <v>10</v>
      </c>
    </row>
    <row r="1144" spans="2:3" x14ac:dyDescent="0.2">
      <c r="B1144" t="s">
        <v>5608</v>
      </c>
      <c r="C1144" s="491">
        <v>525.29</v>
      </c>
    </row>
    <row r="1145" spans="2:3" x14ac:dyDescent="0.2">
      <c r="B1145" t="s">
        <v>5612</v>
      </c>
      <c r="C1145" s="491">
        <v>1495</v>
      </c>
    </row>
    <row r="1146" spans="2:3" x14ac:dyDescent="0.2">
      <c r="B1146" t="s">
        <v>5615</v>
      </c>
      <c r="C1146" s="491">
        <v>130</v>
      </c>
    </row>
    <row r="1147" spans="2:3" x14ac:dyDescent="0.2">
      <c r="B1147" t="s">
        <v>5620</v>
      </c>
      <c r="C1147" s="491">
        <v>165</v>
      </c>
    </row>
    <row r="1148" spans="2:3" x14ac:dyDescent="0.2">
      <c r="B1148" t="s">
        <v>5629</v>
      </c>
      <c r="C1148" s="491">
        <v>780</v>
      </c>
    </row>
    <row r="1149" spans="2:3" x14ac:dyDescent="0.2">
      <c r="B1149" t="s">
        <v>5632</v>
      </c>
      <c r="C1149" s="491">
        <v>2536.9700000000003</v>
      </c>
    </row>
    <row r="1150" spans="2:3" x14ac:dyDescent="0.2">
      <c r="B1150" t="s">
        <v>5636</v>
      </c>
      <c r="C1150" s="491">
        <v>340</v>
      </c>
    </row>
    <row r="1151" spans="2:3" x14ac:dyDescent="0.2">
      <c r="B1151" t="s">
        <v>5640</v>
      </c>
      <c r="C1151" s="491">
        <v>1045</v>
      </c>
    </row>
    <row r="1152" spans="2:3" x14ac:dyDescent="0.2">
      <c r="B1152" t="s">
        <v>5644</v>
      </c>
      <c r="C1152" s="491">
        <v>140</v>
      </c>
    </row>
    <row r="1153" spans="2:3" x14ac:dyDescent="0.2">
      <c r="B1153" t="s">
        <v>5647</v>
      </c>
      <c r="C1153" s="491">
        <v>95</v>
      </c>
    </row>
    <row r="1154" spans="2:3" x14ac:dyDescent="0.2">
      <c r="B1154" t="s">
        <v>5650</v>
      </c>
      <c r="C1154" s="491">
        <v>65</v>
      </c>
    </row>
    <row r="1155" spans="2:3" x14ac:dyDescent="0.2">
      <c r="B1155" t="s">
        <v>5660</v>
      </c>
      <c r="C1155" s="491">
        <v>2</v>
      </c>
    </row>
    <row r="1156" spans="2:3" x14ac:dyDescent="0.2">
      <c r="B1156" t="s">
        <v>5665</v>
      </c>
      <c r="C1156" s="491">
        <v>546.58999999999992</v>
      </c>
    </row>
    <row r="1157" spans="2:3" x14ac:dyDescent="0.2">
      <c r="B1157" t="s">
        <v>5669</v>
      </c>
      <c r="C1157" s="491">
        <v>735</v>
      </c>
    </row>
    <row r="1158" spans="2:3" x14ac:dyDescent="0.2">
      <c r="B1158" t="s">
        <v>5673</v>
      </c>
      <c r="C1158" s="491">
        <v>230</v>
      </c>
    </row>
    <row r="1159" spans="2:3" x14ac:dyDescent="0.2">
      <c r="B1159" t="s">
        <v>5677</v>
      </c>
      <c r="C1159" s="491">
        <v>945</v>
      </c>
    </row>
    <row r="1160" spans="2:3" x14ac:dyDescent="0.2">
      <c r="B1160" t="s">
        <v>5681</v>
      </c>
      <c r="C1160" s="491">
        <v>78.5</v>
      </c>
    </row>
    <row r="1161" spans="2:3" x14ac:dyDescent="0.2">
      <c r="B1161" t="s">
        <v>5688</v>
      </c>
      <c r="C1161" s="491">
        <v>484.02</v>
      </c>
    </row>
    <row r="1162" spans="2:3" x14ac:dyDescent="0.2">
      <c r="B1162" t="s">
        <v>5691</v>
      </c>
      <c r="C1162" s="491">
        <v>30</v>
      </c>
    </row>
    <row r="1163" spans="2:3" x14ac:dyDescent="0.2">
      <c r="B1163" t="s">
        <v>5698</v>
      </c>
      <c r="C1163" s="491">
        <v>560.27</v>
      </c>
    </row>
    <row r="1164" spans="2:3" x14ac:dyDescent="0.2">
      <c r="B1164" t="s">
        <v>5702</v>
      </c>
      <c r="C1164" s="491">
        <v>430</v>
      </c>
    </row>
    <row r="1165" spans="2:3" x14ac:dyDescent="0.2">
      <c r="B1165" t="s">
        <v>5710</v>
      </c>
      <c r="C1165" s="491">
        <v>155</v>
      </c>
    </row>
    <row r="1166" spans="2:3" x14ac:dyDescent="0.2">
      <c r="B1166" t="s">
        <v>5714</v>
      </c>
      <c r="C1166" s="491">
        <v>750</v>
      </c>
    </row>
    <row r="1167" spans="2:3" x14ac:dyDescent="0.2">
      <c r="B1167" t="s">
        <v>5718</v>
      </c>
      <c r="C1167" s="491">
        <v>32.1</v>
      </c>
    </row>
    <row r="1168" spans="2:3" x14ac:dyDescent="0.2">
      <c r="B1168" t="s">
        <v>5722</v>
      </c>
      <c r="C1168" s="491">
        <v>530</v>
      </c>
    </row>
    <row r="1169" spans="2:3" x14ac:dyDescent="0.2">
      <c r="B1169" t="s">
        <v>5729</v>
      </c>
      <c r="C1169" s="491">
        <v>40</v>
      </c>
    </row>
    <row r="1170" spans="2:3" x14ac:dyDescent="0.2">
      <c r="B1170" t="s">
        <v>5733</v>
      </c>
      <c r="C1170" s="491">
        <v>275</v>
      </c>
    </row>
    <row r="1171" spans="2:3" x14ac:dyDescent="0.2">
      <c r="B1171" t="s">
        <v>5736</v>
      </c>
      <c r="C1171" s="491">
        <v>190.17000000000002</v>
      </c>
    </row>
    <row r="1172" spans="2:3" x14ac:dyDescent="0.2">
      <c r="B1172" t="s">
        <v>5745</v>
      </c>
      <c r="C1172" s="491">
        <v>40</v>
      </c>
    </row>
    <row r="1173" spans="2:3" x14ac:dyDescent="0.2">
      <c r="B1173" t="s">
        <v>5750</v>
      </c>
      <c r="C1173" s="491">
        <v>210</v>
      </c>
    </row>
    <row r="1174" spans="2:3" x14ac:dyDescent="0.2">
      <c r="B1174" t="s">
        <v>5754</v>
      </c>
      <c r="C1174" s="491">
        <v>210</v>
      </c>
    </row>
    <row r="1175" spans="2:3" x14ac:dyDescent="0.2">
      <c r="B1175" t="s">
        <v>5757</v>
      </c>
      <c r="C1175" s="491">
        <v>90</v>
      </c>
    </row>
    <row r="1176" spans="2:3" x14ac:dyDescent="0.2">
      <c r="B1176" t="s">
        <v>5760</v>
      </c>
      <c r="C1176" s="491">
        <v>208</v>
      </c>
    </row>
    <row r="1177" spans="2:3" x14ac:dyDescent="0.2">
      <c r="B1177" t="s">
        <v>5763</v>
      </c>
      <c r="C1177" s="491">
        <v>115</v>
      </c>
    </row>
    <row r="1178" spans="2:3" x14ac:dyDescent="0.2">
      <c r="B1178" t="s">
        <v>5767</v>
      </c>
      <c r="C1178" s="491">
        <v>1010</v>
      </c>
    </row>
    <row r="1179" spans="2:3" x14ac:dyDescent="0.2">
      <c r="B1179" t="s">
        <v>5771</v>
      </c>
      <c r="C1179" s="491">
        <v>130</v>
      </c>
    </row>
    <row r="1180" spans="2:3" x14ac:dyDescent="0.2">
      <c r="B1180" t="s">
        <v>5774</v>
      </c>
      <c r="C1180" s="491">
        <v>242</v>
      </c>
    </row>
    <row r="1181" spans="2:3" x14ac:dyDescent="0.2">
      <c r="B1181" t="s">
        <v>5776</v>
      </c>
      <c r="C1181" s="491">
        <v>75</v>
      </c>
    </row>
    <row r="1182" spans="2:3" x14ac:dyDescent="0.2">
      <c r="B1182" t="s">
        <v>5779</v>
      </c>
      <c r="C1182" s="491">
        <v>85</v>
      </c>
    </row>
    <row r="1183" spans="2:3" x14ac:dyDescent="0.2">
      <c r="B1183" t="s">
        <v>5786</v>
      </c>
      <c r="C1183" s="491">
        <v>30</v>
      </c>
    </row>
    <row r="1184" spans="2:3" x14ac:dyDescent="0.2">
      <c r="B1184" t="s">
        <v>5790</v>
      </c>
      <c r="C1184" s="491">
        <v>125</v>
      </c>
    </row>
    <row r="1185" spans="2:3" x14ac:dyDescent="0.2">
      <c r="B1185" t="s">
        <v>5794</v>
      </c>
      <c r="C1185" s="491">
        <v>767.5</v>
      </c>
    </row>
    <row r="1186" spans="2:3" x14ac:dyDescent="0.2">
      <c r="B1186" t="s">
        <v>5798</v>
      </c>
      <c r="C1186" s="491">
        <v>405</v>
      </c>
    </row>
    <row r="1187" spans="2:3" x14ac:dyDescent="0.2">
      <c r="B1187" t="s">
        <v>5801</v>
      </c>
      <c r="C1187" s="491">
        <v>1079.06</v>
      </c>
    </row>
    <row r="1188" spans="2:3" x14ac:dyDescent="0.2">
      <c r="B1188" t="s">
        <v>5808</v>
      </c>
      <c r="C1188" s="491">
        <v>233</v>
      </c>
    </row>
    <row r="1189" spans="2:3" x14ac:dyDescent="0.2">
      <c r="B1189" t="s">
        <v>5811</v>
      </c>
      <c r="C1189" s="491">
        <v>3285.68</v>
      </c>
    </row>
    <row r="1190" spans="2:3" x14ac:dyDescent="0.2">
      <c r="B1190" t="s">
        <v>5817</v>
      </c>
      <c r="C1190" s="491">
        <v>162.53</v>
      </c>
    </row>
    <row r="1191" spans="2:3" x14ac:dyDescent="0.2">
      <c r="B1191" t="s">
        <v>5820</v>
      </c>
      <c r="C1191" s="491">
        <v>155</v>
      </c>
    </row>
    <row r="1192" spans="2:3" x14ac:dyDescent="0.2">
      <c r="B1192" t="s">
        <v>5822</v>
      </c>
      <c r="C1192" s="491">
        <v>15</v>
      </c>
    </row>
    <row r="1193" spans="2:3" x14ac:dyDescent="0.2">
      <c r="B1193" t="s">
        <v>5826</v>
      </c>
      <c r="C1193" s="491">
        <v>835.51</v>
      </c>
    </row>
    <row r="1194" spans="2:3" x14ac:dyDescent="0.2">
      <c r="B1194" t="s">
        <v>5829</v>
      </c>
      <c r="C1194" s="491">
        <v>230</v>
      </c>
    </row>
    <row r="1195" spans="2:3" x14ac:dyDescent="0.2">
      <c r="B1195" t="s">
        <v>5833</v>
      </c>
      <c r="C1195" s="491">
        <v>715</v>
      </c>
    </row>
    <row r="1196" spans="2:3" x14ac:dyDescent="0.2">
      <c r="B1196" t="s">
        <v>5836</v>
      </c>
      <c r="C1196" s="491">
        <v>290</v>
      </c>
    </row>
    <row r="1197" spans="2:3" x14ac:dyDescent="0.2">
      <c r="B1197" t="s">
        <v>5839</v>
      </c>
      <c r="C1197" s="491">
        <v>790</v>
      </c>
    </row>
    <row r="1198" spans="2:3" x14ac:dyDescent="0.2">
      <c r="B1198" t="s">
        <v>5848</v>
      </c>
      <c r="C1198" s="491">
        <v>100</v>
      </c>
    </row>
    <row r="1199" spans="2:3" x14ac:dyDescent="0.2">
      <c r="B1199" t="s">
        <v>5852</v>
      </c>
      <c r="C1199" s="491">
        <v>50</v>
      </c>
    </row>
    <row r="1200" spans="2:3" x14ac:dyDescent="0.2">
      <c r="B1200" t="s">
        <v>5855</v>
      </c>
      <c r="C1200" s="491">
        <v>295.91999999999996</v>
      </c>
    </row>
    <row r="1201" spans="2:3" x14ac:dyDescent="0.2">
      <c r="B1201" t="s">
        <v>5858</v>
      </c>
      <c r="C1201" s="491">
        <v>304</v>
      </c>
    </row>
    <row r="1202" spans="2:3" x14ac:dyDescent="0.2">
      <c r="B1202" t="s">
        <v>5866</v>
      </c>
      <c r="C1202" s="491">
        <v>2052.3999999999996</v>
      </c>
    </row>
    <row r="1203" spans="2:3" x14ac:dyDescent="0.2">
      <c r="B1203" t="s">
        <v>5869</v>
      </c>
      <c r="C1203" s="491">
        <v>323</v>
      </c>
    </row>
    <row r="1204" spans="2:3" x14ac:dyDescent="0.2">
      <c r="B1204" t="s">
        <v>5873</v>
      </c>
      <c r="C1204" s="491">
        <v>773.94</v>
      </c>
    </row>
    <row r="1205" spans="2:3" x14ac:dyDescent="0.2">
      <c r="B1205" t="s">
        <v>5893</v>
      </c>
      <c r="C1205" s="491">
        <v>1361.97</v>
      </c>
    </row>
    <row r="1206" spans="2:3" x14ac:dyDescent="0.2">
      <c r="B1206" t="s">
        <v>5896</v>
      </c>
      <c r="C1206" s="491">
        <v>5</v>
      </c>
    </row>
    <row r="1207" spans="2:3" x14ac:dyDescent="0.2">
      <c r="B1207" t="s">
        <v>5899</v>
      </c>
      <c r="C1207" s="491">
        <v>5</v>
      </c>
    </row>
    <row r="1208" spans="2:3" x14ac:dyDescent="0.2">
      <c r="B1208" t="s">
        <v>5905</v>
      </c>
      <c r="C1208" s="491">
        <v>730</v>
      </c>
    </row>
    <row r="1209" spans="2:3" x14ac:dyDescent="0.2">
      <c r="B1209" t="s">
        <v>5909</v>
      </c>
      <c r="C1209" s="491">
        <v>545</v>
      </c>
    </row>
    <row r="1210" spans="2:3" x14ac:dyDescent="0.2">
      <c r="B1210" t="s">
        <v>5913</v>
      </c>
      <c r="C1210" s="491">
        <v>3581.9700000000003</v>
      </c>
    </row>
    <row r="1211" spans="2:3" x14ac:dyDescent="0.2">
      <c r="B1211" t="s">
        <v>5919</v>
      </c>
      <c r="C1211" s="491">
        <v>60</v>
      </c>
    </row>
    <row r="1212" spans="2:3" x14ac:dyDescent="0.2">
      <c r="B1212" t="s">
        <v>5923</v>
      </c>
      <c r="C1212" s="491">
        <v>6</v>
      </c>
    </row>
    <row r="1213" spans="2:3" x14ac:dyDescent="0.2">
      <c r="B1213" t="s">
        <v>5926</v>
      </c>
      <c r="C1213" s="491">
        <v>1385.51</v>
      </c>
    </row>
    <row r="1214" spans="2:3" x14ac:dyDescent="0.2">
      <c r="B1214" t="s">
        <v>5929</v>
      </c>
      <c r="C1214" s="491">
        <v>34.5</v>
      </c>
    </row>
    <row r="1215" spans="2:3" x14ac:dyDescent="0.2">
      <c r="B1215" t="s">
        <v>5933</v>
      </c>
      <c r="C1215" s="491">
        <v>439.97</v>
      </c>
    </row>
    <row r="1216" spans="2:3" x14ac:dyDescent="0.2">
      <c r="B1216" t="s">
        <v>5937</v>
      </c>
      <c r="C1216" s="491">
        <v>175</v>
      </c>
    </row>
    <row r="1217" spans="2:3" x14ac:dyDescent="0.2">
      <c r="B1217" t="s">
        <v>5941</v>
      </c>
      <c r="C1217" s="491">
        <v>342.73</v>
      </c>
    </row>
    <row r="1218" spans="2:3" x14ac:dyDescent="0.2">
      <c r="B1218" t="s">
        <v>5944</v>
      </c>
      <c r="C1218" s="491">
        <v>360</v>
      </c>
    </row>
    <row r="1219" spans="2:3" x14ac:dyDescent="0.2">
      <c r="B1219" t="s">
        <v>5948</v>
      </c>
      <c r="C1219" s="491">
        <v>120</v>
      </c>
    </row>
    <row r="1220" spans="2:3" x14ac:dyDescent="0.2">
      <c r="B1220" t="s">
        <v>5952</v>
      </c>
      <c r="C1220" s="491">
        <v>65</v>
      </c>
    </row>
    <row r="1221" spans="2:3" x14ac:dyDescent="0.2">
      <c r="B1221" t="s">
        <v>5956</v>
      </c>
      <c r="C1221" s="491">
        <v>175</v>
      </c>
    </row>
    <row r="1222" spans="2:3" x14ac:dyDescent="0.2">
      <c r="B1222" t="s">
        <v>5960</v>
      </c>
      <c r="C1222" s="491">
        <v>155</v>
      </c>
    </row>
    <row r="1223" spans="2:3" x14ac:dyDescent="0.2">
      <c r="B1223" t="s">
        <v>5964</v>
      </c>
      <c r="C1223" s="491">
        <v>285</v>
      </c>
    </row>
    <row r="1224" spans="2:3" x14ac:dyDescent="0.2">
      <c r="B1224" t="s">
        <v>5968</v>
      </c>
      <c r="C1224" s="491">
        <v>182</v>
      </c>
    </row>
    <row r="1225" spans="2:3" x14ac:dyDescent="0.2">
      <c r="B1225" t="s">
        <v>5978</v>
      </c>
      <c r="C1225" s="491">
        <v>1238.78</v>
      </c>
    </row>
    <row r="1226" spans="2:3" x14ac:dyDescent="0.2">
      <c r="B1226" t="s">
        <v>5982</v>
      </c>
      <c r="C1226" s="491">
        <v>270</v>
      </c>
    </row>
    <row r="1227" spans="2:3" x14ac:dyDescent="0.2">
      <c r="B1227" t="s">
        <v>5986</v>
      </c>
      <c r="C1227" s="491">
        <v>151.97</v>
      </c>
    </row>
    <row r="1228" spans="2:3" x14ac:dyDescent="0.2">
      <c r="B1228" t="s">
        <v>5990</v>
      </c>
      <c r="C1228" s="491">
        <v>209</v>
      </c>
    </row>
    <row r="1229" spans="2:3" x14ac:dyDescent="0.2">
      <c r="B1229" t="s">
        <v>5995</v>
      </c>
      <c r="C1229" s="491">
        <v>155</v>
      </c>
    </row>
    <row r="1230" spans="2:3" x14ac:dyDescent="0.2">
      <c r="B1230" t="s">
        <v>6000</v>
      </c>
      <c r="C1230" s="491">
        <v>10</v>
      </c>
    </row>
    <row r="1231" spans="2:3" x14ac:dyDescent="0.2">
      <c r="B1231" t="s">
        <v>6003</v>
      </c>
      <c r="C1231" s="491">
        <v>1125.8499999999999</v>
      </c>
    </row>
    <row r="1232" spans="2:3" x14ac:dyDescent="0.2">
      <c r="B1232" t="s">
        <v>6010</v>
      </c>
      <c r="C1232" s="491">
        <v>980</v>
      </c>
    </row>
    <row r="1233" spans="2:3" x14ac:dyDescent="0.2">
      <c r="B1233" t="s">
        <v>6018</v>
      </c>
      <c r="C1233" s="491">
        <v>940.28</v>
      </c>
    </row>
    <row r="1234" spans="2:3" x14ac:dyDescent="0.2">
      <c r="B1234" t="s">
        <v>6021</v>
      </c>
      <c r="C1234" s="491">
        <v>295</v>
      </c>
    </row>
    <row r="1235" spans="2:3" x14ac:dyDescent="0.2">
      <c r="B1235" t="s">
        <v>6024</v>
      </c>
      <c r="C1235" s="491">
        <v>1425</v>
      </c>
    </row>
    <row r="1236" spans="2:3" x14ac:dyDescent="0.2">
      <c r="B1236" t="s">
        <v>6029</v>
      </c>
      <c r="C1236" s="491">
        <v>915</v>
      </c>
    </row>
    <row r="1237" spans="2:3" x14ac:dyDescent="0.2">
      <c r="B1237" t="s">
        <v>6034</v>
      </c>
      <c r="C1237" s="491">
        <v>200</v>
      </c>
    </row>
    <row r="1238" spans="2:3" x14ac:dyDescent="0.2">
      <c r="B1238" t="s">
        <v>6038</v>
      </c>
      <c r="C1238" s="491">
        <v>80</v>
      </c>
    </row>
    <row r="1239" spans="2:3" x14ac:dyDescent="0.2">
      <c r="B1239" t="s">
        <v>6042</v>
      </c>
      <c r="C1239" s="491">
        <v>40</v>
      </c>
    </row>
    <row r="1240" spans="2:3" x14ac:dyDescent="0.2">
      <c r="B1240" t="s">
        <v>6045</v>
      </c>
      <c r="C1240" s="491">
        <v>388.3</v>
      </c>
    </row>
    <row r="1241" spans="2:3" x14ac:dyDescent="0.2">
      <c r="B1241" t="s">
        <v>6049</v>
      </c>
      <c r="C1241" s="491">
        <v>480</v>
      </c>
    </row>
    <row r="1242" spans="2:3" x14ac:dyDescent="0.2">
      <c r="B1242" t="s">
        <v>6053</v>
      </c>
      <c r="C1242" s="491">
        <v>575</v>
      </c>
    </row>
    <row r="1243" spans="2:3" x14ac:dyDescent="0.2">
      <c r="B1243" t="s">
        <v>6061</v>
      </c>
      <c r="C1243" s="491">
        <v>835</v>
      </c>
    </row>
    <row r="1244" spans="2:3" x14ac:dyDescent="0.2">
      <c r="B1244" t="s">
        <v>6074</v>
      </c>
      <c r="C1244" s="491">
        <v>150</v>
      </c>
    </row>
    <row r="1245" spans="2:3" x14ac:dyDescent="0.2">
      <c r="B1245" t="s">
        <v>6082</v>
      </c>
      <c r="C1245" s="491">
        <v>55</v>
      </c>
    </row>
    <row r="1246" spans="2:3" x14ac:dyDescent="0.2">
      <c r="B1246" t="s">
        <v>6085</v>
      </c>
      <c r="C1246" s="491">
        <v>365</v>
      </c>
    </row>
    <row r="1247" spans="2:3" x14ac:dyDescent="0.2">
      <c r="B1247" t="s">
        <v>6089</v>
      </c>
      <c r="C1247" s="491">
        <v>110</v>
      </c>
    </row>
    <row r="1248" spans="2:3" x14ac:dyDescent="0.2">
      <c r="B1248" t="s">
        <v>6092</v>
      </c>
      <c r="C1248" s="491">
        <v>110</v>
      </c>
    </row>
    <row r="1249" spans="2:3" x14ac:dyDescent="0.2">
      <c r="B1249" t="s">
        <v>6100</v>
      </c>
      <c r="C1249" s="491">
        <v>25</v>
      </c>
    </row>
    <row r="1250" spans="2:3" x14ac:dyDescent="0.2">
      <c r="B1250" t="s">
        <v>6103</v>
      </c>
      <c r="C1250" s="491">
        <v>203.94</v>
      </c>
    </row>
    <row r="1251" spans="2:3" x14ac:dyDescent="0.2">
      <c r="B1251" t="s">
        <v>6107</v>
      </c>
      <c r="C1251" s="491">
        <v>75</v>
      </c>
    </row>
    <row r="1252" spans="2:3" x14ac:dyDescent="0.2">
      <c r="B1252" t="s">
        <v>6112</v>
      </c>
      <c r="C1252" s="491">
        <v>240.31</v>
      </c>
    </row>
    <row r="1253" spans="2:3" x14ac:dyDescent="0.2">
      <c r="B1253" t="s">
        <v>6120</v>
      </c>
      <c r="C1253" s="491">
        <v>395</v>
      </c>
    </row>
    <row r="1254" spans="2:3" x14ac:dyDescent="0.2">
      <c r="B1254" t="s">
        <v>6124</v>
      </c>
      <c r="C1254" s="491">
        <v>240</v>
      </c>
    </row>
    <row r="1255" spans="2:3" x14ac:dyDescent="0.2">
      <c r="B1255" t="s">
        <v>6127</v>
      </c>
      <c r="C1255" s="491">
        <v>235</v>
      </c>
    </row>
    <row r="1256" spans="2:3" x14ac:dyDescent="0.2">
      <c r="B1256" t="s">
        <v>6131</v>
      </c>
      <c r="C1256" s="491">
        <v>551</v>
      </c>
    </row>
    <row r="1257" spans="2:3" x14ac:dyDescent="0.2">
      <c r="B1257" t="s">
        <v>6137</v>
      </c>
      <c r="C1257" s="491">
        <v>70</v>
      </c>
    </row>
    <row r="1258" spans="2:3" x14ac:dyDescent="0.2">
      <c r="B1258" t="s">
        <v>6141</v>
      </c>
      <c r="C1258" s="491">
        <v>45</v>
      </c>
    </row>
    <row r="1259" spans="2:3" x14ac:dyDescent="0.2">
      <c r="B1259" t="s">
        <v>6144</v>
      </c>
      <c r="C1259" s="491">
        <v>340</v>
      </c>
    </row>
    <row r="1260" spans="2:3" x14ac:dyDescent="0.2">
      <c r="B1260" t="s">
        <v>6147</v>
      </c>
      <c r="C1260" s="491">
        <v>1276.2</v>
      </c>
    </row>
    <row r="1261" spans="2:3" x14ac:dyDescent="0.2">
      <c r="B1261" t="s">
        <v>6151</v>
      </c>
      <c r="C1261" s="491">
        <v>395</v>
      </c>
    </row>
    <row r="1262" spans="2:3" x14ac:dyDescent="0.2">
      <c r="B1262" t="s">
        <v>6154</v>
      </c>
      <c r="C1262" s="491">
        <v>470</v>
      </c>
    </row>
    <row r="1263" spans="2:3" x14ac:dyDescent="0.2">
      <c r="B1263" t="s">
        <v>6161</v>
      </c>
      <c r="C1263" s="491">
        <v>62</v>
      </c>
    </row>
    <row r="1264" spans="2:3" x14ac:dyDescent="0.2">
      <c r="B1264" t="s">
        <v>6164</v>
      </c>
      <c r="C1264" s="491">
        <v>263.66000000000003</v>
      </c>
    </row>
    <row r="1265" spans="2:3" x14ac:dyDescent="0.2">
      <c r="B1265" t="s">
        <v>6167</v>
      </c>
      <c r="C1265" s="491">
        <v>121</v>
      </c>
    </row>
    <row r="1266" spans="2:3" x14ac:dyDescent="0.2">
      <c r="B1266" t="s">
        <v>6170</v>
      </c>
      <c r="C1266" s="491">
        <v>445</v>
      </c>
    </row>
    <row r="1267" spans="2:3" x14ac:dyDescent="0.2">
      <c r="B1267" t="s">
        <v>6173</v>
      </c>
      <c r="C1267" s="491">
        <v>310</v>
      </c>
    </row>
    <row r="1268" spans="2:3" x14ac:dyDescent="0.2">
      <c r="B1268" t="s">
        <v>6177</v>
      </c>
      <c r="C1268" s="491">
        <v>140</v>
      </c>
    </row>
    <row r="1269" spans="2:3" x14ac:dyDescent="0.2">
      <c r="B1269" t="s">
        <v>6180</v>
      </c>
      <c r="C1269" s="491">
        <v>150</v>
      </c>
    </row>
    <row r="1270" spans="2:3" x14ac:dyDescent="0.2">
      <c r="B1270" t="s">
        <v>6184</v>
      </c>
      <c r="C1270" s="491">
        <v>2100.02</v>
      </c>
    </row>
    <row r="1271" spans="2:3" x14ac:dyDescent="0.2">
      <c r="B1271" t="s">
        <v>6191</v>
      </c>
      <c r="C1271" s="491">
        <v>669.15</v>
      </c>
    </row>
    <row r="1272" spans="2:3" x14ac:dyDescent="0.2">
      <c r="B1272" t="s">
        <v>6195</v>
      </c>
      <c r="C1272" s="491">
        <v>365</v>
      </c>
    </row>
    <row r="1273" spans="2:3" x14ac:dyDescent="0.2">
      <c r="B1273" t="s">
        <v>6198</v>
      </c>
      <c r="C1273" s="491">
        <v>5</v>
      </c>
    </row>
    <row r="1274" spans="2:3" x14ac:dyDescent="0.2">
      <c r="B1274" t="s">
        <v>6202</v>
      </c>
      <c r="C1274" s="491">
        <v>490</v>
      </c>
    </row>
    <row r="1275" spans="2:3" x14ac:dyDescent="0.2">
      <c r="B1275" t="s">
        <v>6205</v>
      </c>
      <c r="C1275" s="491">
        <v>68</v>
      </c>
    </row>
    <row r="1276" spans="2:3" x14ac:dyDescent="0.2">
      <c r="B1276" t="s">
        <v>6208</v>
      </c>
      <c r="C1276" s="491">
        <v>70</v>
      </c>
    </row>
    <row r="1277" spans="2:3" x14ac:dyDescent="0.2">
      <c r="B1277" t="s">
        <v>6211</v>
      </c>
      <c r="C1277" s="491">
        <v>145</v>
      </c>
    </row>
    <row r="1278" spans="2:3" x14ac:dyDescent="0.2">
      <c r="B1278" t="s">
        <v>6215</v>
      </c>
      <c r="C1278" s="491">
        <v>530</v>
      </c>
    </row>
    <row r="1279" spans="2:3" x14ac:dyDescent="0.2">
      <c r="B1279" t="s">
        <v>6220</v>
      </c>
      <c r="C1279" s="491">
        <v>96.66</v>
      </c>
    </row>
    <row r="1280" spans="2:3" x14ac:dyDescent="0.2">
      <c r="B1280" t="s">
        <v>6226</v>
      </c>
      <c r="C1280" s="491">
        <v>857.61</v>
      </c>
    </row>
    <row r="1281" spans="2:3" x14ac:dyDescent="0.2">
      <c r="B1281" t="s">
        <v>6232</v>
      </c>
      <c r="C1281" s="491">
        <v>300</v>
      </c>
    </row>
    <row r="1282" spans="2:3" x14ac:dyDescent="0.2">
      <c r="B1282" t="s">
        <v>6237</v>
      </c>
      <c r="C1282" s="491">
        <v>190</v>
      </c>
    </row>
    <row r="1283" spans="2:3" x14ac:dyDescent="0.2">
      <c r="B1283" t="s">
        <v>6242</v>
      </c>
      <c r="C1283" s="491">
        <v>1941.66</v>
      </c>
    </row>
    <row r="1284" spans="2:3" x14ac:dyDescent="0.2">
      <c r="B1284" t="s">
        <v>6245</v>
      </c>
      <c r="C1284" s="491">
        <v>245.34</v>
      </c>
    </row>
    <row r="1285" spans="2:3" x14ac:dyDescent="0.2">
      <c r="B1285" t="s">
        <v>6252</v>
      </c>
      <c r="C1285" s="491">
        <v>110</v>
      </c>
    </row>
    <row r="1286" spans="2:3" x14ac:dyDescent="0.2">
      <c r="B1286" t="s">
        <v>6262</v>
      </c>
      <c r="C1286" s="491">
        <v>30</v>
      </c>
    </row>
    <row r="1287" spans="2:3" x14ac:dyDescent="0.2">
      <c r="B1287" t="s">
        <v>6266</v>
      </c>
      <c r="C1287" s="491">
        <v>3473.1400000000003</v>
      </c>
    </row>
    <row r="1288" spans="2:3" x14ac:dyDescent="0.2">
      <c r="B1288" t="s">
        <v>6272</v>
      </c>
      <c r="C1288" s="491">
        <v>1750</v>
      </c>
    </row>
    <row r="1289" spans="2:3" x14ac:dyDescent="0.2">
      <c r="B1289" t="s">
        <v>6276</v>
      </c>
      <c r="C1289" s="491">
        <v>135</v>
      </c>
    </row>
    <row r="1290" spans="2:3" x14ac:dyDescent="0.2">
      <c r="B1290" t="s">
        <v>6278</v>
      </c>
      <c r="C1290" s="491">
        <v>757.84</v>
      </c>
    </row>
    <row r="1291" spans="2:3" x14ac:dyDescent="0.2">
      <c r="B1291" t="s">
        <v>6281</v>
      </c>
      <c r="C1291" s="491">
        <v>500</v>
      </c>
    </row>
    <row r="1292" spans="2:3" x14ac:dyDescent="0.2">
      <c r="B1292" t="s">
        <v>6283</v>
      </c>
      <c r="C1292" s="491">
        <v>120</v>
      </c>
    </row>
    <row r="1293" spans="2:3" x14ac:dyDescent="0.2">
      <c r="B1293" t="s">
        <v>6286</v>
      </c>
      <c r="C1293" s="491">
        <v>995.71</v>
      </c>
    </row>
    <row r="1294" spans="2:3" x14ac:dyDescent="0.2">
      <c r="B1294" t="s">
        <v>6290</v>
      </c>
      <c r="C1294" s="491">
        <v>490.15999999999997</v>
      </c>
    </row>
    <row r="1295" spans="2:3" x14ac:dyDescent="0.2">
      <c r="B1295" t="s">
        <v>6294</v>
      </c>
      <c r="C1295" s="491">
        <v>190</v>
      </c>
    </row>
    <row r="1296" spans="2:3" x14ac:dyDescent="0.2">
      <c r="B1296" t="s">
        <v>6296</v>
      </c>
      <c r="C1296" s="491">
        <v>186</v>
      </c>
    </row>
    <row r="1297" spans="2:3" x14ac:dyDescent="0.2">
      <c r="B1297" t="s">
        <v>6299</v>
      </c>
      <c r="C1297" s="491">
        <v>435</v>
      </c>
    </row>
    <row r="1298" spans="2:3" x14ac:dyDescent="0.2">
      <c r="B1298" t="s">
        <v>6301</v>
      </c>
      <c r="C1298" s="491">
        <v>935</v>
      </c>
    </row>
    <row r="1299" spans="2:3" x14ac:dyDescent="0.2">
      <c r="B1299" t="s">
        <v>6306</v>
      </c>
      <c r="C1299" s="491">
        <v>125</v>
      </c>
    </row>
    <row r="1300" spans="2:3" x14ac:dyDescent="0.2">
      <c r="B1300" t="s">
        <v>6311</v>
      </c>
      <c r="C1300" s="491">
        <v>156</v>
      </c>
    </row>
    <row r="1301" spans="2:3" x14ac:dyDescent="0.2">
      <c r="B1301" t="s">
        <v>6314</v>
      </c>
      <c r="C1301" s="491">
        <v>25</v>
      </c>
    </row>
    <row r="1302" spans="2:3" x14ac:dyDescent="0.2">
      <c r="B1302" t="s">
        <v>6318</v>
      </c>
      <c r="C1302" s="491">
        <v>220</v>
      </c>
    </row>
    <row r="1303" spans="2:3" x14ac:dyDescent="0.2">
      <c r="B1303" t="s">
        <v>6324</v>
      </c>
      <c r="C1303" s="491">
        <v>345</v>
      </c>
    </row>
    <row r="1304" spans="2:3" x14ac:dyDescent="0.2">
      <c r="B1304" t="s">
        <v>6328</v>
      </c>
      <c r="C1304" s="491">
        <v>115</v>
      </c>
    </row>
    <row r="1305" spans="2:3" x14ac:dyDescent="0.2">
      <c r="B1305" t="s">
        <v>6330</v>
      </c>
      <c r="C1305" s="491">
        <v>130</v>
      </c>
    </row>
    <row r="1306" spans="2:3" x14ac:dyDescent="0.2">
      <c r="B1306" t="s">
        <v>6332</v>
      </c>
      <c r="C1306" s="491">
        <v>397.74</v>
      </c>
    </row>
    <row r="1307" spans="2:3" x14ac:dyDescent="0.2">
      <c r="B1307" t="s">
        <v>6335</v>
      </c>
      <c r="C1307" s="491">
        <v>70</v>
      </c>
    </row>
    <row r="1308" spans="2:3" x14ac:dyDescent="0.2">
      <c r="B1308" t="s">
        <v>6338</v>
      </c>
      <c r="C1308" s="491">
        <v>290</v>
      </c>
    </row>
    <row r="1309" spans="2:3" x14ac:dyDescent="0.2">
      <c r="B1309" t="s">
        <v>6342</v>
      </c>
      <c r="C1309" s="491">
        <v>117</v>
      </c>
    </row>
    <row r="1310" spans="2:3" x14ac:dyDescent="0.2">
      <c r="B1310" t="s">
        <v>6345</v>
      </c>
      <c r="C1310" s="491">
        <v>60</v>
      </c>
    </row>
    <row r="1311" spans="2:3" x14ac:dyDescent="0.2">
      <c r="B1311" t="s">
        <v>6347</v>
      </c>
      <c r="C1311" s="491">
        <v>890</v>
      </c>
    </row>
    <row r="1312" spans="2:3" x14ac:dyDescent="0.2">
      <c r="B1312" t="s">
        <v>6349</v>
      </c>
      <c r="C1312" s="491">
        <v>1056.72</v>
      </c>
    </row>
    <row r="1313" spans="2:3" x14ac:dyDescent="0.2">
      <c r="B1313" t="s">
        <v>6353</v>
      </c>
      <c r="C1313" s="491">
        <v>75</v>
      </c>
    </row>
    <row r="1314" spans="2:3" x14ac:dyDescent="0.2">
      <c r="B1314" t="s">
        <v>6356</v>
      </c>
      <c r="C1314" s="491">
        <v>1055.3699999999999</v>
      </c>
    </row>
    <row r="1315" spans="2:3" x14ac:dyDescent="0.2">
      <c r="B1315" t="s">
        <v>6359</v>
      </c>
      <c r="C1315" s="491">
        <v>30</v>
      </c>
    </row>
    <row r="1316" spans="2:3" x14ac:dyDescent="0.2">
      <c r="B1316" t="s">
        <v>6363</v>
      </c>
      <c r="C1316" s="491">
        <v>1151.4099999999999</v>
      </c>
    </row>
    <row r="1317" spans="2:3" x14ac:dyDescent="0.2">
      <c r="B1317" t="s">
        <v>6368</v>
      </c>
      <c r="C1317" s="491">
        <v>30</v>
      </c>
    </row>
    <row r="1318" spans="2:3" x14ac:dyDescent="0.2">
      <c r="B1318" t="s">
        <v>6370</v>
      </c>
      <c r="C1318" s="491">
        <v>790</v>
      </c>
    </row>
    <row r="1319" spans="2:3" x14ac:dyDescent="0.2">
      <c r="B1319" t="s">
        <v>6373</v>
      </c>
      <c r="C1319" s="491">
        <v>1474</v>
      </c>
    </row>
    <row r="1320" spans="2:3" x14ac:dyDescent="0.2">
      <c r="B1320" t="s">
        <v>6379</v>
      </c>
      <c r="C1320" s="491">
        <v>80</v>
      </c>
    </row>
    <row r="1321" spans="2:3" x14ac:dyDescent="0.2">
      <c r="B1321" t="s">
        <v>6383</v>
      </c>
      <c r="C1321" s="491">
        <v>95</v>
      </c>
    </row>
    <row r="1322" spans="2:3" x14ac:dyDescent="0.2">
      <c r="B1322" t="s">
        <v>6385</v>
      </c>
      <c r="C1322" s="491">
        <v>565.21</v>
      </c>
    </row>
    <row r="1323" spans="2:3" x14ac:dyDescent="0.2">
      <c r="B1323" t="s">
        <v>6387</v>
      </c>
      <c r="C1323" s="491">
        <v>130</v>
      </c>
    </row>
    <row r="1324" spans="2:3" x14ac:dyDescent="0.2">
      <c r="B1324" t="s">
        <v>6390</v>
      </c>
      <c r="C1324" s="491">
        <v>331</v>
      </c>
    </row>
    <row r="1325" spans="2:3" x14ac:dyDescent="0.2">
      <c r="B1325" t="s">
        <v>6393</v>
      </c>
      <c r="C1325" s="491">
        <v>3479</v>
      </c>
    </row>
    <row r="1326" spans="2:3" x14ac:dyDescent="0.2">
      <c r="B1326" t="s">
        <v>6397</v>
      </c>
      <c r="C1326" s="491">
        <v>65</v>
      </c>
    </row>
    <row r="1327" spans="2:3" x14ac:dyDescent="0.2">
      <c r="B1327" t="s">
        <v>6400</v>
      </c>
      <c r="C1327" s="491">
        <v>845</v>
      </c>
    </row>
    <row r="1328" spans="2:3" x14ac:dyDescent="0.2">
      <c r="B1328" t="s">
        <v>6402</v>
      </c>
      <c r="C1328" s="491">
        <v>637.18000000000006</v>
      </c>
    </row>
    <row r="1329" spans="2:3" x14ac:dyDescent="0.2">
      <c r="B1329" t="s">
        <v>6405</v>
      </c>
      <c r="C1329" s="491">
        <v>76.25</v>
      </c>
    </row>
    <row r="1330" spans="2:3" x14ac:dyDescent="0.2">
      <c r="B1330" t="s">
        <v>6408</v>
      </c>
      <c r="C1330" s="491">
        <v>1162</v>
      </c>
    </row>
    <row r="1331" spans="2:3" x14ac:dyDescent="0.2">
      <c r="B1331" t="s">
        <v>6418</v>
      </c>
      <c r="C1331" s="491">
        <v>134.62</v>
      </c>
    </row>
    <row r="1332" spans="2:3" x14ac:dyDescent="0.2">
      <c r="B1332" t="s">
        <v>6421</v>
      </c>
      <c r="C1332" s="491">
        <v>1210.4099999999999</v>
      </c>
    </row>
    <row r="1333" spans="2:3" x14ac:dyDescent="0.2">
      <c r="B1333" t="s">
        <v>6423</v>
      </c>
      <c r="C1333" s="491">
        <v>381</v>
      </c>
    </row>
    <row r="1334" spans="2:3" x14ac:dyDescent="0.2">
      <c r="B1334" t="s">
        <v>6425</v>
      </c>
      <c r="C1334" s="491">
        <v>290</v>
      </c>
    </row>
    <row r="1335" spans="2:3" x14ac:dyDescent="0.2">
      <c r="B1335" t="s">
        <v>6427</v>
      </c>
      <c r="C1335" s="491">
        <v>50</v>
      </c>
    </row>
    <row r="1336" spans="2:3" x14ac:dyDescent="0.2">
      <c r="B1336" t="s">
        <v>6433</v>
      </c>
      <c r="C1336" s="491">
        <v>395</v>
      </c>
    </row>
    <row r="1337" spans="2:3" x14ac:dyDescent="0.2">
      <c r="B1337" t="s">
        <v>6435</v>
      </c>
      <c r="C1337" s="491">
        <v>80</v>
      </c>
    </row>
    <row r="1338" spans="2:3" x14ac:dyDescent="0.2">
      <c r="B1338" t="s">
        <v>6438</v>
      </c>
      <c r="C1338" s="491">
        <v>375</v>
      </c>
    </row>
    <row r="1339" spans="2:3" x14ac:dyDescent="0.2">
      <c r="B1339" t="s">
        <v>6444</v>
      </c>
      <c r="C1339" s="491">
        <v>335</v>
      </c>
    </row>
    <row r="1340" spans="2:3" x14ac:dyDescent="0.2">
      <c r="B1340" t="s">
        <v>6446</v>
      </c>
      <c r="C1340" s="491">
        <v>135</v>
      </c>
    </row>
    <row r="1341" spans="2:3" x14ac:dyDescent="0.2">
      <c r="B1341" t="s">
        <v>6448</v>
      </c>
      <c r="C1341" s="491">
        <v>461</v>
      </c>
    </row>
    <row r="1342" spans="2:3" x14ac:dyDescent="0.2">
      <c r="B1342" t="s">
        <v>6452</v>
      </c>
      <c r="C1342" s="491">
        <v>10</v>
      </c>
    </row>
    <row r="1343" spans="2:3" x14ac:dyDescent="0.2">
      <c r="B1343" t="s">
        <v>6454</v>
      </c>
      <c r="C1343" s="491">
        <v>60</v>
      </c>
    </row>
    <row r="1344" spans="2:3" x14ac:dyDescent="0.2">
      <c r="B1344" t="s">
        <v>6456</v>
      </c>
      <c r="C1344" s="491">
        <v>80</v>
      </c>
    </row>
    <row r="1345" spans="2:3" x14ac:dyDescent="0.2">
      <c r="B1345" t="s">
        <v>6458</v>
      </c>
      <c r="C1345" s="491">
        <v>10</v>
      </c>
    </row>
    <row r="1346" spans="2:3" x14ac:dyDescent="0.2">
      <c r="B1346" t="s">
        <v>6460</v>
      </c>
      <c r="C1346" s="491">
        <v>25</v>
      </c>
    </row>
    <row r="1347" spans="2:3" x14ac:dyDescent="0.2">
      <c r="B1347" t="s">
        <v>6462</v>
      </c>
      <c r="C1347" s="491">
        <v>80</v>
      </c>
    </row>
    <row r="1348" spans="2:3" x14ac:dyDescent="0.2">
      <c r="B1348" t="s">
        <v>6466</v>
      </c>
      <c r="C1348" s="491">
        <v>669</v>
      </c>
    </row>
    <row r="1349" spans="2:3" x14ac:dyDescent="0.2">
      <c r="B1349" t="s">
        <v>6468</v>
      </c>
      <c r="C1349" s="491">
        <v>795</v>
      </c>
    </row>
    <row r="1350" spans="2:3" x14ac:dyDescent="0.2">
      <c r="B1350" t="s">
        <v>6470</v>
      </c>
      <c r="C1350" s="491">
        <v>60</v>
      </c>
    </row>
    <row r="1351" spans="2:3" x14ac:dyDescent="0.2">
      <c r="B1351" t="s">
        <v>6473</v>
      </c>
      <c r="C1351" s="491">
        <v>770</v>
      </c>
    </row>
    <row r="1352" spans="2:3" x14ac:dyDescent="0.2">
      <c r="B1352" t="s">
        <v>6476</v>
      </c>
      <c r="C1352" s="491">
        <v>912.38</v>
      </c>
    </row>
    <row r="1353" spans="2:3" x14ac:dyDescent="0.2">
      <c r="B1353" t="s">
        <v>6480</v>
      </c>
      <c r="C1353" s="491">
        <v>232.5</v>
      </c>
    </row>
    <row r="1354" spans="2:3" x14ac:dyDescent="0.2">
      <c r="B1354" t="s">
        <v>6482</v>
      </c>
      <c r="C1354" s="491">
        <v>630</v>
      </c>
    </row>
    <row r="1355" spans="2:3" x14ac:dyDescent="0.2">
      <c r="B1355" t="s">
        <v>6489</v>
      </c>
      <c r="C1355" s="491">
        <v>550.5</v>
      </c>
    </row>
    <row r="1356" spans="2:3" x14ac:dyDescent="0.2">
      <c r="B1356" t="s">
        <v>6492</v>
      </c>
      <c r="C1356" s="491">
        <v>1443.1399999999999</v>
      </c>
    </row>
    <row r="1357" spans="2:3" x14ac:dyDescent="0.2">
      <c r="B1357" t="s">
        <v>6503</v>
      </c>
      <c r="C1357" s="491">
        <v>636.04</v>
      </c>
    </row>
    <row r="1358" spans="2:3" x14ac:dyDescent="0.2">
      <c r="B1358" t="s">
        <v>6506</v>
      </c>
      <c r="C1358" s="491">
        <v>148</v>
      </c>
    </row>
    <row r="1359" spans="2:3" x14ac:dyDescent="0.2">
      <c r="B1359" t="s">
        <v>6510</v>
      </c>
      <c r="C1359" s="491">
        <v>140</v>
      </c>
    </row>
    <row r="1360" spans="2:3" x14ac:dyDescent="0.2">
      <c r="B1360" t="s">
        <v>6513</v>
      </c>
      <c r="C1360" s="491">
        <v>397</v>
      </c>
    </row>
    <row r="1361" spans="2:3" x14ac:dyDescent="0.2">
      <c r="B1361" t="s">
        <v>6517</v>
      </c>
      <c r="C1361" s="491">
        <v>305</v>
      </c>
    </row>
    <row r="1362" spans="2:3" x14ac:dyDescent="0.2">
      <c r="B1362" t="s">
        <v>6521</v>
      </c>
      <c r="C1362" s="491">
        <v>210</v>
      </c>
    </row>
    <row r="1363" spans="2:3" x14ac:dyDescent="0.2">
      <c r="B1363" t="s">
        <v>6525</v>
      </c>
      <c r="C1363" s="491">
        <v>101</v>
      </c>
    </row>
    <row r="1364" spans="2:3" x14ac:dyDescent="0.2">
      <c r="B1364" t="s">
        <v>6528</v>
      </c>
      <c r="C1364" s="491">
        <v>510.57000000000005</v>
      </c>
    </row>
    <row r="1365" spans="2:3" x14ac:dyDescent="0.2">
      <c r="B1365" t="s">
        <v>6531</v>
      </c>
      <c r="C1365" s="491">
        <v>110</v>
      </c>
    </row>
    <row r="1366" spans="2:3" x14ac:dyDescent="0.2">
      <c r="B1366" t="s">
        <v>6533</v>
      </c>
      <c r="C1366" s="491">
        <v>245</v>
      </c>
    </row>
    <row r="1367" spans="2:3" x14ac:dyDescent="0.2">
      <c r="B1367" t="s">
        <v>6537</v>
      </c>
      <c r="C1367" s="491">
        <v>456</v>
      </c>
    </row>
    <row r="1368" spans="2:3" x14ac:dyDescent="0.2">
      <c r="B1368" t="s">
        <v>6540</v>
      </c>
      <c r="C1368" s="491">
        <v>10</v>
      </c>
    </row>
    <row r="1369" spans="2:3" x14ac:dyDescent="0.2">
      <c r="B1369" t="s">
        <v>6544</v>
      </c>
      <c r="C1369" s="491">
        <v>165</v>
      </c>
    </row>
    <row r="1370" spans="2:3" x14ac:dyDescent="0.2">
      <c r="B1370" t="s">
        <v>6547</v>
      </c>
      <c r="C1370" s="491">
        <v>384.81</v>
      </c>
    </row>
    <row r="1371" spans="2:3" x14ac:dyDescent="0.2">
      <c r="B1371" t="s">
        <v>6549</v>
      </c>
      <c r="C1371" s="491">
        <v>1271.78</v>
      </c>
    </row>
    <row r="1372" spans="2:3" x14ac:dyDescent="0.2">
      <c r="B1372" t="s">
        <v>6553</v>
      </c>
      <c r="C1372" s="491">
        <v>497</v>
      </c>
    </row>
    <row r="1373" spans="2:3" x14ac:dyDescent="0.2">
      <c r="B1373" t="s">
        <v>6556</v>
      </c>
      <c r="C1373" s="491">
        <v>119.78999999999999</v>
      </c>
    </row>
    <row r="1374" spans="2:3" x14ac:dyDescent="0.2">
      <c r="B1374" t="s">
        <v>6558</v>
      </c>
      <c r="C1374" s="491">
        <v>650</v>
      </c>
    </row>
    <row r="1375" spans="2:3" x14ac:dyDescent="0.2">
      <c r="B1375" t="s">
        <v>6561</v>
      </c>
      <c r="C1375" s="491">
        <v>522</v>
      </c>
    </row>
    <row r="1376" spans="2:3" x14ac:dyDescent="0.2">
      <c r="B1376" t="s">
        <v>6564</v>
      </c>
      <c r="C1376" s="491">
        <v>625</v>
      </c>
    </row>
    <row r="1377" spans="2:3" x14ac:dyDescent="0.2">
      <c r="B1377" t="s">
        <v>6567</v>
      </c>
      <c r="C1377" s="491">
        <v>100</v>
      </c>
    </row>
    <row r="1378" spans="2:3" x14ac:dyDescent="0.2">
      <c r="B1378" t="s">
        <v>6572</v>
      </c>
      <c r="C1378" s="491">
        <v>25</v>
      </c>
    </row>
    <row r="1379" spans="2:3" x14ac:dyDescent="0.2">
      <c r="B1379" t="s">
        <v>6576</v>
      </c>
      <c r="C1379" s="491">
        <v>70</v>
      </c>
    </row>
    <row r="1380" spans="2:3" x14ac:dyDescent="0.2">
      <c r="B1380" t="s">
        <v>6579</v>
      </c>
      <c r="C1380" s="491">
        <v>310</v>
      </c>
    </row>
    <row r="1381" spans="2:3" x14ac:dyDescent="0.2">
      <c r="B1381" t="s">
        <v>6582</v>
      </c>
      <c r="C1381" s="491">
        <v>1217.3800000000001</v>
      </c>
    </row>
    <row r="1382" spans="2:3" x14ac:dyDescent="0.2">
      <c r="B1382" t="s">
        <v>6584</v>
      </c>
      <c r="C1382" s="491">
        <v>133</v>
      </c>
    </row>
    <row r="1383" spans="2:3" x14ac:dyDescent="0.2">
      <c r="B1383" t="s">
        <v>6587</v>
      </c>
      <c r="C1383" s="491">
        <v>461.21000000000004</v>
      </c>
    </row>
    <row r="1384" spans="2:3" x14ac:dyDescent="0.2">
      <c r="B1384" t="s">
        <v>6589</v>
      </c>
      <c r="C1384" s="491">
        <v>682</v>
      </c>
    </row>
    <row r="1385" spans="2:3" x14ac:dyDescent="0.2">
      <c r="B1385" t="s">
        <v>6591</v>
      </c>
      <c r="C1385" s="491">
        <v>319.89999999999998</v>
      </c>
    </row>
    <row r="1386" spans="2:3" x14ac:dyDescent="0.2">
      <c r="B1386" t="s">
        <v>6596</v>
      </c>
      <c r="C1386" s="491">
        <v>1130</v>
      </c>
    </row>
    <row r="1387" spans="2:3" x14ac:dyDescent="0.2">
      <c r="B1387" t="s">
        <v>6599</v>
      </c>
      <c r="C1387" s="491">
        <v>429.53</v>
      </c>
    </row>
    <row r="1388" spans="2:3" x14ac:dyDescent="0.2">
      <c r="B1388" t="s">
        <v>6601</v>
      </c>
      <c r="C1388" s="491">
        <v>478.45</v>
      </c>
    </row>
    <row r="1389" spans="2:3" x14ac:dyDescent="0.2">
      <c r="B1389" t="s">
        <v>6604</v>
      </c>
      <c r="C1389" s="491">
        <v>1918.78</v>
      </c>
    </row>
    <row r="1390" spans="2:3" x14ac:dyDescent="0.2">
      <c r="B1390" t="s">
        <v>6607</v>
      </c>
      <c r="C1390" s="491">
        <v>238.98000000000002</v>
      </c>
    </row>
    <row r="1391" spans="2:3" x14ac:dyDescent="0.2">
      <c r="B1391" t="s">
        <v>6610</v>
      </c>
      <c r="C1391" s="491">
        <v>325</v>
      </c>
    </row>
    <row r="1392" spans="2:3" x14ac:dyDescent="0.2">
      <c r="B1392" t="s">
        <v>6616</v>
      </c>
      <c r="C1392" s="491">
        <v>65</v>
      </c>
    </row>
    <row r="1393" spans="2:3" x14ac:dyDescent="0.2">
      <c r="B1393" t="s">
        <v>6622</v>
      </c>
      <c r="C1393" s="491">
        <v>387.68</v>
      </c>
    </row>
    <row r="1394" spans="2:3" x14ac:dyDescent="0.2">
      <c r="B1394" t="s">
        <v>6624</v>
      </c>
      <c r="C1394" s="491">
        <v>170</v>
      </c>
    </row>
    <row r="1395" spans="2:3" x14ac:dyDescent="0.2">
      <c r="B1395" t="s">
        <v>6627</v>
      </c>
      <c r="C1395" s="491">
        <v>357.87</v>
      </c>
    </row>
    <row r="1396" spans="2:3" x14ac:dyDescent="0.2">
      <c r="B1396" t="s">
        <v>6629</v>
      </c>
      <c r="C1396" s="491">
        <v>162.18</v>
      </c>
    </row>
    <row r="1397" spans="2:3" x14ac:dyDescent="0.2">
      <c r="B1397" t="s">
        <v>6631</v>
      </c>
      <c r="C1397" s="491">
        <v>1470</v>
      </c>
    </row>
    <row r="1398" spans="2:3" x14ac:dyDescent="0.2">
      <c r="B1398" t="s">
        <v>6634</v>
      </c>
      <c r="C1398" s="491">
        <v>139.59</v>
      </c>
    </row>
    <row r="1399" spans="2:3" x14ac:dyDescent="0.2">
      <c r="B1399" t="s">
        <v>6640</v>
      </c>
      <c r="C1399" s="491">
        <v>513.56999999999994</v>
      </c>
    </row>
    <row r="1400" spans="2:3" x14ac:dyDescent="0.2">
      <c r="B1400" t="s">
        <v>6647</v>
      </c>
      <c r="C1400" s="491">
        <v>70</v>
      </c>
    </row>
    <row r="1401" spans="2:3" x14ac:dyDescent="0.2">
      <c r="B1401" t="s">
        <v>6649</v>
      </c>
      <c r="C1401" s="491">
        <v>735</v>
      </c>
    </row>
    <row r="1402" spans="2:3" x14ac:dyDescent="0.2">
      <c r="B1402" t="s">
        <v>6652</v>
      </c>
      <c r="C1402" s="491">
        <v>145</v>
      </c>
    </row>
    <row r="1403" spans="2:3" x14ac:dyDescent="0.2">
      <c r="B1403" t="s">
        <v>6656</v>
      </c>
      <c r="C1403" s="491">
        <v>759</v>
      </c>
    </row>
    <row r="1404" spans="2:3" x14ac:dyDescent="0.2">
      <c r="B1404" t="s">
        <v>6658</v>
      </c>
      <c r="C1404" s="491">
        <v>625</v>
      </c>
    </row>
    <row r="1405" spans="2:3" x14ac:dyDescent="0.2">
      <c r="B1405" t="s">
        <v>6660</v>
      </c>
      <c r="C1405" s="491">
        <v>405</v>
      </c>
    </row>
    <row r="1406" spans="2:3" x14ac:dyDescent="0.2">
      <c r="B1406" t="s">
        <v>6665</v>
      </c>
      <c r="C1406" s="491">
        <v>70</v>
      </c>
    </row>
    <row r="1407" spans="2:3" x14ac:dyDescent="0.2">
      <c r="B1407" t="s">
        <v>6667</v>
      </c>
      <c r="C1407" s="491">
        <v>20</v>
      </c>
    </row>
    <row r="1408" spans="2:3" x14ac:dyDescent="0.2">
      <c r="B1408" t="s">
        <v>6670</v>
      </c>
      <c r="C1408" s="491">
        <v>345</v>
      </c>
    </row>
    <row r="1409" spans="2:3" x14ac:dyDescent="0.2">
      <c r="B1409" t="s">
        <v>6677</v>
      </c>
      <c r="C1409" s="491">
        <v>742</v>
      </c>
    </row>
    <row r="1410" spans="2:3" x14ac:dyDescent="0.2">
      <c r="B1410" t="s">
        <v>6679</v>
      </c>
      <c r="C1410" s="491">
        <v>280</v>
      </c>
    </row>
    <row r="1411" spans="2:3" x14ac:dyDescent="0.2">
      <c r="B1411" t="s">
        <v>6682</v>
      </c>
      <c r="C1411" s="491">
        <v>16</v>
      </c>
    </row>
    <row r="1412" spans="2:3" x14ac:dyDescent="0.2">
      <c r="B1412" t="s">
        <v>6684</v>
      </c>
      <c r="C1412" s="491">
        <v>2950.83</v>
      </c>
    </row>
    <row r="1413" spans="2:3" x14ac:dyDescent="0.2">
      <c r="B1413" t="s">
        <v>6688</v>
      </c>
      <c r="C1413" s="491">
        <v>245</v>
      </c>
    </row>
    <row r="1414" spans="2:3" x14ac:dyDescent="0.2">
      <c r="B1414" t="s">
        <v>6690</v>
      </c>
      <c r="C1414" s="491">
        <v>316.97000000000003</v>
      </c>
    </row>
    <row r="1415" spans="2:3" x14ac:dyDescent="0.2">
      <c r="B1415" t="s">
        <v>6693</v>
      </c>
      <c r="C1415" s="491">
        <v>2848.4</v>
      </c>
    </row>
    <row r="1416" spans="2:3" x14ac:dyDescent="0.2">
      <c r="B1416" t="s">
        <v>6695</v>
      </c>
      <c r="C1416" s="491">
        <v>1231.5</v>
      </c>
    </row>
    <row r="1417" spans="2:3" x14ac:dyDescent="0.2">
      <c r="B1417" t="s">
        <v>6701</v>
      </c>
      <c r="C1417" s="491">
        <v>1875.6799999999998</v>
      </c>
    </row>
    <row r="1418" spans="2:3" x14ac:dyDescent="0.2">
      <c r="B1418" t="s">
        <v>6704</v>
      </c>
      <c r="C1418" s="491">
        <v>367.09999999999997</v>
      </c>
    </row>
    <row r="1419" spans="2:3" x14ac:dyDescent="0.2">
      <c r="B1419" t="s">
        <v>6707</v>
      </c>
      <c r="C1419" s="491">
        <v>137.5</v>
      </c>
    </row>
    <row r="1420" spans="2:3" x14ac:dyDescent="0.2">
      <c r="B1420" t="s">
        <v>6710</v>
      </c>
      <c r="C1420" s="491">
        <v>409</v>
      </c>
    </row>
    <row r="1421" spans="2:3" x14ac:dyDescent="0.2">
      <c r="B1421" t="s">
        <v>6716</v>
      </c>
      <c r="C1421" s="491">
        <v>150</v>
      </c>
    </row>
    <row r="1422" spans="2:3" x14ac:dyDescent="0.2">
      <c r="B1422" t="s">
        <v>6719</v>
      </c>
      <c r="C1422" s="491">
        <v>125.8</v>
      </c>
    </row>
    <row r="1423" spans="2:3" x14ac:dyDescent="0.2">
      <c r="B1423" t="s">
        <v>6722</v>
      </c>
      <c r="C1423" s="491">
        <v>375</v>
      </c>
    </row>
    <row r="1424" spans="2:3" x14ac:dyDescent="0.2">
      <c r="B1424" t="s">
        <v>6724</v>
      </c>
      <c r="C1424" s="491">
        <v>560.25</v>
      </c>
    </row>
    <row r="1425" spans="2:3" x14ac:dyDescent="0.2">
      <c r="B1425" t="s">
        <v>6729</v>
      </c>
      <c r="C1425" s="491">
        <v>770</v>
      </c>
    </row>
    <row r="1426" spans="2:3" x14ac:dyDescent="0.2">
      <c r="B1426" t="s">
        <v>6733</v>
      </c>
      <c r="C1426" s="491">
        <v>325.8</v>
      </c>
    </row>
    <row r="1427" spans="2:3" x14ac:dyDescent="0.2">
      <c r="B1427" t="s">
        <v>6737</v>
      </c>
      <c r="C1427" s="491">
        <v>764.5</v>
      </c>
    </row>
    <row r="1428" spans="2:3" x14ac:dyDescent="0.2">
      <c r="B1428" t="s">
        <v>6744</v>
      </c>
      <c r="C1428" s="491">
        <v>468</v>
      </c>
    </row>
    <row r="1429" spans="2:3" x14ac:dyDescent="0.2">
      <c r="B1429" t="s">
        <v>6747</v>
      </c>
      <c r="C1429" s="491">
        <v>1030.3800000000001</v>
      </c>
    </row>
    <row r="1430" spans="2:3" x14ac:dyDescent="0.2">
      <c r="B1430" t="s">
        <v>6749</v>
      </c>
      <c r="C1430" s="491">
        <v>1876.9099999999999</v>
      </c>
    </row>
    <row r="1431" spans="2:3" x14ac:dyDescent="0.2">
      <c r="B1431" t="s">
        <v>6751</v>
      </c>
      <c r="C1431" s="491">
        <v>630</v>
      </c>
    </row>
    <row r="1432" spans="2:3" x14ac:dyDescent="0.2">
      <c r="B1432" t="s">
        <v>6755</v>
      </c>
      <c r="C1432" s="491">
        <v>855</v>
      </c>
    </row>
    <row r="1433" spans="2:3" x14ac:dyDescent="0.2">
      <c r="B1433" t="s">
        <v>6758</v>
      </c>
      <c r="C1433" s="491">
        <v>160</v>
      </c>
    </row>
    <row r="1434" spans="2:3" x14ac:dyDescent="0.2">
      <c r="B1434" t="s">
        <v>6764</v>
      </c>
      <c r="C1434" s="491">
        <v>248</v>
      </c>
    </row>
    <row r="1435" spans="2:3" x14ac:dyDescent="0.2">
      <c r="B1435" t="s">
        <v>6768</v>
      </c>
      <c r="C1435" s="491">
        <v>120</v>
      </c>
    </row>
    <row r="1436" spans="2:3" x14ac:dyDescent="0.2">
      <c r="B1436" t="s">
        <v>6770</v>
      </c>
      <c r="C1436" s="491">
        <v>609.41999999999996</v>
      </c>
    </row>
    <row r="1437" spans="2:3" x14ac:dyDescent="0.2">
      <c r="B1437" t="s">
        <v>6773</v>
      </c>
      <c r="C1437" s="491">
        <v>547.70000000000005</v>
      </c>
    </row>
    <row r="1438" spans="2:3" x14ac:dyDescent="0.2">
      <c r="B1438" t="s">
        <v>6776</v>
      </c>
      <c r="C1438" s="491">
        <v>185</v>
      </c>
    </row>
    <row r="1439" spans="2:3" x14ac:dyDescent="0.2">
      <c r="B1439" t="s">
        <v>6778</v>
      </c>
      <c r="C1439" s="491">
        <v>160</v>
      </c>
    </row>
    <row r="1440" spans="2:3" x14ac:dyDescent="0.2">
      <c r="B1440" t="s">
        <v>6781</v>
      </c>
      <c r="C1440" s="491">
        <v>10</v>
      </c>
    </row>
    <row r="1441" spans="2:3" x14ac:dyDescent="0.2">
      <c r="B1441" t="s">
        <v>6784</v>
      </c>
      <c r="C1441" s="491">
        <v>287.97000000000003</v>
      </c>
    </row>
    <row r="1442" spans="2:3" x14ac:dyDescent="0.2">
      <c r="B1442" t="s">
        <v>6789</v>
      </c>
      <c r="C1442" s="491">
        <v>170</v>
      </c>
    </row>
    <row r="1443" spans="2:3" x14ac:dyDescent="0.2">
      <c r="B1443" t="s">
        <v>6792</v>
      </c>
      <c r="C1443" s="491">
        <v>150.46</v>
      </c>
    </row>
    <row r="1444" spans="2:3" x14ac:dyDescent="0.2">
      <c r="B1444" t="s">
        <v>6795</v>
      </c>
      <c r="C1444" s="491">
        <v>75</v>
      </c>
    </row>
    <row r="1445" spans="2:3" x14ac:dyDescent="0.2">
      <c r="B1445" t="s">
        <v>6799</v>
      </c>
      <c r="C1445" s="491">
        <v>355</v>
      </c>
    </row>
    <row r="1446" spans="2:3" x14ac:dyDescent="0.2">
      <c r="B1446" t="s">
        <v>6803</v>
      </c>
      <c r="C1446" s="491">
        <v>685</v>
      </c>
    </row>
    <row r="1447" spans="2:3" x14ac:dyDescent="0.2">
      <c r="B1447" t="s">
        <v>6807</v>
      </c>
      <c r="C1447" s="491">
        <v>820</v>
      </c>
    </row>
    <row r="1448" spans="2:3" x14ac:dyDescent="0.2">
      <c r="B1448" t="s">
        <v>6809</v>
      </c>
      <c r="C1448" s="491">
        <v>110</v>
      </c>
    </row>
    <row r="1449" spans="2:3" x14ac:dyDescent="0.2">
      <c r="B1449" t="s">
        <v>6812</v>
      </c>
      <c r="C1449" s="491">
        <v>247.64</v>
      </c>
    </row>
    <row r="1450" spans="2:3" x14ac:dyDescent="0.2">
      <c r="B1450" t="s">
        <v>6815</v>
      </c>
      <c r="C1450" s="491">
        <v>558.34</v>
      </c>
    </row>
    <row r="1451" spans="2:3" x14ac:dyDescent="0.2">
      <c r="B1451" t="s">
        <v>6817</v>
      </c>
      <c r="C1451" s="491">
        <v>90</v>
      </c>
    </row>
    <row r="1452" spans="2:3" x14ac:dyDescent="0.2">
      <c r="B1452" t="s">
        <v>6821</v>
      </c>
      <c r="C1452" s="491">
        <v>1216.56</v>
      </c>
    </row>
    <row r="1453" spans="2:3" x14ac:dyDescent="0.2">
      <c r="B1453" t="s">
        <v>6823</v>
      </c>
      <c r="C1453" s="491">
        <v>753.43000000000006</v>
      </c>
    </row>
    <row r="1454" spans="2:3" x14ac:dyDescent="0.2">
      <c r="B1454" t="s">
        <v>6829</v>
      </c>
      <c r="C1454" s="491">
        <v>1455.28</v>
      </c>
    </row>
    <row r="1455" spans="2:3" x14ac:dyDescent="0.2">
      <c r="B1455" t="s">
        <v>6831</v>
      </c>
      <c r="C1455" s="491">
        <v>45</v>
      </c>
    </row>
    <row r="1456" spans="2:3" x14ac:dyDescent="0.2">
      <c r="B1456" t="s">
        <v>6833</v>
      </c>
      <c r="C1456" s="491">
        <v>170</v>
      </c>
    </row>
    <row r="1457" spans="2:3" x14ac:dyDescent="0.2">
      <c r="B1457" t="s">
        <v>6836</v>
      </c>
      <c r="C1457" s="491">
        <v>415</v>
      </c>
    </row>
    <row r="1458" spans="2:3" x14ac:dyDescent="0.2">
      <c r="B1458" t="s">
        <v>6840</v>
      </c>
      <c r="C1458" s="491">
        <v>380</v>
      </c>
    </row>
    <row r="1459" spans="2:3" x14ac:dyDescent="0.2">
      <c r="B1459" t="s">
        <v>6843</v>
      </c>
      <c r="C1459" s="491">
        <v>610.19000000000005</v>
      </c>
    </row>
    <row r="1460" spans="2:3" x14ac:dyDescent="0.2">
      <c r="B1460" t="s">
        <v>6847</v>
      </c>
      <c r="C1460" s="491">
        <v>316.05</v>
      </c>
    </row>
    <row r="1461" spans="2:3" x14ac:dyDescent="0.2">
      <c r="B1461" t="s">
        <v>6851</v>
      </c>
      <c r="C1461" s="491">
        <v>230</v>
      </c>
    </row>
    <row r="1462" spans="2:3" x14ac:dyDescent="0.2">
      <c r="B1462" t="s">
        <v>6853</v>
      </c>
      <c r="C1462" s="491">
        <v>795</v>
      </c>
    </row>
    <row r="1463" spans="2:3" x14ac:dyDescent="0.2">
      <c r="B1463" t="s">
        <v>6861</v>
      </c>
      <c r="C1463" s="491">
        <v>95</v>
      </c>
    </row>
    <row r="1464" spans="2:3" x14ac:dyDescent="0.2">
      <c r="B1464" t="s">
        <v>6864</v>
      </c>
      <c r="C1464" s="491">
        <v>861.82999999999947</v>
      </c>
    </row>
    <row r="1465" spans="2:3" x14ac:dyDescent="0.2">
      <c r="B1465" t="s">
        <v>6866</v>
      </c>
      <c r="C1465" s="491">
        <v>515</v>
      </c>
    </row>
    <row r="1466" spans="2:3" x14ac:dyDescent="0.2">
      <c r="B1466" t="s">
        <v>6868</v>
      </c>
      <c r="C1466" s="491">
        <v>160</v>
      </c>
    </row>
    <row r="1467" spans="2:3" x14ac:dyDescent="0.2">
      <c r="B1467" t="s">
        <v>6872</v>
      </c>
      <c r="C1467" s="491">
        <v>636</v>
      </c>
    </row>
    <row r="1468" spans="2:3" x14ac:dyDescent="0.2">
      <c r="B1468" t="s">
        <v>6875</v>
      </c>
      <c r="C1468" s="491">
        <v>240</v>
      </c>
    </row>
    <row r="1469" spans="2:3" x14ac:dyDescent="0.2">
      <c r="B1469" t="s">
        <v>6878</v>
      </c>
      <c r="C1469" s="491">
        <v>1929</v>
      </c>
    </row>
    <row r="1470" spans="2:3" x14ac:dyDescent="0.2">
      <c r="B1470" t="s">
        <v>6881</v>
      </c>
      <c r="C1470" s="491">
        <v>644</v>
      </c>
    </row>
    <row r="1471" spans="2:3" x14ac:dyDescent="0.2">
      <c r="B1471" t="s">
        <v>6883</v>
      </c>
      <c r="C1471" s="491">
        <v>538</v>
      </c>
    </row>
    <row r="1472" spans="2:3" x14ac:dyDescent="0.2">
      <c r="B1472" t="s">
        <v>6887</v>
      </c>
      <c r="C1472" s="491">
        <v>410.87</v>
      </c>
    </row>
    <row r="1473" spans="2:3" x14ac:dyDescent="0.2">
      <c r="B1473" t="s">
        <v>6889</v>
      </c>
      <c r="C1473" s="491">
        <v>340</v>
      </c>
    </row>
    <row r="1474" spans="2:3" x14ac:dyDescent="0.2">
      <c r="B1474" t="s">
        <v>6892</v>
      </c>
      <c r="C1474" s="491">
        <v>235</v>
      </c>
    </row>
    <row r="1475" spans="2:3" x14ac:dyDescent="0.2">
      <c r="B1475" t="s">
        <v>6894</v>
      </c>
      <c r="C1475" s="491">
        <v>421.97</v>
      </c>
    </row>
    <row r="1476" spans="2:3" x14ac:dyDescent="0.2">
      <c r="B1476" t="s">
        <v>6896</v>
      </c>
      <c r="C1476" s="491">
        <v>120</v>
      </c>
    </row>
    <row r="1477" spans="2:3" x14ac:dyDescent="0.2">
      <c r="B1477" t="s">
        <v>6898</v>
      </c>
      <c r="C1477" s="491">
        <v>230</v>
      </c>
    </row>
    <row r="1478" spans="2:3" x14ac:dyDescent="0.2">
      <c r="B1478" t="s">
        <v>6901</v>
      </c>
      <c r="C1478" s="491">
        <v>1931.99</v>
      </c>
    </row>
    <row r="1479" spans="2:3" x14ac:dyDescent="0.2">
      <c r="B1479" t="s">
        <v>6904</v>
      </c>
      <c r="C1479" s="491">
        <v>1298</v>
      </c>
    </row>
    <row r="1480" spans="2:3" x14ac:dyDescent="0.2">
      <c r="B1480" t="s">
        <v>6906</v>
      </c>
      <c r="C1480" s="491">
        <v>365</v>
      </c>
    </row>
    <row r="1481" spans="2:3" x14ac:dyDescent="0.2">
      <c r="B1481" t="s">
        <v>6913</v>
      </c>
      <c r="C1481" s="491">
        <v>487</v>
      </c>
    </row>
    <row r="1482" spans="2:3" x14ac:dyDescent="0.2">
      <c r="B1482" t="s">
        <v>6917</v>
      </c>
      <c r="C1482" s="491">
        <v>570</v>
      </c>
    </row>
    <row r="1483" spans="2:3" x14ac:dyDescent="0.2">
      <c r="B1483" t="s">
        <v>6925</v>
      </c>
      <c r="C1483" s="491">
        <v>390</v>
      </c>
    </row>
    <row r="1484" spans="2:3" x14ac:dyDescent="0.2">
      <c r="B1484" t="s">
        <v>6929</v>
      </c>
      <c r="C1484" s="491">
        <v>10</v>
      </c>
    </row>
    <row r="1485" spans="2:3" x14ac:dyDescent="0.2">
      <c r="B1485" t="s">
        <v>6935</v>
      </c>
      <c r="C1485" s="491">
        <v>50</v>
      </c>
    </row>
    <row r="1486" spans="2:3" x14ac:dyDescent="0.2">
      <c r="B1486" t="s">
        <v>6946</v>
      </c>
      <c r="C1486" s="491">
        <v>260</v>
      </c>
    </row>
    <row r="1487" spans="2:3" x14ac:dyDescent="0.2">
      <c r="B1487" t="s">
        <v>6979</v>
      </c>
      <c r="C1487" s="491">
        <v>118.08</v>
      </c>
    </row>
    <row r="1488" spans="2:3" x14ac:dyDescent="0.2">
      <c r="B1488" t="s">
        <v>6984</v>
      </c>
      <c r="C1488" s="491">
        <v>80</v>
      </c>
    </row>
    <row r="1489" spans="2:3" x14ac:dyDescent="0.2">
      <c r="B1489" t="s">
        <v>6988</v>
      </c>
      <c r="C1489" s="491">
        <v>60</v>
      </c>
    </row>
    <row r="1490" spans="2:3" x14ac:dyDescent="0.2">
      <c r="B1490" t="s">
        <v>6996</v>
      </c>
      <c r="C1490" s="491">
        <v>143</v>
      </c>
    </row>
    <row r="1491" spans="2:3" x14ac:dyDescent="0.2">
      <c r="B1491" t="s">
        <v>6999</v>
      </c>
      <c r="C1491" s="491">
        <v>5</v>
      </c>
    </row>
    <row r="1492" spans="2:3" x14ac:dyDescent="0.2">
      <c r="B1492" t="s">
        <v>7007</v>
      </c>
      <c r="C1492" s="491">
        <v>195</v>
      </c>
    </row>
    <row r="1493" spans="2:3" x14ac:dyDescent="0.2">
      <c r="B1493" t="s">
        <v>7011</v>
      </c>
      <c r="C1493" s="491">
        <v>60</v>
      </c>
    </row>
    <row r="1494" spans="2:3" x14ac:dyDescent="0.2">
      <c r="B1494" t="s">
        <v>7016</v>
      </c>
      <c r="C1494" s="491">
        <v>218.05</v>
      </c>
    </row>
    <row r="1495" spans="2:3" x14ac:dyDescent="0.2">
      <c r="B1495" t="s">
        <v>7020</v>
      </c>
      <c r="C1495" s="491">
        <v>280</v>
      </c>
    </row>
    <row r="1496" spans="2:3" x14ac:dyDescent="0.2">
      <c r="B1496" t="s">
        <v>7024</v>
      </c>
      <c r="C1496" s="491">
        <v>100</v>
      </c>
    </row>
    <row r="1497" spans="2:3" x14ac:dyDescent="0.2">
      <c r="B1497" t="s">
        <v>7027</v>
      </c>
      <c r="C1497" s="491">
        <v>5</v>
      </c>
    </row>
    <row r="1498" spans="2:3" x14ac:dyDescent="0.2">
      <c r="B1498" t="s">
        <v>7038</v>
      </c>
      <c r="C1498" s="491">
        <v>10</v>
      </c>
    </row>
    <row r="1499" spans="2:3" x14ac:dyDescent="0.2">
      <c r="B1499" t="s">
        <v>7062</v>
      </c>
      <c r="C1499" s="491">
        <v>50</v>
      </c>
    </row>
    <row r="1500" spans="2:3" x14ac:dyDescent="0.2">
      <c r="B1500" t="s">
        <v>7066</v>
      </c>
      <c r="C1500" s="491">
        <v>275</v>
      </c>
    </row>
    <row r="1501" spans="2:3" x14ac:dyDescent="0.2">
      <c r="B1501" t="s">
        <v>7069</v>
      </c>
      <c r="C1501" s="491">
        <v>119</v>
      </c>
    </row>
    <row r="1502" spans="2:3" x14ac:dyDescent="0.2">
      <c r="B1502" t="s">
        <v>7086</v>
      </c>
      <c r="C1502" s="491">
        <v>40</v>
      </c>
    </row>
    <row r="1503" spans="2:3" x14ac:dyDescent="0.2">
      <c r="B1503" t="s">
        <v>7101</v>
      </c>
      <c r="C1503" s="491">
        <v>39</v>
      </c>
    </row>
    <row r="1504" spans="2:3" x14ac:dyDescent="0.2">
      <c r="B1504" t="s">
        <v>7116</v>
      </c>
      <c r="C1504" s="491">
        <v>10</v>
      </c>
    </row>
    <row r="1505" spans="2:3" x14ac:dyDescent="0.2">
      <c r="B1505" t="s">
        <v>7123</v>
      </c>
      <c r="C1505" s="491">
        <v>1225</v>
      </c>
    </row>
    <row r="1506" spans="2:3" x14ac:dyDescent="0.2">
      <c r="B1506" t="s">
        <v>7146</v>
      </c>
      <c r="C1506" s="491">
        <v>872.51</v>
      </c>
    </row>
    <row r="1507" spans="2:3" x14ac:dyDescent="0.2">
      <c r="B1507" t="s">
        <v>7154</v>
      </c>
      <c r="C1507" s="491">
        <v>0</v>
      </c>
    </row>
    <row r="1509" spans="2:3" ht="13.5" thickBot="1" x14ac:dyDescent="0.25">
      <c r="B1509" s="492" t="s">
        <v>8286</v>
      </c>
      <c r="C1509" s="493">
        <f>SUM(C5:C1508)</f>
        <v>633063.19000000029</v>
      </c>
    </row>
    <row r="1511" spans="2:3" x14ac:dyDescent="0.2">
      <c r="C1511"/>
    </row>
    <row r="1512" spans="2:3" x14ac:dyDescent="0.2">
      <c r="C151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FFFF00"/>
  </sheetPr>
  <dimension ref="A1:W2087"/>
  <sheetViews>
    <sheetView topLeftCell="A1424" zoomScale="110" zoomScaleNormal="110" workbookViewId="0">
      <selection activeCell="D2069" sqref="D2069"/>
    </sheetView>
  </sheetViews>
  <sheetFormatPr defaultColWidth="9.140625" defaultRowHeight="12.75" outlineLevelRow="1" outlineLevelCol="1" x14ac:dyDescent="0.2"/>
  <cols>
    <col min="1" max="1" width="8.140625" style="387" customWidth="1"/>
    <col min="2" max="2" width="16.28515625" style="387" customWidth="1"/>
    <col min="3" max="3" width="20.7109375" style="420" bestFit="1" customWidth="1"/>
    <col min="4" max="4" width="13.42578125" style="387" customWidth="1"/>
    <col min="5" max="5" width="50.7109375" style="420" customWidth="1" outlineLevel="1"/>
    <col min="6" max="6" width="27.28515625" style="387" customWidth="1" outlineLevel="1"/>
    <col min="7" max="7" width="18.42578125" style="421" bestFit="1" customWidth="1"/>
    <col min="8" max="9" width="24.85546875" style="34" customWidth="1"/>
    <col min="10" max="10" width="10.140625" style="34" customWidth="1" outlineLevel="1"/>
    <col min="11" max="11" width="11.7109375" style="387" customWidth="1"/>
    <col min="12" max="12" width="22" style="422" customWidth="1"/>
    <col min="13" max="13" width="20.7109375" style="387" customWidth="1"/>
    <col min="14" max="14" width="23.5703125" style="497" customWidth="1"/>
    <col min="15" max="15" width="17.7109375" style="336" customWidth="1"/>
    <col min="16" max="16" width="15.5703125" style="33" customWidth="1"/>
    <col min="17" max="17" width="9.140625" style="22"/>
    <col min="18" max="18" width="12.28515625" style="22" customWidth="1"/>
    <col min="19" max="20" width="9.140625" style="22"/>
    <col min="21" max="23" width="1.42578125" style="325" customWidth="1"/>
    <col min="24" max="16384" width="9.140625" style="22"/>
  </cols>
  <sheetData>
    <row r="1" spans="1:23" s="21" customFormat="1" ht="45.75" customHeight="1" x14ac:dyDescent="0.2">
      <c r="A1" s="375" t="s">
        <v>308</v>
      </c>
      <c r="B1" s="375" t="s">
        <v>309</v>
      </c>
      <c r="C1" s="376" t="s">
        <v>310</v>
      </c>
      <c r="D1" s="375" t="s">
        <v>311</v>
      </c>
      <c r="E1" s="376" t="s">
        <v>312</v>
      </c>
      <c r="F1" s="375" t="s">
        <v>313</v>
      </c>
      <c r="G1" s="377" t="s">
        <v>314</v>
      </c>
      <c r="H1" s="20" t="s">
        <v>315</v>
      </c>
      <c r="I1" s="20" t="s">
        <v>316</v>
      </c>
      <c r="J1" s="20" t="s">
        <v>317</v>
      </c>
      <c r="K1" s="378" t="s">
        <v>318</v>
      </c>
      <c r="L1" s="379" t="s">
        <v>319</v>
      </c>
      <c r="M1" s="380" t="s">
        <v>320</v>
      </c>
      <c r="N1" s="495" t="s">
        <v>8147</v>
      </c>
      <c r="O1" s="332" t="s">
        <v>8148</v>
      </c>
      <c r="P1" s="352" t="s">
        <v>8184</v>
      </c>
      <c r="Q1" s="21" t="s">
        <v>8169</v>
      </c>
      <c r="R1" s="21" t="s">
        <v>8168</v>
      </c>
      <c r="U1" s="322"/>
      <c r="V1" s="322"/>
      <c r="W1" s="322"/>
    </row>
    <row r="2" spans="1:23" s="23" customFormat="1" ht="14.25" hidden="1" x14ac:dyDescent="0.2">
      <c r="A2" s="381" t="s">
        <v>323</v>
      </c>
      <c r="B2" s="381" t="s">
        <v>324</v>
      </c>
      <c r="C2" s="382" t="s">
        <v>325</v>
      </c>
      <c r="D2" s="381" t="s">
        <v>326</v>
      </c>
      <c r="E2" s="383" t="s">
        <v>327</v>
      </c>
      <c r="F2" s="381" t="s">
        <v>328</v>
      </c>
      <c r="G2" s="384" t="s">
        <v>329</v>
      </c>
      <c r="H2" s="24">
        <f>415.89+488.17</f>
        <v>904.06</v>
      </c>
      <c r="I2" s="24"/>
      <c r="J2" s="25" t="str">
        <f t="shared" ref="J2:J65" si="0">IF(G2="Y","1"," ")</f>
        <v>1</v>
      </c>
      <c r="K2" s="385"/>
      <c r="L2" s="385"/>
      <c r="M2" s="386">
        <f t="shared" ref="M2:M65" si="1">H2+L2</f>
        <v>904.06</v>
      </c>
      <c r="N2" s="496">
        <v>325</v>
      </c>
      <c r="O2" s="333">
        <f t="shared" ref="O2:O65" si="2">M2+N2</f>
        <v>1229.06</v>
      </c>
      <c r="R2" s="23" t="str">
        <f>VLOOKUP(C:C,'Historic Data - working'!A:B,1,FALSE)</f>
        <v>ARU001</v>
      </c>
      <c r="U2" s="323"/>
      <c r="V2" s="323"/>
      <c r="W2" s="323"/>
    </row>
    <row r="3" spans="1:23" s="23" customFormat="1" ht="14.25" hidden="1" x14ac:dyDescent="0.2">
      <c r="A3" s="381" t="s">
        <v>323</v>
      </c>
      <c r="B3" s="381" t="s">
        <v>324</v>
      </c>
      <c r="C3" s="382" t="s">
        <v>330</v>
      </c>
      <c r="D3" s="381" t="s">
        <v>331</v>
      </c>
      <c r="E3" s="383" t="s">
        <v>332</v>
      </c>
      <c r="F3" s="381" t="s">
        <v>328</v>
      </c>
      <c r="G3" s="384"/>
      <c r="H3" s="24"/>
      <c r="I3" s="24"/>
      <c r="J3" s="25" t="str">
        <f t="shared" si="0"/>
        <v xml:space="preserve"> </v>
      </c>
      <c r="K3" s="385"/>
      <c r="L3" s="385"/>
      <c r="M3" s="386">
        <f t="shared" si="1"/>
        <v>0</v>
      </c>
      <c r="N3" s="496"/>
      <c r="O3" s="333">
        <f t="shared" si="2"/>
        <v>0</v>
      </c>
      <c r="R3" s="23" t="e">
        <f>VLOOKUP(C:C,'Historic Data - working'!A:B,1,FALSE)</f>
        <v>#N/A</v>
      </c>
      <c r="U3" s="323"/>
      <c r="V3" s="323"/>
      <c r="W3" s="323"/>
    </row>
    <row r="4" spans="1:23" s="23" customFormat="1" ht="14.25" hidden="1" x14ac:dyDescent="0.2">
      <c r="A4" s="381" t="s">
        <v>323</v>
      </c>
      <c r="B4" s="381" t="s">
        <v>324</v>
      </c>
      <c r="C4" s="382" t="s">
        <v>333</v>
      </c>
      <c r="D4" s="381" t="s">
        <v>334</v>
      </c>
      <c r="E4" s="383" t="s">
        <v>335</v>
      </c>
      <c r="F4" s="381" t="s">
        <v>336</v>
      </c>
      <c r="G4" s="384"/>
      <c r="H4" s="24"/>
      <c r="I4" s="24"/>
      <c r="J4" s="25" t="str">
        <f t="shared" si="0"/>
        <v xml:space="preserve"> </v>
      </c>
      <c r="K4" s="385" t="s">
        <v>337</v>
      </c>
      <c r="L4" s="385">
        <v>397.72</v>
      </c>
      <c r="M4" s="386">
        <f t="shared" si="1"/>
        <v>397.72</v>
      </c>
      <c r="N4" s="496">
        <v>213</v>
      </c>
      <c r="O4" s="333">
        <f t="shared" si="2"/>
        <v>610.72</v>
      </c>
      <c r="R4" s="23" t="str">
        <f>VLOOKUP(C:C,'Historic Data - working'!A:B,1,FALSE)</f>
        <v>ARU002</v>
      </c>
      <c r="U4" s="323"/>
      <c r="V4" s="323"/>
      <c r="W4" s="323"/>
    </row>
    <row r="5" spans="1:23" s="23" customFormat="1" ht="14.25" hidden="1" x14ac:dyDescent="0.2">
      <c r="A5" s="381" t="s">
        <v>323</v>
      </c>
      <c r="B5" s="381" t="s">
        <v>324</v>
      </c>
      <c r="C5" s="382" t="s">
        <v>338</v>
      </c>
      <c r="D5" s="381" t="s">
        <v>339</v>
      </c>
      <c r="E5" s="383" t="s">
        <v>119</v>
      </c>
      <c r="F5" s="381" t="s">
        <v>340</v>
      </c>
      <c r="G5" s="384" t="s">
        <v>329</v>
      </c>
      <c r="H5" s="24">
        <f>664.4+330.37+422.54+198.08</f>
        <v>1615.3899999999999</v>
      </c>
      <c r="I5" s="24">
        <v>296.58</v>
      </c>
      <c r="J5" s="25" t="str">
        <f t="shared" si="0"/>
        <v>1</v>
      </c>
      <c r="K5" s="385"/>
      <c r="L5" s="385"/>
      <c r="M5" s="386">
        <f t="shared" si="1"/>
        <v>1615.3899999999999</v>
      </c>
      <c r="N5" s="496">
        <v>155</v>
      </c>
      <c r="O5" s="333">
        <f t="shared" si="2"/>
        <v>1770.3899999999999</v>
      </c>
      <c r="R5" s="23" t="str">
        <f>VLOOKUP(C:C,'Historic Data - working'!A:B,1,FALSE)</f>
        <v>ARU003</v>
      </c>
      <c r="U5" s="323"/>
      <c r="V5" s="323"/>
      <c r="W5" s="323"/>
    </row>
    <row r="6" spans="1:23" s="23" customFormat="1" ht="14.25" hidden="1" x14ac:dyDescent="0.2">
      <c r="A6" s="381" t="s">
        <v>323</v>
      </c>
      <c r="B6" s="381" t="s">
        <v>324</v>
      </c>
      <c r="C6" s="382" t="s">
        <v>341</v>
      </c>
      <c r="D6" s="381" t="s">
        <v>342</v>
      </c>
      <c r="E6" s="383" t="s">
        <v>343</v>
      </c>
      <c r="F6" s="381" t="s">
        <v>25</v>
      </c>
      <c r="G6" s="384" t="s">
        <v>329</v>
      </c>
      <c r="H6" s="24">
        <f>247.14+201.59+187.4</f>
        <v>636.13</v>
      </c>
      <c r="I6" s="24"/>
      <c r="J6" s="25" t="str">
        <f t="shared" si="0"/>
        <v>1</v>
      </c>
      <c r="K6" s="385"/>
      <c r="L6" s="385"/>
      <c r="M6" s="386">
        <f t="shared" si="1"/>
        <v>636.13</v>
      </c>
      <c r="N6" s="496">
        <v>100</v>
      </c>
      <c r="O6" s="333">
        <f t="shared" si="2"/>
        <v>736.13</v>
      </c>
      <c r="R6" s="23" t="str">
        <f>VLOOKUP(C:C,'Historic Data - working'!A:B,1,FALSE)</f>
        <v>ARU004</v>
      </c>
      <c r="U6" s="323"/>
      <c r="V6" s="323"/>
      <c r="W6" s="323"/>
    </row>
    <row r="7" spans="1:23" s="23" customFormat="1" ht="14.25" hidden="1" x14ac:dyDescent="0.2">
      <c r="A7" s="381" t="s">
        <v>323</v>
      </c>
      <c r="B7" s="381" t="s">
        <v>324</v>
      </c>
      <c r="C7" s="382" t="s">
        <v>344</v>
      </c>
      <c r="D7" s="381" t="s">
        <v>345</v>
      </c>
      <c r="E7" s="383" t="s">
        <v>346</v>
      </c>
      <c r="F7" s="381" t="s">
        <v>347</v>
      </c>
      <c r="G7" s="384"/>
      <c r="H7" s="24"/>
      <c r="I7" s="24"/>
      <c r="J7" s="25" t="str">
        <f t="shared" si="0"/>
        <v xml:space="preserve"> </v>
      </c>
      <c r="K7" s="385"/>
      <c r="L7" s="385"/>
      <c r="M7" s="386">
        <f t="shared" si="1"/>
        <v>0</v>
      </c>
      <c r="N7" s="496">
        <v>50</v>
      </c>
      <c r="O7" s="333">
        <f t="shared" si="2"/>
        <v>50</v>
      </c>
      <c r="R7" s="23" t="str">
        <f>VLOOKUP(C:C,'Historic Data - working'!A:B,1,FALSE)</f>
        <v>ARU007</v>
      </c>
      <c r="U7" s="323"/>
      <c r="V7" s="323"/>
      <c r="W7" s="323"/>
    </row>
    <row r="8" spans="1:23" s="23" customFormat="1" ht="14.25" hidden="1" x14ac:dyDescent="0.2">
      <c r="A8" s="381" t="s">
        <v>323</v>
      </c>
      <c r="B8" s="381" t="s">
        <v>324</v>
      </c>
      <c r="C8" s="382" t="s">
        <v>348</v>
      </c>
      <c r="D8" s="381" t="s">
        <v>349</v>
      </c>
      <c r="E8" s="383" t="s">
        <v>252</v>
      </c>
      <c r="F8" s="381" t="s">
        <v>350</v>
      </c>
      <c r="G8" s="384"/>
      <c r="H8" s="24"/>
      <c r="I8" s="24"/>
      <c r="J8" s="25" t="str">
        <f t="shared" si="0"/>
        <v xml:space="preserve"> </v>
      </c>
      <c r="K8" s="385" t="s">
        <v>337</v>
      </c>
      <c r="L8" s="385">
        <v>779.93</v>
      </c>
      <c r="M8" s="386">
        <f t="shared" si="1"/>
        <v>779.93</v>
      </c>
      <c r="N8" s="496">
        <v>127</v>
      </c>
      <c r="O8" s="333">
        <f t="shared" si="2"/>
        <v>906.93</v>
      </c>
      <c r="R8" s="23" t="str">
        <f>VLOOKUP(C:C,'Historic Data - working'!A:B,1,FALSE)</f>
        <v>ARU008</v>
      </c>
      <c r="U8" s="323"/>
      <c r="V8" s="323"/>
      <c r="W8" s="323"/>
    </row>
    <row r="9" spans="1:23" s="23" customFormat="1" ht="14.25" hidden="1" x14ac:dyDescent="0.2">
      <c r="A9" s="381" t="s">
        <v>323</v>
      </c>
      <c r="B9" s="381" t="s">
        <v>351</v>
      </c>
      <c r="C9" s="382" t="s">
        <v>352</v>
      </c>
      <c r="D9" s="381" t="s">
        <v>353</v>
      </c>
      <c r="E9" s="383" t="s">
        <v>214</v>
      </c>
      <c r="F9" s="381" t="s">
        <v>354</v>
      </c>
      <c r="G9" s="384"/>
      <c r="H9" s="24"/>
      <c r="I9" s="24"/>
      <c r="J9" s="25" t="str">
        <f t="shared" si="0"/>
        <v xml:space="preserve"> </v>
      </c>
      <c r="K9" s="385"/>
      <c r="L9" s="385"/>
      <c r="M9" s="386">
        <f t="shared" si="1"/>
        <v>0</v>
      </c>
      <c r="N9" s="496">
        <v>420</v>
      </c>
      <c r="O9" s="333">
        <f t="shared" si="2"/>
        <v>420</v>
      </c>
      <c r="R9" s="23" t="str">
        <f>VLOOKUP(C:C,'Historic Data - working'!A:B,1,FALSE)</f>
        <v>ARU009</v>
      </c>
      <c r="U9" s="323"/>
      <c r="V9" s="323"/>
      <c r="W9" s="323"/>
    </row>
    <row r="10" spans="1:23" s="23" customFormat="1" ht="14.25" hidden="1" x14ac:dyDescent="0.2">
      <c r="A10" s="381" t="s">
        <v>323</v>
      </c>
      <c r="B10" s="381" t="s">
        <v>324</v>
      </c>
      <c r="C10" s="382" t="s">
        <v>355</v>
      </c>
      <c r="D10" s="381" t="s">
        <v>356</v>
      </c>
      <c r="E10" s="383" t="s">
        <v>357</v>
      </c>
      <c r="F10" s="381" t="s">
        <v>358</v>
      </c>
      <c r="G10" s="384" t="s">
        <v>329</v>
      </c>
      <c r="H10" s="24">
        <f>175+10+80+26+37+90+98</f>
        <v>516</v>
      </c>
      <c r="I10" s="24"/>
      <c r="J10" s="25" t="str">
        <f t="shared" si="0"/>
        <v>1</v>
      </c>
      <c r="K10" s="385" t="s">
        <v>359</v>
      </c>
      <c r="L10" s="385">
        <v>-516</v>
      </c>
      <c r="M10" s="386">
        <f t="shared" si="1"/>
        <v>0</v>
      </c>
      <c r="N10" s="496">
        <v>974</v>
      </c>
      <c r="O10" s="333">
        <f t="shared" si="2"/>
        <v>974</v>
      </c>
      <c r="R10" s="23" t="str">
        <f>VLOOKUP(C:C,'Historic Data - working'!A:B,1,FALSE)</f>
        <v>ARU010</v>
      </c>
      <c r="U10" s="323"/>
      <c r="V10" s="323"/>
      <c r="W10" s="323"/>
    </row>
    <row r="11" spans="1:23" s="23" customFormat="1" ht="14.25" hidden="1" x14ac:dyDescent="0.2">
      <c r="A11" s="381" t="s">
        <v>323</v>
      </c>
      <c r="B11" s="381" t="s">
        <v>324</v>
      </c>
      <c r="C11" s="382" t="s">
        <v>360</v>
      </c>
      <c r="D11" s="381" t="s">
        <v>361</v>
      </c>
      <c r="E11" s="383" t="s">
        <v>362</v>
      </c>
      <c r="F11" s="381" t="s">
        <v>363</v>
      </c>
      <c r="G11" s="384" t="s">
        <v>329</v>
      </c>
      <c r="H11" s="24">
        <f>549.44+488.23</f>
        <v>1037.67</v>
      </c>
      <c r="I11" s="24"/>
      <c r="J11" s="25" t="str">
        <f t="shared" si="0"/>
        <v>1</v>
      </c>
      <c r="K11" s="385"/>
      <c r="L11" s="385"/>
      <c r="M11" s="386">
        <f t="shared" si="1"/>
        <v>1037.67</v>
      </c>
      <c r="N11" s="496">
        <v>295</v>
      </c>
      <c r="O11" s="333">
        <f t="shared" si="2"/>
        <v>1332.67</v>
      </c>
      <c r="R11" s="23" t="str">
        <f>VLOOKUP(C:C,'Historic Data - working'!A:B,1,FALSE)</f>
        <v>ARU011</v>
      </c>
      <c r="U11" s="323"/>
      <c r="V11" s="323"/>
      <c r="W11" s="323"/>
    </row>
    <row r="12" spans="1:23" s="23" customFormat="1" ht="14.25" hidden="1" x14ac:dyDescent="0.2">
      <c r="A12" s="381" t="s">
        <v>323</v>
      </c>
      <c r="B12" s="381" t="s">
        <v>351</v>
      </c>
      <c r="C12" s="382" t="s">
        <v>364</v>
      </c>
      <c r="D12" s="381" t="s">
        <v>365</v>
      </c>
      <c r="E12" s="383" t="s">
        <v>366</v>
      </c>
      <c r="F12" s="381" t="s">
        <v>367</v>
      </c>
      <c r="G12" s="384"/>
      <c r="H12" s="24"/>
      <c r="I12" s="24"/>
      <c r="J12" s="25" t="str">
        <f t="shared" si="0"/>
        <v xml:space="preserve"> </v>
      </c>
      <c r="K12" s="385" t="s">
        <v>337</v>
      </c>
      <c r="L12" s="385">
        <v>470.26</v>
      </c>
      <c r="M12" s="386">
        <f t="shared" si="1"/>
        <v>470.26</v>
      </c>
      <c r="N12" s="496">
        <v>755</v>
      </c>
      <c r="O12" s="333">
        <f t="shared" si="2"/>
        <v>1225.26</v>
      </c>
      <c r="R12" s="23" t="str">
        <f>VLOOKUP(C:C,'Historic Data - working'!A:B,1,FALSE)</f>
        <v>ARU012</v>
      </c>
      <c r="U12" s="323"/>
      <c r="V12" s="323"/>
      <c r="W12" s="323"/>
    </row>
    <row r="13" spans="1:23" s="23" customFormat="1" ht="14.25" hidden="1" x14ac:dyDescent="0.2">
      <c r="A13" s="381" t="s">
        <v>323</v>
      </c>
      <c r="B13" s="381" t="s">
        <v>351</v>
      </c>
      <c r="C13" s="382" t="s">
        <v>368</v>
      </c>
      <c r="D13" s="381" t="s">
        <v>369</v>
      </c>
      <c r="E13" s="383" t="s">
        <v>370</v>
      </c>
      <c r="F13" s="381" t="s">
        <v>371</v>
      </c>
      <c r="G13" s="384"/>
      <c r="H13" s="24"/>
      <c r="I13" s="24"/>
      <c r="J13" s="25" t="str">
        <f t="shared" si="0"/>
        <v xml:space="preserve"> </v>
      </c>
      <c r="K13" s="385"/>
      <c r="L13" s="385"/>
      <c r="M13" s="386">
        <f t="shared" si="1"/>
        <v>0</v>
      </c>
      <c r="N13" s="496"/>
      <c r="O13" s="333">
        <f t="shared" si="2"/>
        <v>0</v>
      </c>
      <c r="R13" s="23" t="e">
        <f>VLOOKUP(C:C,'Historic Data - working'!A:B,1,FALSE)</f>
        <v>#N/A</v>
      </c>
      <c r="U13" s="323"/>
      <c r="V13" s="323"/>
      <c r="W13" s="323"/>
    </row>
    <row r="14" spans="1:23" s="23" customFormat="1" ht="14.25" hidden="1" x14ac:dyDescent="0.2">
      <c r="A14" s="381" t="s">
        <v>323</v>
      </c>
      <c r="B14" s="381" t="s">
        <v>351</v>
      </c>
      <c r="C14" s="382" t="s">
        <v>372</v>
      </c>
      <c r="D14" s="381" t="s">
        <v>373</v>
      </c>
      <c r="E14" s="383" t="s">
        <v>374</v>
      </c>
      <c r="F14" s="381" t="s">
        <v>375</v>
      </c>
      <c r="G14" s="384"/>
      <c r="H14" s="24"/>
      <c r="I14" s="24"/>
      <c r="J14" s="25" t="str">
        <f t="shared" si="0"/>
        <v xml:space="preserve"> </v>
      </c>
      <c r="K14" s="385"/>
      <c r="L14" s="385"/>
      <c r="M14" s="386">
        <f t="shared" si="1"/>
        <v>0</v>
      </c>
      <c r="N14" s="496"/>
      <c r="O14" s="333">
        <f t="shared" si="2"/>
        <v>0</v>
      </c>
      <c r="R14" s="23" t="e">
        <f>VLOOKUP(C:C,'Historic Data - working'!A:B,1,FALSE)</f>
        <v>#N/A</v>
      </c>
      <c r="U14" s="323"/>
      <c r="V14" s="323"/>
      <c r="W14" s="323"/>
    </row>
    <row r="15" spans="1:23" s="23" customFormat="1" ht="14.25" hidden="1" x14ac:dyDescent="0.2">
      <c r="A15" s="381" t="s">
        <v>323</v>
      </c>
      <c r="B15" s="381" t="s">
        <v>324</v>
      </c>
      <c r="C15" s="382" t="s">
        <v>376</v>
      </c>
      <c r="D15" s="381" t="s">
        <v>377</v>
      </c>
      <c r="E15" s="383" t="s">
        <v>378</v>
      </c>
      <c r="F15" s="381" t="s">
        <v>379</v>
      </c>
      <c r="G15" s="384" t="s">
        <v>329</v>
      </c>
      <c r="H15" s="24">
        <v>520.37</v>
      </c>
      <c r="I15" s="24"/>
      <c r="J15" s="25" t="str">
        <f t="shared" si="0"/>
        <v>1</v>
      </c>
      <c r="K15" s="385"/>
      <c r="L15" s="385"/>
      <c r="M15" s="386">
        <f t="shared" si="1"/>
        <v>520.37</v>
      </c>
      <c r="N15" s="496">
        <v>4260</v>
      </c>
      <c r="O15" s="333">
        <f t="shared" si="2"/>
        <v>4780.37</v>
      </c>
      <c r="R15" s="23" t="str">
        <f>VLOOKUP(C:C,'Historic Data - working'!A:B,1,FALSE)</f>
        <v>ARU013</v>
      </c>
      <c r="U15" s="323"/>
      <c r="V15" s="323"/>
      <c r="W15" s="323"/>
    </row>
    <row r="16" spans="1:23" s="23" customFormat="1" ht="14.25" hidden="1" x14ac:dyDescent="0.2">
      <c r="A16" s="381" t="s">
        <v>323</v>
      </c>
      <c r="B16" s="381" t="s">
        <v>324</v>
      </c>
      <c r="C16" s="382" t="s">
        <v>380</v>
      </c>
      <c r="D16" s="381" t="s">
        <v>381</v>
      </c>
      <c r="E16" s="383" t="s">
        <v>382</v>
      </c>
      <c r="F16" s="381" t="s">
        <v>347</v>
      </c>
      <c r="G16" s="384" t="s">
        <v>329</v>
      </c>
      <c r="H16" s="24">
        <f>399.09+92.47+344.99+157.92+76.59</f>
        <v>1071.06</v>
      </c>
      <c r="I16" s="24"/>
      <c r="J16" s="25" t="str">
        <f t="shared" si="0"/>
        <v>1</v>
      </c>
      <c r="K16" s="385" t="s">
        <v>383</v>
      </c>
      <c r="L16" s="385">
        <v>-10</v>
      </c>
      <c r="M16" s="386">
        <f t="shared" si="1"/>
        <v>1061.06</v>
      </c>
      <c r="N16" s="496">
        <v>220</v>
      </c>
      <c r="O16" s="333">
        <f t="shared" si="2"/>
        <v>1281.06</v>
      </c>
      <c r="R16" s="23" t="str">
        <f>VLOOKUP(C:C,'Historic Data - working'!A:B,1,FALSE)</f>
        <v>ARU014</v>
      </c>
      <c r="U16" s="323"/>
      <c r="V16" s="323"/>
      <c r="W16" s="323"/>
    </row>
    <row r="17" spans="1:23" s="23" customFormat="1" ht="14.25" hidden="1" x14ac:dyDescent="0.2">
      <c r="A17" s="381" t="s">
        <v>323</v>
      </c>
      <c r="B17" s="381" t="s">
        <v>324</v>
      </c>
      <c r="C17" s="382" t="s">
        <v>384</v>
      </c>
      <c r="D17" s="381" t="s">
        <v>385</v>
      </c>
      <c r="E17" s="383" t="s">
        <v>386</v>
      </c>
      <c r="F17" s="381" t="s">
        <v>387</v>
      </c>
      <c r="G17" s="384"/>
      <c r="H17" s="24"/>
      <c r="I17" s="24"/>
      <c r="J17" s="25" t="str">
        <f t="shared" si="0"/>
        <v xml:space="preserve"> </v>
      </c>
      <c r="K17" s="385"/>
      <c r="L17" s="385"/>
      <c r="M17" s="386">
        <f t="shared" si="1"/>
        <v>0</v>
      </c>
      <c r="N17" s="496"/>
      <c r="O17" s="333">
        <f t="shared" si="2"/>
        <v>0</v>
      </c>
      <c r="R17" s="23" t="e">
        <f>VLOOKUP(C:C,'Historic Data - working'!A:B,1,FALSE)</f>
        <v>#N/A</v>
      </c>
      <c r="U17" s="323"/>
      <c r="V17" s="323"/>
      <c r="W17" s="323"/>
    </row>
    <row r="18" spans="1:23" s="23" customFormat="1" ht="14.25" hidden="1" x14ac:dyDescent="0.2">
      <c r="A18" s="381" t="s">
        <v>323</v>
      </c>
      <c r="B18" s="381" t="s">
        <v>324</v>
      </c>
      <c r="C18" s="382" t="s">
        <v>388</v>
      </c>
      <c r="D18" s="381" t="s">
        <v>389</v>
      </c>
      <c r="E18" s="383" t="s">
        <v>34</v>
      </c>
      <c r="F18" s="381" t="s">
        <v>390</v>
      </c>
      <c r="G18" s="384" t="s">
        <v>329</v>
      </c>
      <c r="H18" s="24">
        <f>693.03+599.22</f>
        <v>1292.25</v>
      </c>
      <c r="I18" s="24"/>
      <c r="J18" s="25" t="str">
        <f t="shared" si="0"/>
        <v>1</v>
      </c>
      <c r="K18" s="385"/>
      <c r="L18" s="385"/>
      <c r="M18" s="386">
        <f t="shared" si="1"/>
        <v>1292.25</v>
      </c>
      <c r="N18" s="496">
        <v>90</v>
      </c>
      <c r="O18" s="333">
        <f t="shared" si="2"/>
        <v>1382.25</v>
      </c>
      <c r="R18" s="23" t="str">
        <f>VLOOKUP(C:C,'Historic Data - working'!A:B,1,FALSE)</f>
        <v>ARU016</v>
      </c>
      <c r="U18" s="323"/>
      <c r="V18" s="323"/>
      <c r="W18" s="323"/>
    </row>
    <row r="19" spans="1:23" s="23" customFormat="1" ht="14.25" hidden="1" x14ac:dyDescent="0.2">
      <c r="A19" s="381" t="s">
        <v>323</v>
      </c>
      <c r="B19" s="381" t="s">
        <v>324</v>
      </c>
      <c r="C19" s="382" t="s">
        <v>391</v>
      </c>
      <c r="D19" s="381" t="s">
        <v>392</v>
      </c>
      <c r="E19" s="383" t="s">
        <v>393</v>
      </c>
      <c r="F19" s="381" t="s">
        <v>390</v>
      </c>
      <c r="G19" s="384" t="s">
        <v>394</v>
      </c>
      <c r="H19" s="24">
        <f>120+74+106.61+79.4+50.11+3.14+45.53+44.33</f>
        <v>523.12</v>
      </c>
      <c r="I19" s="24"/>
      <c r="J19" s="25" t="str">
        <f t="shared" si="0"/>
        <v>1</v>
      </c>
      <c r="K19" s="385" t="s">
        <v>395</v>
      </c>
      <c r="L19" s="385">
        <v>0.1</v>
      </c>
      <c r="M19" s="386">
        <f t="shared" si="1"/>
        <v>523.22</v>
      </c>
      <c r="N19" s="496"/>
      <c r="O19" s="333">
        <f t="shared" si="2"/>
        <v>523.22</v>
      </c>
      <c r="R19" s="23" t="str">
        <f>VLOOKUP(C:C,'Historic Data - working'!A:B,1,FALSE)</f>
        <v>ARU017</v>
      </c>
      <c r="U19" s="323"/>
      <c r="V19" s="323"/>
      <c r="W19" s="323"/>
    </row>
    <row r="20" spans="1:23" s="23" customFormat="1" ht="14.25" hidden="1" x14ac:dyDescent="0.2">
      <c r="A20" s="381" t="s">
        <v>323</v>
      </c>
      <c r="B20" s="381" t="s">
        <v>324</v>
      </c>
      <c r="C20" s="382" t="s">
        <v>396</v>
      </c>
      <c r="D20" s="381" t="s">
        <v>397</v>
      </c>
      <c r="E20" s="383" t="s">
        <v>61</v>
      </c>
      <c r="F20" s="381" t="s">
        <v>390</v>
      </c>
      <c r="G20" s="384" t="s">
        <v>329</v>
      </c>
      <c r="H20" s="24">
        <f>57.09+106.06</f>
        <v>163.15</v>
      </c>
      <c r="I20" s="24"/>
      <c r="J20" s="25" t="str">
        <f t="shared" si="0"/>
        <v>1</v>
      </c>
      <c r="K20" s="385"/>
      <c r="L20" s="385"/>
      <c r="M20" s="386">
        <f t="shared" si="1"/>
        <v>163.15</v>
      </c>
      <c r="N20" s="496">
        <v>194.5</v>
      </c>
      <c r="O20" s="333">
        <f t="shared" si="2"/>
        <v>357.65</v>
      </c>
      <c r="R20" s="23" t="str">
        <f>VLOOKUP(C:C,'Historic Data - working'!A:B,1,FALSE)</f>
        <v>ARU018</v>
      </c>
      <c r="U20" s="323"/>
      <c r="V20" s="323"/>
      <c r="W20" s="323"/>
    </row>
    <row r="21" spans="1:23" s="23" customFormat="1" ht="14.25" hidden="1" x14ac:dyDescent="0.2">
      <c r="A21" s="381" t="s">
        <v>323</v>
      </c>
      <c r="B21" s="381" t="s">
        <v>324</v>
      </c>
      <c r="C21" s="382" t="s">
        <v>398</v>
      </c>
      <c r="D21" s="381" t="s">
        <v>399</v>
      </c>
      <c r="E21" s="383" t="s">
        <v>400</v>
      </c>
      <c r="F21" s="381" t="s">
        <v>390</v>
      </c>
      <c r="G21" s="384"/>
      <c r="H21" s="24"/>
      <c r="I21" s="24"/>
      <c r="J21" s="25" t="str">
        <f t="shared" si="0"/>
        <v xml:space="preserve"> </v>
      </c>
      <c r="K21" s="385"/>
      <c r="L21" s="385"/>
      <c r="M21" s="386">
        <f t="shared" si="1"/>
        <v>0</v>
      </c>
      <c r="N21" s="496">
        <v>520</v>
      </c>
      <c r="O21" s="333">
        <f t="shared" si="2"/>
        <v>520</v>
      </c>
      <c r="R21" s="23" t="str">
        <f>VLOOKUP(C:C,'Historic Data - working'!A:B,1,FALSE)</f>
        <v>ARU019</v>
      </c>
      <c r="U21" s="323"/>
      <c r="V21" s="323"/>
      <c r="W21" s="323"/>
    </row>
    <row r="22" spans="1:23" s="23" customFormat="1" ht="14.25" hidden="1" x14ac:dyDescent="0.2">
      <c r="A22" s="381" t="s">
        <v>323</v>
      </c>
      <c r="B22" s="381" t="s">
        <v>324</v>
      </c>
      <c r="C22" s="382" t="s">
        <v>401</v>
      </c>
      <c r="D22" s="381" t="s">
        <v>402</v>
      </c>
      <c r="E22" s="383" t="s">
        <v>403</v>
      </c>
      <c r="F22" s="381" t="s">
        <v>390</v>
      </c>
      <c r="G22" s="384"/>
      <c r="H22" s="24"/>
      <c r="I22" s="24"/>
      <c r="J22" s="25" t="str">
        <f t="shared" si="0"/>
        <v xml:space="preserve"> </v>
      </c>
      <c r="K22" s="385"/>
      <c r="L22" s="385"/>
      <c r="M22" s="386">
        <f t="shared" si="1"/>
        <v>0</v>
      </c>
      <c r="N22" s="496">
        <v>315.25</v>
      </c>
      <c r="O22" s="333">
        <f t="shared" si="2"/>
        <v>315.25</v>
      </c>
      <c r="R22" s="23" t="str">
        <f>VLOOKUP(C:C,'Historic Data - working'!A:B,1,FALSE)</f>
        <v>ARU020</v>
      </c>
      <c r="U22" s="323"/>
      <c r="V22" s="323"/>
      <c r="W22" s="323"/>
    </row>
    <row r="23" spans="1:23" s="23" customFormat="1" ht="14.25" hidden="1" x14ac:dyDescent="0.2">
      <c r="A23" s="381" t="s">
        <v>323</v>
      </c>
      <c r="B23" s="381" t="s">
        <v>324</v>
      </c>
      <c r="C23" s="382" t="s">
        <v>404</v>
      </c>
      <c r="D23" s="381" t="s">
        <v>405</v>
      </c>
      <c r="E23" s="383" t="s">
        <v>56</v>
      </c>
      <c r="F23" s="381" t="s">
        <v>390</v>
      </c>
      <c r="G23" s="384" t="s">
        <v>329</v>
      </c>
      <c r="H23" s="24"/>
      <c r="I23" s="24">
        <f>370+27</f>
        <v>397</v>
      </c>
      <c r="J23" s="25" t="str">
        <f t="shared" si="0"/>
        <v>1</v>
      </c>
      <c r="K23" s="385"/>
      <c r="L23" s="385"/>
      <c r="M23" s="386">
        <f t="shared" si="1"/>
        <v>0</v>
      </c>
      <c r="N23" s="496">
        <v>323</v>
      </c>
      <c r="O23" s="333">
        <f t="shared" si="2"/>
        <v>323</v>
      </c>
      <c r="R23" s="23" t="str">
        <f>VLOOKUP(C:C,'Historic Data - working'!A:B,1,FALSE)</f>
        <v>ARU022</v>
      </c>
      <c r="U23" s="323"/>
      <c r="V23" s="323"/>
      <c r="W23" s="323"/>
    </row>
    <row r="24" spans="1:23" s="23" customFormat="1" ht="14.25" hidden="1" x14ac:dyDescent="0.2">
      <c r="A24" s="381" t="s">
        <v>323</v>
      </c>
      <c r="B24" s="381" t="s">
        <v>324</v>
      </c>
      <c r="C24" s="382" t="s">
        <v>406</v>
      </c>
      <c r="D24" s="381" t="s">
        <v>407</v>
      </c>
      <c r="E24" s="383" t="s">
        <v>408</v>
      </c>
      <c r="F24" s="381" t="s">
        <v>409</v>
      </c>
      <c r="G24" s="384"/>
      <c r="H24" s="24"/>
      <c r="I24" s="24"/>
      <c r="J24" s="25" t="str">
        <f t="shared" si="0"/>
        <v xml:space="preserve"> </v>
      </c>
      <c r="K24" s="385"/>
      <c r="L24" s="385"/>
      <c r="M24" s="386">
        <f t="shared" si="1"/>
        <v>0</v>
      </c>
      <c r="N24" s="496">
        <v>125</v>
      </c>
      <c r="O24" s="333">
        <f t="shared" si="2"/>
        <v>125</v>
      </c>
      <c r="R24" s="23" t="str">
        <f>VLOOKUP(C:C,'Historic Data - working'!A:B,1,FALSE)</f>
        <v>ARU024</v>
      </c>
      <c r="U24" s="323"/>
      <c r="V24" s="323"/>
      <c r="W24" s="323"/>
    </row>
    <row r="25" spans="1:23" s="23" customFormat="1" ht="14.25" hidden="1" x14ac:dyDescent="0.2">
      <c r="A25" s="381" t="s">
        <v>323</v>
      </c>
      <c r="B25" s="381" t="s">
        <v>324</v>
      </c>
      <c r="C25" s="382" t="s">
        <v>410</v>
      </c>
      <c r="D25" s="381" t="s">
        <v>411</v>
      </c>
      <c r="E25" s="383" t="s">
        <v>412</v>
      </c>
      <c r="F25" s="381" t="s">
        <v>413</v>
      </c>
      <c r="G25" s="384"/>
      <c r="H25" s="24"/>
      <c r="I25" s="24"/>
      <c r="J25" s="25" t="str">
        <f t="shared" si="0"/>
        <v xml:space="preserve"> </v>
      </c>
      <c r="K25" s="385"/>
      <c r="L25" s="385"/>
      <c r="M25" s="386">
        <f t="shared" si="1"/>
        <v>0</v>
      </c>
      <c r="N25" s="496">
        <v>305</v>
      </c>
      <c r="O25" s="333">
        <f t="shared" si="2"/>
        <v>305</v>
      </c>
      <c r="R25" s="23" t="str">
        <f>VLOOKUP(C:C,'Historic Data - working'!A:B,1,FALSE)</f>
        <v>ARU025</v>
      </c>
      <c r="U25" s="323"/>
      <c r="V25" s="323"/>
      <c r="W25" s="323"/>
    </row>
    <row r="26" spans="1:23" s="23" customFormat="1" ht="14.25" hidden="1" x14ac:dyDescent="0.2">
      <c r="A26" s="381" t="s">
        <v>323</v>
      </c>
      <c r="B26" s="381" t="s">
        <v>351</v>
      </c>
      <c r="C26" s="382" t="s">
        <v>414</v>
      </c>
      <c r="D26" s="381" t="s">
        <v>415</v>
      </c>
      <c r="E26" s="383" t="s">
        <v>416</v>
      </c>
      <c r="F26" s="381" t="s">
        <v>417</v>
      </c>
      <c r="G26" s="384" t="s">
        <v>329</v>
      </c>
      <c r="H26" s="24"/>
      <c r="I26" s="24">
        <f>+(1105.24-165.2)+(898.41-142.31)</f>
        <v>1696.1399999999999</v>
      </c>
      <c r="J26" s="25" t="str">
        <f t="shared" si="0"/>
        <v>1</v>
      </c>
      <c r="K26" s="385" t="s">
        <v>418</v>
      </c>
      <c r="L26" s="385"/>
      <c r="M26" s="386">
        <f t="shared" si="1"/>
        <v>0</v>
      </c>
      <c r="N26" s="496">
        <v>1696.1399999999999</v>
      </c>
      <c r="O26" s="333">
        <f t="shared" si="2"/>
        <v>1696.1399999999999</v>
      </c>
      <c r="R26" s="23" t="str">
        <f>VLOOKUP(C:C,'Historic Data - working'!A:B,1,FALSE)</f>
        <v>ARU026</v>
      </c>
      <c r="U26" s="323"/>
      <c r="V26" s="323"/>
      <c r="W26" s="323"/>
    </row>
    <row r="27" spans="1:23" s="23" customFormat="1" ht="14.25" hidden="1" x14ac:dyDescent="0.2">
      <c r="A27" s="381" t="s">
        <v>323</v>
      </c>
      <c r="B27" s="381" t="s">
        <v>351</v>
      </c>
      <c r="C27" s="382" t="s">
        <v>419</v>
      </c>
      <c r="D27" s="381" t="s">
        <v>420</v>
      </c>
      <c r="E27" s="383" t="s">
        <v>421</v>
      </c>
      <c r="F27" s="381" t="s">
        <v>422</v>
      </c>
      <c r="G27" s="384" t="s">
        <v>329</v>
      </c>
      <c r="H27" s="24">
        <f>704+702</f>
        <v>1406</v>
      </c>
      <c r="I27" s="24"/>
      <c r="J27" s="25" t="str">
        <f t="shared" si="0"/>
        <v>1</v>
      </c>
      <c r="K27" s="385"/>
      <c r="L27" s="385"/>
      <c r="M27" s="386">
        <f t="shared" si="1"/>
        <v>1406</v>
      </c>
      <c r="N27" s="496">
        <v>525</v>
      </c>
      <c r="O27" s="333">
        <f t="shared" si="2"/>
        <v>1931</v>
      </c>
      <c r="R27" s="23" t="str">
        <f>VLOOKUP(C:C,'Historic Data - working'!A:B,1,FALSE)</f>
        <v>ARU027</v>
      </c>
      <c r="U27" s="323"/>
      <c r="V27" s="323"/>
      <c r="W27" s="323"/>
    </row>
    <row r="28" spans="1:23" s="23" customFormat="1" ht="14.25" hidden="1" x14ac:dyDescent="0.2">
      <c r="A28" s="381" t="s">
        <v>323</v>
      </c>
      <c r="B28" s="381" t="s">
        <v>351</v>
      </c>
      <c r="C28" s="382" t="s">
        <v>423</v>
      </c>
      <c r="D28" s="381" t="s">
        <v>424</v>
      </c>
      <c r="E28" s="383" t="s">
        <v>425</v>
      </c>
      <c r="F28" s="381" t="s">
        <v>422</v>
      </c>
      <c r="G28" s="384" t="s">
        <v>329</v>
      </c>
      <c r="H28" s="24">
        <v>75.75</v>
      </c>
      <c r="I28" s="24"/>
      <c r="J28" s="25" t="str">
        <f t="shared" si="0"/>
        <v>1</v>
      </c>
      <c r="K28" s="385"/>
      <c r="L28" s="385"/>
      <c r="M28" s="386">
        <f t="shared" si="1"/>
        <v>75.75</v>
      </c>
      <c r="N28" s="496">
        <v>1012</v>
      </c>
      <c r="O28" s="333">
        <f t="shared" si="2"/>
        <v>1087.75</v>
      </c>
      <c r="R28" s="23" t="str">
        <f>VLOOKUP(C:C,'Historic Data - working'!A:B,1,FALSE)</f>
        <v>ARU028</v>
      </c>
      <c r="U28" s="323"/>
      <c r="V28" s="323"/>
      <c r="W28" s="323"/>
    </row>
    <row r="29" spans="1:23" s="23" customFormat="1" ht="14.25" hidden="1" x14ac:dyDescent="0.2">
      <c r="A29" s="381" t="s">
        <v>323</v>
      </c>
      <c r="B29" s="381" t="s">
        <v>324</v>
      </c>
      <c r="C29" s="382" t="s">
        <v>426</v>
      </c>
      <c r="D29" s="381" t="s">
        <v>427</v>
      </c>
      <c r="E29" s="383" t="s">
        <v>428</v>
      </c>
      <c r="F29" s="381" t="s">
        <v>429</v>
      </c>
      <c r="G29" s="384" t="s">
        <v>329</v>
      </c>
      <c r="H29" s="24"/>
      <c r="I29" s="24">
        <f>515+63.64+421.86+102.27</f>
        <v>1102.77</v>
      </c>
      <c r="J29" s="25" t="str">
        <f t="shared" si="0"/>
        <v>1</v>
      </c>
      <c r="K29" s="385"/>
      <c r="L29" s="385"/>
      <c r="M29" s="386">
        <f t="shared" si="1"/>
        <v>0</v>
      </c>
      <c r="N29" s="496">
        <v>2392.77</v>
      </c>
      <c r="O29" s="333">
        <f t="shared" si="2"/>
        <v>2392.77</v>
      </c>
      <c r="R29" s="23" t="str">
        <f>VLOOKUP(C:C,'Historic Data - working'!A:B,1,FALSE)</f>
        <v>ARU029</v>
      </c>
      <c r="U29" s="323"/>
      <c r="V29" s="323"/>
      <c r="W29" s="323"/>
    </row>
    <row r="30" spans="1:23" s="23" customFormat="1" ht="14.25" hidden="1" x14ac:dyDescent="0.2">
      <c r="A30" s="381" t="s">
        <v>323</v>
      </c>
      <c r="B30" s="381" t="s">
        <v>324</v>
      </c>
      <c r="C30" s="382" t="s">
        <v>430</v>
      </c>
      <c r="D30" s="381" t="s">
        <v>431</v>
      </c>
      <c r="E30" s="383" t="s">
        <v>66</v>
      </c>
      <c r="F30" s="381" t="s">
        <v>432</v>
      </c>
      <c r="G30" s="384"/>
      <c r="H30" s="24"/>
      <c r="I30" s="24"/>
      <c r="J30" s="25" t="str">
        <f t="shared" si="0"/>
        <v xml:space="preserve"> </v>
      </c>
      <c r="K30" s="385" t="s">
        <v>337</v>
      </c>
      <c r="L30" s="385">
        <v>1656.05</v>
      </c>
      <c r="M30" s="386">
        <f t="shared" si="1"/>
        <v>1656.05</v>
      </c>
      <c r="N30" s="496">
        <v>732</v>
      </c>
      <c r="O30" s="333">
        <f t="shared" si="2"/>
        <v>2388.0500000000002</v>
      </c>
      <c r="R30" s="23" t="str">
        <f>VLOOKUP(C:C,'Historic Data - working'!A:B,1,FALSE)</f>
        <v>ARU030</v>
      </c>
      <c r="U30" s="323"/>
      <c r="V30" s="323"/>
      <c r="W30" s="323"/>
    </row>
    <row r="31" spans="1:23" s="23" customFormat="1" ht="14.25" hidden="1" x14ac:dyDescent="0.2">
      <c r="A31" s="381" t="s">
        <v>323</v>
      </c>
      <c r="B31" s="381" t="s">
        <v>324</v>
      </c>
      <c r="C31" s="382" t="s">
        <v>433</v>
      </c>
      <c r="D31" s="381" t="s">
        <v>434</v>
      </c>
      <c r="E31" s="383" t="s">
        <v>346</v>
      </c>
      <c r="F31" s="381" t="s">
        <v>435</v>
      </c>
      <c r="G31" s="384" t="s">
        <v>329</v>
      </c>
      <c r="H31" s="24">
        <v>1075.78</v>
      </c>
      <c r="I31" s="24"/>
      <c r="J31" s="25" t="str">
        <f t="shared" si="0"/>
        <v>1</v>
      </c>
      <c r="K31" s="385" t="s">
        <v>436</v>
      </c>
      <c r="L31" s="385"/>
      <c r="M31" s="386">
        <f t="shared" si="1"/>
        <v>1075.78</v>
      </c>
      <c r="N31" s="496">
        <v>967</v>
      </c>
      <c r="O31" s="333">
        <f t="shared" si="2"/>
        <v>2042.78</v>
      </c>
      <c r="R31" s="23" t="str">
        <f>VLOOKUP(C:C,'Historic Data - working'!A:B,1,FALSE)</f>
        <v>ARU031</v>
      </c>
      <c r="U31" s="323"/>
      <c r="V31" s="323"/>
      <c r="W31" s="323"/>
    </row>
    <row r="32" spans="1:23" s="23" customFormat="1" ht="14.25" hidden="1" x14ac:dyDescent="0.2">
      <c r="A32" s="381" t="s">
        <v>323</v>
      </c>
      <c r="B32" s="381" t="s">
        <v>324</v>
      </c>
      <c r="C32" s="382" t="s">
        <v>437</v>
      </c>
      <c r="D32" s="381" t="s">
        <v>438</v>
      </c>
      <c r="E32" s="383" t="s">
        <v>127</v>
      </c>
      <c r="F32" s="381" t="s">
        <v>439</v>
      </c>
      <c r="G32" s="384"/>
      <c r="H32" s="24"/>
      <c r="I32" s="24"/>
      <c r="J32" s="25" t="str">
        <f t="shared" si="0"/>
        <v xml:space="preserve"> </v>
      </c>
      <c r="K32" s="385"/>
      <c r="L32" s="385"/>
      <c r="M32" s="386">
        <f t="shared" si="1"/>
        <v>0</v>
      </c>
      <c r="N32" s="496"/>
      <c r="O32" s="333">
        <f t="shared" si="2"/>
        <v>0</v>
      </c>
      <c r="R32" s="23" t="e">
        <f>VLOOKUP(C:C,'Historic Data - working'!A:B,1,FALSE)</f>
        <v>#N/A</v>
      </c>
      <c r="U32" s="323"/>
      <c r="V32" s="323"/>
      <c r="W32" s="323"/>
    </row>
    <row r="33" spans="1:23" s="23" customFormat="1" ht="14.25" hidden="1" x14ac:dyDescent="0.2">
      <c r="A33" s="381" t="s">
        <v>323</v>
      </c>
      <c r="B33" s="381" t="s">
        <v>324</v>
      </c>
      <c r="C33" s="382" t="s">
        <v>440</v>
      </c>
      <c r="D33" s="381" t="s">
        <v>441</v>
      </c>
      <c r="E33" s="383" t="s">
        <v>442</v>
      </c>
      <c r="F33" s="381" t="s">
        <v>443</v>
      </c>
      <c r="G33" s="384"/>
      <c r="H33" s="24"/>
      <c r="I33" s="24"/>
      <c r="J33" s="25" t="str">
        <f t="shared" si="0"/>
        <v xml:space="preserve"> </v>
      </c>
      <c r="K33" s="385"/>
      <c r="L33" s="385"/>
      <c r="M33" s="386">
        <f t="shared" si="1"/>
        <v>0</v>
      </c>
      <c r="N33" s="496"/>
      <c r="O33" s="333">
        <f t="shared" si="2"/>
        <v>0</v>
      </c>
      <c r="R33" s="23" t="str">
        <f>VLOOKUP(C:C,'Historic Data - working'!A:B,1,FALSE)</f>
        <v>ARU032</v>
      </c>
      <c r="U33" s="323"/>
      <c r="V33" s="323"/>
      <c r="W33" s="323"/>
    </row>
    <row r="34" spans="1:23" s="23" customFormat="1" ht="14.25" hidden="1" x14ac:dyDescent="0.2">
      <c r="A34" s="381" t="s">
        <v>323</v>
      </c>
      <c r="B34" s="381" t="s">
        <v>324</v>
      </c>
      <c r="C34" s="382" t="s">
        <v>444</v>
      </c>
      <c r="D34" s="381" t="s">
        <v>445</v>
      </c>
      <c r="E34" s="383" t="s">
        <v>428</v>
      </c>
      <c r="F34" s="381" t="s">
        <v>446</v>
      </c>
      <c r="G34" s="384" t="s">
        <v>329</v>
      </c>
      <c r="H34" s="24">
        <f>28.27+80.68+135.33+190.4</f>
        <v>434.68000000000006</v>
      </c>
      <c r="I34" s="24"/>
      <c r="J34" s="25" t="str">
        <f t="shared" si="0"/>
        <v>1</v>
      </c>
      <c r="K34" s="385"/>
      <c r="L34" s="385"/>
      <c r="M34" s="386">
        <f t="shared" si="1"/>
        <v>434.68000000000006</v>
      </c>
      <c r="N34" s="496">
        <v>700</v>
      </c>
      <c r="O34" s="333">
        <f t="shared" si="2"/>
        <v>1134.68</v>
      </c>
      <c r="R34" s="23" t="str">
        <f>VLOOKUP(C:C,'Historic Data - working'!A:B,1,FALSE)</f>
        <v>ARU033</v>
      </c>
      <c r="U34" s="323"/>
      <c r="V34" s="323"/>
      <c r="W34" s="323"/>
    </row>
    <row r="35" spans="1:23" s="23" customFormat="1" ht="14.25" hidden="1" x14ac:dyDescent="0.2">
      <c r="A35" s="381" t="s">
        <v>323</v>
      </c>
      <c r="B35" s="381" t="s">
        <v>324</v>
      </c>
      <c r="C35" s="382" t="s">
        <v>447</v>
      </c>
      <c r="D35" s="381" t="s">
        <v>448</v>
      </c>
      <c r="E35" s="383" t="s">
        <v>449</v>
      </c>
      <c r="F35" s="381" t="s">
        <v>450</v>
      </c>
      <c r="G35" s="384" t="s">
        <v>329</v>
      </c>
      <c r="H35" s="24">
        <f>56.68+55.11+16.39+63.51+34.74+34.92+53.4+25+34.22+29.16+59.47+131.7+352.06+97.11+163.35+29.68+181.45</f>
        <v>1417.9499999999998</v>
      </c>
      <c r="I35" s="24"/>
      <c r="J35" s="25" t="str">
        <f t="shared" si="0"/>
        <v>1</v>
      </c>
      <c r="K35" s="385"/>
      <c r="L35" s="385"/>
      <c r="M35" s="386">
        <f t="shared" si="1"/>
        <v>1417.9499999999998</v>
      </c>
      <c r="N35" s="496">
        <v>169</v>
      </c>
      <c r="O35" s="333">
        <f t="shared" si="2"/>
        <v>1586.9499999999998</v>
      </c>
      <c r="R35" s="23" t="str">
        <f>VLOOKUP(C:C,'Historic Data - working'!A:B,1,FALSE)</f>
        <v>ARU034</v>
      </c>
      <c r="U35" s="323"/>
      <c r="V35" s="323"/>
      <c r="W35" s="323"/>
    </row>
    <row r="36" spans="1:23" s="23" customFormat="1" ht="14.25" hidden="1" x14ac:dyDescent="0.2">
      <c r="A36" s="381" t="s">
        <v>323</v>
      </c>
      <c r="B36" s="381" t="s">
        <v>324</v>
      </c>
      <c r="C36" s="382" t="s">
        <v>451</v>
      </c>
      <c r="D36" s="381" t="s">
        <v>452</v>
      </c>
      <c r="E36" s="383" t="s">
        <v>453</v>
      </c>
      <c r="F36" s="381" t="s">
        <v>454</v>
      </c>
      <c r="G36" s="384"/>
      <c r="H36" s="24"/>
      <c r="I36" s="24"/>
      <c r="J36" s="25" t="str">
        <f t="shared" si="0"/>
        <v xml:space="preserve"> </v>
      </c>
      <c r="K36" s="385"/>
      <c r="L36" s="385"/>
      <c r="M36" s="386">
        <f t="shared" si="1"/>
        <v>0</v>
      </c>
      <c r="N36" s="496"/>
      <c r="O36" s="333">
        <f t="shared" si="2"/>
        <v>0</v>
      </c>
      <c r="R36" s="23" t="e">
        <f>VLOOKUP(C:C,'Historic Data - working'!A:B,1,FALSE)</f>
        <v>#N/A</v>
      </c>
      <c r="U36" s="323"/>
      <c r="V36" s="323"/>
      <c r="W36" s="323"/>
    </row>
    <row r="37" spans="1:23" s="23" customFormat="1" ht="14.25" hidden="1" x14ac:dyDescent="0.2">
      <c r="A37" s="381" t="s">
        <v>323</v>
      </c>
      <c r="B37" s="381" t="s">
        <v>324</v>
      </c>
      <c r="C37" s="382" t="s">
        <v>455</v>
      </c>
      <c r="D37" s="381" t="s">
        <v>456</v>
      </c>
      <c r="E37" s="383" t="s">
        <v>457</v>
      </c>
      <c r="F37" s="381" t="s">
        <v>409</v>
      </c>
      <c r="G37" s="384" t="s">
        <v>329</v>
      </c>
      <c r="H37" s="24">
        <f>639.52+860.48</f>
        <v>1500</v>
      </c>
      <c r="I37" s="24"/>
      <c r="J37" s="25" t="str">
        <f t="shared" si="0"/>
        <v>1</v>
      </c>
      <c r="K37" s="385"/>
      <c r="L37" s="385"/>
      <c r="M37" s="386">
        <f t="shared" si="1"/>
        <v>1500</v>
      </c>
      <c r="N37" s="496">
        <v>905</v>
      </c>
      <c r="O37" s="333">
        <f t="shared" si="2"/>
        <v>2405</v>
      </c>
      <c r="R37" s="23" t="str">
        <f>VLOOKUP(C:C,'Historic Data - working'!A:B,1,FALSE)</f>
        <v>ARU035</v>
      </c>
      <c r="U37" s="323"/>
      <c r="V37" s="323"/>
      <c r="W37" s="323"/>
    </row>
    <row r="38" spans="1:23" s="23" customFormat="1" ht="14.25" hidden="1" x14ac:dyDescent="0.2">
      <c r="A38" s="381" t="s">
        <v>323</v>
      </c>
      <c r="B38" s="381" t="s">
        <v>324</v>
      </c>
      <c r="C38" s="382" t="s">
        <v>458</v>
      </c>
      <c r="D38" s="381" t="s">
        <v>459</v>
      </c>
      <c r="E38" s="383" t="s">
        <v>460</v>
      </c>
      <c r="F38" s="381" t="s">
        <v>461</v>
      </c>
      <c r="G38" s="384"/>
      <c r="H38" s="24"/>
      <c r="I38" s="24"/>
      <c r="J38" s="25" t="str">
        <f t="shared" si="0"/>
        <v xml:space="preserve"> </v>
      </c>
      <c r="K38" s="385"/>
      <c r="L38" s="385"/>
      <c r="M38" s="386">
        <f t="shared" si="1"/>
        <v>0</v>
      </c>
      <c r="N38" s="496"/>
      <c r="O38" s="333">
        <f t="shared" si="2"/>
        <v>0</v>
      </c>
      <c r="R38" s="23" t="e">
        <f>VLOOKUP(C:C,'Historic Data - working'!A:B,1,FALSE)</f>
        <v>#N/A</v>
      </c>
      <c r="U38" s="323"/>
      <c r="V38" s="323"/>
      <c r="W38" s="323"/>
    </row>
    <row r="39" spans="1:23" s="23" customFormat="1" ht="14.25" hidden="1" x14ac:dyDescent="0.2">
      <c r="A39" s="381" t="s">
        <v>323</v>
      </c>
      <c r="B39" s="381" t="s">
        <v>324</v>
      </c>
      <c r="C39" s="382" t="s">
        <v>462</v>
      </c>
      <c r="D39" s="381" t="s">
        <v>463</v>
      </c>
      <c r="E39" s="383" t="s">
        <v>464</v>
      </c>
      <c r="F39" s="381" t="s">
        <v>465</v>
      </c>
      <c r="G39" s="384" t="s">
        <v>329</v>
      </c>
      <c r="H39" s="24">
        <f>34+117+78+96.44+97+55+83.9</f>
        <v>561.34</v>
      </c>
      <c r="I39" s="24"/>
      <c r="J39" s="25" t="str">
        <f t="shared" si="0"/>
        <v>1</v>
      </c>
      <c r="K39" s="385"/>
      <c r="L39" s="385"/>
      <c r="M39" s="386">
        <f t="shared" si="1"/>
        <v>561.34</v>
      </c>
      <c r="N39" s="496">
        <v>217</v>
      </c>
      <c r="O39" s="333">
        <f t="shared" si="2"/>
        <v>778.34</v>
      </c>
      <c r="R39" s="23" t="str">
        <f>VLOOKUP(C:C,'Historic Data - working'!A:B,1,FALSE)</f>
        <v>ARU036</v>
      </c>
      <c r="U39" s="323"/>
      <c r="V39" s="323"/>
      <c r="W39" s="323"/>
    </row>
    <row r="40" spans="1:23" s="23" customFormat="1" ht="14.25" hidden="1" x14ac:dyDescent="0.2">
      <c r="A40" s="381" t="s">
        <v>323</v>
      </c>
      <c r="B40" s="381" t="s">
        <v>324</v>
      </c>
      <c r="C40" s="382" t="s">
        <v>466</v>
      </c>
      <c r="D40" s="381" t="s">
        <v>467</v>
      </c>
      <c r="E40" s="383" t="s">
        <v>61</v>
      </c>
      <c r="F40" s="381" t="s">
        <v>468</v>
      </c>
      <c r="G40" s="384" t="s">
        <v>329</v>
      </c>
      <c r="H40" s="24">
        <v>1117.17</v>
      </c>
      <c r="I40" s="24"/>
      <c r="J40" s="25" t="str">
        <f t="shared" si="0"/>
        <v>1</v>
      </c>
      <c r="K40" s="387" t="s">
        <v>469</v>
      </c>
      <c r="L40" s="385">
        <v>-234.85</v>
      </c>
      <c r="M40" s="386">
        <f t="shared" si="1"/>
        <v>882.32</v>
      </c>
      <c r="N40" s="496">
        <v>430</v>
      </c>
      <c r="O40" s="333">
        <f t="shared" si="2"/>
        <v>1312.3200000000002</v>
      </c>
      <c r="R40" s="23" t="str">
        <f>VLOOKUP(C:C,'Historic Data - working'!A:B,1,FALSE)</f>
        <v>ARU037</v>
      </c>
      <c r="U40" s="323"/>
      <c r="V40" s="323"/>
      <c r="W40" s="323"/>
    </row>
    <row r="41" spans="1:23" s="23" customFormat="1" ht="14.25" hidden="1" x14ac:dyDescent="0.2">
      <c r="A41" s="381" t="s">
        <v>323</v>
      </c>
      <c r="B41" s="381" t="s">
        <v>324</v>
      </c>
      <c r="C41" s="382" t="s">
        <v>470</v>
      </c>
      <c r="D41" s="381" t="s">
        <v>471</v>
      </c>
      <c r="E41" s="383" t="s">
        <v>472</v>
      </c>
      <c r="F41" s="381" t="s">
        <v>473</v>
      </c>
      <c r="G41" s="384"/>
      <c r="H41" s="24"/>
      <c r="I41" s="24"/>
      <c r="J41" s="25" t="str">
        <f t="shared" si="0"/>
        <v xml:space="preserve"> </v>
      </c>
      <c r="K41" s="385"/>
      <c r="L41" s="385">
        <v>3310.7</v>
      </c>
      <c r="M41" s="386">
        <f t="shared" si="1"/>
        <v>3310.7</v>
      </c>
      <c r="N41" s="496">
        <v>830.7</v>
      </c>
      <c r="O41" s="334">
        <f t="shared" si="2"/>
        <v>4141.3999999999996</v>
      </c>
      <c r="P41" s="351" t="s">
        <v>329</v>
      </c>
      <c r="Q41" s="331"/>
      <c r="R41" s="331" t="str">
        <f>VLOOKUP(C:C,'Historic Data - working'!A:B,1,FALSE)</f>
        <v>ARU038</v>
      </c>
      <c r="U41" s="323"/>
      <c r="V41" s="323"/>
      <c r="W41" s="323"/>
    </row>
    <row r="42" spans="1:23" s="23" customFormat="1" ht="14.25" hidden="1" x14ac:dyDescent="0.2">
      <c r="A42" s="381" t="s">
        <v>323</v>
      </c>
      <c r="B42" s="381" t="s">
        <v>324</v>
      </c>
      <c r="C42" s="382" t="s">
        <v>474</v>
      </c>
      <c r="D42" s="381" t="s">
        <v>475</v>
      </c>
      <c r="E42" s="383" t="s">
        <v>476</v>
      </c>
      <c r="F42" s="381" t="s">
        <v>473</v>
      </c>
      <c r="G42" s="384"/>
      <c r="H42" s="24"/>
      <c r="I42" s="24"/>
      <c r="J42" s="25" t="str">
        <f t="shared" si="0"/>
        <v xml:space="preserve"> </v>
      </c>
      <c r="K42" s="385"/>
      <c r="L42" s="385"/>
      <c r="M42" s="386">
        <f t="shared" si="1"/>
        <v>0</v>
      </c>
      <c r="N42" s="496"/>
      <c r="O42" s="333">
        <f t="shared" si="2"/>
        <v>0</v>
      </c>
      <c r="R42" s="23" t="e">
        <f>VLOOKUP(C:C,'Historic Data - working'!A:B,1,FALSE)</f>
        <v>#N/A</v>
      </c>
      <c r="U42" s="323"/>
      <c r="V42" s="323"/>
      <c r="W42" s="323"/>
    </row>
    <row r="43" spans="1:23" s="23" customFormat="1" ht="14.25" hidden="1" x14ac:dyDescent="0.2">
      <c r="A43" s="381" t="s">
        <v>323</v>
      </c>
      <c r="B43" s="381" t="s">
        <v>324</v>
      </c>
      <c r="C43" s="382" t="s">
        <v>477</v>
      </c>
      <c r="D43" s="381" t="s">
        <v>478</v>
      </c>
      <c r="E43" s="383" t="s">
        <v>479</v>
      </c>
      <c r="F43" s="381" t="s">
        <v>473</v>
      </c>
      <c r="G43" s="384"/>
      <c r="H43" s="24"/>
      <c r="I43" s="24"/>
      <c r="J43" s="25" t="str">
        <f t="shared" si="0"/>
        <v xml:space="preserve"> </v>
      </c>
      <c r="K43" s="385"/>
      <c r="L43" s="385"/>
      <c r="M43" s="386">
        <f t="shared" si="1"/>
        <v>0</v>
      </c>
      <c r="N43" s="496">
        <v>250</v>
      </c>
      <c r="O43" s="333">
        <f t="shared" si="2"/>
        <v>250</v>
      </c>
      <c r="R43" s="23" t="str">
        <f>VLOOKUP(C:C,'Historic Data - working'!A:B,1,FALSE)</f>
        <v>ARU039</v>
      </c>
      <c r="U43" s="323"/>
      <c r="V43" s="323"/>
      <c r="W43" s="323"/>
    </row>
    <row r="44" spans="1:23" s="23" customFormat="1" ht="14.25" hidden="1" x14ac:dyDescent="0.2">
      <c r="A44" s="381" t="s">
        <v>323</v>
      </c>
      <c r="B44" s="381" t="s">
        <v>324</v>
      </c>
      <c r="C44" s="382" t="s">
        <v>480</v>
      </c>
      <c r="D44" s="381" t="s">
        <v>481</v>
      </c>
      <c r="E44" s="383" t="s">
        <v>214</v>
      </c>
      <c r="F44" s="381" t="s">
        <v>473</v>
      </c>
      <c r="G44" s="384"/>
      <c r="H44" s="24"/>
      <c r="I44" s="24"/>
      <c r="J44" s="25" t="str">
        <f t="shared" si="0"/>
        <v xml:space="preserve"> </v>
      </c>
      <c r="K44" s="385"/>
      <c r="L44" s="385"/>
      <c r="M44" s="386">
        <f t="shared" si="1"/>
        <v>0</v>
      </c>
      <c r="N44" s="496">
        <v>145</v>
      </c>
      <c r="O44" s="333">
        <f t="shared" si="2"/>
        <v>145</v>
      </c>
      <c r="R44" s="23" t="str">
        <f>VLOOKUP(C:C,'Historic Data - working'!A:B,1,FALSE)</f>
        <v>ARU039X</v>
      </c>
      <c r="U44" s="323"/>
      <c r="V44" s="323"/>
      <c r="W44" s="323"/>
    </row>
    <row r="45" spans="1:23" s="23" customFormat="1" ht="14.25" hidden="1" x14ac:dyDescent="0.2">
      <c r="A45" s="381" t="s">
        <v>323</v>
      </c>
      <c r="B45" s="381" t="s">
        <v>324</v>
      </c>
      <c r="C45" s="382" t="s">
        <v>482</v>
      </c>
      <c r="D45" s="381" t="s">
        <v>483</v>
      </c>
      <c r="E45" s="383" t="s">
        <v>484</v>
      </c>
      <c r="F45" s="381" t="s">
        <v>485</v>
      </c>
      <c r="G45" s="384" t="s">
        <v>329</v>
      </c>
      <c r="H45" s="24">
        <v>1867.5</v>
      </c>
      <c r="I45" s="24"/>
      <c r="J45" s="25" t="str">
        <f t="shared" si="0"/>
        <v>1</v>
      </c>
      <c r="K45" s="385"/>
      <c r="L45" s="385"/>
      <c r="M45" s="386">
        <f t="shared" si="1"/>
        <v>1867.5</v>
      </c>
      <c r="N45" s="496">
        <v>792</v>
      </c>
      <c r="O45" s="333">
        <f t="shared" si="2"/>
        <v>2659.5</v>
      </c>
      <c r="R45" s="23" t="str">
        <f>VLOOKUP(C:C,'Historic Data - working'!A:B,1,FALSE)</f>
        <v>ARU040</v>
      </c>
      <c r="U45" s="323"/>
      <c r="V45" s="323"/>
      <c r="W45" s="323"/>
    </row>
    <row r="46" spans="1:23" s="23" customFormat="1" ht="14.25" hidden="1" x14ac:dyDescent="0.2">
      <c r="A46" s="381" t="s">
        <v>323</v>
      </c>
      <c r="B46" s="381" t="s">
        <v>351</v>
      </c>
      <c r="C46" s="382" t="s">
        <v>486</v>
      </c>
      <c r="D46" s="381" t="s">
        <v>487</v>
      </c>
      <c r="E46" s="383" t="s">
        <v>488</v>
      </c>
      <c r="F46" s="381" t="s">
        <v>489</v>
      </c>
      <c r="G46" s="384" t="s">
        <v>329</v>
      </c>
      <c r="H46" s="24">
        <v>1352.51</v>
      </c>
      <c r="I46" s="24"/>
      <c r="J46" s="25" t="str">
        <f t="shared" si="0"/>
        <v>1</v>
      </c>
      <c r="K46" s="385"/>
      <c r="L46" s="385"/>
      <c r="M46" s="386">
        <f t="shared" si="1"/>
        <v>1352.51</v>
      </c>
      <c r="N46" s="496">
        <v>1403.84</v>
      </c>
      <c r="O46" s="333">
        <f t="shared" si="2"/>
        <v>2756.35</v>
      </c>
      <c r="R46" s="23" t="str">
        <f>VLOOKUP(C:C,'Historic Data - working'!A:B,1,FALSE)</f>
        <v>ARU041</v>
      </c>
      <c r="U46" s="323"/>
      <c r="V46" s="323"/>
      <c r="W46" s="323"/>
    </row>
    <row r="47" spans="1:23" s="23" customFormat="1" ht="14.25" hidden="1" x14ac:dyDescent="0.2">
      <c r="A47" s="381" t="s">
        <v>323</v>
      </c>
      <c r="B47" s="381" t="s">
        <v>324</v>
      </c>
      <c r="C47" s="382" t="s">
        <v>490</v>
      </c>
      <c r="D47" s="381" t="s">
        <v>491</v>
      </c>
      <c r="E47" s="383" t="s">
        <v>492</v>
      </c>
      <c r="F47" s="381" t="s">
        <v>493</v>
      </c>
      <c r="G47" s="384" t="s">
        <v>394</v>
      </c>
      <c r="H47" s="24">
        <v>1541.13</v>
      </c>
      <c r="I47" s="24"/>
      <c r="J47" s="25" t="str">
        <f t="shared" si="0"/>
        <v>1</v>
      </c>
      <c r="K47" s="387" t="s">
        <v>494</v>
      </c>
      <c r="L47" s="385">
        <v>101.31</v>
      </c>
      <c r="M47" s="386">
        <f t="shared" si="1"/>
        <v>1642.44</v>
      </c>
      <c r="N47" s="496">
        <v>226.84</v>
      </c>
      <c r="O47" s="333">
        <f t="shared" si="2"/>
        <v>1869.28</v>
      </c>
      <c r="R47" s="23" t="str">
        <f>VLOOKUP(C:C,'Historic Data - working'!A:B,1,FALSE)</f>
        <v>ARU042</v>
      </c>
      <c r="U47" s="323"/>
      <c r="V47" s="323"/>
      <c r="W47" s="323"/>
    </row>
    <row r="48" spans="1:23" s="23" customFormat="1" ht="14.25" hidden="1" x14ac:dyDescent="0.2">
      <c r="A48" s="381" t="s">
        <v>323</v>
      </c>
      <c r="B48" s="381" t="s">
        <v>324</v>
      </c>
      <c r="C48" s="382" t="s">
        <v>495</v>
      </c>
      <c r="D48" s="381" t="s">
        <v>496</v>
      </c>
      <c r="E48" s="383" t="s">
        <v>497</v>
      </c>
      <c r="F48" s="381" t="s">
        <v>498</v>
      </c>
      <c r="G48" s="384"/>
      <c r="H48" s="24"/>
      <c r="I48" s="24"/>
      <c r="J48" s="25" t="str">
        <f t="shared" si="0"/>
        <v xml:space="preserve"> </v>
      </c>
      <c r="K48" s="385"/>
      <c r="L48" s="385"/>
      <c r="M48" s="386">
        <f t="shared" si="1"/>
        <v>0</v>
      </c>
      <c r="N48" s="496"/>
      <c r="O48" s="333">
        <f t="shared" si="2"/>
        <v>0</v>
      </c>
      <c r="R48" s="23" t="e">
        <f>VLOOKUP(C:C,'Historic Data - working'!A:B,1,FALSE)</f>
        <v>#N/A</v>
      </c>
      <c r="U48" s="323"/>
      <c r="V48" s="323"/>
      <c r="W48" s="323"/>
    </row>
    <row r="49" spans="1:23" s="23" customFormat="1" ht="14.25" hidden="1" x14ac:dyDescent="0.2">
      <c r="A49" s="381" t="s">
        <v>323</v>
      </c>
      <c r="B49" s="381" t="s">
        <v>324</v>
      </c>
      <c r="C49" s="382" t="s">
        <v>499</v>
      </c>
      <c r="D49" s="381" t="s">
        <v>500</v>
      </c>
      <c r="E49" s="383" t="s">
        <v>61</v>
      </c>
      <c r="F49" s="381" t="s">
        <v>501</v>
      </c>
      <c r="G49" s="384" t="s">
        <v>329</v>
      </c>
      <c r="H49" s="24">
        <f>2130.54+140.26+100+2579.55+109.54</f>
        <v>5059.8900000000003</v>
      </c>
      <c r="I49" s="24"/>
      <c r="J49" s="25" t="str">
        <f t="shared" si="0"/>
        <v>1</v>
      </c>
      <c r="K49" s="385"/>
      <c r="L49" s="385"/>
      <c r="M49" s="386">
        <f t="shared" si="1"/>
        <v>5059.8900000000003</v>
      </c>
      <c r="N49" s="496">
        <v>1189</v>
      </c>
      <c r="O49" s="333">
        <f t="shared" si="2"/>
        <v>6248.89</v>
      </c>
      <c r="R49" s="23" t="str">
        <f>VLOOKUP(C:C,'Historic Data - working'!A:B,1,FALSE)</f>
        <v>ARU044</v>
      </c>
      <c r="U49" s="323"/>
      <c r="V49" s="323"/>
      <c r="W49" s="323"/>
    </row>
    <row r="50" spans="1:23" s="23" customFormat="1" ht="14.25" hidden="1" x14ac:dyDescent="0.2">
      <c r="A50" s="381" t="s">
        <v>323</v>
      </c>
      <c r="B50" s="381" t="s">
        <v>324</v>
      </c>
      <c r="C50" s="382" t="s">
        <v>502</v>
      </c>
      <c r="D50" s="381" t="s">
        <v>503</v>
      </c>
      <c r="E50" s="383" t="s">
        <v>504</v>
      </c>
      <c r="F50" s="381" t="s">
        <v>505</v>
      </c>
      <c r="G50" s="384" t="s">
        <v>329</v>
      </c>
      <c r="H50" s="24">
        <f>519.69+305</f>
        <v>824.69</v>
      </c>
      <c r="I50" s="24"/>
      <c r="J50" s="25" t="str">
        <f t="shared" si="0"/>
        <v>1</v>
      </c>
      <c r="K50" s="385"/>
      <c r="L50" s="385"/>
      <c r="M50" s="386">
        <f t="shared" si="1"/>
        <v>824.69</v>
      </c>
      <c r="N50" s="496">
        <v>895</v>
      </c>
      <c r="O50" s="333">
        <f t="shared" si="2"/>
        <v>1719.69</v>
      </c>
      <c r="R50" s="23" t="str">
        <f>VLOOKUP(C:C,'Historic Data - working'!A:B,1,FALSE)</f>
        <v>ARU045</v>
      </c>
      <c r="U50" s="323"/>
      <c r="V50" s="323"/>
      <c r="W50" s="323"/>
    </row>
    <row r="51" spans="1:23" s="23" customFormat="1" ht="14.25" hidden="1" x14ac:dyDescent="0.2">
      <c r="A51" s="381" t="s">
        <v>323</v>
      </c>
      <c r="B51" s="381" t="s">
        <v>324</v>
      </c>
      <c r="C51" s="382" t="s">
        <v>506</v>
      </c>
      <c r="D51" s="381" t="s">
        <v>507</v>
      </c>
      <c r="E51" s="383" t="s">
        <v>508</v>
      </c>
      <c r="F51" s="381" t="s">
        <v>509</v>
      </c>
      <c r="G51" s="384" t="s">
        <v>329</v>
      </c>
      <c r="H51" s="24"/>
      <c r="I51" s="24">
        <v>627.66999999999996</v>
      </c>
      <c r="J51" s="25" t="str">
        <f t="shared" si="0"/>
        <v>1</v>
      </c>
      <c r="K51" s="385"/>
      <c r="L51" s="385"/>
      <c r="M51" s="386">
        <f t="shared" si="1"/>
        <v>0</v>
      </c>
      <c r="N51" s="496">
        <v>883.67</v>
      </c>
      <c r="O51" s="333">
        <f t="shared" si="2"/>
        <v>883.67</v>
      </c>
      <c r="R51" s="23" t="str">
        <f>VLOOKUP(C:C,'Historic Data - working'!A:B,1,FALSE)</f>
        <v>ARU046</v>
      </c>
      <c r="U51" s="323"/>
      <c r="V51" s="323"/>
      <c r="W51" s="323"/>
    </row>
    <row r="52" spans="1:23" s="23" customFormat="1" ht="14.25" hidden="1" x14ac:dyDescent="0.2">
      <c r="A52" s="381" t="s">
        <v>323</v>
      </c>
      <c r="B52" s="381" t="s">
        <v>324</v>
      </c>
      <c r="C52" s="382" t="s">
        <v>510</v>
      </c>
      <c r="D52" s="381" t="s">
        <v>511</v>
      </c>
      <c r="E52" s="383" t="s">
        <v>512</v>
      </c>
      <c r="F52" s="381" t="s">
        <v>513</v>
      </c>
      <c r="G52" s="384" t="s">
        <v>329</v>
      </c>
      <c r="H52" s="24">
        <f>733.7+42.15+615.41</f>
        <v>1391.26</v>
      </c>
      <c r="I52" s="24"/>
      <c r="J52" s="25" t="str">
        <f t="shared" si="0"/>
        <v>1</v>
      </c>
      <c r="K52" s="387" t="s">
        <v>514</v>
      </c>
      <c r="L52" s="385">
        <v>36</v>
      </c>
      <c r="M52" s="386">
        <f t="shared" si="1"/>
        <v>1427.26</v>
      </c>
      <c r="N52" s="496">
        <v>1282</v>
      </c>
      <c r="O52" s="333">
        <f t="shared" si="2"/>
        <v>2709.26</v>
      </c>
      <c r="R52" s="23" t="str">
        <f>VLOOKUP(C:C,'Historic Data - working'!A:B,1,FALSE)</f>
        <v>ARU047</v>
      </c>
      <c r="U52" s="323"/>
      <c r="V52" s="323"/>
      <c r="W52" s="323"/>
    </row>
    <row r="53" spans="1:23" s="23" customFormat="1" ht="14.25" hidden="1" x14ac:dyDescent="0.2">
      <c r="A53" s="381" t="s">
        <v>323</v>
      </c>
      <c r="B53" s="381" t="s">
        <v>324</v>
      </c>
      <c r="C53" s="382" t="s">
        <v>515</v>
      </c>
      <c r="D53" s="381" t="s">
        <v>516</v>
      </c>
      <c r="E53" s="383" t="s">
        <v>238</v>
      </c>
      <c r="F53" s="381" t="s">
        <v>513</v>
      </c>
      <c r="G53" s="384" t="s">
        <v>329</v>
      </c>
      <c r="H53" s="24">
        <f>163.25+83.89+145+136.26</f>
        <v>528.4</v>
      </c>
      <c r="I53" s="24">
        <v>110</v>
      </c>
      <c r="J53" s="25" t="str">
        <f t="shared" si="0"/>
        <v>1</v>
      </c>
      <c r="K53" s="385" t="s">
        <v>517</v>
      </c>
      <c r="L53" s="385"/>
      <c r="M53" s="386">
        <f t="shared" si="1"/>
        <v>528.4</v>
      </c>
      <c r="N53" s="496">
        <v>155</v>
      </c>
      <c r="O53" s="333">
        <f t="shared" si="2"/>
        <v>683.4</v>
      </c>
      <c r="R53" s="23" t="str">
        <f>VLOOKUP(C:C,'Historic Data - working'!A:B,1,FALSE)</f>
        <v>ARU048</v>
      </c>
      <c r="U53" s="323"/>
      <c r="V53" s="323"/>
      <c r="W53" s="323"/>
    </row>
    <row r="54" spans="1:23" s="23" customFormat="1" ht="14.25" hidden="1" x14ac:dyDescent="0.2">
      <c r="A54" s="381" t="s">
        <v>323</v>
      </c>
      <c r="B54" s="381" t="s">
        <v>351</v>
      </c>
      <c r="C54" s="382" t="s">
        <v>518</v>
      </c>
      <c r="D54" s="381" t="s">
        <v>519</v>
      </c>
      <c r="E54" s="383" t="s">
        <v>520</v>
      </c>
      <c r="F54" s="381" t="s">
        <v>489</v>
      </c>
      <c r="G54" s="384" t="s">
        <v>329</v>
      </c>
      <c r="H54" s="24">
        <f>252+205+162</f>
        <v>619</v>
      </c>
      <c r="I54" s="24"/>
      <c r="J54" s="25" t="str">
        <f t="shared" si="0"/>
        <v>1</v>
      </c>
      <c r="K54" s="385"/>
      <c r="L54" s="385"/>
      <c r="M54" s="386">
        <f t="shared" si="1"/>
        <v>619</v>
      </c>
      <c r="N54" s="496">
        <v>155</v>
      </c>
      <c r="O54" s="333">
        <f t="shared" si="2"/>
        <v>774</v>
      </c>
      <c r="R54" s="23" t="str">
        <f>VLOOKUP(C:C,'Historic Data - working'!A:B,1,FALSE)</f>
        <v>ARU049</v>
      </c>
      <c r="U54" s="323"/>
      <c r="V54" s="323"/>
      <c r="W54" s="323"/>
    </row>
    <row r="55" spans="1:23" s="23" customFormat="1" ht="14.25" hidden="1" x14ac:dyDescent="0.2">
      <c r="A55" s="381" t="s">
        <v>323</v>
      </c>
      <c r="B55" s="381" t="s">
        <v>324</v>
      </c>
      <c r="C55" s="382" t="s">
        <v>521</v>
      </c>
      <c r="D55" s="381" t="s">
        <v>522</v>
      </c>
      <c r="E55" s="383" t="s">
        <v>523</v>
      </c>
      <c r="F55" s="381" t="s">
        <v>524</v>
      </c>
      <c r="G55" s="384" t="s">
        <v>329</v>
      </c>
      <c r="H55" s="24">
        <f>319.27+133.88+299.78+72.11+180+223.49+85.41+45.06</f>
        <v>1359</v>
      </c>
      <c r="I55" s="24"/>
      <c r="J55" s="25" t="str">
        <f t="shared" si="0"/>
        <v>1</v>
      </c>
      <c r="K55" s="385"/>
      <c r="L55" s="385"/>
      <c r="M55" s="386">
        <f t="shared" si="1"/>
        <v>1359</v>
      </c>
      <c r="N55" s="496">
        <v>1130</v>
      </c>
      <c r="O55" s="333">
        <f t="shared" si="2"/>
        <v>2489</v>
      </c>
      <c r="R55" s="23" t="str">
        <f>VLOOKUP(C:C,'Historic Data - working'!A:B,1,FALSE)</f>
        <v>ARU051</v>
      </c>
      <c r="U55" s="323"/>
      <c r="V55" s="323"/>
      <c r="W55" s="323"/>
    </row>
    <row r="56" spans="1:23" s="23" customFormat="1" ht="14.25" hidden="1" x14ac:dyDescent="0.2">
      <c r="A56" s="381" t="s">
        <v>323</v>
      </c>
      <c r="B56" s="381" t="s">
        <v>324</v>
      </c>
      <c r="C56" s="382" t="s">
        <v>525</v>
      </c>
      <c r="D56" s="381" t="s">
        <v>526</v>
      </c>
      <c r="E56" s="383" t="s">
        <v>527</v>
      </c>
      <c r="F56" s="381" t="s">
        <v>528</v>
      </c>
      <c r="G56" s="384" t="s">
        <v>329</v>
      </c>
      <c r="H56" s="24">
        <v>1746.21</v>
      </c>
      <c r="I56" s="24"/>
      <c r="J56" s="25" t="str">
        <f t="shared" si="0"/>
        <v>1</v>
      </c>
      <c r="K56" s="387" t="s">
        <v>529</v>
      </c>
      <c r="L56" s="385">
        <v>60.21</v>
      </c>
      <c r="M56" s="386">
        <f t="shared" si="1"/>
        <v>1806.42</v>
      </c>
      <c r="N56" s="496">
        <v>236</v>
      </c>
      <c r="O56" s="333">
        <f t="shared" si="2"/>
        <v>2042.42</v>
      </c>
      <c r="R56" s="23" t="str">
        <f>VLOOKUP(C:C,'Historic Data - working'!A:B,1,FALSE)</f>
        <v>ARU053</v>
      </c>
      <c r="U56" s="323"/>
      <c r="V56" s="323"/>
      <c r="W56" s="323"/>
    </row>
    <row r="57" spans="1:23" s="23" customFormat="1" ht="14.25" hidden="1" x14ac:dyDescent="0.2">
      <c r="A57" s="381" t="s">
        <v>323</v>
      </c>
      <c r="B57" s="381" t="s">
        <v>324</v>
      </c>
      <c r="C57" s="382" t="s">
        <v>530</v>
      </c>
      <c r="D57" s="381" t="s">
        <v>531</v>
      </c>
      <c r="E57" s="383" t="s">
        <v>532</v>
      </c>
      <c r="F57" s="385"/>
      <c r="G57" s="384"/>
      <c r="H57" s="24"/>
      <c r="I57" s="24"/>
      <c r="J57" s="25" t="str">
        <f t="shared" si="0"/>
        <v xml:space="preserve"> </v>
      </c>
      <c r="K57" s="385"/>
      <c r="L57" s="385"/>
      <c r="M57" s="386">
        <f t="shared" si="1"/>
        <v>0</v>
      </c>
      <c r="N57" s="496"/>
      <c r="O57" s="333">
        <f t="shared" si="2"/>
        <v>0</v>
      </c>
      <c r="R57" s="23" t="e">
        <f>VLOOKUP(C:C,'Historic Data - working'!A:B,1,FALSE)</f>
        <v>#N/A</v>
      </c>
      <c r="U57" s="323"/>
      <c r="V57" s="323"/>
      <c r="W57" s="323"/>
    </row>
    <row r="58" spans="1:23" s="23" customFormat="1" ht="14.25" hidden="1" x14ac:dyDescent="0.2">
      <c r="A58" s="381" t="s">
        <v>323</v>
      </c>
      <c r="B58" s="381" t="s">
        <v>324</v>
      </c>
      <c r="C58" s="382" t="s">
        <v>533</v>
      </c>
      <c r="D58" s="381" t="s">
        <v>534</v>
      </c>
      <c r="E58" s="383" t="s">
        <v>535</v>
      </c>
      <c r="F58" s="381" t="s">
        <v>528</v>
      </c>
      <c r="G58" s="384"/>
      <c r="H58" s="24"/>
      <c r="I58" s="24"/>
      <c r="J58" s="25" t="str">
        <f t="shared" si="0"/>
        <v xml:space="preserve"> </v>
      </c>
      <c r="K58" s="385"/>
      <c r="L58" s="385"/>
      <c r="M58" s="386">
        <f t="shared" si="1"/>
        <v>0</v>
      </c>
      <c r="N58" s="496"/>
      <c r="O58" s="333">
        <f t="shared" si="2"/>
        <v>0</v>
      </c>
      <c r="R58" s="23" t="e">
        <f>VLOOKUP(C:C,'Historic Data - working'!A:B,1,FALSE)</f>
        <v>#N/A</v>
      </c>
      <c r="U58" s="323"/>
      <c r="V58" s="323"/>
      <c r="W58" s="323"/>
    </row>
    <row r="59" spans="1:23" s="23" customFormat="1" ht="14.25" hidden="1" x14ac:dyDescent="0.2">
      <c r="A59" s="381" t="s">
        <v>323</v>
      </c>
      <c r="B59" s="381" t="s">
        <v>324</v>
      </c>
      <c r="C59" s="382" t="s">
        <v>536</v>
      </c>
      <c r="D59" s="381" t="s">
        <v>537</v>
      </c>
      <c r="E59" s="383" t="s">
        <v>83</v>
      </c>
      <c r="F59" s="381" t="s">
        <v>538</v>
      </c>
      <c r="G59" s="384"/>
      <c r="H59" s="24"/>
      <c r="I59" s="24"/>
      <c r="J59" s="25" t="str">
        <f t="shared" si="0"/>
        <v xml:space="preserve"> </v>
      </c>
      <c r="K59" s="385" t="s">
        <v>337</v>
      </c>
      <c r="L59" s="385">
        <v>620.37</v>
      </c>
      <c r="M59" s="386">
        <f t="shared" si="1"/>
        <v>620.37</v>
      </c>
      <c r="N59" s="496">
        <v>457</v>
      </c>
      <c r="O59" s="333">
        <f t="shared" si="2"/>
        <v>1077.3699999999999</v>
      </c>
      <c r="R59" s="23" t="str">
        <f>VLOOKUP(C:C,'Historic Data - working'!A:B,1,FALSE)</f>
        <v>ARU054</v>
      </c>
      <c r="U59" s="323"/>
      <c r="V59" s="323"/>
      <c r="W59" s="323"/>
    </row>
    <row r="60" spans="1:23" s="23" customFormat="1" ht="14.25" hidden="1" x14ac:dyDescent="0.2">
      <c r="A60" s="381" t="s">
        <v>323</v>
      </c>
      <c r="B60" s="381" t="s">
        <v>324</v>
      </c>
      <c r="C60" s="382" t="s">
        <v>539</v>
      </c>
      <c r="D60" s="381" t="s">
        <v>540</v>
      </c>
      <c r="E60" s="383" t="s">
        <v>61</v>
      </c>
      <c r="F60" s="381" t="s">
        <v>443</v>
      </c>
      <c r="G60" s="384"/>
      <c r="H60" s="24"/>
      <c r="I60" s="24"/>
      <c r="J60" s="25" t="str">
        <f t="shared" si="0"/>
        <v xml:space="preserve"> </v>
      </c>
      <c r="K60" s="385" t="s">
        <v>337</v>
      </c>
      <c r="L60" s="385">
        <v>75.64</v>
      </c>
      <c r="M60" s="386">
        <f t="shared" si="1"/>
        <v>75.64</v>
      </c>
      <c r="N60" s="496">
        <v>300</v>
      </c>
      <c r="O60" s="333">
        <f t="shared" si="2"/>
        <v>375.64</v>
      </c>
      <c r="R60" s="23" t="str">
        <f>VLOOKUP(C:C,'Historic Data - working'!A:B,1,FALSE)</f>
        <v>ARU055</v>
      </c>
      <c r="U60" s="323"/>
      <c r="V60" s="323"/>
      <c r="W60" s="323"/>
    </row>
    <row r="61" spans="1:23" s="23" customFormat="1" ht="14.25" hidden="1" x14ac:dyDescent="0.2">
      <c r="A61" s="381" t="s">
        <v>323</v>
      </c>
      <c r="B61" s="381" t="s">
        <v>324</v>
      </c>
      <c r="C61" s="382" t="s">
        <v>541</v>
      </c>
      <c r="D61" s="381" t="s">
        <v>542</v>
      </c>
      <c r="E61" s="383" t="s">
        <v>31</v>
      </c>
      <c r="F61" s="381" t="s">
        <v>443</v>
      </c>
      <c r="G61" s="384" t="s">
        <v>329</v>
      </c>
      <c r="H61" s="24">
        <f>157.48+179.89</f>
        <v>337.37</v>
      </c>
      <c r="I61" s="24"/>
      <c r="J61" s="25" t="str">
        <f t="shared" si="0"/>
        <v>1</v>
      </c>
      <c r="K61" s="385"/>
      <c r="L61" s="385"/>
      <c r="M61" s="386">
        <f t="shared" si="1"/>
        <v>337.37</v>
      </c>
      <c r="N61" s="496">
        <v>506</v>
      </c>
      <c r="O61" s="333">
        <f t="shared" si="2"/>
        <v>843.37</v>
      </c>
      <c r="R61" s="23" t="str">
        <f>VLOOKUP(C:C,'Historic Data - working'!A:B,1,FALSE)</f>
        <v>ARU056</v>
      </c>
      <c r="U61" s="323"/>
      <c r="V61" s="323"/>
      <c r="W61" s="323"/>
    </row>
    <row r="62" spans="1:23" s="23" customFormat="1" ht="14.25" hidden="1" x14ac:dyDescent="0.2">
      <c r="A62" s="381" t="s">
        <v>323</v>
      </c>
      <c r="B62" s="381" t="s">
        <v>324</v>
      </c>
      <c r="C62" s="382" t="s">
        <v>543</v>
      </c>
      <c r="D62" s="381" t="s">
        <v>544</v>
      </c>
      <c r="E62" s="383" t="s">
        <v>412</v>
      </c>
      <c r="F62" s="381" t="s">
        <v>545</v>
      </c>
      <c r="G62" s="384" t="s">
        <v>329</v>
      </c>
      <c r="H62" s="24">
        <f>399.84+483.57+85.5</f>
        <v>968.91</v>
      </c>
      <c r="I62" s="24"/>
      <c r="J62" s="25" t="str">
        <f t="shared" si="0"/>
        <v>1</v>
      </c>
      <c r="K62" s="385"/>
      <c r="L62" s="385"/>
      <c r="M62" s="386">
        <f t="shared" si="1"/>
        <v>968.91</v>
      </c>
      <c r="N62" s="496">
        <v>140</v>
      </c>
      <c r="O62" s="333">
        <f t="shared" si="2"/>
        <v>1108.9099999999999</v>
      </c>
      <c r="R62" s="23" t="str">
        <f>VLOOKUP(C:C,'Historic Data - working'!A:B,1,FALSE)</f>
        <v>ARU058</v>
      </c>
      <c r="U62" s="323"/>
      <c r="V62" s="323"/>
      <c r="W62" s="323"/>
    </row>
    <row r="63" spans="1:23" s="23" customFormat="1" ht="14.25" hidden="1" x14ac:dyDescent="0.2">
      <c r="A63" s="381" t="s">
        <v>323</v>
      </c>
      <c r="B63" s="381" t="s">
        <v>324</v>
      </c>
      <c r="C63" s="382" t="s">
        <v>546</v>
      </c>
      <c r="D63" s="381" t="s">
        <v>547</v>
      </c>
      <c r="E63" s="383" t="s">
        <v>548</v>
      </c>
      <c r="F63" s="381" t="s">
        <v>473</v>
      </c>
      <c r="G63" s="384" t="s">
        <v>329</v>
      </c>
      <c r="H63" s="24">
        <f>72.41+53.02+24.79+8.64+13.85+12.26+57.45+61.41</f>
        <v>303.83000000000004</v>
      </c>
      <c r="I63" s="24"/>
      <c r="J63" s="25" t="str">
        <f t="shared" si="0"/>
        <v>1</v>
      </c>
      <c r="K63" s="385" t="s">
        <v>549</v>
      </c>
      <c r="L63" s="385">
        <v>89.35</v>
      </c>
      <c r="M63" s="386">
        <f t="shared" si="1"/>
        <v>393.18000000000006</v>
      </c>
      <c r="N63" s="496">
        <v>40</v>
      </c>
      <c r="O63" s="333">
        <f t="shared" si="2"/>
        <v>433.18000000000006</v>
      </c>
      <c r="R63" s="23" t="str">
        <f>VLOOKUP(C:C,'Historic Data - working'!A:B,1,FALSE)</f>
        <v>ARU059</v>
      </c>
      <c r="U63" s="323"/>
      <c r="V63" s="323"/>
      <c r="W63" s="323"/>
    </row>
    <row r="64" spans="1:23" s="23" customFormat="1" ht="14.25" hidden="1" x14ac:dyDescent="0.2">
      <c r="A64" s="381" t="s">
        <v>323</v>
      </c>
      <c r="B64" s="381" t="s">
        <v>324</v>
      </c>
      <c r="C64" s="382" t="s">
        <v>550</v>
      </c>
      <c r="D64" s="381" t="s">
        <v>551</v>
      </c>
      <c r="E64" s="383" t="s">
        <v>193</v>
      </c>
      <c r="F64" s="381" t="s">
        <v>552</v>
      </c>
      <c r="G64" s="384" t="s">
        <v>329</v>
      </c>
      <c r="H64" s="24">
        <f>370+10+22+521</f>
        <v>923</v>
      </c>
      <c r="I64" s="24"/>
      <c r="J64" s="25" t="str">
        <f t="shared" si="0"/>
        <v>1</v>
      </c>
      <c r="K64" s="387" t="s">
        <v>553</v>
      </c>
      <c r="L64" s="385">
        <v>-370</v>
      </c>
      <c r="M64" s="386">
        <f t="shared" si="1"/>
        <v>553</v>
      </c>
      <c r="N64" s="496">
        <v>650.5</v>
      </c>
      <c r="O64" s="333">
        <f t="shared" si="2"/>
        <v>1203.5</v>
      </c>
      <c r="R64" s="23" t="str">
        <f>VLOOKUP(C:C,'Historic Data - working'!A:B,1,FALSE)</f>
        <v>ARU060</v>
      </c>
      <c r="U64" s="323"/>
      <c r="V64" s="323"/>
      <c r="W64" s="323"/>
    </row>
    <row r="65" spans="1:23" s="23" customFormat="1" ht="14.25" hidden="1" x14ac:dyDescent="0.2">
      <c r="A65" s="381" t="s">
        <v>323</v>
      </c>
      <c r="B65" s="381" t="s">
        <v>324</v>
      </c>
      <c r="C65" s="382" t="s">
        <v>554</v>
      </c>
      <c r="D65" s="381" t="s">
        <v>555</v>
      </c>
      <c r="E65" s="383" t="s">
        <v>556</v>
      </c>
      <c r="F65" s="381" t="s">
        <v>557</v>
      </c>
      <c r="G65" s="384"/>
      <c r="H65" s="24"/>
      <c r="I65" s="24"/>
      <c r="J65" s="25" t="str">
        <f t="shared" si="0"/>
        <v xml:space="preserve"> </v>
      </c>
      <c r="K65" s="385"/>
      <c r="L65" s="385"/>
      <c r="M65" s="386">
        <f t="shared" si="1"/>
        <v>0</v>
      </c>
      <c r="N65" s="496"/>
      <c r="O65" s="333">
        <f t="shared" si="2"/>
        <v>0</v>
      </c>
      <c r="R65" s="23" t="e">
        <f>VLOOKUP(C:C,'Historic Data - working'!A:B,1,FALSE)</f>
        <v>#N/A</v>
      </c>
      <c r="U65" s="323"/>
      <c r="V65" s="323"/>
      <c r="W65" s="323"/>
    </row>
    <row r="66" spans="1:23" s="23" customFormat="1" ht="14.25" hidden="1" x14ac:dyDescent="0.2">
      <c r="A66" s="381" t="s">
        <v>323</v>
      </c>
      <c r="B66" s="381" t="s">
        <v>324</v>
      </c>
      <c r="C66" s="382" t="s">
        <v>558</v>
      </c>
      <c r="D66" s="381" t="s">
        <v>559</v>
      </c>
      <c r="E66" s="383" t="s">
        <v>560</v>
      </c>
      <c r="F66" s="381" t="s">
        <v>561</v>
      </c>
      <c r="G66" s="384"/>
      <c r="H66" s="24"/>
      <c r="I66" s="24"/>
      <c r="J66" s="25" t="str">
        <f t="shared" ref="J66:J129" si="3">IF(G66="Y","1"," ")</f>
        <v xml:space="preserve"> </v>
      </c>
      <c r="K66" s="385"/>
      <c r="L66" s="385"/>
      <c r="M66" s="386">
        <f t="shared" ref="M66:M129" si="4">H66+L66</f>
        <v>0</v>
      </c>
      <c r="N66" s="496">
        <v>427</v>
      </c>
      <c r="O66" s="333">
        <f t="shared" ref="O66:O129" si="5">M66+N66</f>
        <v>427</v>
      </c>
      <c r="R66" s="23" t="str">
        <f>VLOOKUP(C:C,'Historic Data - working'!A:B,1,FALSE)</f>
        <v>ARU061</v>
      </c>
      <c r="U66" s="323"/>
      <c r="V66" s="323"/>
      <c r="W66" s="323"/>
    </row>
    <row r="67" spans="1:23" s="23" customFormat="1" ht="14.25" hidden="1" x14ac:dyDescent="0.2">
      <c r="A67" s="381" t="s">
        <v>323</v>
      </c>
      <c r="B67" s="381" t="s">
        <v>324</v>
      </c>
      <c r="C67" s="382" t="s">
        <v>562</v>
      </c>
      <c r="D67" s="381" t="s">
        <v>563</v>
      </c>
      <c r="E67" s="383" t="s">
        <v>564</v>
      </c>
      <c r="F67" s="381" t="s">
        <v>565</v>
      </c>
      <c r="G67" s="384" t="s">
        <v>329</v>
      </c>
      <c r="H67" s="24">
        <f>40+892.26+52+536.79+104.27+188.14+266.01+195.79+185.51+32+15+27.1+5+55.39+31.44+761.74+15.65+473.96+200.42+344.79+8+240+35+52.19</f>
        <v>4758.4500000000007</v>
      </c>
      <c r="I67" s="24"/>
      <c r="J67" s="25" t="str">
        <f t="shared" si="3"/>
        <v>1</v>
      </c>
      <c r="K67" s="385"/>
      <c r="L67" s="385"/>
      <c r="M67" s="386">
        <f t="shared" si="4"/>
        <v>4758.4500000000007</v>
      </c>
      <c r="N67" s="496">
        <v>580</v>
      </c>
      <c r="O67" s="333">
        <f t="shared" si="5"/>
        <v>5338.4500000000007</v>
      </c>
      <c r="R67" s="23" t="str">
        <f>VLOOKUP(C:C,'Historic Data - working'!A:B,1,FALSE)</f>
        <v>ARU062</v>
      </c>
      <c r="U67" s="323"/>
      <c r="V67" s="323"/>
      <c r="W67" s="323"/>
    </row>
    <row r="68" spans="1:23" s="23" customFormat="1" ht="14.25" hidden="1" x14ac:dyDescent="0.2">
      <c r="A68" s="381" t="s">
        <v>323</v>
      </c>
      <c r="B68" s="381" t="s">
        <v>351</v>
      </c>
      <c r="C68" s="382" t="s">
        <v>566</v>
      </c>
      <c r="D68" s="381" t="s">
        <v>567</v>
      </c>
      <c r="E68" s="383" t="s">
        <v>568</v>
      </c>
      <c r="F68" s="381" t="s">
        <v>569</v>
      </c>
      <c r="G68" s="384" t="s">
        <v>329</v>
      </c>
      <c r="H68" s="24"/>
      <c r="I68" s="24">
        <f>165.2+142.31</f>
        <v>307.51</v>
      </c>
      <c r="J68" s="25" t="str">
        <f t="shared" si="3"/>
        <v>1</v>
      </c>
      <c r="K68" s="385" t="s">
        <v>570</v>
      </c>
      <c r="L68" s="385"/>
      <c r="M68" s="386">
        <f t="shared" si="4"/>
        <v>0</v>
      </c>
      <c r="N68" s="496">
        <v>822.51</v>
      </c>
      <c r="O68" s="333">
        <f t="shared" si="5"/>
        <v>822.51</v>
      </c>
      <c r="R68" s="23" t="str">
        <f>VLOOKUP(C:C,'Historic Data - working'!A:B,1,FALSE)</f>
        <v>ARU063</v>
      </c>
      <c r="U68" s="323"/>
      <c r="V68" s="323"/>
      <c r="W68" s="323"/>
    </row>
    <row r="69" spans="1:23" s="23" customFormat="1" ht="14.25" hidden="1" x14ac:dyDescent="0.2">
      <c r="A69" s="381" t="s">
        <v>323</v>
      </c>
      <c r="B69" s="381" t="s">
        <v>324</v>
      </c>
      <c r="C69" s="382" t="s">
        <v>571</v>
      </c>
      <c r="D69" s="381" t="s">
        <v>572</v>
      </c>
      <c r="E69" s="383" t="s">
        <v>11</v>
      </c>
      <c r="F69" s="381" t="s">
        <v>573</v>
      </c>
      <c r="G69" s="384" t="s">
        <v>329</v>
      </c>
      <c r="H69" s="24">
        <f>6.18+13.35+3.49+4.52+24.48+4.57+13.5+66.14+21.69+54.1+6.61+42.05+10.27+7.85+4.1</f>
        <v>282.90000000000003</v>
      </c>
      <c r="I69" s="24"/>
      <c r="J69" s="25" t="str">
        <f t="shared" si="3"/>
        <v>1</v>
      </c>
      <c r="K69" s="386"/>
      <c r="L69" s="385"/>
      <c r="M69" s="386">
        <f t="shared" si="4"/>
        <v>282.90000000000003</v>
      </c>
      <c r="N69" s="496">
        <v>50</v>
      </c>
      <c r="O69" s="333">
        <f t="shared" si="5"/>
        <v>332.90000000000003</v>
      </c>
      <c r="R69" s="23" t="str">
        <f>VLOOKUP(C:C,'Historic Data - working'!A:B,1,FALSE)</f>
        <v>ARU064</v>
      </c>
      <c r="U69" s="323"/>
      <c r="V69" s="323"/>
      <c r="W69" s="323"/>
    </row>
    <row r="70" spans="1:23" s="23" customFormat="1" ht="14.25" hidden="1" x14ac:dyDescent="0.2">
      <c r="A70" s="381" t="s">
        <v>323</v>
      </c>
      <c r="B70" s="381" t="s">
        <v>351</v>
      </c>
      <c r="C70" s="382" t="s">
        <v>574</v>
      </c>
      <c r="D70" s="381" t="s">
        <v>575</v>
      </c>
      <c r="E70" s="383" t="s">
        <v>164</v>
      </c>
      <c r="F70" s="381" t="s">
        <v>576</v>
      </c>
      <c r="G70" s="384"/>
      <c r="H70" s="24"/>
      <c r="I70" s="24"/>
      <c r="J70" s="25" t="str">
        <f t="shared" si="3"/>
        <v xml:space="preserve"> </v>
      </c>
      <c r="K70" s="385"/>
      <c r="L70" s="385"/>
      <c r="M70" s="386">
        <f t="shared" si="4"/>
        <v>0</v>
      </c>
      <c r="N70" s="496"/>
      <c r="O70" s="333">
        <f t="shared" si="5"/>
        <v>0</v>
      </c>
      <c r="R70" s="23" t="e">
        <f>VLOOKUP(C:C,'Historic Data - working'!A:B,1,FALSE)</f>
        <v>#N/A</v>
      </c>
      <c r="U70" s="323"/>
      <c r="V70" s="323"/>
      <c r="W70" s="323"/>
    </row>
    <row r="71" spans="1:23" s="23" customFormat="1" ht="14.25" hidden="1" x14ac:dyDescent="0.2">
      <c r="A71" s="381" t="s">
        <v>323</v>
      </c>
      <c r="B71" s="381" t="s">
        <v>324</v>
      </c>
      <c r="C71" s="382" t="s">
        <v>577</v>
      </c>
      <c r="D71" s="381" t="s">
        <v>578</v>
      </c>
      <c r="E71" s="383" t="s">
        <v>579</v>
      </c>
      <c r="F71" s="381" t="s">
        <v>580</v>
      </c>
      <c r="G71" s="384" t="s">
        <v>329</v>
      </c>
      <c r="H71" s="24">
        <f>520.46+315.39+262.26+578.7+15.68</f>
        <v>1692.4900000000002</v>
      </c>
      <c r="I71" s="24"/>
      <c r="J71" s="25" t="str">
        <f t="shared" si="3"/>
        <v>1</v>
      </c>
      <c r="K71" s="385"/>
      <c r="L71" s="385"/>
      <c r="M71" s="386">
        <f t="shared" si="4"/>
        <v>1692.4900000000002</v>
      </c>
      <c r="N71" s="496">
        <v>945</v>
      </c>
      <c r="O71" s="333">
        <f t="shared" si="5"/>
        <v>2637.4900000000002</v>
      </c>
      <c r="R71" s="23" t="str">
        <f>VLOOKUP(C:C,'Historic Data - working'!A:B,1,FALSE)</f>
        <v>ARU066</v>
      </c>
      <c r="U71" s="323"/>
      <c r="V71" s="323"/>
      <c r="W71" s="323"/>
    </row>
    <row r="72" spans="1:23" s="23" customFormat="1" ht="14.25" hidden="1" x14ac:dyDescent="0.2">
      <c r="A72" s="381" t="s">
        <v>323</v>
      </c>
      <c r="B72" s="381" t="s">
        <v>324</v>
      </c>
      <c r="C72" s="382" t="s">
        <v>581</v>
      </c>
      <c r="D72" s="381" t="s">
        <v>582</v>
      </c>
      <c r="E72" s="383" t="s">
        <v>583</v>
      </c>
      <c r="F72" s="381" t="s">
        <v>584</v>
      </c>
      <c r="G72" s="384"/>
      <c r="H72" s="24"/>
      <c r="I72" s="24"/>
      <c r="J72" s="25" t="str">
        <f t="shared" si="3"/>
        <v xml:space="preserve"> </v>
      </c>
      <c r="K72" s="385" t="s">
        <v>337</v>
      </c>
      <c r="L72" s="385">
        <v>370</v>
      </c>
      <c r="M72" s="386">
        <f t="shared" si="4"/>
        <v>370</v>
      </c>
      <c r="N72" s="496">
        <v>170</v>
      </c>
      <c r="O72" s="333">
        <f t="shared" si="5"/>
        <v>540</v>
      </c>
      <c r="R72" s="23" t="str">
        <f>VLOOKUP(C:C,'Historic Data - working'!A:B,1,FALSE)</f>
        <v>ARU067</v>
      </c>
      <c r="U72" s="323"/>
      <c r="V72" s="323"/>
      <c r="W72" s="323"/>
    </row>
    <row r="73" spans="1:23" s="23" customFormat="1" ht="14.25" hidden="1" x14ac:dyDescent="0.2">
      <c r="A73" s="381" t="s">
        <v>323</v>
      </c>
      <c r="B73" s="381" t="s">
        <v>324</v>
      </c>
      <c r="C73" s="382" t="s">
        <v>585</v>
      </c>
      <c r="D73" s="381" t="s">
        <v>586</v>
      </c>
      <c r="E73" s="383" t="s">
        <v>130</v>
      </c>
      <c r="F73" s="381" t="s">
        <v>587</v>
      </c>
      <c r="G73" s="384" t="s">
        <v>329</v>
      </c>
      <c r="H73" s="24">
        <f>426.31+426.72+185.4</f>
        <v>1038.43</v>
      </c>
      <c r="I73" s="24"/>
      <c r="J73" s="25" t="str">
        <f t="shared" si="3"/>
        <v>1</v>
      </c>
      <c r="K73" s="385"/>
      <c r="L73" s="385"/>
      <c r="M73" s="386">
        <f t="shared" si="4"/>
        <v>1038.43</v>
      </c>
      <c r="N73" s="496">
        <v>510</v>
      </c>
      <c r="O73" s="333">
        <f t="shared" si="5"/>
        <v>1548.43</v>
      </c>
      <c r="R73" s="23" t="str">
        <f>VLOOKUP(C:C,'Historic Data - working'!A:B,1,FALSE)</f>
        <v>ARU068</v>
      </c>
      <c r="U73" s="323"/>
      <c r="V73" s="323"/>
      <c r="W73" s="323"/>
    </row>
    <row r="74" spans="1:23" s="23" customFormat="1" ht="14.25" hidden="1" x14ac:dyDescent="0.2">
      <c r="A74" s="381" t="s">
        <v>323</v>
      </c>
      <c r="B74" s="381" t="s">
        <v>324</v>
      </c>
      <c r="C74" s="382" t="s">
        <v>588</v>
      </c>
      <c r="D74" s="381" t="s">
        <v>589</v>
      </c>
      <c r="E74" s="383" t="s">
        <v>83</v>
      </c>
      <c r="F74" s="381" t="s">
        <v>590</v>
      </c>
      <c r="G74" s="384"/>
      <c r="H74" s="24"/>
      <c r="I74" s="24"/>
      <c r="J74" s="25" t="str">
        <f t="shared" si="3"/>
        <v xml:space="preserve"> </v>
      </c>
      <c r="K74" s="385" t="s">
        <v>337</v>
      </c>
      <c r="L74" s="385">
        <v>543.54999999999995</v>
      </c>
      <c r="M74" s="386">
        <f t="shared" si="4"/>
        <v>543.54999999999995</v>
      </c>
      <c r="N74" s="496">
        <v>386.13</v>
      </c>
      <c r="O74" s="333">
        <f t="shared" si="5"/>
        <v>929.68</v>
      </c>
      <c r="R74" s="23" t="str">
        <f>VLOOKUP(C:C,'Historic Data - working'!A:B,1,FALSE)</f>
        <v>ARU069</v>
      </c>
      <c r="U74" s="323"/>
      <c r="V74" s="323"/>
      <c r="W74" s="323"/>
    </row>
    <row r="75" spans="1:23" s="23" customFormat="1" ht="14.25" hidden="1" x14ac:dyDescent="0.2">
      <c r="A75" s="381" t="s">
        <v>323</v>
      </c>
      <c r="B75" s="381" t="s">
        <v>324</v>
      </c>
      <c r="C75" s="382" t="s">
        <v>591</v>
      </c>
      <c r="D75" s="381" t="s">
        <v>592</v>
      </c>
      <c r="E75" s="383" t="s">
        <v>164</v>
      </c>
      <c r="F75" s="381" t="s">
        <v>593</v>
      </c>
      <c r="G75" s="384" t="s">
        <v>329</v>
      </c>
      <c r="H75" s="24"/>
      <c r="I75" s="24">
        <f>1012.04+913.44</f>
        <v>1925.48</v>
      </c>
      <c r="J75" s="25" t="str">
        <f t="shared" si="3"/>
        <v>1</v>
      </c>
      <c r="K75" s="385"/>
      <c r="L75" s="385"/>
      <c r="M75" s="386">
        <f t="shared" si="4"/>
        <v>0</v>
      </c>
      <c r="N75" s="496">
        <v>2690.48</v>
      </c>
      <c r="O75" s="333">
        <f t="shared" si="5"/>
        <v>2690.48</v>
      </c>
      <c r="R75" s="23" t="str">
        <f>VLOOKUP(C:C,'Historic Data - working'!A:B,1,FALSE)</f>
        <v>ARU070</v>
      </c>
      <c r="U75" s="323"/>
      <c r="V75" s="323"/>
      <c r="W75" s="323"/>
    </row>
    <row r="76" spans="1:23" s="23" customFormat="1" ht="14.25" hidden="1" x14ac:dyDescent="0.2">
      <c r="A76" s="381" t="s">
        <v>323</v>
      </c>
      <c r="B76" s="381" t="s">
        <v>324</v>
      </c>
      <c r="C76" s="382" t="s">
        <v>594</v>
      </c>
      <c r="D76" s="381" t="s">
        <v>595</v>
      </c>
      <c r="E76" s="383" t="s">
        <v>428</v>
      </c>
      <c r="F76" s="381" t="s">
        <v>596</v>
      </c>
      <c r="G76" s="384"/>
      <c r="H76" s="24"/>
      <c r="I76" s="24"/>
      <c r="J76" s="25" t="str">
        <f t="shared" si="3"/>
        <v xml:space="preserve"> </v>
      </c>
      <c r="K76" s="385" t="s">
        <v>337</v>
      </c>
      <c r="L76" s="385">
        <v>388.36</v>
      </c>
      <c r="M76" s="386">
        <f t="shared" si="4"/>
        <v>388.36</v>
      </c>
      <c r="N76" s="496">
        <v>489</v>
      </c>
      <c r="O76" s="333">
        <f t="shared" si="5"/>
        <v>877.36</v>
      </c>
      <c r="R76" s="23" t="str">
        <f>VLOOKUP(C:C,'Historic Data - working'!A:B,1,FALSE)</f>
        <v>ARU071</v>
      </c>
      <c r="U76" s="323"/>
      <c r="V76" s="323"/>
      <c r="W76" s="323"/>
    </row>
    <row r="77" spans="1:23" s="23" customFormat="1" ht="14.25" hidden="1" x14ac:dyDescent="0.2">
      <c r="A77" s="381" t="s">
        <v>323</v>
      </c>
      <c r="B77" s="381" t="s">
        <v>324</v>
      </c>
      <c r="C77" s="382" t="s">
        <v>597</v>
      </c>
      <c r="D77" s="381" t="s">
        <v>598</v>
      </c>
      <c r="E77" s="383" t="s">
        <v>599</v>
      </c>
      <c r="F77" s="381" t="s">
        <v>596</v>
      </c>
      <c r="G77" s="384" t="s">
        <v>329</v>
      </c>
      <c r="H77" s="24">
        <v>653.5</v>
      </c>
      <c r="I77" s="24"/>
      <c r="J77" s="25" t="str">
        <f t="shared" si="3"/>
        <v>1</v>
      </c>
      <c r="K77" s="385"/>
      <c r="L77" s="385"/>
      <c r="M77" s="386">
        <f t="shared" si="4"/>
        <v>653.5</v>
      </c>
      <c r="N77" s="496">
        <v>545</v>
      </c>
      <c r="O77" s="333">
        <f t="shared" si="5"/>
        <v>1198.5</v>
      </c>
      <c r="R77" s="23" t="str">
        <f>VLOOKUP(C:C,'Historic Data - working'!A:B,1,FALSE)</f>
        <v>ARU072</v>
      </c>
      <c r="U77" s="323"/>
      <c r="V77" s="323"/>
      <c r="W77" s="323"/>
    </row>
    <row r="78" spans="1:23" s="23" customFormat="1" ht="14.25" hidden="1" x14ac:dyDescent="0.2">
      <c r="A78" s="381" t="s">
        <v>323</v>
      </c>
      <c r="B78" s="381" t="s">
        <v>324</v>
      </c>
      <c r="C78" s="382" t="s">
        <v>600</v>
      </c>
      <c r="D78" s="381" t="s">
        <v>601</v>
      </c>
      <c r="E78" s="383" t="s">
        <v>69</v>
      </c>
      <c r="F78" s="381" t="s">
        <v>602</v>
      </c>
      <c r="G78" s="384" t="s">
        <v>329</v>
      </c>
      <c r="H78" s="24">
        <v>575.82000000000005</v>
      </c>
      <c r="I78" s="24"/>
      <c r="J78" s="25" t="str">
        <f t="shared" si="3"/>
        <v>1</v>
      </c>
      <c r="K78" s="388"/>
      <c r="L78" s="385"/>
      <c r="M78" s="386">
        <f t="shared" si="4"/>
        <v>575.82000000000005</v>
      </c>
      <c r="N78" s="496">
        <v>125</v>
      </c>
      <c r="O78" s="333">
        <f t="shared" si="5"/>
        <v>700.82</v>
      </c>
      <c r="R78" s="23" t="str">
        <f>VLOOKUP(C:C,'Historic Data - working'!A:B,1,FALSE)</f>
        <v>ARU073</v>
      </c>
      <c r="U78" s="323"/>
      <c r="V78" s="323"/>
      <c r="W78" s="323"/>
    </row>
    <row r="79" spans="1:23" s="23" customFormat="1" ht="14.25" hidden="1" x14ac:dyDescent="0.2">
      <c r="A79" s="381" t="s">
        <v>323</v>
      </c>
      <c r="B79" s="381" t="s">
        <v>351</v>
      </c>
      <c r="C79" s="382" t="s">
        <v>603</v>
      </c>
      <c r="D79" s="381" t="s">
        <v>604</v>
      </c>
      <c r="E79" s="383" t="s">
        <v>605</v>
      </c>
      <c r="F79" s="381" t="s">
        <v>606</v>
      </c>
      <c r="G79" s="384" t="s">
        <v>329</v>
      </c>
      <c r="H79" s="24">
        <f>116.5+596.33+62.5</f>
        <v>775.33</v>
      </c>
      <c r="I79" s="24"/>
      <c r="J79" s="25" t="str">
        <f t="shared" si="3"/>
        <v>1</v>
      </c>
      <c r="K79" s="385"/>
      <c r="L79" s="385"/>
      <c r="M79" s="386">
        <f t="shared" si="4"/>
        <v>775.33</v>
      </c>
      <c r="N79" s="496">
        <v>700</v>
      </c>
      <c r="O79" s="333">
        <f t="shared" si="5"/>
        <v>1475.33</v>
      </c>
      <c r="R79" s="23" t="str">
        <f>VLOOKUP(C:C,'Historic Data - working'!A:B,1,FALSE)</f>
        <v>ARU074</v>
      </c>
      <c r="U79" s="323"/>
      <c r="V79" s="323"/>
      <c r="W79" s="323"/>
    </row>
    <row r="80" spans="1:23" s="23" customFormat="1" ht="14.25" hidden="1" x14ac:dyDescent="0.2">
      <c r="A80" s="381" t="s">
        <v>323</v>
      </c>
      <c r="B80" s="381" t="s">
        <v>351</v>
      </c>
      <c r="C80" s="382" t="s">
        <v>607</v>
      </c>
      <c r="D80" s="381" t="s">
        <v>608</v>
      </c>
      <c r="E80" s="383" t="s">
        <v>299</v>
      </c>
      <c r="F80" s="381" t="s">
        <v>609</v>
      </c>
      <c r="G80" s="384"/>
      <c r="H80" s="24"/>
      <c r="I80" s="24"/>
      <c r="J80" s="25" t="str">
        <f t="shared" si="3"/>
        <v xml:space="preserve"> </v>
      </c>
      <c r="K80" s="385"/>
      <c r="L80" s="385"/>
      <c r="M80" s="386">
        <f t="shared" si="4"/>
        <v>0</v>
      </c>
      <c r="N80" s="496"/>
      <c r="O80" s="333">
        <f t="shared" si="5"/>
        <v>0</v>
      </c>
      <c r="R80" s="23" t="e">
        <f>VLOOKUP(C:C,'Historic Data - working'!A:B,1,FALSE)</f>
        <v>#N/A</v>
      </c>
      <c r="U80" s="323"/>
      <c r="V80" s="323"/>
      <c r="W80" s="323"/>
    </row>
    <row r="81" spans="1:23" s="23" customFormat="1" ht="14.25" hidden="1" x14ac:dyDescent="0.2">
      <c r="A81" s="381" t="s">
        <v>323</v>
      </c>
      <c r="B81" s="381" t="s">
        <v>324</v>
      </c>
      <c r="C81" s="382" t="s">
        <v>610</v>
      </c>
      <c r="D81" s="381" t="s">
        <v>611</v>
      </c>
      <c r="E81" s="383" t="s">
        <v>612</v>
      </c>
      <c r="F81" s="381" t="s">
        <v>613</v>
      </c>
      <c r="G81" s="384"/>
      <c r="H81" s="24"/>
      <c r="I81" s="24"/>
      <c r="J81" s="25" t="str">
        <f t="shared" si="3"/>
        <v xml:space="preserve"> </v>
      </c>
      <c r="K81" s="385" t="s">
        <v>337</v>
      </c>
      <c r="L81" s="385">
        <v>290</v>
      </c>
      <c r="M81" s="386">
        <f t="shared" si="4"/>
        <v>290</v>
      </c>
      <c r="N81" s="496">
        <v>815</v>
      </c>
      <c r="O81" s="333">
        <f t="shared" si="5"/>
        <v>1105</v>
      </c>
      <c r="R81" s="23" t="str">
        <f>VLOOKUP(C:C,'Historic Data - working'!A:B,1,FALSE)</f>
        <v>ARU075</v>
      </c>
      <c r="U81" s="323"/>
      <c r="V81" s="323"/>
      <c r="W81" s="323"/>
    </row>
    <row r="82" spans="1:23" s="23" customFormat="1" ht="14.25" hidden="1" x14ac:dyDescent="0.2">
      <c r="A82" s="381" t="s">
        <v>323</v>
      </c>
      <c r="B82" s="381" t="s">
        <v>324</v>
      </c>
      <c r="C82" s="382" t="s">
        <v>614</v>
      </c>
      <c r="D82" s="381" t="s">
        <v>615</v>
      </c>
      <c r="E82" s="383" t="s">
        <v>335</v>
      </c>
      <c r="F82" s="381" t="s">
        <v>616</v>
      </c>
      <c r="G82" s="384" t="s">
        <v>329</v>
      </c>
      <c r="H82" s="24">
        <f>236.17+358.46</f>
        <v>594.63</v>
      </c>
      <c r="I82" s="24"/>
      <c r="J82" s="25" t="str">
        <f t="shared" si="3"/>
        <v>1</v>
      </c>
      <c r="K82" s="385" t="s">
        <v>617</v>
      </c>
      <c r="L82" s="385"/>
      <c r="M82" s="386">
        <f t="shared" si="4"/>
        <v>594.63</v>
      </c>
      <c r="N82" s="496">
        <v>430</v>
      </c>
      <c r="O82" s="334">
        <f t="shared" si="5"/>
        <v>1024.6300000000001</v>
      </c>
      <c r="P82" s="351" t="s">
        <v>329</v>
      </c>
      <c r="Q82" s="331"/>
      <c r="R82" s="331" t="e">
        <f>VLOOKUP(C:C,'Historic Data - working'!A:B,1,FALSE)</f>
        <v>#N/A</v>
      </c>
      <c r="U82" s="323"/>
      <c r="V82" s="323"/>
      <c r="W82" s="323"/>
    </row>
    <row r="83" spans="1:23" s="23" customFormat="1" ht="14.25" hidden="1" x14ac:dyDescent="0.2">
      <c r="A83" s="381" t="s">
        <v>323</v>
      </c>
      <c r="B83" s="381" t="s">
        <v>324</v>
      </c>
      <c r="C83" s="382" t="s">
        <v>618</v>
      </c>
      <c r="D83" s="381" t="s">
        <v>619</v>
      </c>
      <c r="E83" s="383" t="s">
        <v>620</v>
      </c>
      <c r="F83" s="381" t="s">
        <v>409</v>
      </c>
      <c r="G83" s="384" t="s">
        <v>329</v>
      </c>
      <c r="H83" s="24">
        <f>333.5+297.24+402.41+366.75+733.95</f>
        <v>2133.8500000000004</v>
      </c>
      <c r="I83" s="24"/>
      <c r="J83" s="25" t="str">
        <f t="shared" si="3"/>
        <v>1</v>
      </c>
      <c r="K83" s="385"/>
      <c r="L83" s="385"/>
      <c r="M83" s="386">
        <f t="shared" si="4"/>
        <v>2133.8500000000004</v>
      </c>
      <c r="N83" s="496">
        <v>117</v>
      </c>
      <c r="O83" s="333">
        <f t="shared" si="5"/>
        <v>2250.8500000000004</v>
      </c>
      <c r="R83" s="23" t="str">
        <f>VLOOKUP(C:C,'Historic Data - working'!A:B,1,FALSE)</f>
        <v>ARU077</v>
      </c>
      <c r="U83" s="323"/>
      <c r="V83" s="323"/>
      <c r="W83" s="323"/>
    </row>
    <row r="84" spans="1:23" s="23" customFormat="1" ht="14.25" hidden="1" x14ac:dyDescent="0.2">
      <c r="A84" s="381" t="s">
        <v>323</v>
      </c>
      <c r="B84" s="381" t="s">
        <v>324</v>
      </c>
      <c r="C84" s="382" t="s">
        <v>621</v>
      </c>
      <c r="D84" s="381" t="s">
        <v>622</v>
      </c>
      <c r="E84" s="383" t="s">
        <v>484</v>
      </c>
      <c r="F84" s="381" t="s">
        <v>489</v>
      </c>
      <c r="G84" s="384" t="s">
        <v>329</v>
      </c>
      <c r="H84" s="24">
        <f>393+182</f>
        <v>575</v>
      </c>
      <c r="I84" s="24"/>
      <c r="J84" s="25" t="str">
        <f t="shared" si="3"/>
        <v>1</v>
      </c>
      <c r="K84" s="385"/>
      <c r="L84" s="385"/>
      <c r="M84" s="386">
        <f t="shared" si="4"/>
        <v>575</v>
      </c>
      <c r="N84" s="496">
        <v>885</v>
      </c>
      <c r="O84" s="333">
        <f t="shared" si="5"/>
        <v>1460</v>
      </c>
      <c r="R84" s="23" t="str">
        <f>VLOOKUP(C:C,'Historic Data - working'!A:B,1,FALSE)</f>
        <v>ARU078</v>
      </c>
      <c r="U84" s="323"/>
      <c r="V84" s="323"/>
      <c r="W84" s="323"/>
    </row>
    <row r="85" spans="1:23" s="23" customFormat="1" ht="14.25" hidden="1" x14ac:dyDescent="0.2">
      <c r="A85" s="381" t="s">
        <v>323</v>
      </c>
      <c r="B85" s="381" t="s">
        <v>324</v>
      </c>
      <c r="C85" s="382" t="s">
        <v>623</v>
      </c>
      <c r="D85" s="381" t="s">
        <v>624</v>
      </c>
      <c r="E85" s="383" t="s">
        <v>625</v>
      </c>
      <c r="F85" s="381" t="s">
        <v>626</v>
      </c>
      <c r="G85" s="384" t="s">
        <v>329</v>
      </c>
      <c r="H85" s="24">
        <f>330+155+14+184.47+119.47+101+194+41.58</f>
        <v>1139.52</v>
      </c>
      <c r="I85" s="24"/>
      <c r="J85" s="25" t="str">
        <f t="shared" si="3"/>
        <v>1</v>
      </c>
      <c r="K85" s="387" t="s">
        <v>627</v>
      </c>
      <c r="L85" s="385">
        <v>-99.5</v>
      </c>
      <c r="M85" s="386">
        <f t="shared" si="4"/>
        <v>1040.02</v>
      </c>
      <c r="N85" s="496">
        <v>235</v>
      </c>
      <c r="O85" s="333">
        <f t="shared" si="5"/>
        <v>1275.02</v>
      </c>
      <c r="R85" s="23" t="str">
        <f>VLOOKUP(C:C,'Historic Data - working'!A:B,1,FALSE)</f>
        <v>ARU079</v>
      </c>
      <c r="U85" s="323"/>
      <c r="V85" s="323"/>
      <c r="W85" s="323"/>
    </row>
    <row r="86" spans="1:23" s="23" customFormat="1" ht="14.25" hidden="1" x14ac:dyDescent="0.2">
      <c r="A86" s="381" t="s">
        <v>323</v>
      </c>
      <c r="B86" s="381" t="s">
        <v>324</v>
      </c>
      <c r="C86" s="382" t="s">
        <v>628</v>
      </c>
      <c r="D86" s="381" t="s">
        <v>629</v>
      </c>
      <c r="E86" s="383" t="s">
        <v>630</v>
      </c>
      <c r="F86" s="381" t="s">
        <v>631</v>
      </c>
      <c r="G86" s="384" t="s">
        <v>329</v>
      </c>
      <c r="H86" s="24">
        <f>107.85+379.33+34.73</f>
        <v>521.91</v>
      </c>
      <c r="I86" s="24"/>
      <c r="J86" s="25" t="str">
        <f t="shared" si="3"/>
        <v>1</v>
      </c>
      <c r="K86" s="385"/>
      <c r="L86" s="385"/>
      <c r="M86" s="386">
        <f t="shared" si="4"/>
        <v>521.91</v>
      </c>
      <c r="N86" s="496">
        <v>255</v>
      </c>
      <c r="O86" s="333">
        <f t="shared" si="5"/>
        <v>776.91</v>
      </c>
      <c r="R86" s="23" t="str">
        <f>VLOOKUP(C:C,'Historic Data - working'!A:B,1,FALSE)</f>
        <v>ARU080</v>
      </c>
      <c r="U86" s="323"/>
      <c r="V86" s="323"/>
      <c r="W86" s="323"/>
    </row>
    <row r="87" spans="1:23" s="23" customFormat="1" ht="14.25" hidden="1" x14ac:dyDescent="0.2">
      <c r="A87" s="381" t="s">
        <v>323</v>
      </c>
      <c r="B87" s="381" t="s">
        <v>324</v>
      </c>
      <c r="C87" s="382" t="s">
        <v>632</v>
      </c>
      <c r="D87" s="381" t="s">
        <v>633</v>
      </c>
      <c r="E87" s="383" t="s">
        <v>634</v>
      </c>
      <c r="F87" s="381" t="s">
        <v>340</v>
      </c>
      <c r="G87" s="384" t="s">
        <v>329</v>
      </c>
      <c r="H87" s="24">
        <f>180.55+8.87+42.55+205.81+60.47</f>
        <v>498.25</v>
      </c>
      <c r="I87" s="24"/>
      <c r="J87" s="25" t="str">
        <f t="shared" si="3"/>
        <v>1</v>
      </c>
      <c r="K87" s="385"/>
      <c r="L87" s="385"/>
      <c r="M87" s="386">
        <f t="shared" si="4"/>
        <v>498.25</v>
      </c>
      <c r="N87" s="496">
        <v>218</v>
      </c>
      <c r="O87" s="333">
        <f t="shared" si="5"/>
        <v>716.25</v>
      </c>
      <c r="R87" s="23" t="str">
        <f>VLOOKUP(C:C,'Historic Data - working'!A:B,1,FALSE)</f>
        <v>ARU081</v>
      </c>
      <c r="U87" s="323"/>
      <c r="V87" s="323"/>
      <c r="W87" s="323"/>
    </row>
    <row r="88" spans="1:23" s="23" customFormat="1" ht="14.25" hidden="1" x14ac:dyDescent="0.2">
      <c r="A88" s="381" t="s">
        <v>323</v>
      </c>
      <c r="B88" s="381" t="s">
        <v>324</v>
      </c>
      <c r="C88" s="382" t="s">
        <v>635</v>
      </c>
      <c r="D88" s="381" t="s">
        <v>636</v>
      </c>
      <c r="E88" s="383" t="s">
        <v>78</v>
      </c>
      <c r="F88" s="381" t="s">
        <v>637</v>
      </c>
      <c r="G88" s="384"/>
      <c r="H88" s="24"/>
      <c r="I88" s="24"/>
      <c r="J88" s="25" t="str">
        <f t="shared" si="3"/>
        <v xml:space="preserve"> </v>
      </c>
      <c r="K88" s="385"/>
      <c r="L88" s="385"/>
      <c r="M88" s="386">
        <f t="shared" si="4"/>
        <v>0</v>
      </c>
      <c r="N88" s="496">
        <v>678.3</v>
      </c>
      <c r="O88" s="333">
        <f t="shared" si="5"/>
        <v>678.3</v>
      </c>
      <c r="R88" s="23" t="str">
        <f>VLOOKUP(C:C,'Historic Data - working'!A:B,1,FALSE)</f>
        <v>ARU083</v>
      </c>
      <c r="U88" s="323"/>
      <c r="V88" s="323"/>
      <c r="W88" s="323"/>
    </row>
    <row r="89" spans="1:23" s="23" customFormat="1" ht="14.25" hidden="1" x14ac:dyDescent="0.2">
      <c r="A89" s="381" t="s">
        <v>323</v>
      </c>
      <c r="B89" s="381" t="s">
        <v>324</v>
      </c>
      <c r="C89" s="382" t="s">
        <v>638</v>
      </c>
      <c r="D89" s="381" t="s">
        <v>639</v>
      </c>
      <c r="E89" s="383" t="s">
        <v>640</v>
      </c>
      <c r="F89" s="381" t="s">
        <v>443</v>
      </c>
      <c r="G89" s="384"/>
      <c r="H89" s="24"/>
      <c r="I89" s="24"/>
      <c r="J89" s="25" t="str">
        <f t="shared" si="3"/>
        <v xml:space="preserve"> </v>
      </c>
      <c r="K89" s="385"/>
      <c r="L89" s="385"/>
      <c r="M89" s="386">
        <f t="shared" si="4"/>
        <v>0</v>
      </c>
      <c r="N89" s="496">
        <v>516</v>
      </c>
      <c r="O89" s="333">
        <f t="shared" si="5"/>
        <v>516</v>
      </c>
      <c r="R89" s="23" t="str">
        <f>VLOOKUP(C:C,'Historic Data - working'!A:B,1,FALSE)</f>
        <v>ARU084</v>
      </c>
      <c r="U89" s="323"/>
      <c r="V89" s="323"/>
      <c r="W89" s="323"/>
    </row>
    <row r="90" spans="1:23" s="23" customFormat="1" ht="14.25" hidden="1" x14ac:dyDescent="0.2">
      <c r="A90" s="381" t="s">
        <v>323</v>
      </c>
      <c r="B90" s="381" t="s">
        <v>324</v>
      </c>
      <c r="C90" s="382" t="s">
        <v>641</v>
      </c>
      <c r="D90" s="381" t="s">
        <v>642</v>
      </c>
      <c r="E90" s="383" t="s">
        <v>643</v>
      </c>
      <c r="F90" s="381" t="s">
        <v>644</v>
      </c>
      <c r="G90" s="384" t="s">
        <v>329</v>
      </c>
      <c r="H90" s="24"/>
      <c r="I90" s="24">
        <v>753.66</v>
      </c>
      <c r="J90" s="25" t="str">
        <f t="shared" si="3"/>
        <v>1</v>
      </c>
      <c r="K90" s="385" t="s">
        <v>645</v>
      </c>
      <c r="L90" s="385"/>
      <c r="M90" s="386">
        <f t="shared" si="4"/>
        <v>0</v>
      </c>
      <c r="N90" s="496">
        <v>1058.6599999999999</v>
      </c>
      <c r="O90" s="333">
        <f t="shared" si="5"/>
        <v>1058.6599999999999</v>
      </c>
      <c r="R90" s="23" t="e">
        <f>VLOOKUP(C:C,'Historic Data - working'!A:B,1,FALSE)</f>
        <v>#N/A</v>
      </c>
      <c r="U90" s="323"/>
      <c r="V90" s="323"/>
      <c r="W90" s="323"/>
    </row>
    <row r="91" spans="1:23" s="23" customFormat="1" ht="14.25" hidden="1" x14ac:dyDescent="0.2">
      <c r="A91" s="381" t="s">
        <v>323</v>
      </c>
      <c r="B91" s="381" t="s">
        <v>324</v>
      </c>
      <c r="C91" s="382" t="s">
        <v>646</v>
      </c>
      <c r="D91" s="381" t="s">
        <v>647</v>
      </c>
      <c r="E91" s="383" t="s">
        <v>648</v>
      </c>
      <c r="F91" s="381" t="s">
        <v>649</v>
      </c>
      <c r="G91" s="384" t="s">
        <v>329</v>
      </c>
      <c r="H91" s="24">
        <f>41.41+124.5+204+249+248.75</f>
        <v>867.66</v>
      </c>
      <c r="I91" s="24"/>
      <c r="J91" s="25" t="str">
        <f t="shared" si="3"/>
        <v>1</v>
      </c>
      <c r="K91" s="385"/>
      <c r="L91" s="385"/>
      <c r="M91" s="386">
        <f t="shared" si="4"/>
        <v>867.66</v>
      </c>
      <c r="N91" s="496">
        <v>228</v>
      </c>
      <c r="O91" s="333">
        <f t="shared" si="5"/>
        <v>1095.6599999999999</v>
      </c>
      <c r="R91" s="23" t="str">
        <f>VLOOKUP(C:C,'Historic Data - working'!A:B,1,FALSE)</f>
        <v>ARU086</v>
      </c>
      <c r="U91" s="323"/>
      <c r="V91" s="323"/>
      <c r="W91" s="323"/>
    </row>
    <row r="92" spans="1:23" s="23" customFormat="1" ht="14.25" hidden="1" x14ac:dyDescent="0.2">
      <c r="A92" s="381" t="s">
        <v>323</v>
      </c>
      <c r="B92" s="381" t="s">
        <v>324</v>
      </c>
      <c r="C92" s="382" t="s">
        <v>650</v>
      </c>
      <c r="D92" s="381" t="s">
        <v>651</v>
      </c>
      <c r="E92" s="383" t="s">
        <v>652</v>
      </c>
      <c r="F92" s="381" t="s">
        <v>653</v>
      </c>
      <c r="G92" s="384"/>
      <c r="H92" s="24"/>
      <c r="I92" s="24"/>
      <c r="J92" s="25" t="str">
        <f t="shared" si="3"/>
        <v xml:space="preserve"> </v>
      </c>
      <c r="K92" s="385" t="s">
        <v>337</v>
      </c>
      <c r="L92" s="385">
        <v>156.13999999999999</v>
      </c>
      <c r="M92" s="386">
        <f t="shared" si="4"/>
        <v>156.13999999999999</v>
      </c>
      <c r="N92" s="496">
        <v>694</v>
      </c>
      <c r="O92" s="333">
        <f t="shared" si="5"/>
        <v>850.14</v>
      </c>
      <c r="R92" s="23" t="str">
        <f>VLOOKUP(C:C,'Historic Data - working'!A:B,1,FALSE)</f>
        <v>ARU087</v>
      </c>
      <c r="U92" s="323"/>
      <c r="V92" s="323"/>
      <c r="W92" s="323"/>
    </row>
    <row r="93" spans="1:23" s="23" customFormat="1" ht="14.25" hidden="1" x14ac:dyDescent="0.2">
      <c r="A93" s="381" t="s">
        <v>323</v>
      </c>
      <c r="B93" s="381" t="s">
        <v>324</v>
      </c>
      <c r="C93" s="382" t="s">
        <v>654</v>
      </c>
      <c r="D93" s="381" t="s">
        <v>655</v>
      </c>
      <c r="E93" s="383" t="s">
        <v>47</v>
      </c>
      <c r="F93" s="381" t="s">
        <v>656</v>
      </c>
      <c r="G93" s="384" t="s">
        <v>329</v>
      </c>
      <c r="H93" s="24">
        <f>56.27+9.99</f>
        <v>66.260000000000005</v>
      </c>
      <c r="I93" s="24"/>
      <c r="J93" s="25" t="str">
        <f t="shared" si="3"/>
        <v>1</v>
      </c>
      <c r="K93" s="385"/>
      <c r="L93" s="385"/>
      <c r="M93" s="386">
        <f t="shared" si="4"/>
        <v>66.260000000000005</v>
      </c>
      <c r="N93" s="496">
        <v>45</v>
      </c>
      <c r="O93" s="333">
        <f t="shared" si="5"/>
        <v>111.26</v>
      </c>
      <c r="R93" s="23" t="str">
        <f>VLOOKUP(C:C,'Historic Data - working'!A:B,1,FALSE)</f>
        <v>ARU088</v>
      </c>
      <c r="U93" s="323"/>
      <c r="V93" s="323"/>
      <c r="W93" s="323"/>
    </row>
    <row r="94" spans="1:23" s="23" customFormat="1" ht="14.25" hidden="1" x14ac:dyDescent="0.2">
      <c r="A94" s="381" t="s">
        <v>323</v>
      </c>
      <c r="B94" s="381" t="s">
        <v>324</v>
      </c>
      <c r="C94" s="382" t="s">
        <v>657</v>
      </c>
      <c r="D94" s="381" t="s">
        <v>658</v>
      </c>
      <c r="E94" s="383" t="s">
        <v>659</v>
      </c>
      <c r="F94" s="381" t="s">
        <v>660</v>
      </c>
      <c r="G94" s="384"/>
      <c r="H94" s="24"/>
      <c r="I94" s="24"/>
      <c r="J94" s="25" t="str">
        <f t="shared" si="3"/>
        <v xml:space="preserve"> </v>
      </c>
      <c r="K94" s="385" t="s">
        <v>337</v>
      </c>
      <c r="L94" s="385">
        <v>288.63</v>
      </c>
      <c r="M94" s="386">
        <f t="shared" si="4"/>
        <v>288.63</v>
      </c>
      <c r="N94" s="496">
        <v>240</v>
      </c>
      <c r="O94" s="333">
        <f t="shared" si="5"/>
        <v>528.63</v>
      </c>
      <c r="R94" s="23" t="str">
        <f>VLOOKUP(C:C,'Historic Data - working'!A:B,1,FALSE)</f>
        <v>ARU089</v>
      </c>
      <c r="U94" s="323"/>
      <c r="V94" s="323"/>
      <c r="W94" s="323"/>
    </row>
    <row r="95" spans="1:23" s="23" customFormat="1" ht="14.25" hidden="1" x14ac:dyDescent="0.2">
      <c r="A95" s="381" t="s">
        <v>323</v>
      </c>
      <c r="B95" s="381" t="s">
        <v>324</v>
      </c>
      <c r="C95" s="382" t="s">
        <v>661</v>
      </c>
      <c r="D95" s="381" t="s">
        <v>662</v>
      </c>
      <c r="E95" s="383" t="s">
        <v>579</v>
      </c>
      <c r="F95" s="381" t="s">
        <v>663</v>
      </c>
      <c r="G95" s="384"/>
      <c r="H95" s="24"/>
      <c r="I95" s="24"/>
      <c r="J95" s="25" t="str">
        <f t="shared" si="3"/>
        <v xml:space="preserve"> </v>
      </c>
      <c r="K95" s="385"/>
      <c r="L95" s="385"/>
      <c r="M95" s="386">
        <f t="shared" si="4"/>
        <v>0</v>
      </c>
      <c r="N95" s="496">
        <v>223.25</v>
      </c>
      <c r="O95" s="333">
        <f t="shared" si="5"/>
        <v>223.25</v>
      </c>
      <c r="R95" s="23" t="str">
        <f>VLOOKUP(C:C,'Historic Data - working'!A:B,1,FALSE)</f>
        <v>ARU090</v>
      </c>
      <c r="U95" s="323"/>
      <c r="V95" s="323"/>
      <c r="W95" s="323"/>
    </row>
    <row r="96" spans="1:23" s="23" customFormat="1" ht="14.25" hidden="1" x14ac:dyDescent="0.2">
      <c r="A96" s="381" t="s">
        <v>323</v>
      </c>
      <c r="B96" s="381" t="s">
        <v>324</v>
      </c>
      <c r="C96" s="382" t="s">
        <v>664</v>
      </c>
      <c r="D96" s="381" t="s">
        <v>665</v>
      </c>
      <c r="E96" s="383" t="s">
        <v>666</v>
      </c>
      <c r="F96" s="381" t="s">
        <v>667</v>
      </c>
      <c r="G96" s="384"/>
      <c r="H96" s="24"/>
      <c r="I96" s="24"/>
      <c r="J96" s="25" t="str">
        <f t="shared" si="3"/>
        <v xml:space="preserve"> </v>
      </c>
      <c r="K96" s="385"/>
      <c r="L96" s="385"/>
      <c r="M96" s="386">
        <f t="shared" si="4"/>
        <v>0</v>
      </c>
      <c r="N96" s="496"/>
      <c r="O96" s="333">
        <f t="shared" si="5"/>
        <v>0</v>
      </c>
      <c r="R96" s="23" t="e">
        <f>VLOOKUP(C:C,'Historic Data - working'!A:B,1,FALSE)</f>
        <v>#N/A</v>
      </c>
      <c r="U96" s="323"/>
      <c r="V96" s="323"/>
      <c r="W96" s="323"/>
    </row>
    <row r="97" spans="1:23" s="23" customFormat="1" ht="14.25" hidden="1" x14ac:dyDescent="0.2">
      <c r="A97" s="381" t="s">
        <v>323</v>
      </c>
      <c r="B97" s="381" t="s">
        <v>324</v>
      </c>
      <c r="C97" s="382" t="s">
        <v>668</v>
      </c>
      <c r="D97" s="381" t="s">
        <v>669</v>
      </c>
      <c r="E97" s="383" t="s">
        <v>670</v>
      </c>
      <c r="F97" s="381" t="s">
        <v>671</v>
      </c>
      <c r="G97" s="384" t="s">
        <v>329</v>
      </c>
      <c r="H97" s="24">
        <f>34+299+199+41+95+374+144+191+145</f>
        <v>1522</v>
      </c>
      <c r="I97" s="24"/>
      <c r="J97" s="25" t="str">
        <f t="shared" si="3"/>
        <v>1</v>
      </c>
      <c r="K97" s="385"/>
      <c r="L97" s="385"/>
      <c r="M97" s="386">
        <f t="shared" si="4"/>
        <v>1522</v>
      </c>
      <c r="N97" s="496">
        <v>190</v>
      </c>
      <c r="O97" s="333">
        <f t="shared" si="5"/>
        <v>1712</v>
      </c>
      <c r="R97" s="23" t="str">
        <f>VLOOKUP(C:C,'Historic Data - working'!A:B,1,FALSE)</f>
        <v>ARU092</v>
      </c>
      <c r="U97" s="323"/>
      <c r="V97" s="323"/>
      <c r="W97" s="323"/>
    </row>
    <row r="98" spans="1:23" s="23" customFormat="1" ht="14.25" hidden="1" x14ac:dyDescent="0.2">
      <c r="A98" s="381" t="s">
        <v>323</v>
      </c>
      <c r="B98" s="381" t="s">
        <v>324</v>
      </c>
      <c r="C98" s="382" t="s">
        <v>672</v>
      </c>
      <c r="D98" s="381" t="s">
        <v>673</v>
      </c>
      <c r="E98" s="383" t="s">
        <v>47</v>
      </c>
      <c r="F98" s="381" t="s">
        <v>674</v>
      </c>
      <c r="G98" s="384" t="s">
        <v>329</v>
      </c>
      <c r="H98" s="24">
        <v>358.07</v>
      </c>
      <c r="I98" s="24"/>
      <c r="J98" s="25" t="str">
        <f t="shared" si="3"/>
        <v>1</v>
      </c>
      <c r="K98" s="385"/>
      <c r="L98" s="385"/>
      <c r="M98" s="386">
        <f t="shared" si="4"/>
        <v>358.07</v>
      </c>
      <c r="N98" s="496">
        <v>530</v>
      </c>
      <c r="O98" s="333">
        <f t="shared" si="5"/>
        <v>888.06999999999994</v>
      </c>
      <c r="R98" s="23" t="str">
        <f>VLOOKUP(C:C,'Historic Data - working'!A:B,1,FALSE)</f>
        <v>ARU093</v>
      </c>
      <c r="U98" s="323"/>
      <c r="V98" s="323"/>
      <c r="W98" s="323"/>
    </row>
    <row r="99" spans="1:23" s="23" customFormat="1" ht="14.25" hidden="1" x14ac:dyDescent="0.2">
      <c r="A99" s="381" t="s">
        <v>323</v>
      </c>
      <c r="B99" s="381" t="s">
        <v>324</v>
      </c>
      <c r="C99" s="382" t="s">
        <v>675</v>
      </c>
      <c r="D99" s="381" t="s">
        <v>676</v>
      </c>
      <c r="E99" s="383" t="s">
        <v>677</v>
      </c>
      <c r="F99" s="381" t="s">
        <v>678</v>
      </c>
      <c r="G99" s="384"/>
      <c r="H99" s="24"/>
      <c r="I99" s="24"/>
      <c r="J99" s="25" t="str">
        <f t="shared" si="3"/>
        <v xml:space="preserve"> </v>
      </c>
      <c r="K99" s="385"/>
      <c r="L99" s="385"/>
      <c r="M99" s="386">
        <f t="shared" si="4"/>
        <v>0</v>
      </c>
      <c r="N99" s="496"/>
      <c r="O99" s="333">
        <f t="shared" si="5"/>
        <v>0</v>
      </c>
      <c r="R99" s="23" t="e">
        <f>VLOOKUP(C:C,'Historic Data - working'!A:B,1,FALSE)</f>
        <v>#N/A</v>
      </c>
      <c r="U99" s="323"/>
      <c r="V99" s="323"/>
      <c r="W99" s="323"/>
    </row>
    <row r="100" spans="1:23" s="23" customFormat="1" ht="14.25" hidden="1" x14ac:dyDescent="0.2">
      <c r="A100" s="381" t="s">
        <v>323</v>
      </c>
      <c r="B100" s="381" t="s">
        <v>324</v>
      </c>
      <c r="C100" s="382" t="s">
        <v>679</v>
      </c>
      <c r="D100" s="381" t="s">
        <v>680</v>
      </c>
      <c r="E100" s="383" t="s">
        <v>69</v>
      </c>
      <c r="F100" s="381" t="s">
        <v>681</v>
      </c>
      <c r="G100" s="384"/>
      <c r="H100" s="24"/>
      <c r="I100" s="24"/>
      <c r="J100" s="25" t="str">
        <f t="shared" si="3"/>
        <v xml:space="preserve"> </v>
      </c>
      <c r="K100" s="385" t="s">
        <v>337</v>
      </c>
      <c r="L100" s="385">
        <v>349.97</v>
      </c>
      <c r="M100" s="386">
        <f t="shared" si="4"/>
        <v>349.97</v>
      </c>
      <c r="N100" s="496">
        <v>177</v>
      </c>
      <c r="O100" s="333">
        <f t="shared" si="5"/>
        <v>526.97</v>
      </c>
      <c r="R100" s="23" t="str">
        <f>VLOOKUP(C:C,'Historic Data - working'!A:B,1,FALSE)</f>
        <v>ARU094</v>
      </c>
      <c r="U100" s="323"/>
      <c r="V100" s="323"/>
      <c r="W100" s="323"/>
    </row>
    <row r="101" spans="1:23" s="23" customFormat="1" ht="14.25" hidden="1" x14ac:dyDescent="0.2">
      <c r="A101" s="381" t="s">
        <v>323</v>
      </c>
      <c r="B101" s="381" t="s">
        <v>324</v>
      </c>
      <c r="C101" s="382" t="s">
        <v>682</v>
      </c>
      <c r="D101" s="381" t="s">
        <v>683</v>
      </c>
      <c r="E101" s="383" t="s">
        <v>72</v>
      </c>
      <c r="F101" s="381" t="s">
        <v>409</v>
      </c>
      <c r="G101" s="384" t="s">
        <v>329</v>
      </c>
      <c r="H101" s="24">
        <v>2025.94</v>
      </c>
      <c r="I101" s="24"/>
      <c r="J101" s="25" t="str">
        <f t="shared" si="3"/>
        <v>1</v>
      </c>
      <c r="K101" s="385"/>
      <c r="L101" s="385"/>
      <c r="M101" s="386">
        <f t="shared" si="4"/>
        <v>2025.94</v>
      </c>
      <c r="N101" s="496"/>
      <c r="O101" s="333">
        <f t="shared" si="5"/>
        <v>2025.94</v>
      </c>
      <c r="R101" s="23" t="str">
        <f>VLOOKUP(C:C,'Historic Data - working'!A:B,1,FALSE)</f>
        <v>ARU096</v>
      </c>
      <c r="U101" s="323"/>
      <c r="V101" s="323"/>
      <c r="W101" s="323"/>
    </row>
    <row r="102" spans="1:23" s="23" customFormat="1" ht="14.25" hidden="1" x14ac:dyDescent="0.2">
      <c r="A102" s="381" t="s">
        <v>323</v>
      </c>
      <c r="B102" s="381" t="s">
        <v>324</v>
      </c>
      <c r="C102" s="382" t="s">
        <v>684</v>
      </c>
      <c r="D102" s="381" t="s">
        <v>685</v>
      </c>
      <c r="E102" s="383" t="s">
        <v>686</v>
      </c>
      <c r="F102" s="381" t="s">
        <v>687</v>
      </c>
      <c r="G102" s="384"/>
      <c r="H102" s="24"/>
      <c r="I102" s="24"/>
      <c r="J102" s="25" t="str">
        <f t="shared" si="3"/>
        <v xml:space="preserve"> </v>
      </c>
      <c r="K102" s="385"/>
      <c r="L102" s="385"/>
      <c r="M102" s="386">
        <f t="shared" si="4"/>
        <v>0</v>
      </c>
      <c r="N102" s="496"/>
      <c r="O102" s="333">
        <f t="shared" si="5"/>
        <v>0</v>
      </c>
      <c r="R102" s="23" t="str">
        <f>VLOOKUP(C:C,'Historic Data - working'!A:B,1,FALSE)</f>
        <v>ARU097</v>
      </c>
      <c r="U102" s="323"/>
      <c r="V102" s="323"/>
      <c r="W102" s="323"/>
    </row>
    <row r="103" spans="1:23" s="23" customFormat="1" ht="14.25" hidden="1" x14ac:dyDescent="0.2">
      <c r="A103" s="381" t="s">
        <v>323</v>
      </c>
      <c r="B103" s="381" t="s">
        <v>324</v>
      </c>
      <c r="C103" s="382" t="s">
        <v>688</v>
      </c>
      <c r="D103" s="381" t="s">
        <v>689</v>
      </c>
      <c r="E103" s="383" t="s">
        <v>690</v>
      </c>
      <c r="F103" s="381" t="s">
        <v>644</v>
      </c>
      <c r="G103" s="384" t="s">
        <v>329</v>
      </c>
      <c r="H103" s="24">
        <v>0</v>
      </c>
      <c r="I103" s="24">
        <v>0</v>
      </c>
      <c r="J103" s="25" t="str">
        <f t="shared" si="3"/>
        <v>1</v>
      </c>
      <c r="K103" s="385" t="s">
        <v>691</v>
      </c>
      <c r="L103" s="385"/>
      <c r="M103" s="386">
        <f t="shared" si="4"/>
        <v>0</v>
      </c>
      <c r="N103" s="496">
        <v>2725</v>
      </c>
      <c r="O103" s="333">
        <f t="shared" si="5"/>
        <v>2725</v>
      </c>
      <c r="R103" s="23" t="e">
        <f>VLOOKUP(C:C,'Historic Data - working'!A:B,1,FALSE)</f>
        <v>#N/A</v>
      </c>
      <c r="U103" s="323"/>
      <c r="V103" s="323"/>
      <c r="W103" s="323"/>
    </row>
    <row r="104" spans="1:23" s="23" customFormat="1" ht="14.25" hidden="1" x14ac:dyDescent="0.2">
      <c r="A104" s="381" t="s">
        <v>323</v>
      </c>
      <c r="B104" s="381" t="s">
        <v>351</v>
      </c>
      <c r="C104" s="382" t="s">
        <v>692</v>
      </c>
      <c r="D104" s="381" t="s">
        <v>693</v>
      </c>
      <c r="E104" s="383" t="s">
        <v>694</v>
      </c>
      <c r="F104" s="381" t="s">
        <v>644</v>
      </c>
      <c r="G104" s="384"/>
      <c r="H104" s="24"/>
      <c r="I104" s="24"/>
      <c r="J104" s="25" t="str">
        <f t="shared" si="3"/>
        <v xml:space="preserve"> </v>
      </c>
      <c r="K104" s="385"/>
      <c r="L104" s="385"/>
      <c r="M104" s="386">
        <f t="shared" si="4"/>
        <v>0</v>
      </c>
      <c r="N104" s="496"/>
      <c r="O104" s="333">
        <f t="shared" si="5"/>
        <v>0</v>
      </c>
      <c r="R104" s="23" t="e">
        <f>VLOOKUP(C:C,'Historic Data - working'!A:B,1,FALSE)</f>
        <v>#N/A</v>
      </c>
      <c r="U104" s="323"/>
      <c r="V104" s="323"/>
      <c r="W104" s="323"/>
    </row>
    <row r="105" spans="1:23" s="23" customFormat="1" ht="14.25" hidden="1" x14ac:dyDescent="0.2">
      <c r="A105" s="381" t="s">
        <v>323</v>
      </c>
      <c r="B105" s="381" t="s">
        <v>351</v>
      </c>
      <c r="C105" s="382" t="s">
        <v>695</v>
      </c>
      <c r="D105" s="381" t="s">
        <v>696</v>
      </c>
      <c r="E105" s="383" t="s">
        <v>697</v>
      </c>
      <c r="F105" s="381" t="s">
        <v>698</v>
      </c>
      <c r="G105" s="384" t="s">
        <v>329</v>
      </c>
      <c r="H105" s="24">
        <v>234.62</v>
      </c>
      <c r="I105" s="24"/>
      <c r="J105" s="25" t="str">
        <f t="shared" si="3"/>
        <v>1</v>
      </c>
      <c r="K105" s="385"/>
      <c r="L105" s="385"/>
      <c r="M105" s="386">
        <f t="shared" si="4"/>
        <v>234.62</v>
      </c>
      <c r="N105" s="496">
        <v>184</v>
      </c>
      <c r="O105" s="333">
        <f t="shared" si="5"/>
        <v>418.62</v>
      </c>
      <c r="R105" s="23" t="str">
        <f>VLOOKUP(C:C,'Historic Data - working'!A:B,1,FALSE)</f>
        <v>ARU099</v>
      </c>
      <c r="U105" s="323"/>
      <c r="V105" s="323"/>
      <c r="W105" s="323"/>
    </row>
    <row r="106" spans="1:23" s="23" customFormat="1" ht="14.25" hidden="1" x14ac:dyDescent="0.2">
      <c r="A106" s="381" t="s">
        <v>323</v>
      </c>
      <c r="B106" s="381" t="s">
        <v>324</v>
      </c>
      <c r="C106" s="382" t="s">
        <v>699</v>
      </c>
      <c r="D106" s="381" t="s">
        <v>700</v>
      </c>
      <c r="E106" s="383" t="s">
        <v>701</v>
      </c>
      <c r="F106" s="381" t="s">
        <v>390</v>
      </c>
      <c r="G106" s="384" t="s">
        <v>329</v>
      </c>
      <c r="H106" s="24">
        <f>71.93+266.71+68.21+71.08+235.59+100.41+49.14+45.78+13.6</f>
        <v>922.44999999999993</v>
      </c>
      <c r="I106" s="24"/>
      <c r="J106" s="25" t="str">
        <f t="shared" si="3"/>
        <v>1</v>
      </c>
      <c r="K106" s="385" t="s">
        <v>702</v>
      </c>
      <c r="L106" s="385"/>
      <c r="M106" s="386">
        <f t="shared" si="4"/>
        <v>922.44999999999993</v>
      </c>
      <c r="N106" s="496">
        <v>275</v>
      </c>
      <c r="O106" s="333">
        <f t="shared" si="5"/>
        <v>1197.4499999999998</v>
      </c>
      <c r="R106" s="23" t="str">
        <f>VLOOKUP(C:C,'Historic Data - working'!A:B,1,FALSE)</f>
        <v>ARU100</v>
      </c>
      <c r="U106" s="323"/>
      <c r="V106" s="323"/>
      <c r="W106" s="323"/>
    </row>
    <row r="107" spans="1:23" s="23" customFormat="1" ht="14.25" hidden="1" x14ac:dyDescent="0.2">
      <c r="A107" s="381" t="s">
        <v>323</v>
      </c>
      <c r="B107" s="381" t="s">
        <v>324</v>
      </c>
      <c r="C107" s="382" t="s">
        <v>703</v>
      </c>
      <c r="D107" s="381" t="s">
        <v>704</v>
      </c>
      <c r="E107" s="383" t="s">
        <v>705</v>
      </c>
      <c r="F107" s="381" t="s">
        <v>706</v>
      </c>
      <c r="G107" s="384" t="s">
        <v>329</v>
      </c>
      <c r="H107" s="24">
        <f>60+25+168+41+194</f>
        <v>488</v>
      </c>
      <c r="I107" s="24"/>
      <c r="J107" s="25" t="str">
        <f t="shared" si="3"/>
        <v>1</v>
      </c>
      <c r="K107" s="385"/>
      <c r="L107" s="385"/>
      <c r="M107" s="386">
        <f t="shared" si="4"/>
        <v>488</v>
      </c>
      <c r="N107" s="496">
        <v>185</v>
      </c>
      <c r="O107" s="333">
        <f t="shared" si="5"/>
        <v>673</v>
      </c>
      <c r="R107" s="23" t="str">
        <f>VLOOKUP(C:C,'Historic Data - working'!A:B,1,FALSE)</f>
        <v>ARU101</v>
      </c>
      <c r="U107" s="323"/>
      <c r="V107" s="323"/>
      <c r="W107" s="323"/>
    </row>
    <row r="108" spans="1:23" s="23" customFormat="1" ht="14.25" hidden="1" x14ac:dyDescent="0.2">
      <c r="A108" s="381" t="s">
        <v>323</v>
      </c>
      <c r="B108" s="381" t="s">
        <v>324</v>
      </c>
      <c r="C108" s="382" t="s">
        <v>707</v>
      </c>
      <c r="D108" s="381" t="s">
        <v>708</v>
      </c>
      <c r="E108" s="383" t="s">
        <v>709</v>
      </c>
      <c r="F108" s="381" t="s">
        <v>710</v>
      </c>
      <c r="G108" s="384"/>
      <c r="H108" s="24"/>
      <c r="I108" s="24"/>
      <c r="J108" s="25" t="str">
        <f t="shared" si="3"/>
        <v xml:space="preserve"> </v>
      </c>
      <c r="K108" s="385"/>
      <c r="L108" s="385"/>
      <c r="M108" s="386">
        <f t="shared" si="4"/>
        <v>0</v>
      </c>
      <c r="N108" s="496">
        <v>212.75</v>
      </c>
      <c r="O108" s="333">
        <f t="shared" si="5"/>
        <v>212.75</v>
      </c>
      <c r="R108" s="23" t="str">
        <f>VLOOKUP(C:C,'Historic Data - working'!A:B,1,FALSE)</f>
        <v>ARU102</v>
      </c>
      <c r="U108" s="323"/>
      <c r="V108" s="323"/>
      <c r="W108" s="323"/>
    </row>
    <row r="109" spans="1:23" s="23" customFormat="1" ht="14.25" hidden="1" x14ac:dyDescent="0.2">
      <c r="A109" s="381" t="s">
        <v>323</v>
      </c>
      <c r="B109" s="381" t="s">
        <v>324</v>
      </c>
      <c r="C109" s="382" t="s">
        <v>711</v>
      </c>
      <c r="D109" s="381" t="s">
        <v>712</v>
      </c>
      <c r="E109" s="383" t="s">
        <v>713</v>
      </c>
      <c r="F109" s="381" t="s">
        <v>714</v>
      </c>
      <c r="G109" s="384"/>
      <c r="H109" s="24"/>
      <c r="I109" s="24"/>
      <c r="J109" s="25" t="str">
        <f t="shared" si="3"/>
        <v xml:space="preserve"> </v>
      </c>
      <c r="K109" s="385"/>
      <c r="L109" s="385"/>
      <c r="M109" s="386">
        <f t="shared" si="4"/>
        <v>0</v>
      </c>
      <c r="N109" s="496">
        <v>135</v>
      </c>
      <c r="O109" s="333">
        <f t="shared" si="5"/>
        <v>135</v>
      </c>
      <c r="R109" s="23" t="str">
        <f>VLOOKUP(C:C,'Historic Data - working'!A:B,1,FALSE)</f>
        <v>ARU103</v>
      </c>
      <c r="U109" s="323"/>
      <c r="V109" s="323"/>
      <c r="W109" s="323"/>
    </row>
    <row r="110" spans="1:23" s="23" customFormat="1" ht="14.25" hidden="1" x14ac:dyDescent="0.2">
      <c r="A110" s="381" t="s">
        <v>323</v>
      </c>
      <c r="B110" s="381" t="s">
        <v>324</v>
      </c>
      <c r="C110" s="382" t="s">
        <v>715</v>
      </c>
      <c r="D110" s="381" t="s">
        <v>716</v>
      </c>
      <c r="E110" s="383" t="s">
        <v>56</v>
      </c>
      <c r="F110" s="381" t="s">
        <v>717</v>
      </c>
      <c r="G110" s="384"/>
      <c r="H110" s="24"/>
      <c r="I110" s="24"/>
      <c r="J110" s="25" t="str">
        <f t="shared" si="3"/>
        <v xml:space="preserve"> </v>
      </c>
      <c r="K110" s="385"/>
      <c r="L110" s="385"/>
      <c r="M110" s="386">
        <f t="shared" si="4"/>
        <v>0</v>
      </c>
      <c r="N110" s="496">
        <v>905</v>
      </c>
      <c r="O110" s="333">
        <f t="shared" si="5"/>
        <v>905</v>
      </c>
      <c r="R110" s="23" t="str">
        <f>VLOOKUP(C:C,'Historic Data - working'!A:B,1,FALSE)</f>
        <v>ARU104</v>
      </c>
      <c r="U110" s="323"/>
      <c r="V110" s="323"/>
      <c r="W110" s="323"/>
    </row>
    <row r="111" spans="1:23" s="23" customFormat="1" ht="14.25" hidden="1" x14ac:dyDescent="0.2">
      <c r="A111" s="381" t="s">
        <v>323</v>
      </c>
      <c r="B111" s="381" t="s">
        <v>324</v>
      </c>
      <c r="C111" s="382" t="s">
        <v>718</v>
      </c>
      <c r="D111" s="381" t="s">
        <v>719</v>
      </c>
      <c r="E111" s="383" t="s">
        <v>720</v>
      </c>
      <c r="F111" s="381" t="s">
        <v>721</v>
      </c>
      <c r="G111" s="384"/>
      <c r="H111" s="24"/>
      <c r="I111" s="24"/>
      <c r="J111" s="25" t="str">
        <f t="shared" si="3"/>
        <v xml:space="preserve"> </v>
      </c>
      <c r="K111" s="385"/>
      <c r="L111" s="385"/>
      <c r="M111" s="386">
        <f t="shared" si="4"/>
        <v>0</v>
      </c>
      <c r="N111" s="496">
        <v>404.19</v>
      </c>
      <c r="O111" s="333">
        <f t="shared" si="5"/>
        <v>404.19</v>
      </c>
      <c r="R111" s="23" t="str">
        <f>VLOOKUP(C:C,'Historic Data - working'!A:B,1,FALSE)</f>
        <v>ARU105</v>
      </c>
      <c r="U111" s="323"/>
      <c r="V111" s="323"/>
      <c r="W111" s="323"/>
    </row>
    <row r="112" spans="1:23" s="23" customFormat="1" ht="14.25" hidden="1" x14ac:dyDescent="0.2">
      <c r="A112" s="381" t="s">
        <v>323</v>
      </c>
      <c r="B112" s="381" t="s">
        <v>324</v>
      </c>
      <c r="C112" s="382" t="s">
        <v>722</v>
      </c>
      <c r="D112" s="381" t="s">
        <v>723</v>
      </c>
      <c r="E112" s="383" t="s">
        <v>276</v>
      </c>
      <c r="F112" s="381" t="s">
        <v>435</v>
      </c>
      <c r="G112" s="384" t="s">
        <v>329</v>
      </c>
      <c r="H112" s="24">
        <f>256.21+188.7</f>
        <v>444.90999999999997</v>
      </c>
      <c r="I112" s="24"/>
      <c r="J112" s="25" t="str">
        <f t="shared" si="3"/>
        <v>1</v>
      </c>
      <c r="K112" s="387" t="s">
        <v>724</v>
      </c>
      <c r="L112" s="385">
        <v>5</v>
      </c>
      <c r="M112" s="386">
        <f t="shared" si="4"/>
        <v>449.90999999999997</v>
      </c>
      <c r="N112" s="496"/>
      <c r="O112" s="333">
        <f t="shared" si="5"/>
        <v>449.90999999999997</v>
      </c>
      <c r="R112" s="23" t="str">
        <f>VLOOKUP(C:C,'Historic Data - working'!A:B,1,FALSE)</f>
        <v>ARU105A</v>
      </c>
      <c r="U112" s="323"/>
      <c r="V112" s="323"/>
      <c r="W112" s="323"/>
    </row>
    <row r="113" spans="1:23" s="23" customFormat="1" ht="14.25" hidden="1" x14ac:dyDescent="0.2">
      <c r="A113" s="381" t="s">
        <v>323</v>
      </c>
      <c r="B113" s="381" t="s">
        <v>324</v>
      </c>
      <c r="C113" s="382" t="s">
        <v>725</v>
      </c>
      <c r="D113" s="381" t="s">
        <v>726</v>
      </c>
      <c r="E113" s="383" t="s">
        <v>727</v>
      </c>
      <c r="F113" s="381" t="s">
        <v>728</v>
      </c>
      <c r="G113" s="384" t="s">
        <v>329</v>
      </c>
      <c r="H113" s="24">
        <v>1600.5</v>
      </c>
      <c r="I113" s="24"/>
      <c r="J113" s="25" t="str">
        <f t="shared" si="3"/>
        <v>1</v>
      </c>
      <c r="K113" s="385"/>
      <c r="L113" s="385"/>
      <c r="M113" s="386">
        <f t="shared" si="4"/>
        <v>1600.5</v>
      </c>
      <c r="N113" s="496">
        <v>220</v>
      </c>
      <c r="O113" s="333">
        <f t="shared" si="5"/>
        <v>1820.5</v>
      </c>
      <c r="R113" s="23" t="str">
        <f>VLOOKUP(C:C,'Historic Data - working'!A:B,1,FALSE)</f>
        <v>ARU107</v>
      </c>
      <c r="U113" s="323"/>
      <c r="V113" s="323"/>
      <c r="W113" s="323"/>
    </row>
    <row r="114" spans="1:23" s="23" customFormat="1" ht="14.25" hidden="1" x14ac:dyDescent="0.2">
      <c r="A114" s="381" t="s">
        <v>323</v>
      </c>
      <c r="B114" s="381" t="s">
        <v>324</v>
      </c>
      <c r="C114" s="382" t="s">
        <v>729</v>
      </c>
      <c r="D114" s="381" t="s">
        <v>730</v>
      </c>
      <c r="E114" s="383" t="s">
        <v>731</v>
      </c>
      <c r="F114" s="381" t="s">
        <v>732</v>
      </c>
      <c r="G114" s="384" t="s">
        <v>329</v>
      </c>
      <c r="H114" s="24">
        <f>734.91+528.41</f>
        <v>1263.32</v>
      </c>
      <c r="I114" s="24"/>
      <c r="J114" s="25" t="str">
        <f t="shared" si="3"/>
        <v>1</v>
      </c>
      <c r="K114" s="385" t="s">
        <v>733</v>
      </c>
      <c r="L114" s="385">
        <v>-39.979999999999997</v>
      </c>
      <c r="M114" s="386">
        <f t="shared" si="4"/>
        <v>1223.3399999999999</v>
      </c>
      <c r="N114" s="496">
        <v>225</v>
      </c>
      <c r="O114" s="334">
        <f t="shared" si="5"/>
        <v>1448.34</v>
      </c>
      <c r="P114" s="351" t="s">
        <v>329</v>
      </c>
      <c r="Q114" s="331"/>
      <c r="R114" s="331" t="e">
        <f>VLOOKUP(C:C,'Historic Data - working'!A:B,1,FALSE)</f>
        <v>#N/A</v>
      </c>
      <c r="U114" s="323"/>
      <c r="V114" s="323"/>
      <c r="W114" s="323"/>
    </row>
    <row r="115" spans="1:23" s="23" customFormat="1" ht="14.25" hidden="1" x14ac:dyDescent="0.2">
      <c r="A115" s="381" t="s">
        <v>323</v>
      </c>
      <c r="B115" s="381" t="s">
        <v>324</v>
      </c>
      <c r="C115" s="382" t="s">
        <v>734</v>
      </c>
      <c r="D115" s="381" t="s">
        <v>735</v>
      </c>
      <c r="E115" s="383" t="s">
        <v>736</v>
      </c>
      <c r="F115" s="381" t="s">
        <v>737</v>
      </c>
      <c r="G115" s="384"/>
      <c r="H115" s="24"/>
      <c r="I115" s="24"/>
      <c r="J115" s="25" t="str">
        <f t="shared" si="3"/>
        <v xml:space="preserve"> </v>
      </c>
      <c r="K115" s="385"/>
      <c r="L115" s="385"/>
      <c r="M115" s="386">
        <f t="shared" si="4"/>
        <v>0</v>
      </c>
      <c r="N115" s="496"/>
      <c r="O115" s="333">
        <f t="shared" si="5"/>
        <v>0</v>
      </c>
      <c r="R115" s="23" t="e">
        <f>VLOOKUP(C:C,'Historic Data - working'!A:B,1,FALSE)</f>
        <v>#N/A</v>
      </c>
      <c r="U115" s="323"/>
      <c r="V115" s="323"/>
      <c r="W115" s="323"/>
    </row>
    <row r="116" spans="1:23" s="23" customFormat="1" ht="14.25" hidden="1" x14ac:dyDescent="0.2">
      <c r="A116" s="381" t="s">
        <v>323</v>
      </c>
      <c r="B116" s="381" t="s">
        <v>324</v>
      </c>
      <c r="C116" s="382" t="s">
        <v>738</v>
      </c>
      <c r="D116" s="381" t="s">
        <v>739</v>
      </c>
      <c r="E116" s="383" t="s">
        <v>740</v>
      </c>
      <c r="F116" s="381" t="s">
        <v>565</v>
      </c>
      <c r="G116" s="384" t="s">
        <v>329</v>
      </c>
      <c r="H116" s="24">
        <f>103.37+147.35</f>
        <v>250.72</v>
      </c>
      <c r="I116" s="24"/>
      <c r="J116" s="25" t="str">
        <f t="shared" si="3"/>
        <v>1</v>
      </c>
      <c r="K116" s="385"/>
      <c r="L116" s="385"/>
      <c r="M116" s="386">
        <f t="shared" si="4"/>
        <v>250.72</v>
      </c>
      <c r="N116" s="496">
        <v>75</v>
      </c>
      <c r="O116" s="333">
        <f t="shared" si="5"/>
        <v>325.72000000000003</v>
      </c>
      <c r="R116" s="23" t="str">
        <f>VLOOKUP(C:C,'Historic Data - working'!A:B,1,FALSE)</f>
        <v>ARU110</v>
      </c>
      <c r="U116" s="323"/>
      <c r="V116" s="323"/>
      <c r="W116" s="323"/>
    </row>
    <row r="117" spans="1:23" s="23" customFormat="1" ht="14.25" hidden="1" x14ac:dyDescent="0.2">
      <c r="A117" s="381" t="s">
        <v>323</v>
      </c>
      <c r="B117" s="381" t="s">
        <v>324</v>
      </c>
      <c r="C117" s="382" t="s">
        <v>741</v>
      </c>
      <c r="D117" s="381" t="s">
        <v>742</v>
      </c>
      <c r="E117" s="383" t="s">
        <v>743</v>
      </c>
      <c r="F117" s="381" t="s">
        <v>744</v>
      </c>
      <c r="G117" s="384"/>
      <c r="H117" s="24"/>
      <c r="I117" s="24"/>
      <c r="J117" s="25" t="str">
        <f t="shared" si="3"/>
        <v xml:space="preserve"> </v>
      </c>
      <c r="K117" s="385" t="s">
        <v>337</v>
      </c>
      <c r="L117" s="385">
        <v>365</v>
      </c>
      <c r="M117" s="386">
        <f t="shared" si="4"/>
        <v>365</v>
      </c>
      <c r="N117" s="496">
        <v>270</v>
      </c>
      <c r="O117" s="333">
        <f t="shared" si="5"/>
        <v>635</v>
      </c>
      <c r="R117" s="23" t="str">
        <f>VLOOKUP(C:C,'Historic Data - working'!A:B,1,FALSE)</f>
        <v>ARU111</v>
      </c>
      <c r="U117" s="323"/>
      <c r="V117" s="323"/>
      <c r="W117" s="323"/>
    </row>
    <row r="118" spans="1:23" s="23" customFormat="1" ht="14.25" hidden="1" x14ac:dyDescent="0.2">
      <c r="A118" s="381" t="s">
        <v>323</v>
      </c>
      <c r="B118" s="381" t="s">
        <v>324</v>
      </c>
      <c r="C118" s="382" t="s">
        <v>745</v>
      </c>
      <c r="D118" s="381" t="s">
        <v>746</v>
      </c>
      <c r="E118" s="383" t="s">
        <v>747</v>
      </c>
      <c r="F118" s="381" t="s">
        <v>748</v>
      </c>
      <c r="G118" s="384" t="s">
        <v>329</v>
      </c>
      <c r="H118" s="24">
        <f>883.16+902.17</f>
        <v>1785.33</v>
      </c>
      <c r="I118" s="24"/>
      <c r="J118" s="25" t="str">
        <f t="shared" si="3"/>
        <v>1</v>
      </c>
      <c r="K118" s="385"/>
      <c r="L118" s="385"/>
      <c r="M118" s="386">
        <f t="shared" si="4"/>
        <v>1785.33</v>
      </c>
      <c r="N118" s="496">
        <v>995</v>
      </c>
      <c r="O118" s="333">
        <f t="shared" si="5"/>
        <v>2780.33</v>
      </c>
      <c r="R118" s="23" t="str">
        <f>VLOOKUP(C:C,'Historic Data - working'!A:B,1,FALSE)</f>
        <v>ARU112</v>
      </c>
      <c r="U118" s="323"/>
      <c r="V118" s="323"/>
      <c r="W118" s="323"/>
    </row>
    <row r="119" spans="1:23" s="23" customFormat="1" ht="14.25" hidden="1" x14ac:dyDescent="0.2">
      <c r="A119" s="381" t="s">
        <v>323</v>
      </c>
      <c r="B119" s="381" t="s">
        <v>324</v>
      </c>
      <c r="C119" s="382" t="s">
        <v>749</v>
      </c>
      <c r="D119" s="381" t="s">
        <v>750</v>
      </c>
      <c r="E119" s="383" t="s">
        <v>751</v>
      </c>
      <c r="F119" s="381" t="s">
        <v>752</v>
      </c>
      <c r="G119" s="384" t="s">
        <v>329</v>
      </c>
      <c r="H119" s="24">
        <v>226.12</v>
      </c>
      <c r="I119" s="24"/>
      <c r="J119" s="25" t="str">
        <f t="shared" si="3"/>
        <v>1</v>
      </c>
      <c r="K119" s="385"/>
      <c r="L119" s="385"/>
      <c r="M119" s="386">
        <f t="shared" si="4"/>
        <v>226.12</v>
      </c>
      <c r="N119" s="496">
        <v>25</v>
      </c>
      <c r="O119" s="333">
        <f t="shared" si="5"/>
        <v>251.12</v>
      </c>
      <c r="R119" s="23" t="str">
        <f>VLOOKUP(C:C,'Historic Data - working'!A:B,1,FALSE)</f>
        <v>ARU113</v>
      </c>
      <c r="U119" s="323"/>
      <c r="V119" s="323"/>
      <c r="W119" s="323"/>
    </row>
    <row r="120" spans="1:23" s="23" customFormat="1" ht="14.25" hidden="1" x14ac:dyDescent="0.2">
      <c r="A120" s="381" t="s">
        <v>323</v>
      </c>
      <c r="B120" s="381" t="s">
        <v>324</v>
      </c>
      <c r="C120" s="382" t="s">
        <v>753</v>
      </c>
      <c r="D120" s="381" t="s">
        <v>754</v>
      </c>
      <c r="E120" s="383" t="s">
        <v>755</v>
      </c>
      <c r="F120" s="381" t="s">
        <v>756</v>
      </c>
      <c r="G120" s="384" t="s">
        <v>329</v>
      </c>
      <c r="H120" s="24">
        <f>678.3+419.43+427.18+449.9</f>
        <v>1974.81</v>
      </c>
      <c r="I120" s="24"/>
      <c r="J120" s="25" t="str">
        <f t="shared" si="3"/>
        <v>1</v>
      </c>
      <c r="K120" s="387" t="s">
        <v>757</v>
      </c>
      <c r="L120" s="385">
        <v>-0.03</v>
      </c>
      <c r="M120" s="386">
        <f t="shared" si="4"/>
        <v>1974.78</v>
      </c>
      <c r="N120" s="496">
        <v>460</v>
      </c>
      <c r="O120" s="333">
        <f t="shared" si="5"/>
        <v>2434.7799999999997</v>
      </c>
      <c r="R120" s="23" t="str">
        <f>VLOOKUP(C:C,'Historic Data - working'!A:B,1,FALSE)</f>
        <v>ARU114</v>
      </c>
      <c r="U120" s="323"/>
      <c r="V120" s="323"/>
      <c r="W120" s="323"/>
    </row>
    <row r="121" spans="1:23" s="23" customFormat="1" ht="14.25" hidden="1" x14ac:dyDescent="0.2">
      <c r="A121" s="381" t="s">
        <v>323</v>
      </c>
      <c r="B121" s="381" t="s">
        <v>324</v>
      </c>
      <c r="C121" s="382" t="s">
        <v>758</v>
      </c>
      <c r="D121" s="381" t="s">
        <v>759</v>
      </c>
      <c r="E121" s="383" t="s">
        <v>193</v>
      </c>
      <c r="F121" s="381" t="s">
        <v>760</v>
      </c>
      <c r="G121" s="384" t="s">
        <v>329</v>
      </c>
      <c r="H121" s="24">
        <v>993.81</v>
      </c>
      <c r="I121" s="24"/>
      <c r="J121" s="25" t="str">
        <f t="shared" si="3"/>
        <v>1</v>
      </c>
      <c r="K121" s="387" t="s">
        <v>761</v>
      </c>
      <c r="L121" s="385">
        <v>633.87</v>
      </c>
      <c r="M121" s="386">
        <f t="shared" si="4"/>
        <v>1627.6799999999998</v>
      </c>
      <c r="N121" s="496">
        <v>810</v>
      </c>
      <c r="O121" s="333">
        <f t="shared" si="5"/>
        <v>2437.6799999999998</v>
      </c>
      <c r="R121" s="23" t="str">
        <f>VLOOKUP(C:C,'Historic Data - working'!A:B,1,FALSE)</f>
        <v>ARU115</v>
      </c>
      <c r="U121" s="323"/>
      <c r="V121" s="323"/>
      <c r="W121" s="323"/>
    </row>
    <row r="122" spans="1:23" s="23" customFormat="1" ht="14.25" hidden="1" x14ac:dyDescent="0.2">
      <c r="A122" s="381" t="s">
        <v>323</v>
      </c>
      <c r="B122" s="381" t="s">
        <v>351</v>
      </c>
      <c r="C122" s="382" t="s">
        <v>762</v>
      </c>
      <c r="D122" s="381" t="s">
        <v>763</v>
      </c>
      <c r="E122" s="383" t="s">
        <v>764</v>
      </c>
      <c r="F122" s="381" t="s">
        <v>576</v>
      </c>
      <c r="G122" s="384"/>
      <c r="H122" s="24"/>
      <c r="I122" s="24"/>
      <c r="J122" s="25" t="str">
        <f t="shared" si="3"/>
        <v xml:space="preserve"> </v>
      </c>
      <c r="K122" s="385" t="s">
        <v>337</v>
      </c>
      <c r="L122" s="385">
        <v>1036</v>
      </c>
      <c r="M122" s="386">
        <f t="shared" si="4"/>
        <v>1036</v>
      </c>
      <c r="N122" s="496">
        <v>629.37</v>
      </c>
      <c r="O122" s="334">
        <f t="shared" si="5"/>
        <v>1665.37</v>
      </c>
      <c r="P122" s="351" t="s">
        <v>329</v>
      </c>
      <c r="Q122" s="331"/>
      <c r="R122" s="331" t="e">
        <f>VLOOKUP(C:C,'Historic Data - working'!A:B,1,FALSE)</f>
        <v>#N/A</v>
      </c>
      <c r="U122" s="323"/>
      <c r="V122" s="323"/>
      <c r="W122" s="323"/>
    </row>
    <row r="123" spans="1:23" s="23" customFormat="1" ht="14.25" hidden="1" x14ac:dyDescent="0.2">
      <c r="A123" s="381" t="s">
        <v>323</v>
      </c>
      <c r="B123" s="381" t="s">
        <v>324</v>
      </c>
      <c r="C123" s="382" t="s">
        <v>765</v>
      </c>
      <c r="D123" s="381" t="s">
        <v>766</v>
      </c>
      <c r="E123" s="383" t="s">
        <v>767</v>
      </c>
      <c r="F123" s="381" t="s">
        <v>768</v>
      </c>
      <c r="G123" s="384" t="s">
        <v>329</v>
      </c>
      <c r="H123" s="24">
        <f>14.01+42.59+9.71+45.99+349.54+94.69+244.71+27.98+36.18+22.24</f>
        <v>887.64</v>
      </c>
      <c r="I123" s="24"/>
      <c r="J123" s="25" t="str">
        <f t="shared" si="3"/>
        <v>1</v>
      </c>
      <c r="K123" s="385"/>
      <c r="L123" s="385"/>
      <c r="M123" s="386">
        <f t="shared" si="4"/>
        <v>887.64</v>
      </c>
      <c r="N123" s="496">
        <v>256</v>
      </c>
      <c r="O123" s="333">
        <f t="shared" si="5"/>
        <v>1143.6399999999999</v>
      </c>
      <c r="R123" s="23" t="str">
        <f>VLOOKUP(C:C,'Historic Data - working'!A:B,1,FALSE)</f>
        <v>ARU118</v>
      </c>
      <c r="U123" s="323"/>
      <c r="V123" s="323"/>
      <c r="W123" s="323"/>
    </row>
    <row r="124" spans="1:23" s="23" customFormat="1" ht="14.25" hidden="1" x14ac:dyDescent="0.2">
      <c r="A124" s="381" t="s">
        <v>323</v>
      </c>
      <c r="B124" s="381" t="s">
        <v>324</v>
      </c>
      <c r="C124" s="382" t="s">
        <v>769</v>
      </c>
      <c r="D124" s="381" t="s">
        <v>770</v>
      </c>
      <c r="E124" s="383" t="s">
        <v>771</v>
      </c>
      <c r="F124" s="381" t="s">
        <v>772</v>
      </c>
      <c r="G124" s="384"/>
      <c r="H124" s="24"/>
      <c r="I124" s="24"/>
      <c r="J124" s="25" t="str">
        <f t="shared" si="3"/>
        <v xml:space="preserve"> </v>
      </c>
      <c r="K124" s="385"/>
      <c r="L124" s="385"/>
      <c r="M124" s="386">
        <f t="shared" si="4"/>
        <v>0</v>
      </c>
      <c r="N124" s="496"/>
      <c r="O124" s="333">
        <f t="shared" si="5"/>
        <v>0</v>
      </c>
      <c r="R124" s="23" t="e">
        <f>VLOOKUP(C:C,'Historic Data - working'!A:B,1,FALSE)</f>
        <v>#N/A</v>
      </c>
      <c r="U124" s="323"/>
      <c r="V124" s="323"/>
      <c r="W124" s="323"/>
    </row>
    <row r="125" spans="1:23" s="23" customFormat="1" ht="14.25" hidden="1" x14ac:dyDescent="0.2">
      <c r="A125" s="381" t="s">
        <v>323</v>
      </c>
      <c r="B125" s="381" t="s">
        <v>324</v>
      </c>
      <c r="C125" s="382" t="s">
        <v>773</v>
      </c>
      <c r="D125" s="381" t="s">
        <v>774</v>
      </c>
      <c r="E125" s="383" t="s">
        <v>775</v>
      </c>
      <c r="F125" s="381" t="s">
        <v>776</v>
      </c>
      <c r="G125" s="384" t="s">
        <v>329</v>
      </c>
      <c r="H125" s="24">
        <f>183+151</f>
        <v>334</v>
      </c>
      <c r="I125" s="24"/>
      <c r="J125" s="25" t="str">
        <f t="shared" si="3"/>
        <v>1</v>
      </c>
      <c r="K125" s="385"/>
      <c r="L125" s="385"/>
      <c r="M125" s="386">
        <f t="shared" si="4"/>
        <v>334</v>
      </c>
      <c r="N125" s="496">
        <v>900</v>
      </c>
      <c r="O125" s="333">
        <f t="shared" si="5"/>
        <v>1234</v>
      </c>
      <c r="R125" s="23" t="str">
        <f>VLOOKUP(C:C,'Historic Data - working'!A:B,1,FALSE)</f>
        <v>ARU119</v>
      </c>
      <c r="U125" s="323"/>
      <c r="V125" s="323"/>
      <c r="W125" s="323"/>
    </row>
    <row r="126" spans="1:23" s="23" customFormat="1" ht="14.25" hidden="1" x14ac:dyDescent="0.2">
      <c r="A126" s="381" t="s">
        <v>323</v>
      </c>
      <c r="B126" s="381" t="s">
        <v>324</v>
      </c>
      <c r="C126" s="382" t="s">
        <v>777</v>
      </c>
      <c r="D126" s="381" t="s">
        <v>778</v>
      </c>
      <c r="E126" s="383" t="s">
        <v>779</v>
      </c>
      <c r="F126" s="381" t="s">
        <v>780</v>
      </c>
      <c r="G126" s="384" t="s">
        <v>329</v>
      </c>
      <c r="H126" s="24">
        <f>179.97+248.18+50+99.49+22.52+185.41+196.42+183.94+9.57</f>
        <v>1175.4999999999998</v>
      </c>
      <c r="I126" s="24"/>
      <c r="J126" s="25" t="str">
        <f t="shared" si="3"/>
        <v>1</v>
      </c>
      <c r="K126" s="385"/>
      <c r="L126" s="385"/>
      <c r="M126" s="386">
        <f t="shared" si="4"/>
        <v>1175.4999999999998</v>
      </c>
      <c r="N126" s="496">
        <v>440.86</v>
      </c>
      <c r="O126" s="333">
        <f t="shared" si="5"/>
        <v>1616.3599999999997</v>
      </c>
      <c r="R126" s="23" t="str">
        <f>VLOOKUP(C:C,'Historic Data - working'!A:B,1,FALSE)</f>
        <v>ARU120</v>
      </c>
      <c r="U126" s="323"/>
      <c r="V126" s="323"/>
      <c r="W126" s="323"/>
    </row>
    <row r="127" spans="1:23" s="23" customFormat="1" ht="14.25" hidden="1" x14ac:dyDescent="0.2">
      <c r="A127" s="381" t="s">
        <v>323</v>
      </c>
      <c r="B127" s="381" t="s">
        <v>324</v>
      </c>
      <c r="C127" s="382" t="s">
        <v>781</v>
      </c>
      <c r="D127" s="381" t="s">
        <v>782</v>
      </c>
      <c r="E127" s="383" t="s">
        <v>783</v>
      </c>
      <c r="F127" s="381" t="s">
        <v>784</v>
      </c>
      <c r="G127" s="384" t="s">
        <v>329</v>
      </c>
      <c r="H127" s="385">
        <v>1971.12</v>
      </c>
      <c r="I127" s="24"/>
      <c r="J127" s="25" t="str">
        <f t="shared" si="3"/>
        <v>1</v>
      </c>
      <c r="K127" s="387" t="s">
        <v>785</v>
      </c>
      <c r="L127" s="385">
        <v>0.04</v>
      </c>
      <c r="M127" s="386">
        <f t="shared" si="4"/>
        <v>1971.1599999999999</v>
      </c>
      <c r="N127" s="496">
        <v>1815</v>
      </c>
      <c r="O127" s="333">
        <f t="shared" si="5"/>
        <v>3786.16</v>
      </c>
      <c r="R127" s="23" t="str">
        <f>VLOOKUP(C:C,'Historic Data - working'!A:B,1,FALSE)</f>
        <v>ARU121</v>
      </c>
      <c r="U127" s="323"/>
      <c r="V127" s="323"/>
      <c r="W127" s="323"/>
    </row>
    <row r="128" spans="1:23" s="23" customFormat="1" ht="14.25" hidden="1" x14ac:dyDescent="0.2">
      <c r="A128" s="381" t="s">
        <v>323</v>
      </c>
      <c r="B128" s="381" t="s">
        <v>324</v>
      </c>
      <c r="C128" s="382" t="s">
        <v>786</v>
      </c>
      <c r="D128" s="381" t="s">
        <v>787</v>
      </c>
      <c r="E128" s="383" t="s">
        <v>788</v>
      </c>
      <c r="F128" s="381" t="s">
        <v>789</v>
      </c>
      <c r="G128" s="384" t="s">
        <v>329</v>
      </c>
      <c r="H128" s="24">
        <f>344.92+196.58+203.99</f>
        <v>745.49</v>
      </c>
      <c r="I128" s="24"/>
      <c r="J128" s="25" t="str">
        <f t="shared" si="3"/>
        <v>1</v>
      </c>
      <c r="K128" s="385"/>
      <c r="L128" s="385"/>
      <c r="M128" s="386">
        <f t="shared" si="4"/>
        <v>745.49</v>
      </c>
      <c r="N128" s="496">
        <v>240</v>
      </c>
      <c r="O128" s="333">
        <f t="shared" si="5"/>
        <v>985.49</v>
      </c>
      <c r="R128" s="23" t="str">
        <f>VLOOKUP(C:C,'Historic Data - working'!A:B,1,FALSE)</f>
        <v>ARU122</v>
      </c>
      <c r="U128" s="323"/>
      <c r="V128" s="323"/>
      <c r="W128" s="323"/>
    </row>
    <row r="129" spans="1:23" s="23" customFormat="1" ht="14.25" hidden="1" x14ac:dyDescent="0.2">
      <c r="A129" s="381" t="s">
        <v>323</v>
      </c>
      <c r="B129" s="381" t="s">
        <v>324</v>
      </c>
      <c r="C129" s="382" t="s">
        <v>790</v>
      </c>
      <c r="D129" s="381" t="s">
        <v>791</v>
      </c>
      <c r="E129" s="383" t="s">
        <v>792</v>
      </c>
      <c r="F129" s="381" t="s">
        <v>793</v>
      </c>
      <c r="G129" s="384" t="s">
        <v>329</v>
      </c>
      <c r="H129" s="24">
        <f>63+230+350+390+260+159.8+283+117+97+182+252+245+165+440+331+53.5</f>
        <v>3618.3</v>
      </c>
      <c r="I129" s="24"/>
      <c r="J129" s="25" t="str">
        <f t="shared" si="3"/>
        <v>1</v>
      </c>
      <c r="K129" s="385"/>
      <c r="L129" s="385"/>
      <c r="M129" s="386">
        <f t="shared" si="4"/>
        <v>3618.3</v>
      </c>
      <c r="N129" s="496">
        <v>3645</v>
      </c>
      <c r="O129" s="333">
        <f t="shared" si="5"/>
        <v>7263.3</v>
      </c>
      <c r="R129" s="23" t="str">
        <f>VLOOKUP(C:C,'Historic Data - working'!A:B,1,FALSE)</f>
        <v>ARU123</v>
      </c>
      <c r="U129" s="323"/>
      <c r="V129" s="323"/>
      <c r="W129" s="323"/>
    </row>
    <row r="130" spans="1:23" s="23" customFormat="1" ht="14.25" hidden="1" x14ac:dyDescent="0.2">
      <c r="A130" s="381" t="s">
        <v>323</v>
      </c>
      <c r="B130" s="381" t="s">
        <v>324</v>
      </c>
      <c r="C130" s="382" t="s">
        <v>794</v>
      </c>
      <c r="D130" s="381" t="s">
        <v>795</v>
      </c>
      <c r="E130" s="383" t="s">
        <v>796</v>
      </c>
      <c r="F130" s="381" t="s">
        <v>797</v>
      </c>
      <c r="G130" s="384" t="s">
        <v>329</v>
      </c>
      <c r="H130" s="24">
        <v>7950.1</v>
      </c>
      <c r="I130" s="24"/>
      <c r="J130" s="25" t="str">
        <f t="shared" ref="J130:J193" si="6">IF(G130="Y","1"," ")</f>
        <v>1</v>
      </c>
      <c r="K130" s="387" t="s">
        <v>798</v>
      </c>
      <c r="L130" s="385">
        <v>0.16</v>
      </c>
      <c r="M130" s="386">
        <f t="shared" ref="M130:M193" si="7">H130+L130</f>
        <v>7950.26</v>
      </c>
      <c r="N130" s="496">
        <v>1547.01</v>
      </c>
      <c r="O130" s="333">
        <f t="shared" ref="O130:O193" si="8">M130+N130</f>
        <v>9497.27</v>
      </c>
      <c r="R130" s="23" t="str">
        <f>VLOOKUP(C:C,'Historic Data - working'!A:B,1,FALSE)</f>
        <v>ARU126</v>
      </c>
      <c r="U130" s="323"/>
      <c r="V130" s="323"/>
      <c r="W130" s="323"/>
    </row>
    <row r="131" spans="1:23" s="23" customFormat="1" ht="14.25" hidden="1" x14ac:dyDescent="0.2">
      <c r="A131" s="381" t="s">
        <v>323</v>
      </c>
      <c r="B131" s="381" t="s">
        <v>324</v>
      </c>
      <c r="C131" s="382" t="s">
        <v>799</v>
      </c>
      <c r="D131" s="381" t="s">
        <v>800</v>
      </c>
      <c r="E131" s="383" t="s">
        <v>124</v>
      </c>
      <c r="F131" s="381" t="s">
        <v>390</v>
      </c>
      <c r="G131" s="384" t="s">
        <v>329</v>
      </c>
      <c r="H131" s="385">
        <v>471.05</v>
      </c>
      <c r="I131" s="24"/>
      <c r="J131" s="25" t="str">
        <f t="shared" si="6"/>
        <v>1</v>
      </c>
      <c r="K131" s="387" t="s">
        <v>801</v>
      </c>
      <c r="L131" s="385">
        <v>11</v>
      </c>
      <c r="M131" s="386">
        <f t="shared" si="7"/>
        <v>482.05</v>
      </c>
      <c r="N131" s="496">
        <v>195</v>
      </c>
      <c r="O131" s="333">
        <f t="shared" si="8"/>
        <v>677.05</v>
      </c>
      <c r="R131" s="23" t="str">
        <f>VLOOKUP(C:C,'Historic Data - working'!A:B,1,FALSE)</f>
        <v>ARU127</v>
      </c>
      <c r="U131" s="323"/>
      <c r="V131" s="323"/>
      <c r="W131" s="323"/>
    </row>
    <row r="132" spans="1:23" s="23" customFormat="1" ht="14.25" hidden="1" x14ac:dyDescent="0.2">
      <c r="A132" s="381" t="s">
        <v>323</v>
      </c>
      <c r="B132" s="381" t="s">
        <v>324</v>
      </c>
      <c r="C132" s="382" t="s">
        <v>802</v>
      </c>
      <c r="D132" s="381" t="s">
        <v>803</v>
      </c>
      <c r="E132" s="383" t="s">
        <v>804</v>
      </c>
      <c r="F132" s="381" t="s">
        <v>409</v>
      </c>
      <c r="G132" s="384"/>
      <c r="H132" s="24"/>
      <c r="I132" s="24"/>
      <c r="J132" s="25" t="str">
        <f t="shared" si="6"/>
        <v xml:space="preserve"> </v>
      </c>
      <c r="K132" s="385"/>
      <c r="L132" s="385"/>
      <c r="M132" s="386">
        <f t="shared" si="7"/>
        <v>0</v>
      </c>
      <c r="N132" s="496">
        <v>70</v>
      </c>
      <c r="O132" s="333">
        <f t="shared" si="8"/>
        <v>70</v>
      </c>
      <c r="R132" s="23" t="str">
        <f>VLOOKUP(C:C,'Historic Data - working'!A:B,1,FALSE)</f>
        <v>ARU128</v>
      </c>
      <c r="U132" s="323"/>
      <c r="V132" s="323"/>
      <c r="W132" s="323"/>
    </row>
    <row r="133" spans="1:23" s="23" customFormat="1" ht="14.25" hidden="1" x14ac:dyDescent="0.2">
      <c r="A133" s="381" t="s">
        <v>323</v>
      </c>
      <c r="B133" s="381" t="s">
        <v>324</v>
      </c>
      <c r="C133" s="382" t="s">
        <v>805</v>
      </c>
      <c r="D133" s="381" t="s">
        <v>806</v>
      </c>
      <c r="E133" s="383" t="s">
        <v>796</v>
      </c>
      <c r="F133" s="381" t="s">
        <v>485</v>
      </c>
      <c r="G133" s="384"/>
      <c r="H133" s="24"/>
      <c r="I133" s="24"/>
      <c r="J133" s="25" t="str">
        <f t="shared" si="6"/>
        <v xml:space="preserve"> </v>
      </c>
      <c r="K133" s="385"/>
      <c r="L133" s="385"/>
      <c r="M133" s="386">
        <f t="shared" si="7"/>
        <v>0</v>
      </c>
      <c r="N133" s="496"/>
      <c r="O133" s="333">
        <f t="shared" si="8"/>
        <v>0</v>
      </c>
      <c r="R133" s="23" t="e">
        <f>VLOOKUP(C:C,'Historic Data - working'!A:B,1,FALSE)</f>
        <v>#N/A</v>
      </c>
      <c r="U133" s="323"/>
      <c r="V133" s="323"/>
      <c r="W133" s="323"/>
    </row>
    <row r="134" spans="1:23" s="23" customFormat="1" ht="14.25" hidden="1" x14ac:dyDescent="0.2">
      <c r="A134" s="381" t="s">
        <v>323</v>
      </c>
      <c r="B134" s="381" t="s">
        <v>351</v>
      </c>
      <c r="C134" s="382" t="s">
        <v>807</v>
      </c>
      <c r="D134" s="381" t="s">
        <v>808</v>
      </c>
      <c r="E134" s="383" t="s">
        <v>809</v>
      </c>
      <c r="F134" s="381" t="s">
        <v>538</v>
      </c>
      <c r="G134" s="384"/>
      <c r="H134" s="24"/>
      <c r="I134" s="24"/>
      <c r="J134" s="25" t="str">
        <f t="shared" si="6"/>
        <v xml:space="preserve"> </v>
      </c>
      <c r="K134" s="385" t="s">
        <v>337</v>
      </c>
      <c r="L134" s="385">
        <v>183.4</v>
      </c>
      <c r="M134" s="386">
        <f t="shared" si="7"/>
        <v>183.4</v>
      </c>
      <c r="N134" s="496">
        <v>420</v>
      </c>
      <c r="O134" s="333">
        <f t="shared" si="8"/>
        <v>603.4</v>
      </c>
      <c r="R134" s="23" t="str">
        <f>VLOOKUP(C:C,'Historic Data - working'!A:B,1,FALSE)</f>
        <v>ARU129</v>
      </c>
      <c r="U134" s="323"/>
      <c r="V134" s="323"/>
      <c r="W134" s="323"/>
    </row>
    <row r="135" spans="1:23" s="23" customFormat="1" ht="14.25" hidden="1" x14ac:dyDescent="0.2">
      <c r="A135" s="381" t="s">
        <v>323</v>
      </c>
      <c r="B135" s="381" t="s">
        <v>351</v>
      </c>
      <c r="C135" s="382" t="s">
        <v>810</v>
      </c>
      <c r="D135" s="381" t="s">
        <v>811</v>
      </c>
      <c r="E135" s="383" t="s">
        <v>812</v>
      </c>
      <c r="F135" s="381" t="s">
        <v>538</v>
      </c>
      <c r="G135" s="384" t="s">
        <v>329</v>
      </c>
      <c r="H135" s="24">
        <v>0</v>
      </c>
      <c r="I135" s="24">
        <v>0</v>
      </c>
      <c r="J135" s="25" t="str">
        <f t="shared" si="6"/>
        <v>1</v>
      </c>
      <c r="K135" s="385" t="s">
        <v>813</v>
      </c>
      <c r="L135" s="385"/>
      <c r="M135" s="386">
        <f t="shared" si="7"/>
        <v>0</v>
      </c>
      <c r="N135" s="496">
        <v>200</v>
      </c>
      <c r="O135" s="333">
        <f t="shared" si="8"/>
        <v>200</v>
      </c>
      <c r="R135" s="23" t="e">
        <f>VLOOKUP(C:C,'Historic Data - working'!A:B,1,FALSE)</f>
        <v>#N/A</v>
      </c>
      <c r="U135" s="323"/>
      <c r="V135" s="323"/>
      <c r="W135" s="323"/>
    </row>
    <row r="136" spans="1:23" s="23" customFormat="1" ht="14.25" hidden="1" x14ac:dyDescent="0.2">
      <c r="A136" s="381" t="s">
        <v>323</v>
      </c>
      <c r="B136" s="381" t="s">
        <v>324</v>
      </c>
      <c r="C136" s="382" t="s">
        <v>814</v>
      </c>
      <c r="D136" s="381" t="s">
        <v>815</v>
      </c>
      <c r="E136" s="383" t="s">
        <v>252</v>
      </c>
      <c r="F136" s="381" t="s">
        <v>538</v>
      </c>
      <c r="G136" s="384" t="s">
        <v>329</v>
      </c>
      <c r="H136" s="24">
        <f>209.07+85.6+52.49+99.66</f>
        <v>446.81999999999994</v>
      </c>
      <c r="I136" s="24"/>
      <c r="J136" s="25" t="str">
        <f t="shared" si="6"/>
        <v>1</v>
      </c>
      <c r="K136" s="385"/>
      <c r="L136" s="385"/>
      <c r="M136" s="386">
        <f t="shared" si="7"/>
        <v>446.81999999999994</v>
      </c>
      <c r="N136" s="496">
        <v>300</v>
      </c>
      <c r="O136" s="333">
        <f t="shared" si="8"/>
        <v>746.81999999999994</v>
      </c>
      <c r="R136" s="23" t="str">
        <f>VLOOKUP(C:C,'Historic Data - working'!A:B,1,FALSE)</f>
        <v>ARU131</v>
      </c>
      <c r="U136" s="323"/>
      <c r="V136" s="323"/>
      <c r="W136" s="323"/>
    </row>
    <row r="137" spans="1:23" s="23" customFormat="1" ht="14.25" hidden="1" x14ac:dyDescent="0.2">
      <c r="A137" s="381" t="s">
        <v>323</v>
      </c>
      <c r="B137" s="381" t="s">
        <v>324</v>
      </c>
      <c r="C137" s="382" t="s">
        <v>816</v>
      </c>
      <c r="D137" s="381" t="s">
        <v>817</v>
      </c>
      <c r="E137" s="383" t="s">
        <v>47</v>
      </c>
      <c r="F137" s="381" t="s">
        <v>36</v>
      </c>
      <c r="G137" s="384"/>
      <c r="H137" s="24"/>
      <c r="I137" s="24"/>
      <c r="J137" s="25" t="str">
        <f t="shared" si="6"/>
        <v xml:space="preserve"> </v>
      </c>
      <c r="K137" s="385"/>
      <c r="L137" s="385"/>
      <c r="M137" s="386">
        <f t="shared" si="7"/>
        <v>0</v>
      </c>
      <c r="N137" s="496"/>
      <c r="O137" s="333">
        <f t="shared" si="8"/>
        <v>0</v>
      </c>
      <c r="R137" s="23" t="e">
        <f>VLOOKUP(C:C,'Historic Data - working'!A:B,1,FALSE)</f>
        <v>#N/A</v>
      </c>
      <c r="U137" s="323"/>
      <c r="V137" s="323"/>
      <c r="W137" s="323"/>
    </row>
    <row r="138" spans="1:23" s="23" customFormat="1" ht="14.25" hidden="1" x14ac:dyDescent="0.2">
      <c r="A138" s="381" t="s">
        <v>323</v>
      </c>
      <c r="B138" s="381" t="s">
        <v>324</v>
      </c>
      <c r="C138" s="382" t="s">
        <v>818</v>
      </c>
      <c r="D138" s="381" t="s">
        <v>819</v>
      </c>
      <c r="E138" s="383" t="s">
        <v>403</v>
      </c>
      <c r="F138" s="381" t="s">
        <v>422</v>
      </c>
      <c r="G138" s="384"/>
      <c r="H138" s="24"/>
      <c r="I138" s="24"/>
      <c r="J138" s="25" t="str">
        <f t="shared" si="6"/>
        <v xml:space="preserve"> </v>
      </c>
      <c r="K138" s="385"/>
      <c r="L138" s="385"/>
      <c r="M138" s="386">
        <f t="shared" si="7"/>
        <v>0</v>
      </c>
      <c r="N138" s="496"/>
      <c r="O138" s="333">
        <f t="shared" si="8"/>
        <v>0</v>
      </c>
      <c r="R138" s="23" t="e">
        <f>VLOOKUP(C:C,'Historic Data - working'!A:B,1,FALSE)</f>
        <v>#N/A</v>
      </c>
      <c r="U138" s="323"/>
      <c r="V138" s="323"/>
      <c r="W138" s="323"/>
    </row>
    <row r="139" spans="1:23" s="23" customFormat="1" ht="14.25" hidden="1" x14ac:dyDescent="0.2">
      <c r="A139" s="381" t="s">
        <v>323</v>
      </c>
      <c r="B139" s="381" t="s">
        <v>324</v>
      </c>
      <c r="C139" s="382" t="s">
        <v>820</v>
      </c>
      <c r="D139" s="381" t="s">
        <v>821</v>
      </c>
      <c r="E139" s="383" t="s">
        <v>822</v>
      </c>
      <c r="F139" s="381" t="s">
        <v>823</v>
      </c>
      <c r="G139" s="384"/>
      <c r="H139" s="24"/>
      <c r="I139" s="24"/>
      <c r="J139" s="25" t="str">
        <f t="shared" si="6"/>
        <v xml:space="preserve"> </v>
      </c>
      <c r="K139" s="385"/>
      <c r="L139" s="385"/>
      <c r="M139" s="386">
        <f t="shared" si="7"/>
        <v>0</v>
      </c>
      <c r="N139" s="496"/>
      <c r="O139" s="333">
        <f t="shared" si="8"/>
        <v>0</v>
      </c>
      <c r="R139" s="23" t="e">
        <f>VLOOKUP(C:C,'Historic Data - working'!A:B,1,FALSE)</f>
        <v>#N/A</v>
      </c>
      <c r="U139" s="323"/>
      <c r="V139" s="323"/>
      <c r="W139" s="323"/>
    </row>
    <row r="140" spans="1:23" s="23" customFormat="1" ht="14.25" hidden="1" x14ac:dyDescent="0.2">
      <c r="A140" s="381" t="s">
        <v>323</v>
      </c>
      <c r="B140" s="381" t="s">
        <v>324</v>
      </c>
      <c r="C140" s="382" t="s">
        <v>824</v>
      </c>
      <c r="D140" s="381" t="s">
        <v>825</v>
      </c>
      <c r="E140" s="383" t="s">
        <v>826</v>
      </c>
      <c r="F140" s="385"/>
      <c r="G140" s="384"/>
      <c r="H140" s="24"/>
      <c r="I140" s="24"/>
      <c r="J140" s="25" t="str">
        <f t="shared" si="6"/>
        <v xml:space="preserve"> </v>
      </c>
      <c r="K140" s="385" t="s">
        <v>827</v>
      </c>
      <c r="L140" s="385">
        <v>0</v>
      </c>
      <c r="M140" s="386">
        <f t="shared" si="7"/>
        <v>0</v>
      </c>
      <c r="N140" s="496">
        <v>120</v>
      </c>
      <c r="O140" s="333">
        <f t="shared" si="8"/>
        <v>120</v>
      </c>
      <c r="R140" s="23" t="e">
        <f>VLOOKUP(C:C,'Historic Data - working'!A:B,1,FALSE)</f>
        <v>#N/A</v>
      </c>
      <c r="U140" s="323"/>
      <c r="V140" s="323"/>
      <c r="W140" s="323"/>
    </row>
    <row r="141" spans="1:23" s="23" customFormat="1" ht="14.25" hidden="1" outlineLevel="1" x14ac:dyDescent="0.2">
      <c r="A141" s="381" t="s">
        <v>828</v>
      </c>
      <c r="B141" s="381" t="s">
        <v>324</v>
      </c>
      <c r="C141" s="389" t="s">
        <v>829</v>
      </c>
      <c r="D141" s="381" t="s">
        <v>830</v>
      </c>
      <c r="E141" s="383" t="s">
        <v>831</v>
      </c>
      <c r="F141" s="381" t="s">
        <v>832</v>
      </c>
      <c r="G141" s="384" t="s">
        <v>329</v>
      </c>
      <c r="H141" s="24"/>
      <c r="I141" s="24">
        <v>323.76</v>
      </c>
      <c r="J141" s="25" t="str">
        <f t="shared" si="6"/>
        <v>1</v>
      </c>
      <c r="K141" s="385"/>
      <c r="L141" s="385"/>
      <c r="M141" s="386">
        <f t="shared" si="7"/>
        <v>0</v>
      </c>
      <c r="N141" s="496">
        <v>1429.08</v>
      </c>
      <c r="O141" s="333">
        <f t="shared" si="8"/>
        <v>1429.08</v>
      </c>
      <c r="R141" s="23" t="str">
        <f>VLOOKUP(C:C,'Historic Data - working'!A:B,1,FALSE)</f>
        <v>BIR001</v>
      </c>
      <c r="U141" s="323"/>
      <c r="V141" s="323"/>
      <c r="W141" s="323"/>
    </row>
    <row r="142" spans="1:23" s="23" customFormat="1" ht="14.25" hidden="1" outlineLevel="1" x14ac:dyDescent="0.2">
      <c r="A142" s="381" t="s">
        <v>828</v>
      </c>
      <c r="B142" s="381" t="s">
        <v>324</v>
      </c>
      <c r="C142" s="389" t="s">
        <v>833</v>
      </c>
      <c r="D142" s="381" t="s">
        <v>834</v>
      </c>
      <c r="E142" s="383" t="s">
        <v>835</v>
      </c>
      <c r="F142" s="381" t="s">
        <v>836</v>
      </c>
      <c r="G142" s="384" t="s">
        <v>329</v>
      </c>
      <c r="H142" s="24">
        <v>9377.57</v>
      </c>
      <c r="I142" s="24"/>
      <c r="J142" s="25" t="str">
        <f t="shared" si="6"/>
        <v>1</v>
      </c>
      <c r="K142" s="385"/>
      <c r="L142" s="385"/>
      <c r="M142" s="386">
        <f t="shared" si="7"/>
        <v>9377.57</v>
      </c>
      <c r="N142" s="496">
        <v>115</v>
      </c>
      <c r="O142" s="333">
        <f t="shared" si="8"/>
        <v>9492.57</v>
      </c>
      <c r="R142" s="23" t="str">
        <f>VLOOKUP(C:C,'Historic Data - working'!A:B,1,FALSE)</f>
        <v>BIR002</v>
      </c>
      <c r="U142" s="323"/>
      <c r="V142" s="323"/>
      <c r="W142" s="323"/>
    </row>
    <row r="143" spans="1:23" s="23" customFormat="1" ht="14.25" hidden="1" outlineLevel="1" x14ac:dyDescent="0.2">
      <c r="A143" s="381" t="s">
        <v>828</v>
      </c>
      <c r="B143" s="381" t="s">
        <v>324</v>
      </c>
      <c r="C143" s="389" t="s">
        <v>837</v>
      </c>
      <c r="D143" s="381" t="s">
        <v>838</v>
      </c>
      <c r="E143" s="383" t="s">
        <v>839</v>
      </c>
      <c r="F143" s="381" t="s">
        <v>840</v>
      </c>
      <c r="G143" s="384"/>
      <c r="H143" s="24"/>
      <c r="I143" s="24"/>
      <c r="J143" s="25" t="str">
        <f t="shared" si="6"/>
        <v xml:space="preserve"> </v>
      </c>
      <c r="K143" s="385"/>
      <c r="L143" s="385"/>
      <c r="M143" s="386">
        <f t="shared" si="7"/>
        <v>0</v>
      </c>
      <c r="N143" s="496">
        <v>75</v>
      </c>
      <c r="O143" s="333">
        <f t="shared" si="8"/>
        <v>75</v>
      </c>
      <c r="R143" s="23" t="str">
        <f>VLOOKUP(C:C,'Historic Data - working'!A:B,1,FALSE)</f>
        <v>BIR003</v>
      </c>
      <c r="U143" s="323"/>
      <c r="V143" s="323"/>
      <c r="W143" s="323"/>
    </row>
    <row r="144" spans="1:23" s="23" customFormat="1" ht="14.25" hidden="1" outlineLevel="1" x14ac:dyDescent="0.2">
      <c r="A144" s="381" t="s">
        <v>828</v>
      </c>
      <c r="B144" s="381" t="s">
        <v>324</v>
      </c>
      <c r="C144" s="389" t="s">
        <v>841</v>
      </c>
      <c r="D144" s="381" t="s">
        <v>842</v>
      </c>
      <c r="E144" s="383" t="s">
        <v>246</v>
      </c>
      <c r="F144" s="381" t="s">
        <v>843</v>
      </c>
      <c r="G144" s="384"/>
      <c r="H144" s="24"/>
      <c r="I144" s="24"/>
      <c r="J144" s="25" t="str">
        <f t="shared" si="6"/>
        <v xml:space="preserve"> </v>
      </c>
      <c r="K144" s="390" t="s">
        <v>321</v>
      </c>
      <c r="L144" s="385">
        <v>444.22</v>
      </c>
      <c r="M144" s="386">
        <f t="shared" si="7"/>
        <v>444.22</v>
      </c>
      <c r="N144" s="496">
        <v>50</v>
      </c>
      <c r="O144" s="333">
        <f t="shared" si="8"/>
        <v>494.22</v>
      </c>
      <c r="R144" s="23" t="str">
        <f>VLOOKUP(C:C,'Historic Data - working'!A:B,1,FALSE)</f>
        <v>BIR004</v>
      </c>
      <c r="U144" s="323"/>
      <c r="V144" s="323"/>
      <c r="W144" s="323"/>
    </row>
    <row r="145" spans="1:23" s="23" customFormat="1" ht="14.25" hidden="1" outlineLevel="1" x14ac:dyDescent="0.2">
      <c r="A145" s="381" t="s">
        <v>828</v>
      </c>
      <c r="B145" s="381" t="s">
        <v>324</v>
      </c>
      <c r="C145" s="389" t="s">
        <v>844</v>
      </c>
      <c r="D145" s="381" t="s">
        <v>845</v>
      </c>
      <c r="E145" s="383" t="s">
        <v>846</v>
      </c>
      <c r="F145" s="381" t="s">
        <v>847</v>
      </c>
      <c r="G145" s="384"/>
      <c r="H145" s="24"/>
      <c r="I145" s="24"/>
      <c r="J145" s="25" t="str">
        <f t="shared" si="6"/>
        <v xml:space="preserve"> </v>
      </c>
      <c r="K145" s="390" t="s">
        <v>321</v>
      </c>
      <c r="L145" s="385">
        <v>379.17</v>
      </c>
      <c r="M145" s="386">
        <f t="shared" si="7"/>
        <v>379.17</v>
      </c>
      <c r="N145" s="496">
        <v>46</v>
      </c>
      <c r="O145" s="333">
        <f t="shared" si="8"/>
        <v>425.17</v>
      </c>
      <c r="R145" s="23" t="str">
        <f>VLOOKUP(C:C,'Historic Data - working'!A:B,1,FALSE)</f>
        <v>BIR005</v>
      </c>
      <c r="U145" s="323"/>
      <c r="V145" s="323"/>
      <c r="W145" s="323"/>
    </row>
    <row r="146" spans="1:23" s="23" customFormat="1" ht="14.25" hidden="1" outlineLevel="1" x14ac:dyDescent="0.2">
      <c r="A146" s="381" t="s">
        <v>828</v>
      </c>
      <c r="B146" s="381" t="s">
        <v>324</v>
      </c>
      <c r="C146" s="389" t="s">
        <v>848</v>
      </c>
      <c r="D146" s="381" t="s">
        <v>849</v>
      </c>
      <c r="E146" s="383" t="s">
        <v>850</v>
      </c>
      <c r="F146" s="381" t="s">
        <v>851</v>
      </c>
      <c r="G146" s="384" t="s">
        <v>329</v>
      </c>
      <c r="H146" s="24"/>
      <c r="I146" s="24">
        <v>42.84</v>
      </c>
      <c r="J146" s="25" t="str">
        <f t="shared" si="6"/>
        <v>1</v>
      </c>
      <c r="K146" s="385"/>
      <c r="L146" s="385"/>
      <c r="M146" s="386">
        <f t="shared" si="7"/>
        <v>0</v>
      </c>
      <c r="N146" s="496">
        <v>42.84</v>
      </c>
      <c r="O146" s="333">
        <f t="shared" si="8"/>
        <v>42.84</v>
      </c>
      <c r="R146" s="23" t="str">
        <f>VLOOKUP(C:C,'Historic Data - working'!A:B,1,FALSE)</f>
        <v>BIR006</v>
      </c>
      <c r="U146" s="323"/>
      <c r="V146" s="323"/>
      <c r="W146" s="323"/>
    </row>
    <row r="147" spans="1:23" s="23" customFormat="1" ht="14.25" hidden="1" outlineLevel="1" x14ac:dyDescent="0.2">
      <c r="A147" s="381" t="s">
        <v>828</v>
      </c>
      <c r="B147" s="381" t="s">
        <v>324</v>
      </c>
      <c r="C147" s="389" t="s">
        <v>852</v>
      </c>
      <c r="D147" s="381" t="s">
        <v>853</v>
      </c>
      <c r="E147" s="383" t="s">
        <v>276</v>
      </c>
      <c r="F147" s="381" t="s">
        <v>854</v>
      </c>
      <c r="G147" s="384"/>
      <c r="H147" s="24"/>
      <c r="I147" s="24"/>
      <c r="J147" s="25" t="str">
        <f t="shared" si="6"/>
        <v xml:space="preserve"> </v>
      </c>
      <c r="K147" s="390" t="s">
        <v>321</v>
      </c>
      <c r="L147" s="385">
        <v>567.91</v>
      </c>
      <c r="M147" s="386">
        <f t="shared" si="7"/>
        <v>567.91</v>
      </c>
      <c r="N147" s="496">
        <v>10</v>
      </c>
      <c r="O147" s="333">
        <f t="shared" si="8"/>
        <v>577.91</v>
      </c>
      <c r="R147" s="23" t="str">
        <f>VLOOKUP(C:C,'Historic Data - working'!A:B,1,FALSE)</f>
        <v>BIR007</v>
      </c>
      <c r="U147" s="323"/>
      <c r="V147" s="323"/>
      <c r="W147" s="323"/>
    </row>
    <row r="148" spans="1:23" s="23" customFormat="1" ht="14.25" hidden="1" outlineLevel="1" x14ac:dyDescent="0.2">
      <c r="A148" s="381" t="s">
        <v>828</v>
      </c>
      <c r="B148" s="381" t="s">
        <v>324</v>
      </c>
      <c r="C148" s="389" t="s">
        <v>855</v>
      </c>
      <c r="D148" s="381" t="s">
        <v>856</v>
      </c>
      <c r="E148" s="383" t="s">
        <v>857</v>
      </c>
      <c r="F148" s="381" t="s">
        <v>858</v>
      </c>
      <c r="G148" s="384"/>
      <c r="H148" s="24"/>
      <c r="I148" s="24"/>
      <c r="J148" s="25" t="str">
        <f t="shared" si="6"/>
        <v xml:space="preserve"> </v>
      </c>
      <c r="K148" s="390" t="s">
        <v>321</v>
      </c>
      <c r="L148" s="385">
        <v>7.1</v>
      </c>
      <c r="M148" s="386">
        <f t="shared" si="7"/>
        <v>7.1</v>
      </c>
      <c r="N148" s="496">
        <v>141.94999999999999</v>
      </c>
      <c r="O148" s="333">
        <f t="shared" si="8"/>
        <v>149.04999999999998</v>
      </c>
      <c r="R148" s="23" t="str">
        <f>VLOOKUP(C:C,'Historic Data - working'!A:B,1,FALSE)</f>
        <v>BIR008</v>
      </c>
      <c r="U148" s="323"/>
      <c r="V148" s="323"/>
      <c r="W148" s="323"/>
    </row>
    <row r="149" spans="1:23" s="23" customFormat="1" ht="14.25" hidden="1" outlineLevel="1" x14ac:dyDescent="0.2">
      <c r="A149" s="381" t="s">
        <v>828</v>
      </c>
      <c r="B149" s="381" t="s">
        <v>351</v>
      </c>
      <c r="C149" s="389" t="s">
        <v>859</v>
      </c>
      <c r="D149" s="381" t="s">
        <v>860</v>
      </c>
      <c r="E149" s="383" t="s">
        <v>861</v>
      </c>
      <c r="F149" s="381" t="s">
        <v>832</v>
      </c>
      <c r="G149" s="384" t="s">
        <v>329</v>
      </c>
      <c r="H149" s="24">
        <f>403.3+1096.7</f>
        <v>1500</v>
      </c>
      <c r="I149" s="24"/>
      <c r="J149" s="25" t="str">
        <f t="shared" si="6"/>
        <v>1</v>
      </c>
      <c r="K149" s="385"/>
      <c r="L149" s="385"/>
      <c r="M149" s="386">
        <f t="shared" si="7"/>
        <v>1500</v>
      </c>
      <c r="N149" s="496">
        <v>325</v>
      </c>
      <c r="O149" s="333">
        <f t="shared" si="8"/>
        <v>1825</v>
      </c>
      <c r="R149" s="23" t="str">
        <f>VLOOKUP(C:C,'Historic Data - working'!A:B,1,FALSE)</f>
        <v>BIR009</v>
      </c>
      <c r="U149" s="323"/>
      <c r="V149" s="323"/>
      <c r="W149" s="323"/>
    </row>
    <row r="150" spans="1:23" s="23" customFormat="1" ht="14.25" hidden="1" outlineLevel="1" x14ac:dyDescent="0.2">
      <c r="A150" s="381" t="s">
        <v>828</v>
      </c>
      <c r="B150" s="381" t="s">
        <v>324</v>
      </c>
      <c r="C150" s="389" t="s">
        <v>862</v>
      </c>
      <c r="D150" s="381" t="s">
        <v>863</v>
      </c>
      <c r="E150" s="383" t="s">
        <v>412</v>
      </c>
      <c r="F150" s="381" t="s">
        <v>864</v>
      </c>
      <c r="G150" s="384" t="s">
        <v>329</v>
      </c>
      <c r="H150" s="24">
        <v>253.23</v>
      </c>
      <c r="I150" s="24"/>
      <c r="J150" s="25" t="str">
        <f t="shared" si="6"/>
        <v>1</v>
      </c>
      <c r="K150" s="385"/>
      <c r="L150" s="385"/>
      <c r="M150" s="386">
        <f t="shared" si="7"/>
        <v>253.23</v>
      </c>
      <c r="N150" s="496">
        <v>55</v>
      </c>
      <c r="O150" s="333">
        <f t="shared" si="8"/>
        <v>308.23</v>
      </c>
      <c r="R150" s="23" t="str">
        <f>VLOOKUP(C:C,'Historic Data - working'!A:B,1,FALSE)</f>
        <v>BIR010</v>
      </c>
      <c r="U150" s="323"/>
      <c r="V150" s="323"/>
      <c r="W150" s="323"/>
    </row>
    <row r="151" spans="1:23" s="23" customFormat="1" ht="14.25" hidden="1" outlineLevel="1" x14ac:dyDescent="0.2">
      <c r="A151" s="381" t="s">
        <v>828</v>
      </c>
      <c r="B151" s="381" t="s">
        <v>324</v>
      </c>
      <c r="C151" s="389" t="s">
        <v>865</v>
      </c>
      <c r="D151" s="381" t="s">
        <v>866</v>
      </c>
      <c r="E151" s="383" t="s">
        <v>867</v>
      </c>
      <c r="F151" s="381" t="s">
        <v>868</v>
      </c>
      <c r="G151" s="384" t="s">
        <v>329</v>
      </c>
      <c r="H151" s="24">
        <f>189.15+229.72+250.71+60.93</f>
        <v>730.51</v>
      </c>
      <c r="I151" s="24"/>
      <c r="J151" s="25" t="str">
        <f t="shared" si="6"/>
        <v>1</v>
      </c>
      <c r="K151" s="385" t="s">
        <v>869</v>
      </c>
      <c r="L151" s="385"/>
      <c r="M151" s="386">
        <f t="shared" si="7"/>
        <v>730.51</v>
      </c>
      <c r="N151" s="496">
        <v>12</v>
      </c>
      <c r="O151" s="333">
        <f t="shared" si="8"/>
        <v>742.51</v>
      </c>
      <c r="R151" s="23" t="str">
        <f>VLOOKUP(C:C,'Historic Data - working'!A:B,1,FALSE)</f>
        <v>BIR011</v>
      </c>
      <c r="U151" s="323"/>
      <c r="V151" s="323"/>
      <c r="W151" s="323"/>
    </row>
    <row r="152" spans="1:23" s="23" customFormat="1" ht="14.25" hidden="1" outlineLevel="1" x14ac:dyDescent="0.2">
      <c r="A152" s="381" t="s">
        <v>828</v>
      </c>
      <c r="B152" s="381" t="s">
        <v>324</v>
      </c>
      <c r="C152" s="389" t="s">
        <v>870</v>
      </c>
      <c r="D152" s="381" t="s">
        <v>871</v>
      </c>
      <c r="E152" s="383" t="s">
        <v>839</v>
      </c>
      <c r="F152" s="381" t="s">
        <v>872</v>
      </c>
      <c r="G152" s="384"/>
      <c r="H152" s="24"/>
      <c r="I152" s="24"/>
      <c r="J152" s="25" t="str">
        <f t="shared" si="6"/>
        <v xml:space="preserve"> </v>
      </c>
      <c r="K152" s="385"/>
      <c r="L152" s="385"/>
      <c r="M152" s="386">
        <f t="shared" si="7"/>
        <v>0</v>
      </c>
      <c r="N152" s="496">
        <v>140</v>
      </c>
      <c r="O152" s="333">
        <f t="shared" si="8"/>
        <v>140</v>
      </c>
      <c r="R152" s="23" t="str">
        <f>VLOOKUP(C:C,'Historic Data - working'!A:B,1,FALSE)</f>
        <v>BIR012</v>
      </c>
      <c r="U152" s="323"/>
      <c r="V152" s="323"/>
      <c r="W152" s="323"/>
    </row>
    <row r="153" spans="1:23" s="23" customFormat="1" ht="14.25" hidden="1" outlineLevel="1" x14ac:dyDescent="0.2">
      <c r="A153" s="381" t="s">
        <v>828</v>
      </c>
      <c r="B153" s="381" t="s">
        <v>324</v>
      </c>
      <c r="C153" s="389" t="s">
        <v>873</v>
      </c>
      <c r="D153" s="381" t="s">
        <v>874</v>
      </c>
      <c r="E153" s="383" t="s">
        <v>124</v>
      </c>
      <c r="F153" s="381" t="s">
        <v>875</v>
      </c>
      <c r="G153" s="384"/>
      <c r="H153" s="24"/>
      <c r="I153" s="24"/>
      <c r="J153" s="25" t="str">
        <f t="shared" si="6"/>
        <v xml:space="preserve"> </v>
      </c>
      <c r="K153" s="385"/>
      <c r="L153" s="385"/>
      <c r="M153" s="386">
        <f t="shared" si="7"/>
        <v>0</v>
      </c>
      <c r="N153" s="496"/>
      <c r="O153" s="333">
        <f t="shared" si="8"/>
        <v>0</v>
      </c>
      <c r="R153" s="23" t="str">
        <f>VLOOKUP(C:C,'Historic Data - working'!A:B,1,FALSE)</f>
        <v>BIR014</v>
      </c>
      <c r="U153" s="323"/>
      <c r="V153" s="323"/>
      <c r="W153" s="323"/>
    </row>
    <row r="154" spans="1:23" s="23" customFormat="1" ht="14.25" hidden="1" outlineLevel="1" x14ac:dyDescent="0.2">
      <c r="A154" s="381" t="s">
        <v>828</v>
      </c>
      <c r="B154" s="381" t="s">
        <v>324</v>
      </c>
      <c r="C154" s="389" t="s">
        <v>876</v>
      </c>
      <c r="D154" s="381" t="s">
        <v>877</v>
      </c>
      <c r="E154" s="383" t="s">
        <v>878</v>
      </c>
      <c r="F154" s="381" t="s">
        <v>879</v>
      </c>
      <c r="G154" s="384" t="s">
        <v>329</v>
      </c>
      <c r="H154" s="24"/>
      <c r="I154" s="24">
        <v>6735</v>
      </c>
      <c r="J154" s="25" t="str">
        <f t="shared" si="6"/>
        <v>1</v>
      </c>
      <c r="K154" s="385"/>
      <c r="L154" s="385"/>
      <c r="M154" s="386">
        <f t="shared" si="7"/>
        <v>0</v>
      </c>
      <c r="N154" s="496">
        <v>7096</v>
      </c>
      <c r="O154" s="333">
        <f t="shared" si="8"/>
        <v>7096</v>
      </c>
      <c r="R154" s="23" t="str">
        <f>VLOOKUP(C:C,'Historic Data - working'!A:B,1,FALSE)</f>
        <v>BIR015</v>
      </c>
      <c r="U154" s="323"/>
      <c r="V154" s="323"/>
      <c r="W154" s="323"/>
    </row>
    <row r="155" spans="1:23" s="23" customFormat="1" ht="14.25" hidden="1" outlineLevel="1" x14ac:dyDescent="0.2">
      <c r="A155" s="381" t="s">
        <v>828</v>
      </c>
      <c r="B155" s="381" t="s">
        <v>324</v>
      </c>
      <c r="C155" s="389" t="s">
        <v>880</v>
      </c>
      <c r="D155" s="381" t="s">
        <v>881</v>
      </c>
      <c r="E155" s="383" t="s">
        <v>882</v>
      </c>
      <c r="F155" s="381" t="s">
        <v>883</v>
      </c>
      <c r="G155" s="384" t="s">
        <v>329</v>
      </c>
      <c r="H155" s="24">
        <v>5421.77</v>
      </c>
      <c r="I155" s="24"/>
      <c r="J155" s="25" t="str">
        <f t="shared" si="6"/>
        <v>1</v>
      </c>
      <c r="K155" s="385" t="s">
        <v>884</v>
      </c>
      <c r="L155" s="385">
        <v>-54</v>
      </c>
      <c r="M155" s="386">
        <f t="shared" si="7"/>
        <v>5367.77</v>
      </c>
      <c r="N155" s="496">
        <v>419</v>
      </c>
      <c r="O155" s="333">
        <f t="shared" si="8"/>
        <v>5786.77</v>
      </c>
      <c r="R155" s="23" t="str">
        <f>VLOOKUP(C:C,'Historic Data - working'!A:B,1,FALSE)</f>
        <v>BIR016</v>
      </c>
      <c r="U155" s="323"/>
      <c r="V155" s="323"/>
      <c r="W155" s="323"/>
    </row>
    <row r="156" spans="1:23" s="23" customFormat="1" ht="14.25" hidden="1" outlineLevel="1" x14ac:dyDescent="0.2">
      <c r="A156" s="381" t="s">
        <v>828</v>
      </c>
      <c r="B156" s="381" t="s">
        <v>324</v>
      </c>
      <c r="C156" s="389" t="s">
        <v>885</v>
      </c>
      <c r="D156" s="381" t="s">
        <v>886</v>
      </c>
      <c r="E156" s="383" t="s">
        <v>887</v>
      </c>
      <c r="F156" s="381" t="s">
        <v>888</v>
      </c>
      <c r="G156" s="384" t="s">
        <v>329</v>
      </c>
      <c r="H156" s="24">
        <f>250+300+350+450</f>
        <v>1350</v>
      </c>
      <c r="I156" s="24"/>
      <c r="J156" s="25" t="str">
        <f t="shared" si="6"/>
        <v>1</v>
      </c>
      <c r="K156" s="385" t="s">
        <v>889</v>
      </c>
      <c r="L156" s="385"/>
      <c r="M156" s="386">
        <f t="shared" si="7"/>
        <v>1350</v>
      </c>
      <c r="N156" s="496">
        <v>514.63</v>
      </c>
      <c r="O156" s="333">
        <f t="shared" si="8"/>
        <v>1864.63</v>
      </c>
      <c r="R156" s="23" t="str">
        <f>VLOOKUP(C:C,'Historic Data - working'!A:B,1,FALSE)</f>
        <v>BIR017</v>
      </c>
      <c r="U156" s="323"/>
      <c r="V156" s="323"/>
      <c r="W156" s="323"/>
    </row>
    <row r="157" spans="1:23" s="23" customFormat="1" ht="14.25" hidden="1" outlineLevel="1" x14ac:dyDescent="0.2">
      <c r="A157" s="381" t="s">
        <v>828</v>
      </c>
      <c r="B157" s="381" t="s">
        <v>324</v>
      </c>
      <c r="C157" s="389" t="s">
        <v>890</v>
      </c>
      <c r="D157" s="381" t="s">
        <v>891</v>
      </c>
      <c r="E157" s="383" t="s">
        <v>892</v>
      </c>
      <c r="F157" s="381" t="s">
        <v>893</v>
      </c>
      <c r="G157" s="384"/>
      <c r="H157" s="24"/>
      <c r="I157" s="24"/>
      <c r="J157" s="25" t="str">
        <f t="shared" si="6"/>
        <v xml:space="preserve"> </v>
      </c>
      <c r="K157" s="390" t="s">
        <v>321</v>
      </c>
      <c r="L157" s="385">
        <v>894.35</v>
      </c>
      <c r="M157" s="386">
        <f t="shared" si="7"/>
        <v>894.35</v>
      </c>
      <c r="N157" s="496">
        <v>695</v>
      </c>
      <c r="O157" s="333">
        <f t="shared" si="8"/>
        <v>1589.35</v>
      </c>
      <c r="R157" s="23" t="str">
        <f>VLOOKUP(C:C,'Historic Data - working'!A:B,1,FALSE)</f>
        <v>BIR018</v>
      </c>
      <c r="U157" s="323"/>
      <c r="V157" s="323"/>
      <c r="W157" s="323"/>
    </row>
    <row r="158" spans="1:23" s="23" customFormat="1" ht="14.25" hidden="1" outlineLevel="1" x14ac:dyDescent="0.2">
      <c r="A158" s="381" t="s">
        <v>828</v>
      </c>
      <c r="B158" s="381" t="s">
        <v>324</v>
      </c>
      <c r="C158" s="389" t="s">
        <v>894</v>
      </c>
      <c r="D158" s="381" t="s">
        <v>895</v>
      </c>
      <c r="E158" s="383" t="s">
        <v>896</v>
      </c>
      <c r="F158" s="381" t="s">
        <v>897</v>
      </c>
      <c r="G158" s="384"/>
      <c r="H158" s="24"/>
      <c r="I158" s="24"/>
      <c r="J158" s="25" t="str">
        <f t="shared" si="6"/>
        <v xml:space="preserve"> </v>
      </c>
      <c r="K158" s="385"/>
      <c r="L158" s="385"/>
      <c r="M158" s="386">
        <f t="shared" si="7"/>
        <v>0</v>
      </c>
      <c r="N158" s="496">
        <v>744.08</v>
      </c>
      <c r="O158" s="333">
        <f t="shared" si="8"/>
        <v>744.08</v>
      </c>
      <c r="R158" s="23" t="str">
        <f>VLOOKUP(C:C,'Historic Data - working'!A:B,1,FALSE)</f>
        <v>BIR019</v>
      </c>
      <c r="U158" s="323"/>
      <c r="V158" s="323"/>
      <c r="W158" s="323"/>
    </row>
    <row r="159" spans="1:23" s="23" customFormat="1" ht="14.25" hidden="1" outlineLevel="1" x14ac:dyDescent="0.2">
      <c r="A159" s="381" t="s">
        <v>828</v>
      </c>
      <c r="B159" s="381" t="s">
        <v>324</v>
      </c>
      <c r="C159" s="389" t="s">
        <v>898</v>
      </c>
      <c r="D159" s="381" t="s">
        <v>899</v>
      </c>
      <c r="E159" s="383" t="s">
        <v>900</v>
      </c>
      <c r="F159" s="381" t="s">
        <v>897</v>
      </c>
      <c r="G159" s="384" t="s">
        <v>329</v>
      </c>
      <c r="H159" s="24">
        <f>46.36+97.25+179.89+85.17+53.87+75.21+54.92+85.28+65.11+68.65+73.59+317.3+35.81+28.09</f>
        <v>1266.4999999999998</v>
      </c>
      <c r="I159" s="24"/>
      <c r="J159" s="25" t="str">
        <f t="shared" si="6"/>
        <v>1</v>
      </c>
      <c r="K159" s="391" t="s">
        <v>901</v>
      </c>
      <c r="L159" s="385">
        <v>0.1</v>
      </c>
      <c r="M159" s="386">
        <f t="shared" si="7"/>
        <v>1266.5999999999997</v>
      </c>
      <c r="N159" s="496"/>
      <c r="O159" s="333">
        <f t="shared" si="8"/>
        <v>1266.5999999999997</v>
      </c>
      <c r="R159" s="23" t="str">
        <f>VLOOKUP(C:C,'Historic Data - working'!A:B,1,FALSE)</f>
        <v>BIR020</v>
      </c>
      <c r="U159" s="323"/>
      <c r="V159" s="323"/>
      <c r="W159" s="323"/>
    </row>
    <row r="160" spans="1:23" s="23" customFormat="1" ht="14.25" hidden="1" outlineLevel="1" x14ac:dyDescent="0.2">
      <c r="A160" s="381" t="s">
        <v>828</v>
      </c>
      <c r="B160" s="381" t="s">
        <v>324</v>
      </c>
      <c r="C160" s="389" t="s">
        <v>902</v>
      </c>
      <c r="D160" s="381" t="s">
        <v>903</v>
      </c>
      <c r="E160" s="383" t="s">
        <v>31</v>
      </c>
      <c r="F160" s="381" t="s">
        <v>904</v>
      </c>
      <c r="G160" s="384"/>
      <c r="H160" s="24"/>
      <c r="I160" s="24"/>
      <c r="J160" s="25" t="str">
        <f t="shared" si="6"/>
        <v xml:space="preserve"> </v>
      </c>
      <c r="K160" s="385"/>
      <c r="L160" s="385"/>
      <c r="M160" s="386">
        <f t="shared" si="7"/>
        <v>0</v>
      </c>
      <c r="N160" s="496">
        <v>110</v>
      </c>
      <c r="O160" s="333">
        <f t="shared" si="8"/>
        <v>110</v>
      </c>
      <c r="R160" s="23" t="str">
        <f>VLOOKUP(C:C,'Historic Data - working'!A:B,1,FALSE)</f>
        <v>BIR021</v>
      </c>
      <c r="U160" s="323"/>
      <c r="V160" s="323"/>
      <c r="W160" s="323"/>
    </row>
    <row r="161" spans="1:23" s="23" customFormat="1" ht="14.25" hidden="1" outlineLevel="1" x14ac:dyDescent="0.2">
      <c r="A161" s="381" t="s">
        <v>828</v>
      </c>
      <c r="B161" s="381" t="s">
        <v>324</v>
      </c>
      <c r="C161" s="389" t="s">
        <v>905</v>
      </c>
      <c r="D161" s="381" t="s">
        <v>906</v>
      </c>
      <c r="E161" s="383" t="s">
        <v>796</v>
      </c>
      <c r="F161" s="381" t="s">
        <v>907</v>
      </c>
      <c r="G161" s="384" t="s">
        <v>329</v>
      </c>
      <c r="H161" s="24">
        <f>200.06+1433.72+393.83+47.1+180.29+514.89+1005.2</f>
        <v>3775.09</v>
      </c>
      <c r="I161" s="24"/>
      <c r="J161" s="25" t="str">
        <f t="shared" si="6"/>
        <v>1</v>
      </c>
      <c r="K161" s="385"/>
      <c r="L161" s="385"/>
      <c r="M161" s="386">
        <f t="shared" si="7"/>
        <v>3775.09</v>
      </c>
      <c r="N161" s="496">
        <v>276.75</v>
      </c>
      <c r="O161" s="333">
        <f t="shared" si="8"/>
        <v>4051.84</v>
      </c>
      <c r="R161" s="23" t="str">
        <f>VLOOKUP(C:C,'Historic Data - working'!A:B,1,FALSE)</f>
        <v>BIR022</v>
      </c>
      <c r="U161" s="323"/>
      <c r="V161" s="323"/>
      <c r="W161" s="323"/>
    </row>
    <row r="162" spans="1:23" s="23" customFormat="1" ht="14.25" hidden="1" outlineLevel="1" x14ac:dyDescent="0.2">
      <c r="A162" s="381" t="s">
        <v>828</v>
      </c>
      <c r="B162" s="381" t="s">
        <v>324</v>
      </c>
      <c r="C162" s="389" t="s">
        <v>908</v>
      </c>
      <c r="D162" s="381" t="s">
        <v>909</v>
      </c>
      <c r="E162" s="383" t="s">
        <v>910</v>
      </c>
      <c r="F162" s="381" t="s">
        <v>911</v>
      </c>
      <c r="G162" s="384" t="s">
        <v>329</v>
      </c>
      <c r="H162" s="24">
        <v>3269.36</v>
      </c>
      <c r="I162" s="24"/>
      <c r="J162" s="25" t="str">
        <f t="shared" si="6"/>
        <v>1</v>
      </c>
      <c r="K162" s="385"/>
      <c r="L162" s="385"/>
      <c r="M162" s="386">
        <f t="shared" si="7"/>
        <v>3269.36</v>
      </c>
      <c r="N162" s="496">
        <v>130</v>
      </c>
      <c r="O162" s="333">
        <f t="shared" si="8"/>
        <v>3399.36</v>
      </c>
      <c r="R162" s="23" t="str">
        <f>VLOOKUP(C:C,'Historic Data - working'!A:B,1,FALSE)</f>
        <v>BIR023</v>
      </c>
      <c r="U162" s="323"/>
      <c r="V162" s="323"/>
      <c r="W162" s="323"/>
    </row>
    <row r="163" spans="1:23" s="23" customFormat="1" ht="14.25" hidden="1" outlineLevel="1" x14ac:dyDescent="0.2">
      <c r="A163" s="381" t="s">
        <v>828</v>
      </c>
      <c r="B163" s="381" t="s">
        <v>324</v>
      </c>
      <c r="C163" s="389" t="s">
        <v>912</v>
      </c>
      <c r="D163" s="381" t="s">
        <v>913</v>
      </c>
      <c r="E163" s="383" t="s">
        <v>564</v>
      </c>
      <c r="F163" s="381" t="s">
        <v>911</v>
      </c>
      <c r="G163" s="384"/>
      <c r="H163" s="24"/>
      <c r="I163" s="24"/>
      <c r="J163" s="25" t="str">
        <f t="shared" si="6"/>
        <v xml:space="preserve"> </v>
      </c>
      <c r="K163" s="390" t="s">
        <v>321</v>
      </c>
      <c r="L163" s="385">
        <v>220.34</v>
      </c>
      <c r="M163" s="386">
        <f t="shared" si="7"/>
        <v>220.34</v>
      </c>
      <c r="N163" s="496"/>
      <c r="O163" s="333">
        <f t="shared" si="8"/>
        <v>220.34</v>
      </c>
      <c r="R163" s="23" t="str">
        <f>VLOOKUP(C:C,'Historic Data - working'!A:B,1,FALSE)</f>
        <v>BIR024</v>
      </c>
      <c r="U163" s="323"/>
      <c r="V163" s="323"/>
      <c r="W163" s="323"/>
    </row>
    <row r="164" spans="1:23" s="23" customFormat="1" ht="14.25" hidden="1" outlineLevel="1" x14ac:dyDescent="0.2">
      <c r="A164" s="381" t="s">
        <v>828</v>
      </c>
      <c r="B164" s="381" t="s">
        <v>324</v>
      </c>
      <c r="C164" s="389" t="s">
        <v>914</v>
      </c>
      <c r="D164" s="381" t="s">
        <v>915</v>
      </c>
      <c r="E164" s="383" t="s">
        <v>916</v>
      </c>
      <c r="F164" s="381" t="s">
        <v>917</v>
      </c>
      <c r="G164" s="384"/>
      <c r="H164" s="24"/>
      <c r="I164" s="24"/>
      <c r="J164" s="25" t="str">
        <f t="shared" si="6"/>
        <v xml:space="preserve"> </v>
      </c>
      <c r="K164" s="390" t="s">
        <v>321</v>
      </c>
      <c r="L164" s="385">
        <v>351.04</v>
      </c>
      <c r="M164" s="386">
        <f t="shared" si="7"/>
        <v>351.04</v>
      </c>
      <c r="N164" s="496">
        <v>412.25</v>
      </c>
      <c r="O164" s="333">
        <f t="shared" si="8"/>
        <v>763.29</v>
      </c>
      <c r="R164" s="23" t="str">
        <f>VLOOKUP(C:C,'Historic Data - working'!A:B,1,FALSE)</f>
        <v>BIR025</v>
      </c>
      <c r="U164" s="323"/>
      <c r="V164" s="323"/>
      <c r="W164" s="323"/>
    </row>
    <row r="165" spans="1:23" s="23" customFormat="1" ht="14.25" hidden="1" outlineLevel="1" x14ac:dyDescent="0.2">
      <c r="A165" s="381" t="s">
        <v>828</v>
      </c>
      <c r="B165" s="381" t="s">
        <v>324</v>
      </c>
      <c r="C165" s="389" t="s">
        <v>918</v>
      </c>
      <c r="D165" s="381" t="s">
        <v>919</v>
      </c>
      <c r="E165" s="383" t="s">
        <v>127</v>
      </c>
      <c r="F165" s="381" t="s">
        <v>920</v>
      </c>
      <c r="G165" s="384" t="s">
        <v>329</v>
      </c>
      <c r="H165" s="24">
        <f>350+500+300+600</f>
        <v>1750</v>
      </c>
      <c r="I165" s="24"/>
      <c r="J165" s="25" t="str">
        <f t="shared" si="6"/>
        <v>1</v>
      </c>
      <c r="K165" s="385"/>
      <c r="L165" s="385"/>
      <c r="M165" s="386">
        <f t="shared" si="7"/>
        <v>1750</v>
      </c>
      <c r="N165" s="496">
        <v>1011</v>
      </c>
      <c r="O165" s="333">
        <f t="shared" si="8"/>
        <v>2761</v>
      </c>
      <c r="R165" s="23" t="str">
        <f>VLOOKUP(C:C,'Historic Data - working'!A:B,1,FALSE)</f>
        <v>BIR026</v>
      </c>
      <c r="U165" s="323"/>
      <c r="V165" s="323"/>
      <c r="W165" s="323"/>
    </row>
    <row r="166" spans="1:23" s="23" customFormat="1" ht="14.25" hidden="1" outlineLevel="1" x14ac:dyDescent="0.2">
      <c r="A166" s="381" t="s">
        <v>828</v>
      </c>
      <c r="B166" s="381" t="s">
        <v>324</v>
      </c>
      <c r="C166" s="389" t="s">
        <v>921</v>
      </c>
      <c r="D166" s="381" t="s">
        <v>922</v>
      </c>
      <c r="E166" s="383" t="s">
        <v>252</v>
      </c>
      <c r="F166" s="381" t="s">
        <v>923</v>
      </c>
      <c r="G166" s="384"/>
      <c r="H166" s="24"/>
      <c r="I166" s="24"/>
      <c r="J166" s="25" t="str">
        <f t="shared" si="6"/>
        <v xml:space="preserve"> </v>
      </c>
      <c r="K166" s="385"/>
      <c r="L166" s="385"/>
      <c r="M166" s="386">
        <f t="shared" si="7"/>
        <v>0</v>
      </c>
      <c r="N166" s="496"/>
      <c r="O166" s="333">
        <f t="shared" si="8"/>
        <v>0</v>
      </c>
      <c r="R166" s="23" t="e">
        <f>VLOOKUP(C:C,'Historic Data - working'!A:B,1,FALSE)</f>
        <v>#N/A</v>
      </c>
      <c r="S166" s="23" t="s">
        <v>8294</v>
      </c>
      <c r="U166" s="323"/>
      <c r="V166" s="323"/>
      <c r="W166" s="323"/>
    </row>
    <row r="167" spans="1:23" s="23" customFormat="1" ht="14.25" hidden="1" outlineLevel="1" x14ac:dyDescent="0.2">
      <c r="A167" s="381" t="s">
        <v>828</v>
      </c>
      <c r="B167" s="381" t="s">
        <v>324</v>
      </c>
      <c r="C167" s="389" t="s">
        <v>924</v>
      </c>
      <c r="D167" s="381" t="s">
        <v>925</v>
      </c>
      <c r="E167" s="383" t="s">
        <v>532</v>
      </c>
      <c r="F167" s="381" t="s">
        <v>926</v>
      </c>
      <c r="G167" s="384"/>
      <c r="H167" s="24"/>
      <c r="I167" s="24"/>
      <c r="J167" s="25" t="str">
        <f t="shared" si="6"/>
        <v xml:space="preserve"> </v>
      </c>
      <c r="K167" s="385"/>
      <c r="L167" s="385"/>
      <c r="M167" s="386">
        <f t="shared" si="7"/>
        <v>0</v>
      </c>
      <c r="N167" s="496"/>
      <c r="O167" s="333">
        <f t="shared" si="8"/>
        <v>0</v>
      </c>
      <c r="R167" s="23" t="str">
        <f>VLOOKUP(C:C,'Historic Data - working'!A:B,1,FALSE)</f>
        <v>BIR028</v>
      </c>
      <c r="U167" s="323"/>
      <c r="V167" s="323"/>
      <c r="W167" s="323"/>
    </row>
    <row r="168" spans="1:23" s="23" customFormat="1" ht="14.25" hidden="1" outlineLevel="1" x14ac:dyDescent="0.2">
      <c r="A168" s="381" t="s">
        <v>828</v>
      </c>
      <c r="B168" s="381" t="s">
        <v>324</v>
      </c>
      <c r="C168" s="389" t="s">
        <v>927</v>
      </c>
      <c r="D168" s="381" t="s">
        <v>928</v>
      </c>
      <c r="E168" s="383" t="s">
        <v>929</v>
      </c>
      <c r="F168" s="381" t="s">
        <v>930</v>
      </c>
      <c r="G168" s="384" t="s">
        <v>329</v>
      </c>
      <c r="H168" s="24">
        <f>119.04+22.66+35.77+34.57+251.04+190.81+153.01+107.78+67.48+37.98+66.5</f>
        <v>1086.6400000000001</v>
      </c>
      <c r="I168" s="24"/>
      <c r="J168" s="25" t="str">
        <f t="shared" si="6"/>
        <v>1</v>
      </c>
      <c r="K168" s="385" t="s">
        <v>931</v>
      </c>
      <c r="L168" s="385">
        <f>-119.84+0.8</f>
        <v>-119.04</v>
      </c>
      <c r="M168" s="386">
        <f t="shared" si="7"/>
        <v>967.60000000000014</v>
      </c>
      <c r="N168" s="496">
        <v>196</v>
      </c>
      <c r="O168" s="333">
        <f t="shared" si="8"/>
        <v>1163.6000000000001</v>
      </c>
      <c r="R168" s="23" t="str">
        <f>VLOOKUP(C:C,'Historic Data - working'!A:B,1,FALSE)</f>
        <v>BIR029</v>
      </c>
      <c r="U168" s="323"/>
      <c r="V168" s="323"/>
      <c r="W168" s="323"/>
    </row>
    <row r="169" spans="1:23" s="23" customFormat="1" ht="14.25" hidden="1" outlineLevel="1" x14ac:dyDescent="0.2">
      <c r="A169" s="381" t="s">
        <v>828</v>
      </c>
      <c r="B169" s="381" t="s">
        <v>324</v>
      </c>
      <c r="C169" s="389" t="s">
        <v>932</v>
      </c>
      <c r="D169" s="381" t="s">
        <v>933</v>
      </c>
      <c r="E169" s="383" t="s">
        <v>934</v>
      </c>
      <c r="F169" s="381" t="s">
        <v>935</v>
      </c>
      <c r="G169" s="384"/>
      <c r="H169" s="24"/>
      <c r="I169" s="24"/>
      <c r="J169" s="25" t="str">
        <f t="shared" si="6"/>
        <v xml:space="preserve"> </v>
      </c>
      <c r="K169" s="385"/>
      <c r="L169" s="385"/>
      <c r="M169" s="386">
        <f t="shared" si="7"/>
        <v>0</v>
      </c>
      <c r="N169" s="496">
        <v>40</v>
      </c>
      <c r="O169" s="333">
        <f t="shared" si="8"/>
        <v>40</v>
      </c>
      <c r="R169" s="23" t="str">
        <f>VLOOKUP(C:C,'Historic Data - working'!A:B,1,FALSE)</f>
        <v>BIR031</v>
      </c>
      <c r="U169" s="323"/>
      <c r="V169" s="323"/>
      <c r="W169" s="323"/>
    </row>
    <row r="170" spans="1:23" s="23" customFormat="1" ht="14.25" hidden="1" outlineLevel="1" x14ac:dyDescent="0.2">
      <c r="A170" s="381" t="s">
        <v>828</v>
      </c>
      <c r="B170" s="381" t="s">
        <v>324</v>
      </c>
      <c r="C170" s="389" t="s">
        <v>936</v>
      </c>
      <c r="D170" s="381" t="s">
        <v>937</v>
      </c>
      <c r="E170" s="383" t="s">
        <v>938</v>
      </c>
      <c r="F170" s="381" t="s">
        <v>939</v>
      </c>
      <c r="G170" s="384" t="s">
        <v>329</v>
      </c>
      <c r="H170" s="24">
        <f>618.85+387.14+43.03</f>
        <v>1049.02</v>
      </c>
      <c r="I170" s="24"/>
      <c r="J170" s="25" t="str">
        <f t="shared" si="6"/>
        <v>1</v>
      </c>
      <c r="K170" s="385"/>
      <c r="L170" s="385"/>
      <c r="M170" s="386">
        <f t="shared" si="7"/>
        <v>1049.02</v>
      </c>
      <c r="N170" s="496">
        <v>65</v>
      </c>
      <c r="O170" s="333">
        <f t="shared" si="8"/>
        <v>1114.02</v>
      </c>
      <c r="R170" s="23" t="str">
        <f>VLOOKUP(C:C,'Historic Data - working'!A:B,1,FALSE)</f>
        <v>BIR032</v>
      </c>
      <c r="U170" s="323"/>
      <c r="V170" s="323"/>
      <c r="W170" s="323"/>
    </row>
    <row r="171" spans="1:23" s="23" customFormat="1" ht="14.25" hidden="1" outlineLevel="1" x14ac:dyDescent="0.2">
      <c r="A171" s="381" t="s">
        <v>828</v>
      </c>
      <c r="B171" s="381" t="s">
        <v>324</v>
      </c>
      <c r="C171" s="389" t="s">
        <v>940</v>
      </c>
      <c r="D171" s="381" t="s">
        <v>941</v>
      </c>
      <c r="E171" s="383" t="s">
        <v>942</v>
      </c>
      <c r="F171" s="381" t="s">
        <v>943</v>
      </c>
      <c r="G171" s="384" t="s">
        <v>329</v>
      </c>
      <c r="H171" s="24">
        <f>275+335+392+415</f>
        <v>1417</v>
      </c>
      <c r="I171" s="24"/>
      <c r="J171" s="25" t="str">
        <f t="shared" si="6"/>
        <v>1</v>
      </c>
      <c r="K171" s="385"/>
      <c r="L171" s="385"/>
      <c r="M171" s="386">
        <f t="shared" si="7"/>
        <v>1417</v>
      </c>
      <c r="N171" s="496">
        <v>222.1</v>
      </c>
      <c r="O171" s="333">
        <f t="shared" si="8"/>
        <v>1639.1</v>
      </c>
      <c r="R171" s="23" t="str">
        <f>VLOOKUP(C:C,'Historic Data - working'!A:B,1,FALSE)</f>
        <v>BIR033</v>
      </c>
      <c r="U171" s="323"/>
      <c r="V171" s="323"/>
      <c r="W171" s="323"/>
    </row>
    <row r="172" spans="1:23" s="23" customFormat="1" ht="14.25" hidden="1" outlineLevel="1" x14ac:dyDescent="0.2">
      <c r="A172" s="381" t="s">
        <v>828</v>
      </c>
      <c r="B172" s="381" t="s">
        <v>324</v>
      </c>
      <c r="C172" s="389" t="s">
        <v>944</v>
      </c>
      <c r="D172" s="381" t="s">
        <v>945</v>
      </c>
      <c r="E172" s="383" t="s">
        <v>740</v>
      </c>
      <c r="F172" s="381" t="s">
        <v>946</v>
      </c>
      <c r="G172" s="384" t="s">
        <v>329</v>
      </c>
      <c r="H172" s="24">
        <f>1715.21</f>
        <v>1715.21</v>
      </c>
      <c r="I172" s="24"/>
      <c r="J172" s="25" t="str">
        <f t="shared" si="6"/>
        <v>1</v>
      </c>
      <c r="K172" s="392" t="s">
        <v>947</v>
      </c>
      <c r="L172" s="385">
        <v>5</v>
      </c>
      <c r="M172" s="386">
        <f t="shared" si="7"/>
        <v>1720.21</v>
      </c>
      <c r="N172" s="496">
        <v>20</v>
      </c>
      <c r="O172" s="333">
        <f t="shared" si="8"/>
        <v>1740.21</v>
      </c>
      <c r="R172" s="23" t="str">
        <f>VLOOKUP(C:C,'Historic Data - working'!A:B,1,FALSE)</f>
        <v>BIR034</v>
      </c>
      <c r="U172" s="323"/>
      <c r="V172" s="323"/>
      <c r="W172" s="323"/>
    </row>
    <row r="173" spans="1:23" s="23" customFormat="1" ht="14.25" hidden="1" outlineLevel="1" x14ac:dyDescent="0.2">
      <c r="A173" s="381" t="s">
        <v>828</v>
      </c>
      <c r="B173" s="381" t="s">
        <v>324</v>
      </c>
      <c r="C173" s="389" t="s">
        <v>948</v>
      </c>
      <c r="D173" s="381" t="s">
        <v>949</v>
      </c>
      <c r="E173" s="383" t="s">
        <v>950</v>
      </c>
      <c r="F173" s="381" t="s">
        <v>951</v>
      </c>
      <c r="G173" s="384" t="s">
        <v>329</v>
      </c>
      <c r="H173" s="24">
        <f>554.19+470.76+322.61</f>
        <v>1347.56</v>
      </c>
      <c r="I173" s="24"/>
      <c r="J173" s="25" t="str">
        <f t="shared" si="6"/>
        <v>1</v>
      </c>
      <c r="K173" s="385" t="s">
        <v>952</v>
      </c>
      <c r="L173" s="385">
        <v>-1.02</v>
      </c>
      <c r="M173" s="386">
        <f t="shared" si="7"/>
        <v>1346.54</v>
      </c>
      <c r="N173" s="496">
        <v>20</v>
      </c>
      <c r="O173" s="333">
        <f t="shared" si="8"/>
        <v>1366.54</v>
      </c>
      <c r="R173" s="23" t="str">
        <f>VLOOKUP(C:C,'Historic Data - working'!A:B,1,FALSE)</f>
        <v>BIR035</v>
      </c>
      <c r="U173" s="323"/>
      <c r="V173" s="323"/>
      <c r="W173" s="323"/>
    </row>
    <row r="174" spans="1:23" s="23" customFormat="1" ht="14.25" hidden="1" outlineLevel="1" x14ac:dyDescent="0.2">
      <c r="A174" s="381" t="s">
        <v>828</v>
      </c>
      <c r="B174" s="381" t="s">
        <v>324</v>
      </c>
      <c r="C174" s="389" t="s">
        <v>953</v>
      </c>
      <c r="D174" s="381" t="s">
        <v>954</v>
      </c>
      <c r="E174" s="383" t="s">
        <v>955</v>
      </c>
      <c r="F174" s="381" t="s">
        <v>956</v>
      </c>
      <c r="G174" s="384"/>
      <c r="H174" s="24"/>
      <c r="I174" s="24"/>
      <c r="J174" s="25" t="str">
        <f t="shared" si="6"/>
        <v xml:space="preserve"> </v>
      </c>
      <c r="K174" s="385"/>
      <c r="L174" s="385"/>
      <c r="M174" s="386">
        <f t="shared" si="7"/>
        <v>0</v>
      </c>
      <c r="N174" s="496">
        <v>366.77</v>
      </c>
      <c r="O174" s="333">
        <f t="shared" si="8"/>
        <v>366.77</v>
      </c>
      <c r="R174" s="23" t="str">
        <f>VLOOKUP(C:C,'Historic Data - working'!A:B,1,FALSE)</f>
        <v>BIR036</v>
      </c>
      <c r="U174" s="323"/>
      <c r="V174" s="323"/>
      <c r="W174" s="323"/>
    </row>
    <row r="175" spans="1:23" s="23" customFormat="1" ht="14.25" hidden="1" outlineLevel="1" x14ac:dyDescent="0.2">
      <c r="A175" s="381" t="s">
        <v>828</v>
      </c>
      <c r="B175" s="381" t="s">
        <v>324</v>
      </c>
      <c r="C175" s="389" t="s">
        <v>957</v>
      </c>
      <c r="D175" s="381" t="s">
        <v>958</v>
      </c>
      <c r="E175" s="383" t="s">
        <v>959</v>
      </c>
      <c r="F175" s="381" t="s">
        <v>960</v>
      </c>
      <c r="G175" s="384" t="s">
        <v>329</v>
      </c>
      <c r="H175" s="24">
        <v>4569.7</v>
      </c>
      <c r="I175" s="24"/>
      <c r="J175" s="25" t="str">
        <f t="shared" si="6"/>
        <v>1</v>
      </c>
      <c r="K175" s="385"/>
      <c r="L175" s="385"/>
      <c r="M175" s="386">
        <f t="shared" si="7"/>
        <v>4569.7</v>
      </c>
      <c r="N175" s="496">
        <v>219</v>
      </c>
      <c r="O175" s="333">
        <f t="shared" si="8"/>
        <v>4788.7</v>
      </c>
      <c r="R175" s="23" t="str">
        <f>VLOOKUP(C:C,'Historic Data - working'!A:B,1,FALSE)</f>
        <v>BIR037</v>
      </c>
      <c r="U175" s="323"/>
      <c r="V175" s="323"/>
      <c r="W175" s="323"/>
    </row>
    <row r="176" spans="1:23" s="23" customFormat="1" ht="14.25" hidden="1" outlineLevel="1" x14ac:dyDescent="0.2">
      <c r="A176" s="381" t="s">
        <v>828</v>
      </c>
      <c r="B176" s="381" t="s">
        <v>324</v>
      </c>
      <c r="C176" s="389" t="s">
        <v>961</v>
      </c>
      <c r="D176" s="381" t="s">
        <v>962</v>
      </c>
      <c r="E176" s="383" t="s">
        <v>56</v>
      </c>
      <c r="F176" s="381" t="s">
        <v>963</v>
      </c>
      <c r="G176" s="384" t="s">
        <v>329</v>
      </c>
      <c r="H176" s="24">
        <v>1120.24</v>
      </c>
      <c r="I176" s="24"/>
      <c r="J176" s="25" t="str">
        <f t="shared" si="6"/>
        <v>1</v>
      </c>
      <c r="K176" s="392" t="s">
        <v>964</v>
      </c>
      <c r="L176" s="385">
        <v>100</v>
      </c>
      <c r="M176" s="386">
        <f t="shared" si="7"/>
        <v>1220.24</v>
      </c>
      <c r="N176" s="496">
        <v>66</v>
      </c>
      <c r="O176" s="333">
        <f t="shared" si="8"/>
        <v>1286.24</v>
      </c>
      <c r="R176" s="23" t="str">
        <f>VLOOKUP(C:C,'Historic Data - working'!A:B,1,FALSE)</f>
        <v>BIR038</v>
      </c>
      <c r="U176" s="323"/>
      <c r="V176" s="323"/>
      <c r="W176" s="323"/>
    </row>
    <row r="177" spans="1:23" s="23" customFormat="1" ht="14.25" hidden="1" outlineLevel="1" x14ac:dyDescent="0.2">
      <c r="A177" s="381" t="s">
        <v>828</v>
      </c>
      <c r="B177" s="381" t="s">
        <v>324</v>
      </c>
      <c r="C177" s="389" t="s">
        <v>965</v>
      </c>
      <c r="D177" s="381" t="s">
        <v>966</v>
      </c>
      <c r="E177" s="383" t="s">
        <v>238</v>
      </c>
      <c r="F177" s="381" t="s">
        <v>967</v>
      </c>
      <c r="G177" s="384"/>
      <c r="H177" s="24"/>
      <c r="I177" s="24"/>
      <c r="J177" s="25" t="str">
        <f t="shared" si="6"/>
        <v xml:space="preserve"> </v>
      </c>
      <c r="K177" s="390" t="s">
        <v>321</v>
      </c>
      <c r="L177" s="385">
        <v>4348.45</v>
      </c>
      <c r="M177" s="386">
        <f t="shared" si="7"/>
        <v>4348.45</v>
      </c>
      <c r="N177" s="496">
        <v>70</v>
      </c>
      <c r="O177" s="333">
        <f t="shared" si="8"/>
        <v>4418.45</v>
      </c>
      <c r="R177" s="23" t="str">
        <f>VLOOKUP(C:C,'Historic Data - working'!A:B,1,FALSE)</f>
        <v>BIR039</v>
      </c>
      <c r="U177" s="323"/>
      <c r="V177" s="323"/>
      <c r="W177" s="323"/>
    </row>
    <row r="178" spans="1:23" s="23" customFormat="1" ht="14.25" hidden="1" outlineLevel="1" x14ac:dyDescent="0.2">
      <c r="A178" s="381" t="s">
        <v>828</v>
      </c>
      <c r="B178" s="381" t="s">
        <v>324</v>
      </c>
      <c r="C178" s="389" t="s">
        <v>968</v>
      </c>
      <c r="D178" s="381" t="s">
        <v>969</v>
      </c>
      <c r="E178" s="383" t="s">
        <v>83</v>
      </c>
      <c r="F178" s="381" t="s">
        <v>970</v>
      </c>
      <c r="G178" s="384" t="s">
        <v>329</v>
      </c>
      <c r="H178" s="24"/>
      <c r="I178" s="24">
        <v>271.97000000000003</v>
      </c>
      <c r="J178" s="25" t="str">
        <f t="shared" si="6"/>
        <v>1</v>
      </c>
      <c r="K178" s="385" t="s">
        <v>971</v>
      </c>
      <c r="L178" s="385"/>
      <c r="M178" s="386">
        <f t="shared" si="7"/>
        <v>0</v>
      </c>
      <c r="N178" s="496">
        <v>516.37</v>
      </c>
      <c r="O178" s="333">
        <f t="shared" si="8"/>
        <v>516.37</v>
      </c>
      <c r="R178" s="23" t="str">
        <f>VLOOKUP(C:C,'Historic Data - working'!A:B,1,FALSE)</f>
        <v>BIR040</v>
      </c>
      <c r="U178" s="323"/>
      <c r="V178" s="323"/>
      <c r="W178" s="323"/>
    </row>
    <row r="179" spans="1:23" s="23" customFormat="1" ht="14.25" hidden="1" outlineLevel="1" x14ac:dyDescent="0.2">
      <c r="A179" s="381" t="s">
        <v>828</v>
      </c>
      <c r="B179" s="381" t="s">
        <v>324</v>
      </c>
      <c r="C179" s="389" t="s">
        <v>972</v>
      </c>
      <c r="D179" s="381" t="s">
        <v>973</v>
      </c>
      <c r="E179" s="383" t="s">
        <v>11</v>
      </c>
      <c r="F179" s="381" t="s">
        <v>974</v>
      </c>
      <c r="G179" s="384"/>
      <c r="H179" s="24"/>
      <c r="I179" s="24"/>
      <c r="J179" s="25" t="str">
        <f t="shared" si="6"/>
        <v xml:space="preserve"> </v>
      </c>
      <c r="K179" s="390" t="s">
        <v>321</v>
      </c>
      <c r="L179" s="385">
        <v>4234.47</v>
      </c>
      <c r="M179" s="386">
        <f t="shared" si="7"/>
        <v>4234.47</v>
      </c>
      <c r="N179" s="496">
        <v>315</v>
      </c>
      <c r="O179" s="333">
        <f t="shared" si="8"/>
        <v>4549.47</v>
      </c>
      <c r="R179" s="23" t="str">
        <f>VLOOKUP(C:C,'Historic Data - working'!A:B,1,FALSE)</f>
        <v>BIR041</v>
      </c>
      <c r="U179" s="323"/>
      <c r="V179" s="323"/>
      <c r="W179" s="323"/>
    </row>
    <row r="180" spans="1:23" s="23" customFormat="1" ht="14.25" hidden="1" outlineLevel="1" x14ac:dyDescent="0.2">
      <c r="A180" s="381" t="s">
        <v>828</v>
      </c>
      <c r="B180" s="381" t="s">
        <v>324</v>
      </c>
      <c r="C180" s="389" t="s">
        <v>975</v>
      </c>
      <c r="D180" s="381" t="s">
        <v>976</v>
      </c>
      <c r="E180" s="383" t="s">
        <v>977</v>
      </c>
      <c r="F180" s="381" t="s">
        <v>978</v>
      </c>
      <c r="G180" s="384" t="s">
        <v>329</v>
      </c>
      <c r="H180" s="24">
        <v>926.28</v>
      </c>
      <c r="I180" s="24"/>
      <c r="J180" s="25" t="str">
        <f t="shared" si="6"/>
        <v>1</v>
      </c>
      <c r="K180" s="385"/>
      <c r="L180" s="385"/>
      <c r="M180" s="386">
        <f t="shared" si="7"/>
        <v>926.28</v>
      </c>
      <c r="N180" s="496">
        <v>16.97</v>
      </c>
      <c r="O180" s="333">
        <f t="shared" si="8"/>
        <v>943.25</v>
      </c>
      <c r="R180" s="23" t="str">
        <f>VLOOKUP(C:C,'Historic Data - working'!A:B,1,FALSE)</f>
        <v>BIR042</v>
      </c>
      <c r="U180" s="323"/>
      <c r="V180" s="323"/>
      <c r="W180" s="323"/>
    </row>
    <row r="181" spans="1:23" s="23" customFormat="1" ht="14.25" hidden="1" outlineLevel="1" x14ac:dyDescent="0.2">
      <c r="A181" s="381" t="s">
        <v>828</v>
      </c>
      <c r="B181" s="381" t="s">
        <v>324</v>
      </c>
      <c r="C181" s="389" t="s">
        <v>979</v>
      </c>
      <c r="D181" s="381" t="s">
        <v>980</v>
      </c>
      <c r="E181" s="383" t="s">
        <v>981</v>
      </c>
      <c r="F181" s="381" t="s">
        <v>982</v>
      </c>
      <c r="G181" s="384" t="s">
        <v>329</v>
      </c>
      <c r="H181" s="24">
        <v>1368.55</v>
      </c>
      <c r="I181" s="24"/>
      <c r="J181" s="25" t="str">
        <f t="shared" si="6"/>
        <v>1</v>
      </c>
      <c r="K181" s="385"/>
      <c r="L181" s="385"/>
      <c r="M181" s="386">
        <f t="shared" si="7"/>
        <v>1368.55</v>
      </c>
      <c r="N181" s="496"/>
      <c r="O181" s="333">
        <f t="shared" si="8"/>
        <v>1368.55</v>
      </c>
      <c r="R181" s="23" t="str">
        <f>VLOOKUP(C:C,'Historic Data - working'!A:B,1,FALSE)</f>
        <v>BIR043</v>
      </c>
      <c r="U181" s="323"/>
      <c r="V181" s="323"/>
      <c r="W181" s="323"/>
    </row>
    <row r="182" spans="1:23" s="23" customFormat="1" ht="14.25" hidden="1" outlineLevel="1" x14ac:dyDescent="0.2">
      <c r="A182" s="381" t="s">
        <v>828</v>
      </c>
      <c r="B182" s="381" t="s">
        <v>324</v>
      </c>
      <c r="C182" s="389" t="s">
        <v>983</v>
      </c>
      <c r="D182" s="381" t="s">
        <v>984</v>
      </c>
      <c r="E182" s="383" t="s">
        <v>985</v>
      </c>
      <c r="F182" s="381" t="s">
        <v>986</v>
      </c>
      <c r="G182" s="384" t="s">
        <v>329</v>
      </c>
      <c r="H182" s="24">
        <v>676</v>
      </c>
      <c r="I182" s="24"/>
      <c r="J182" s="25" t="str">
        <f t="shared" si="6"/>
        <v>1</v>
      </c>
      <c r="K182" s="385"/>
      <c r="L182" s="385"/>
      <c r="M182" s="386">
        <f t="shared" si="7"/>
        <v>676</v>
      </c>
      <c r="N182" s="496">
        <v>20</v>
      </c>
      <c r="O182" s="333">
        <f t="shared" si="8"/>
        <v>696</v>
      </c>
      <c r="R182" s="23" t="str">
        <f>VLOOKUP(C:C,'Historic Data - working'!A:B,1,FALSE)</f>
        <v>BIR044</v>
      </c>
      <c r="U182" s="323"/>
      <c r="V182" s="323"/>
      <c r="W182" s="323"/>
    </row>
    <row r="183" spans="1:23" s="23" customFormat="1" ht="14.25" hidden="1" outlineLevel="1" x14ac:dyDescent="0.2">
      <c r="A183" s="381" t="s">
        <v>828</v>
      </c>
      <c r="B183" s="381" t="s">
        <v>324</v>
      </c>
      <c r="C183" s="389" t="s">
        <v>987</v>
      </c>
      <c r="D183" s="381" t="s">
        <v>988</v>
      </c>
      <c r="E183" s="383" t="s">
        <v>989</v>
      </c>
      <c r="F183" s="381" t="s">
        <v>990</v>
      </c>
      <c r="G183" s="384" t="s">
        <v>329</v>
      </c>
      <c r="H183" s="24">
        <f>719.35+327.76+645.25+501.8+54.36</f>
        <v>2248.5200000000004</v>
      </c>
      <c r="I183" s="24"/>
      <c r="J183" s="25" t="str">
        <f t="shared" si="6"/>
        <v>1</v>
      </c>
      <c r="K183" s="385" t="s">
        <v>991</v>
      </c>
      <c r="L183" s="385">
        <v>3.03</v>
      </c>
      <c r="M183" s="386">
        <f t="shared" si="7"/>
        <v>2251.5500000000006</v>
      </c>
      <c r="N183" s="496">
        <v>170</v>
      </c>
      <c r="O183" s="333">
        <f t="shared" si="8"/>
        <v>2421.5500000000006</v>
      </c>
      <c r="R183" s="23" t="str">
        <f>VLOOKUP(C:C,'Historic Data - working'!A:B,1,FALSE)</f>
        <v>BIR045</v>
      </c>
      <c r="U183" s="323"/>
      <c r="V183" s="323"/>
      <c r="W183" s="323"/>
    </row>
    <row r="184" spans="1:23" s="23" customFormat="1" ht="14.25" hidden="1" outlineLevel="1" x14ac:dyDescent="0.2">
      <c r="A184" s="381" t="s">
        <v>828</v>
      </c>
      <c r="B184" s="381" t="s">
        <v>324</v>
      </c>
      <c r="C184" s="389" t="s">
        <v>992</v>
      </c>
      <c r="D184" s="381" t="s">
        <v>993</v>
      </c>
      <c r="E184" s="383" t="s">
        <v>193</v>
      </c>
      <c r="F184" s="381" t="s">
        <v>994</v>
      </c>
      <c r="G184" s="384" t="s">
        <v>329</v>
      </c>
      <c r="H184" s="24">
        <v>3701.51</v>
      </c>
      <c r="I184" s="24"/>
      <c r="J184" s="25" t="str">
        <f t="shared" si="6"/>
        <v>1</v>
      </c>
      <c r="K184" s="392"/>
      <c r="L184" s="385"/>
      <c r="M184" s="386">
        <f t="shared" si="7"/>
        <v>3701.51</v>
      </c>
      <c r="N184" s="496">
        <v>325</v>
      </c>
      <c r="O184" s="333">
        <f t="shared" si="8"/>
        <v>4026.51</v>
      </c>
      <c r="R184" s="23" t="str">
        <f>VLOOKUP(C:C,'Historic Data - working'!A:B,1,FALSE)</f>
        <v>BIR046</v>
      </c>
      <c r="U184" s="323"/>
      <c r="V184" s="323"/>
      <c r="W184" s="323"/>
    </row>
    <row r="185" spans="1:23" s="23" customFormat="1" ht="14.25" hidden="1" outlineLevel="1" x14ac:dyDescent="0.2">
      <c r="A185" s="381" t="s">
        <v>828</v>
      </c>
      <c r="B185" s="381" t="s">
        <v>324</v>
      </c>
      <c r="C185" s="389" t="s">
        <v>995</v>
      </c>
      <c r="D185" s="381" t="s">
        <v>996</v>
      </c>
      <c r="E185" s="383" t="s">
        <v>173</v>
      </c>
      <c r="F185" s="381" t="s">
        <v>997</v>
      </c>
      <c r="G185" s="384"/>
      <c r="H185" s="24"/>
      <c r="I185" s="24"/>
      <c r="J185" s="25" t="str">
        <f t="shared" si="6"/>
        <v xml:space="preserve"> </v>
      </c>
      <c r="K185" s="385"/>
      <c r="L185" s="385"/>
      <c r="M185" s="386">
        <f t="shared" si="7"/>
        <v>0</v>
      </c>
      <c r="N185" s="496">
        <v>40</v>
      </c>
      <c r="O185" s="333">
        <f t="shared" si="8"/>
        <v>40</v>
      </c>
      <c r="R185" s="23" t="str">
        <f>VLOOKUP(C:C,'Historic Data - working'!A:B,1,FALSE)</f>
        <v>BIR047</v>
      </c>
      <c r="U185" s="323"/>
      <c r="V185" s="323"/>
      <c r="W185" s="323"/>
    </row>
    <row r="186" spans="1:23" s="23" customFormat="1" ht="14.25" hidden="1" outlineLevel="1" x14ac:dyDescent="0.2">
      <c r="A186" s="381" t="s">
        <v>828</v>
      </c>
      <c r="B186" s="381" t="s">
        <v>324</v>
      </c>
      <c r="C186" s="389" t="s">
        <v>998</v>
      </c>
      <c r="D186" s="381" t="s">
        <v>999</v>
      </c>
      <c r="E186" s="383" t="s">
        <v>1000</v>
      </c>
      <c r="F186" s="381" t="s">
        <v>1001</v>
      </c>
      <c r="G186" s="384"/>
      <c r="H186" s="24"/>
      <c r="I186" s="24"/>
      <c r="J186" s="25" t="str">
        <f t="shared" si="6"/>
        <v xml:space="preserve"> </v>
      </c>
      <c r="K186" s="385"/>
      <c r="L186" s="385"/>
      <c r="M186" s="386">
        <f t="shared" si="7"/>
        <v>0</v>
      </c>
      <c r="N186" s="496"/>
      <c r="O186" s="333">
        <f t="shared" si="8"/>
        <v>0</v>
      </c>
      <c r="R186" s="23" t="e">
        <f>VLOOKUP(C:C,'Historic Data - working'!A:B,1,FALSE)</f>
        <v>#N/A</v>
      </c>
      <c r="U186" s="323"/>
      <c r="V186" s="323"/>
      <c r="W186" s="323"/>
    </row>
    <row r="187" spans="1:23" s="23" customFormat="1" ht="14.25" hidden="1" outlineLevel="1" x14ac:dyDescent="0.2">
      <c r="A187" s="381" t="s">
        <v>828</v>
      </c>
      <c r="B187" s="381" t="s">
        <v>324</v>
      </c>
      <c r="C187" s="389" t="s">
        <v>1002</v>
      </c>
      <c r="D187" s="381" t="s">
        <v>1003</v>
      </c>
      <c r="E187" s="383" t="s">
        <v>1004</v>
      </c>
      <c r="F187" s="381" t="s">
        <v>1005</v>
      </c>
      <c r="G187" s="384" t="s">
        <v>329</v>
      </c>
      <c r="H187" s="24">
        <f>27.95+319.17+419.33+82.12</f>
        <v>848.57</v>
      </c>
      <c r="I187" s="24"/>
      <c r="J187" s="25" t="str">
        <f t="shared" si="6"/>
        <v>1</v>
      </c>
      <c r="K187" s="385"/>
      <c r="L187" s="385"/>
      <c r="M187" s="386">
        <f t="shared" si="7"/>
        <v>848.57</v>
      </c>
      <c r="N187" s="496">
        <v>600</v>
      </c>
      <c r="O187" s="333">
        <f t="shared" si="8"/>
        <v>1448.5700000000002</v>
      </c>
      <c r="R187" s="23" t="str">
        <f>VLOOKUP(C:C,'Historic Data - working'!A:B,1,FALSE)</f>
        <v>BIR048</v>
      </c>
      <c r="U187" s="323"/>
      <c r="V187" s="323"/>
      <c r="W187" s="323"/>
    </row>
    <row r="188" spans="1:23" s="23" customFormat="1" ht="14.25" hidden="1" outlineLevel="1" x14ac:dyDescent="0.2">
      <c r="A188" s="381" t="s">
        <v>828</v>
      </c>
      <c r="B188" s="381" t="s">
        <v>324</v>
      </c>
      <c r="C188" s="389" t="s">
        <v>1006</v>
      </c>
      <c r="D188" s="381" t="s">
        <v>1007</v>
      </c>
      <c r="E188" s="383" t="s">
        <v>1008</v>
      </c>
      <c r="F188" s="381" t="s">
        <v>30</v>
      </c>
      <c r="G188" s="384" t="s">
        <v>329</v>
      </c>
      <c r="H188" s="24">
        <v>538.12</v>
      </c>
      <c r="I188" s="24"/>
      <c r="J188" s="25" t="str">
        <f t="shared" si="6"/>
        <v>1</v>
      </c>
      <c r="K188" s="385"/>
      <c r="L188" s="385"/>
      <c r="M188" s="386">
        <f t="shared" si="7"/>
        <v>538.12</v>
      </c>
      <c r="N188" s="496">
        <v>60</v>
      </c>
      <c r="O188" s="333">
        <f t="shared" si="8"/>
        <v>598.12</v>
      </c>
      <c r="R188" s="23" t="str">
        <f>VLOOKUP(C:C,'Historic Data - working'!A:B,1,FALSE)</f>
        <v>BIR049</v>
      </c>
      <c r="U188" s="323"/>
      <c r="V188" s="323"/>
      <c r="W188" s="323"/>
    </row>
    <row r="189" spans="1:23" s="23" customFormat="1" ht="14.25" hidden="1" outlineLevel="1" x14ac:dyDescent="0.2">
      <c r="A189" s="381" t="s">
        <v>828</v>
      </c>
      <c r="B189" s="381" t="s">
        <v>324</v>
      </c>
      <c r="C189" s="389" t="s">
        <v>1009</v>
      </c>
      <c r="D189" s="381" t="s">
        <v>1010</v>
      </c>
      <c r="E189" s="383" t="s">
        <v>1011</v>
      </c>
      <c r="F189" s="381" t="s">
        <v>1012</v>
      </c>
      <c r="G189" s="384"/>
      <c r="H189" s="24"/>
      <c r="I189" s="24"/>
      <c r="J189" s="25" t="str">
        <f t="shared" si="6"/>
        <v xml:space="preserve"> </v>
      </c>
      <c r="K189" s="385"/>
      <c r="L189" s="385"/>
      <c r="M189" s="386">
        <f t="shared" si="7"/>
        <v>0</v>
      </c>
      <c r="N189" s="496">
        <v>125</v>
      </c>
      <c r="O189" s="333">
        <f t="shared" si="8"/>
        <v>125</v>
      </c>
      <c r="R189" s="23" t="e">
        <f>VLOOKUP(C:C,'Historic Data - working'!A:B,1,FALSE)</f>
        <v>#N/A</v>
      </c>
      <c r="U189" s="323"/>
      <c r="V189" s="323"/>
      <c r="W189" s="323"/>
    </row>
    <row r="190" spans="1:23" s="23" customFormat="1" ht="14.25" hidden="1" outlineLevel="1" x14ac:dyDescent="0.2">
      <c r="A190" s="381" t="s">
        <v>828</v>
      </c>
      <c r="B190" s="381" t="s">
        <v>324</v>
      </c>
      <c r="C190" s="389" t="s">
        <v>1013</v>
      </c>
      <c r="D190" s="381" t="s">
        <v>1014</v>
      </c>
      <c r="E190" s="383" t="s">
        <v>1015</v>
      </c>
      <c r="F190" s="381" t="s">
        <v>1016</v>
      </c>
      <c r="G190" s="384"/>
      <c r="H190" s="24"/>
      <c r="I190" s="24"/>
      <c r="J190" s="25" t="str">
        <f t="shared" si="6"/>
        <v xml:space="preserve"> </v>
      </c>
      <c r="K190" s="390" t="s">
        <v>321</v>
      </c>
      <c r="L190" s="385">
        <v>57</v>
      </c>
      <c r="M190" s="386">
        <f t="shared" si="7"/>
        <v>57</v>
      </c>
      <c r="N190" s="496">
        <v>5</v>
      </c>
      <c r="O190" s="333">
        <f t="shared" si="8"/>
        <v>62</v>
      </c>
      <c r="R190" s="23" t="str">
        <f>VLOOKUP(C:C,'Historic Data - working'!A:B,1,FALSE)</f>
        <v>BIR051</v>
      </c>
      <c r="U190" s="323"/>
      <c r="V190" s="323"/>
      <c r="W190" s="323"/>
    </row>
    <row r="191" spans="1:23" s="23" customFormat="1" ht="14.25" hidden="1" outlineLevel="1" x14ac:dyDescent="0.2">
      <c r="A191" s="381" t="s">
        <v>828</v>
      </c>
      <c r="B191" s="381" t="s">
        <v>324</v>
      </c>
      <c r="C191" s="389" t="s">
        <v>1017</v>
      </c>
      <c r="D191" s="381" t="s">
        <v>1018</v>
      </c>
      <c r="E191" s="383" t="s">
        <v>896</v>
      </c>
      <c r="F191" s="381" t="s">
        <v>1019</v>
      </c>
      <c r="G191" s="384" t="s">
        <v>329</v>
      </c>
      <c r="H191" s="24"/>
      <c r="I191" s="24">
        <v>285.92</v>
      </c>
      <c r="J191" s="25" t="str">
        <f t="shared" si="6"/>
        <v>1</v>
      </c>
      <c r="K191" s="385"/>
      <c r="L191" s="385"/>
      <c r="M191" s="386">
        <f t="shared" si="7"/>
        <v>0</v>
      </c>
      <c r="N191" s="496">
        <v>295.92</v>
      </c>
      <c r="O191" s="333">
        <f t="shared" si="8"/>
        <v>295.92</v>
      </c>
      <c r="R191" s="23" t="str">
        <f>VLOOKUP(C:C,'Historic Data - working'!A:B,1,FALSE)</f>
        <v>BIR052</v>
      </c>
      <c r="U191" s="323"/>
      <c r="V191" s="323"/>
      <c r="W191" s="323"/>
    </row>
    <row r="192" spans="1:23" s="23" customFormat="1" ht="14.25" hidden="1" outlineLevel="1" x14ac:dyDescent="0.2">
      <c r="A192" s="381" t="s">
        <v>828</v>
      </c>
      <c r="B192" s="381" t="s">
        <v>324</v>
      </c>
      <c r="C192" s="389" t="s">
        <v>1020</v>
      </c>
      <c r="D192" s="381" t="s">
        <v>1021</v>
      </c>
      <c r="E192" s="383" t="s">
        <v>755</v>
      </c>
      <c r="F192" s="381" t="s">
        <v>1022</v>
      </c>
      <c r="G192" s="384" t="s">
        <v>329</v>
      </c>
      <c r="H192" s="24">
        <v>1434.36</v>
      </c>
      <c r="I192" s="24"/>
      <c r="J192" s="25" t="str">
        <f t="shared" si="6"/>
        <v>1</v>
      </c>
      <c r="K192" s="392" t="s">
        <v>1023</v>
      </c>
      <c r="L192" s="385">
        <v>4.95</v>
      </c>
      <c r="M192" s="386">
        <f t="shared" si="7"/>
        <v>1439.31</v>
      </c>
      <c r="N192" s="496">
        <v>180</v>
      </c>
      <c r="O192" s="333">
        <f t="shared" si="8"/>
        <v>1619.31</v>
      </c>
      <c r="R192" s="23" t="str">
        <f>VLOOKUP(C:C,'Historic Data - working'!A:B,1,FALSE)</f>
        <v>BIR053</v>
      </c>
      <c r="U192" s="323"/>
      <c r="V192" s="323"/>
      <c r="W192" s="323"/>
    </row>
    <row r="193" spans="1:23" s="23" customFormat="1" ht="14.25" hidden="1" outlineLevel="1" x14ac:dyDescent="0.2">
      <c r="A193" s="381" t="s">
        <v>828</v>
      </c>
      <c r="B193" s="381" t="s">
        <v>324</v>
      </c>
      <c r="C193" s="389" t="s">
        <v>1024</v>
      </c>
      <c r="D193" s="381" t="s">
        <v>1025</v>
      </c>
      <c r="E193" s="383" t="s">
        <v>1026</v>
      </c>
      <c r="F193" s="381" t="s">
        <v>1022</v>
      </c>
      <c r="G193" s="384" t="s">
        <v>329</v>
      </c>
      <c r="H193" s="24">
        <v>711.98</v>
      </c>
      <c r="I193" s="24"/>
      <c r="J193" s="25" t="str">
        <f t="shared" si="6"/>
        <v>1</v>
      </c>
      <c r="K193" s="385"/>
      <c r="L193" s="385"/>
      <c r="M193" s="386">
        <f t="shared" si="7"/>
        <v>711.98</v>
      </c>
      <c r="N193" s="496">
        <v>209</v>
      </c>
      <c r="O193" s="333">
        <f t="shared" si="8"/>
        <v>920.98</v>
      </c>
      <c r="R193" s="23" t="str">
        <f>VLOOKUP(C:C,'Historic Data - working'!A:B,1,FALSE)</f>
        <v>BIR054</v>
      </c>
      <c r="U193" s="323"/>
      <c r="V193" s="323"/>
      <c r="W193" s="323"/>
    </row>
    <row r="194" spans="1:23" s="23" customFormat="1" ht="14.25" hidden="1" outlineLevel="1" x14ac:dyDescent="0.2">
      <c r="A194" s="381" t="s">
        <v>828</v>
      </c>
      <c r="B194" s="381" t="s">
        <v>324</v>
      </c>
      <c r="C194" s="389" t="s">
        <v>1027</v>
      </c>
      <c r="D194" s="381" t="s">
        <v>1028</v>
      </c>
      <c r="E194" s="383" t="s">
        <v>78</v>
      </c>
      <c r="F194" s="381" t="s">
        <v>1029</v>
      </c>
      <c r="G194" s="384"/>
      <c r="H194" s="24"/>
      <c r="I194" s="24"/>
      <c r="J194" s="25" t="str">
        <f t="shared" ref="J194:J257" si="9">IF(G194="Y","1"," ")</f>
        <v xml:space="preserve"> </v>
      </c>
      <c r="K194" s="385"/>
      <c r="L194" s="385"/>
      <c r="M194" s="386">
        <f t="shared" ref="M194:M257" si="10">H194+L194</f>
        <v>0</v>
      </c>
      <c r="N194" s="496"/>
      <c r="O194" s="333">
        <f t="shared" ref="O194:O257" si="11">M194+N194</f>
        <v>0</v>
      </c>
      <c r="R194" s="23" t="e">
        <f>VLOOKUP(C:C,'Historic Data - working'!A:B,1,FALSE)</f>
        <v>#N/A</v>
      </c>
      <c r="U194" s="323"/>
      <c r="V194" s="323"/>
      <c r="W194" s="323"/>
    </row>
    <row r="195" spans="1:23" s="23" customFormat="1" ht="14.25" hidden="1" outlineLevel="1" x14ac:dyDescent="0.2">
      <c r="A195" s="381" t="s">
        <v>828</v>
      </c>
      <c r="B195" s="381" t="s">
        <v>324</v>
      </c>
      <c r="C195" s="389" t="s">
        <v>1030</v>
      </c>
      <c r="D195" s="381" t="s">
        <v>1031</v>
      </c>
      <c r="E195" s="383" t="s">
        <v>1032</v>
      </c>
      <c r="F195" s="381" t="s">
        <v>1033</v>
      </c>
      <c r="G195" s="384"/>
      <c r="H195" s="24"/>
      <c r="I195" s="24"/>
      <c r="J195" s="25" t="str">
        <f t="shared" si="9"/>
        <v xml:space="preserve"> </v>
      </c>
      <c r="K195" s="390" t="s">
        <v>321</v>
      </c>
      <c r="L195" s="385">
        <v>81.319999999999993</v>
      </c>
      <c r="M195" s="386">
        <f t="shared" si="10"/>
        <v>81.319999999999993</v>
      </c>
      <c r="N195" s="496">
        <v>280</v>
      </c>
      <c r="O195" s="333">
        <f t="shared" si="11"/>
        <v>361.32</v>
      </c>
      <c r="R195" s="23" t="str">
        <f>VLOOKUP(C:C,'Historic Data - working'!A:B,1,FALSE)</f>
        <v>BIR055</v>
      </c>
      <c r="U195" s="323"/>
      <c r="V195" s="323"/>
      <c r="W195" s="323"/>
    </row>
    <row r="196" spans="1:23" s="23" customFormat="1" ht="14.25" hidden="1" outlineLevel="1" x14ac:dyDescent="0.2">
      <c r="A196" s="381" t="s">
        <v>828</v>
      </c>
      <c r="B196" s="381" t="s">
        <v>324</v>
      </c>
      <c r="C196" s="389" t="s">
        <v>1034</v>
      </c>
      <c r="D196" s="381" t="s">
        <v>1035</v>
      </c>
      <c r="E196" s="383" t="s">
        <v>1036</v>
      </c>
      <c r="F196" s="381" t="s">
        <v>1037</v>
      </c>
      <c r="G196" s="384" t="s">
        <v>329</v>
      </c>
      <c r="H196" s="24">
        <f>1988+1021</f>
        <v>3009</v>
      </c>
      <c r="I196" s="24">
        <v>50</v>
      </c>
      <c r="J196" s="25" t="str">
        <f t="shared" si="9"/>
        <v>1</v>
      </c>
      <c r="K196" s="392" t="s">
        <v>1038</v>
      </c>
      <c r="L196" s="385">
        <f>-146</f>
        <v>-146</v>
      </c>
      <c r="M196" s="386">
        <f t="shared" si="10"/>
        <v>2863</v>
      </c>
      <c r="N196" s="496">
        <v>189</v>
      </c>
      <c r="O196" s="333">
        <f t="shared" si="11"/>
        <v>3052</v>
      </c>
      <c r="R196" s="23" t="str">
        <f>VLOOKUP(C:C,'Historic Data - working'!A:B,1,FALSE)</f>
        <v>BIR056</v>
      </c>
      <c r="U196" s="323"/>
      <c r="V196" s="323"/>
      <c r="W196" s="323"/>
    </row>
    <row r="197" spans="1:23" s="23" customFormat="1" ht="14.25" hidden="1" outlineLevel="1" x14ac:dyDescent="0.2">
      <c r="A197" s="381" t="s">
        <v>828</v>
      </c>
      <c r="B197" s="381" t="s">
        <v>324</v>
      </c>
      <c r="C197" s="389" t="s">
        <v>1039</v>
      </c>
      <c r="D197" s="381" t="s">
        <v>1040</v>
      </c>
      <c r="E197" s="383" t="s">
        <v>183</v>
      </c>
      <c r="F197" s="381" t="s">
        <v>1041</v>
      </c>
      <c r="G197" s="384" t="s">
        <v>329</v>
      </c>
      <c r="H197" s="24">
        <f>295+174+500.5</f>
        <v>969.5</v>
      </c>
      <c r="I197" s="24"/>
      <c r="J197" s="25" t="str">
        <f t="shared" si="9"/>
        <v>1</v>
      </c>
      <c r="K197" s="385"/>
      <c r="L197" s="385"/>
      <c r="M197" s="386">
        <f t="shared" si="10"/>
        <v>969.5</v>
      </c>
      <c r="N197" s="496">
        <v>385</v>
      </c>
      <c r="O197" s="333">
        <f t="shared" si="11"/>
        <v>1354.5</v>
      </c>
      <c r="R197" s="23" t="str">
        <f>VLOOKUP(C:C,'Historic Data - working'!A:B,1,FALSE)</f>
        <v>BIR057</v>
      </c>
      <c r="U197" s="323"/>
      <c r="V197" s="323"/>
      <c r="W197" s="323"/>
    </row>
    <row r="198" spans="1:23" s="23" customFormat="1" ht="14.25" hidden="1" outlineLevel="1" x14ac:dyDescent="0.2">
      <c r="A198" s="381" t="s">
        <v>828</v>
      </c>
      <c r="B198" s="381" t="s">
        <v>324</v>
      </c>
      <c r="C198" s="389" t="s">
        <v>1042</v>
      </c>
      <c r="D198" s="381" t="s">
        <v>1043</v>
      </c>
      <c r="E198" s="383" t="s">
        <v>297</v>
      </c>
      <c r="F198" s="381" t="s">
        <v>1044</v>
      </c>
      <c r="G198" s="384" t="s">
        <v>329</v>
      </c>
      <c r="H198" s="24">
        <v>1157.1400000000001</v>
      </c>
      <c r="I198" s="24"/>
      <c r="J198" s="25" t="str">
        <f t="shared" si="9"/>
        <v>1</v>
      </c>
      <c r="K198" s="385"/>
      <c r="L198" s="385"/>
      <c r="M198" s="386">
        <f t="shared" si="10"/>
        <v>1157.1400000000001</v>
      </c>
      <c r="N198" s="496">
        <v>145</v>
      </c>
      <c r="O198" s="333">
        <f t="shared" si="11"/>
        <v>1302.1400000000001</v>
      </c>
      <c r="R198" s="23" t="str">
        <f>VLOOKUP(C:C,'Historic Data - working'!A:B,1,FALSE)</f>
        <v>BIR059</v>
      </c>
      <c r="U198" s="323"/>
      <c r="V198" s="323"/>
      <c r="W198" s="323"/>
    </row>
    <row r="199" spans="1:23" s="23" customFormat="1" ht="14.25" hidden="1" outlineLevel="1" x14ac:dyDescent="0.2">
      <c r="A199" s="381" t="s">
        <v>828</v>
      </c>
      <c r="B199" s="381" t="s">
        <v>324</v>
      </c>
      <c r="C199" s="389" t="s">
        <v>1045</v>
      </c>
      <c r="D199" s="381" t="s">
        <v>1046</v>
      </c>
      <c r="E199" s="383" t="s">
        <v>1047</v>
      </c>
      <c r="F199" s="381" t="s">
        <v>1048</v>
      </c>
      <c r="G199" s="384" t="s">
        <v>329</v>
      </c>
      <c r="H199" s="24">
        <f>300+200+200+300+200+200+200+250+200</f>
        <v>2050</v>
      </c>
      <c r="I199" s="24"/>
      <c r="J199" s="25" t="str">
        <f t="shared" si="9"/>
        <v>1</v>
      </c>
      <c r="K199" s="385"/>
      <c r="L199" s="385"/>
      <c r="M199" s="386">
        <f t="shared" si="10"/>
        <v>2050</v>
      </c>
      <c r="N199" s="496"/>
      <c r="O199" s="333">
        <f t="shared" si="11"/>
        <v>2050</v>
      </c>
      <c r="R199" s="23" t="str">
        <f>VLOOKUP(C:C,'Historic Data - working'!A:B,1,FALSE)</f>
        <v>BIR060</v>
      </c>
      <c r="U199" s="323"/>
      <c r="V199" s="323"/>
      <c r="W199" s="323"/>
    </row>
    <row r="200" spans="1:23" s="23" customFormat="1" ht="14.25" hidden="1" outlineLevel="1" x14ac:dyDescent="0.2">
      <c r="A200" s="381" t="s">
        <v>828</v>
      </c>
      <c r="B200" s="381" t="s">
        <v>324</v>
      </c>
      <c r="C200" s="389" t="s">
        <v>1049</v>
      </c>
      <c r="D200" s="381" t="s">
        <v>1050</v>
      </c>
      <c r="E200" s="383" t="s">
        <v>1026</v>
      </c>
      <c r="F200" s="381" t="s">
        <v>1051</v>
      </c>
      <c r="G200" s="384"/>
      <c r="H200" s="24"/>
      <c r="I200" s="24"/>
      <c r="J200" s="25" t="str">
        <f t="shared" si="9"/>
        <v xml:space="preserve"> </v>
      </c>
      <c r="K200" s="385"/>
      <c r="L200" s="385"/>
      <c r="M200" s="386">
        <f t="shared" si="10"/>
        <v>0</v>
      </c>
      <c r="N200" s="496">
        <v>34.65</v>
      </c>
      <c r="O200" s="333">
        <f t="shared" si="11"/>
        <v>34.65</v>
      </c>
      <c r="R200" s="23" t="str">
        <f>VLOOKUP(C:C,'Historic Data - working'!A:B,1,FALSE)</f>
        <v>BIR061</v>
      </c>
      <c r="U200" s="323"/>
      <c r="V200" s="323"/>
      <c r="W200" s="323"/>
    </row>
    <row r="201" spans="1:23" s="23" customFormat="1" ht="14.25" hidden="1" outlineLevel="1" x14ac:dyDescent="0.2">
      <c r="A201" s="381" t="s">
        <v>828</v>
      </c>
      <c r="B201" s="381" t="s">
        <v>324</v>
      </c>
      <c r="C201" s="389" t="s">
        <v>1052</v>
      </c>
      <c r="D201" s="381" t="s">
        <v>1053</v>
      </c>
      <c r="E201" s="383" t="s">
        <v>1054</v>
      </c>
      <c r="F201" s="381" t="s">
        <v>1055</v>
      </c>
      <c r="G201" s="384"/>
      <c r="H201" s="24"/>
      <c r="I201" s="24"/>
      <c r="J201" s="25" t="str">
        <f t="shared" si="9"/>
        <v xml:space="preserve"> </v>
      </c>
      <c r="K201" s="390" t="s">
        <v>321</v>
      </c>
      <c r="L201" s="385">
        <v>536.79</v>
      </c>
      <c r="M201" s="386">
        <f t="shared" si="10"/>
        <v>536.79</v>
      </c>
      <c r="N201" s="496">
        <v>145</v>
      </c>
      <c r="O201" s="333">
        <f t="shared" si="11"/>
        <v>681.79</v>
      </c>
      <c r="R201" s="23" t="str">
        <f>VLOOKUP(C:C,'Historic Data - working'!A:B,1,FALSE)</f>
        <v>BIR062</v>
      </c>
      <c r="U201" s="323"/>
      <c r="V201" s="323"/>
      <c r="W201" s="323"/>
    </row>
    <row r="202" spans="1:23" s="23" customFormat="1" ht="14.25" hidden="1" outlineLevel="1" x14ac:dyDescent="0.2">
      <c r="A202" s="381" t="s">
        <v>828</v>
      </c>
      <c r="B202" s="381" t="s">
        <v>324</v>
      </c>
      <c r="C202" s="389" t="s">
        <v>1056</v>
      </c>
      <c r="D202" s="381" t="s">
        <v>1057</v>
      </c>
      <c r="E202" s="383" t="s">
        <v>1058</v>
      </c>
      <c r="F202" s="381" t="s">
        <v>1059</v>
      </c>
      <c r="G202" s="384"/>
      <c r="H202" s="24"/>
      <c r="I202" s="24"/>
      <c r="J202" s="25" t="str">
        <f t="shared" si="9"/>
        <v xml:space="preserve"> </v>
      </c>
      <c r="K202" s="385"/>
      <c r="L202" s="385"/>
      <c r="M202" s="386">
        <f t="shared" si="10"/>
        <v>0</v>
      </c>
      <c r="N202" s="496"/>
      <c r="O202" s="333">
        <f t="shared" si="11"/>
        <v>0</v>
      </c>
      <c r="R202" s="23" t="e">
        <f>VLOOKUP(C:C,'Historic Data - working'!A:B,1,FALSE)</f>
        <v>#N/A</v>
      </c>
      <c r="U202" s="323"/>
      <c r="V202" s="323"/>
      <c r="W202" s="323"/>
    </row>
    <row r="203" spans="1:23" s="23" customFormat="1" ht="14.25" hidden="1" outlineLevel="1" x14ac:dyDescent="0.2">
      <c r="A203" s="381" t="s">
        <v>828</v>
      </c>
      <c r="B203" s="381" t="s">
        <v>324</v>
      </c>
      <c r="C203" s="389" t="s">
        <v>1060</v>
      </c>
      <c r="D203" s="381" t="s">
        <v>1061</v>
      </c>
      <c r="E203" s="383" t="s">
        <v>1047</v>
      </c>
      <c r="F203" s="381" t="s">
        <v>1062</v>
      </c>
      <c r="G203" s="384"/>
      <c r="H203" s="24"/>
      <c r="I203" s="24"/>
      <c r="J203" s="25" t="str">
        <f t="shared" si="9"/>
        <v xml:space="preserve"> </v>
      </c>
      <c r="K203" s="385"/>
      <c r="L203" s="385"/>
      <c r="M203" s="386">
        <f t="shared" si="10"/>
        <v>0</v>
      </c>
      <c r="N203" s="496"/>
      <c r="O203" s="333">
        <f t="shared" si="11"/>
        <v>0</v>
      </c>
      <c r="R203" s="23" t="e">
        <f>VLOOKUP(C:C,'Historic Data - working'!A:B,1,FALSE)</f>
        <v>#N/A</v>
      </c>
      <c r="U203" s="323"/>
      <c r="V203" s="323"/>
      <c r="W203" s="323"/>
    </row>
    <row r="204" spans="1:23" s="23" customFormat="1" ht="14.25" hidden="1" outlineLevel="1" x14ac:dyDescent="0.2">
      <c r="A204" s="381" t="s">
        <v>828</v>
      </c>
      <c r="B204" s="381" t="s">
        <v>324</v>
      </c>
      <c r="C204" s="389" t="s">
        <v>1063</v>
      </c>
      <c r="D204" s="381" t="s">
        <v>1064</v>
      </c>
      <c r="E204" s="383" t="s">
        <v>1065</v>
      </c>
      <c r="F204" s="381" t="s">
        <v>1066</v>
      </c>
      <c r="G204" s="384" t="s">
        <v>329</v>
      </c>
      <c r="H204" s="24">
        <f>(416.4+330)-416.4</f>
        <v>330</v>
      </c>
      <c r="I204" s="24">
        <v>416.4</v>
      </c>
      <c r="J204" s="25" t="str">
        <f t="shared" si="9"/>
        <v>1</v>
      </c>
      <c r="K204" s="385"/>
      <c r="L204" s="385"/>
      <c r="M204" s="386">
        <f t="shared" si="10"/>
        <v>330</v>
      </c>
      <c r="N204" s="496">
        <v>416.4</v>
      </c>
      <c r="O204" s="333">
        <f t="shared" si="11"/>
        <v>746.4</v>
      </c>
      <c r="R204" s="23" t="str">
        <f>VLOOKUP(C:C,'Historic Data - working'!A:B,1,FALSE)</f>
        <v>BIR065</v>
      </c>
      <c r="U204" s="323"/>
      <c r="V204" s="323"/>
      <c r="W204" s="323"/>
    </row>
    <row r="205" spans="1:23" s="23" customFormat="1" ht="14.25" hidden="1" outlineLevel="1" x14ac:dyDescent="0.2">
      <c r="A205" s="381" t="s">
        <v>828</v>
      </c>
      <c r="B205" s="381" t="s">
        <v>324</v>
      </c>
      <c r="C205" s="389" t="s">
        <v>1067</v>
      </c>
      <c r="D205" s="381" t="s">
        <v>1068</v>
      </c>
      <c r="E205" s="383" t="s">
        <v>31</v>
      </c>
      <c r="F205" s="381" t="s">
        <v>1069</v>
      </c>
      <c r="G205" s="384" t="s">
        <v>329</v>
      </c>
      <c r="H205" s="24">
        <f>490+510</f>
        <v>1000</v>
      </c>
      <c r="I205" s="24"/>
      <c r="J205" s="25" t="str">
        <f t="shared" si="9"/>
        <v>1</v>
      </c>
      <c r="K205" s="385" t="s">
        <v>1070</v>
      </c>
      <c r="L205" s="385">
        <v>5</v>
      </c>
      <c r="M205" s="386">
        <f t="shared" si="10"/>
        <v>1005</v>
      </c>
      <c r="N205" s="496">
        <v>25</v>
      </c>
      <c r="O205" s="333">
        <f t="shared" si="11"/>
        <v>1030</v>
      </c>
      <c r="R205" s="23" t="str">
        <f>VLOOKUP(C:C,'Historic Data - working'!A:B,1,FALSE)</f>
        <v>BIR066</v>
      </c>
      <c r="U205" s="323"/>
      <c r="V205" s="323"/>
      <c r="W205" s="323"/>
    </row>
    <row r="206" spans="1:23" s="23" customFormat="1" ht="14.25" hidden="1" outlineLevel="1" x14ac:dyDescent="0.2">
      <c r="A206" s="381" t="s">
        <v>828</v>
      </c>
      <c r="B206" s="381" t="s">
        <v>324</v>
      </c>
      <c r="C206" s="389" t="s">
        <v>1071</v>
      </c>
      <c r="D206" s="381" t="s">
        <v>1072</v>
      </c>
      <c r="E206" s="383" t="s">
        <v>31</v>
      </c>
      <c r="F206" s="381" t="s">
        <v>1073</v>
      </c>
      <c r="G206" s="384" t="s">
        <v>329</v>
      </c>
      <c r="H206" s="24">
        <f>112.66+170.17+66.93</f>
        <v>349.76</v>
      </c>
      <c r="I206" s="24"/>
      <c r="J206" s="25" t="str">
        <f t="shared" si="9"/>
        <v>1</v>
      </c>
      <c r="K206" s="385"/>
      <c r="L206" s="385"/>
      <c r="M206" s="386">
        <f t="shared" si="10"/>
        <v>349.76</v>
      </c>
      <c r="N206" s="496"/>
      <c r="O206" s="333">
        <f t="shared" si="11"/>
        <v>349.76</v>
      </c>
      <c r="R206" s="23" t="str">
        <f>VLOOKUP(C:C,'Historic Data - working'!A:B,1,FALSE)</f>
        <v>BIR067</v>
      </c>
      <c r="U206" s="323"/>
      <c r="V206" s="323"/>
      <c r="W206" s="323"/>
    </row>
    <row r="207" spans="1:23" s="23" customFormat="1" ht="14.25" hidden="1" outlineLevel="1" x14ac:dyDescent="0.2">
      <c r="A207" s="381" t="s">
        <v>828</v>
      </c>
      <c r="B207" s="381" t="s">
        <v>324</v>
      </c>
      <c r="C207" s="389" t="s">
        <v>1074</v>
      </c>
      <c r="D207" s="381" t="s">
        <v>1075</v>
      </c>
      <c r="E207" s="383" t="s">
        <v>1076</v>
      </c>
      <c r="F207" s="381" t="s">
        <v>1077</v>
      </c>
      <c r="G207" s="384" t="s">
        <v>329</v>
      </c>
      <c r="H207" s="24">
        <v>930.25</v>
      </c>
      <c r="I207" s="24"/>
      <c r="J207" s="25" t="str">
        <f t="shared" si="9"/>
        <v>1</v>
      </c>
      <c r="K207" s="385"/>
      <c r="L207" s="385"/>
      <c r="M207" s="386">
        <f t="shared" si="10"/>
        <v>930.25</v>
      </c>
      <c r="N207" s="496">
        <v>152</v>
      </c>
      <c r="O207" s="333">
        <f t="shared" si="11"/>
        <v>1082.25</v>
      </c>
      <c r="R207" s="23" t="str">
        <f>VLOOKUP(C:C,'Historic Data - working'!A:B,1,FALSE)</f>
        <v>BIR068</v>
      </c>
      <c r="U207" s="323"/>
      <c r="V207" s="323"/>
      <c r="W207" s="323"/>
    </row>
    <row r="208" spans="1:23" s="23" customFormat="1" ht="14.25" hidden="1" outlineLevel="1" x14ac:dyDescent="0.2">
      <c r="A208" s="381" t="s">
        <v>828</v>
      </c>
      <c r="B208" s="381" t="s">
        <v>324</v>
      </c>
      <c r="C208" s="389" t="s">
        <v>1078</v>
      </c>
      <c r="D208" s="381" t="s">
        <v>1079</v>
      </c>
      <c r="E208" s="383" t="s">
        <v>276</v>
      </c>
      <c r="F208" s="381" t="s">
        <v>1080</v>
      </c>
      <c r="G208" s="384" t="s">
        <v>329</v>
      </c>
      <c r="H208" s="24">
        <f>41+94.17+159.65+237.94+125+93.35+250.89+3.28+96.71+130.74+214.67+161.19+124.36+418.77+269.79+214.71+87.32</f>
        <v>2723.5400000000004</v>
      </c>
      <c r="I208" s="24"/>
      <c r="J208" s="25" t="str">
        <f t="shared" si="9"/>
        <v>1</v>
      </c>
      <c r="K208" s="387" t="s">
        <v>1081</v>
      </c>
      <c r="L208" s="385">
        <v>-41</v>
      </c>
      <c r="M208" s="386">
        <f t="shared" si="10"/>
        <v>2682.5400000000004</v>
      </c>
      <c r="N208" s="496">
        <v>920</v>
      </c>
      <c r="O208" s="333">
        <f t="shared" si="11"/>
        <v>3602.5400000000004</v>
      </c>
      <c r="R208" s="23" t="str">
        <f>VLOOKUP(C:C,'Historic Data - working'!A:B,1,FALSE)</f>
        <v>BIR069</v>
      </c>
      <c r="U208" s="323"/>
      <c r="V208" s="323"/>
      <c r="W208" s="323"/>
    </row>
    <row r="209" spans="1:23" s="23" customFormat="1" ht="14.25" hidden="1" outlineLevel="1" x14ac:dyDescent="0.2">
      <c r="A209" s="381" t="s">
        <v>828</v>
      </c>
      <c r="B209" s="381" t="s">
        <v>324</v>
      </c>
      <c r="C209" s="389" t="s">
        <v>1082</v>
      </c>
      <c r="D209" s="381" t="s">
        <v>1083</v>
      </c>
      <c r="E209" s="383" t="s">
        <v>822</v>
      </c>
      <c r="F209" s="381" t="s">
        <v>1084</v>
      </c>
      <c r="G209" s="384" t="s">
        <v>329</v>
      </c>
      <c r="H209" s="24">
        <v>785.81</v>
      </c>
      <c r="I209" s="24"/>
      <c r="J209" s="25" t="str">
        <f t="shared" si="9"/>
        <v>1</v>
      </c>
      <c r="K209" s="392"/>
      <c r="L209" s="385"/>
      <c r="M209" s="386">
        <f t="shared" si="10"/>
        <v>785.81</v>
      </c>
      <c r="N209" s="496">
        <v>70</v>
      </c>
      <c r="O209" s="333">
        <f t="shared" si="11"/>
        <v>855.81</v>
      </c>
      <c r="R209" s="23" t="str">
        <f>VLOOKUP(C:C,'Historic Data - working'!A:B,1,FALSE)</f>
        <v>BIR070</v>
      </c>
      <c r="U209" s="323"/>
      <c r="V209" s="323"/>
      <c r="W209" s="323"/>
    </row>
    <row r="210" spans="1:23" s="23" customFormat="1" ht="14.25" hidden="1" outlineLevel="1" x14ac:dyDescent="0.2">
      <c r="A210" s="381" t="s">
        <v>828</v>
      </c>
      <c r="B210" s="381" t="s">
        <v>324</v>
      </c>
      <c r="C210" s="389" t="s">
        <v>1085</v>
      </c>
      <c r="D210" s="381" t="s">
        <v>1086</v>
      </c>
      <c r="E210" s="383" t="s">
        <v>1087</v>
      </c>
      <c r="F210" s="381" t="s">
        <v>1088</v>
      </c>
      <c r="G210" s="384" t="s">
        <v>329</v>
      </c>
      <c r="H210" s="24">
        <v>293.81</v>
      </c>
      <c r="I210" s="24"/>
      <c r="J210" s="25" t="str">
        <f t="shared" si="9"/>
        <v>1</v>
      </c>
      <c r="K210" s="392"/>
      <c r="L210" s="385"/>
      <c r="M210" s="386">
        <f t="shared" si="10"/>
        <v>293.81</v>
      </c>
      <c r="N210" s="496">
        <v>140</v>
      </c>
      <c r="O210" s="333">
        <f t="shared" si="11"/>
        <v>433.81</v>
      </c>
      <c r="R210" s="23" t="str">
        <f>VLOOKUP(C:C,'Historic Data - working'!A:B,1,FALSE)</f>
        <v>BIR071</v>
      </c>
      <c r="U210" s="323"/>
      <c r="V210" s="323"/>
      <c r="W210" s="323"/>
    </row>
    <row r="211" spans="1:23" s="23" customFormat="1" ht="14.25" hidden="1" outlineLevel="1" x14ac:dyDescent="0.2">
      <c r="A211" s="381" t="s">
        <v>828</v>
      </c>
      <c r="B211" s="381" t="s">
        <v>324</v>
      </c>
      <c r="C211" s="389" t="s">
        <v>1089</v>
      </c>
      <c r="D211" s="381" t="s">
        <v>1090</v>
      </c>
      <c r="E211" s="383" t="s">
        <v>1091</v>
      </c>
      <c r="F211" s="381" t="s">
        <v>1092</v>
      </c>
      <c r="G211" s="384" t="s">
        <v>329</v>
      </c>
      <c r="H211" s="24">
        <f>935.15+93.28</f>
        <v>1028.43</v>
      </c>
      <c r="I211" s="24"/>
      <c r="J211" s="25" t="str">
        <f t="shared" si="9"/>
        <v>1</v>
      </c>
      <c r="K211" s="385" t="s">
        <v>1093</v>
      </c>
      <c r="L211" s="385"/>
      <c r="M211" s="386">
        <f t="shared" si="10"/>
        <v>1028.43</v>
      </c>
      <c r="N211" s="496">
        <v>290</v>
      </c>
      <c r="O211" s="333">
        <f t="shared" si="11"/>
        <v>1318.43</v>
      </c>
      <c r="R211" s="23" t="str">
        <f>VLOOKUP(C:C,'Historic Data - working'!A:B,1,FALSE)</f>
        <v>BIR072</v>
      </c>
      <c r="U211" s="323"/>
      <c r="V211" s="323"/>
      <c r="W211" s="323"/>
    </row>
    <row r="212" spans="1:23" s="23" customFormat="1" ht="14.25" hidden="1" outlineLevel="1" x14ac:dyDescent="0.2">
      <c r="A212" s="381" t="s">
        <v>828</v>
      </c>
      <c r="B212" s="381" t="s">
        <v>324</v>
      </c>
      <c r="C212" s="389" t="s">
        <v>1094</v>
      </c>
      <c r="D212" s="381" t="s">
        <v>1095</v>
      </c>
      <c r="E212" s="383" t="s">
        <v>1096</v>
      </c>
      <c r="F212" s="381" t="s">
        <v>1097</v>
      </c>
      <c r="G212" s="384" t="s">
        <v>329</v>
      </c>
      <c r="H212" s="24">
        <f>344.32+141.55+475.32+390.3+123.11+559.82+68.48</f>
        <v>2102.9</v>
      </c>
      <c r="I212" s="24"/>
      <c r="J212" s="25" t="str">
        <f t="shared" si="9"/>
        <v>1</v>
      </c>
      <c r="K212" s="385"/>
      <c r="L212" s="385"/>
      <c r="M212" s="386">
        <f t="shared" si="10"/>
        <v>2102.9</v>
      </c>
      <c r="N212" s="496">
        <v>57</v>
      </c>
      <c r="O212" s="333">
        <f t="shared" si="11"/>
        <v>2159.9</v>
      </c>
      <c r="R212" s="23" t="str">
        <f>VLOOKUP(C:C,'Historic Data - working'!A:B,1,FALSE)</f>
        <v>BIR073</v>
      </c>
      <c r="U212" s="323"/>
      <c r="V212" s="323"/>
      <c r="W212" s="323"/>
    </row>
    <row r="213" spans="1:23" s="23" customFormat="1" ht="14.25" hidden="1" outlineLevel="1" x14ac:dyDescent="0.2">
      <c r="A213" s="381" t="s">
        <v>828</v>
      </c>
      <c r="B213" s="381" t="s">
        <v>324</v>
      </c>
      <c r="C213" s="389" t="s">
        <v>1098</v>
      </c>
      <c r="D213" s="381" t="s">
        <v>1099</v>
      </c>
      <c r="E213" s="383" t="s">
        <v>532</v>
      </c>
      <c r="F213" s="381" t="s">
        <v>1100</v>
      </c>
      <c r="G213" s="384"/>
      <c r="H213" s="24"/>
      <c r="I213" s="24"/>
      <c r="J213" s="25" t="str">
        <f t="shared" si="9"/>
        <v xml:space="preserve"> </v>
      </c>
      <c r="K213" s="390" t="s">
        <v>321</v>
      </c>
      <c r="L213" s="385">
        <v>1043</v>
      </c>
      <c r="M213" s="386">
        <f t="shared" si="10"/>
        <v>1043</v>
      </c>
      <c r="N213" s="496">
        <v>1242.74</v>
      </c>
      <c r="O213" s="333">
        <f t="shared" si="11"/>
        <v>2285.7399999999998</v>
      </c>
      <c r="R213" s="23" t="str">
        <f>VLOOKUP(C:C,'Historic Data - working'!A:B,1,FALSE)</f>
        <v>BIR074</v>
      </c>
      <c r="U213" s="323"/>
      <c r="V213" s="323"/>
      <c r="W213" s="323"/>
    </row>
    <row r="214" spans="1:23" s="23" customFormat="1" ht="14.25" hidden="1" outlineLevel="1" x14ac:dyDescent="0.2">
      <c r="A214" s="381" t="s">
        <v>828</v>
      </c>
      <c r="B214" s="381" t="s">
        <v>324</v>
      </c>
      <c r="C214" s="389" t="s">
        <v>1101</v>
      </c>
      <c r="D214" s="381" t="s">
        <v>1102</v>
      </c>
      <c r="E214" s="383" t="s">
        <v>1103</v>
      </c>
      <c r="F214" s="381" t="s">
        <v>1104</v>
      </c>
      <c r="G214" s="384"/>
      <c r="H214" s="24"/>
      <c r="I214" s="24"/>
      <c r="J214" s="25" t="str">
        <f t="shared" si="9"/>
        <v xml:space="preserve"> </v>
      </c>
      <c r="K214" s="385"/>
      <c r="L214" s="385"/>
      <c r="M214" s="386">
        <f t="shared" si="10"/>
        <v>0</v>
      </c>
      <c r="N214" s="496"/>
      <c r="O214" s="333">
        <f t="shared" si="11"/>
        <v>0</v>
      </c>
      <c r="R214" s="23" t="e">
        <f>VLOOKUP(C:C,'Historic Data - working'!A:B,1,FALSE)</f>
        <v>#N/A</v>
      </c>
      <c r="U214" s="323"/>
      <c r="V214" s="323"/>
      <c r="W214" s="323"/>
    </row>
    <row r="215" spans="1:23" s="23" customFormat="1" ht="14.25" hidden="1" outlineLevel="1" x14ac:dyDescent="0.2">
      <c r="A215" s="381" t="s">
        <v>828</v>
      </c>
      <c r="B215" s="381" t="s">
        <v>324</v>
      </c>
      <c r="C215" s="389" t="s">
        <v>1105</v>
      </c>
      <c r="D215" s="381" t="s">
        <v>1106</v>
      </c>
      <c r="E215" s="383" t="s">
        <v>1107</v>
      </c>
      <c r="F215" s="381" t="s">
        <v>1108</v>
      </c>
      <c r="G215" s="384" t="s">
        <v>329</v>
      </c>
      <c r="H215" s="24"/>
      <c r="I215" s="24">
        <v>46.31</v>
      </c>
      <c r="J215" s="25" t="str">
        <f t="shared" si="9"/>
        <v>1</v>
      </c>
      <c r="K215" s="385"/>
      <c r="L215" s="385"/>
      <c r="M215" s="386">
        <f t="shared" si="10"/>
        <v>0</v>
      </c>
      <c r="N215" s="496">
        <v>468.31</v>
      </c>
      <c r="O215" s="333">
        <f t="shared" si="11"/>
        <v>468.31</v>
      </c>
      <c r="R215" s="23" t="str">
        <f>VLOOKUP(C:C,'Historic Data - working'!A:B,1,FALSE)</f>
        <v>BIR075</v>
      </c>
      <c r="U215" s="323"/>
      <c r="V215" s="323"/>
      <c r="W215" s="323"/>
    </row>
    <row r="216" spans="1:23" s="23" customFormat="1" ht="14.25" hidden="1" outlineLevel="1" x14ac:dyDescent="0.2">
      <c r="A216" s="381" t="s">
        <v>828</v>
      </c>
      <c r="B216" s="381" t="s">
        <v>324</v>
      </c>
      <c r="C216" s="389" t="s">
        <v>1109</v>
      </c>
      <c r="D216" s="381" t="s">
        <v>1110</v>
      </c>
      <c r="E216" s="383" t="s">
        <v>1111</v>
      </c>
      <c r="F216" s="381" t="s">
        <v>1112</v>
      </c>
      <c r="G216" s="384" t="s">
        <v>329</v>
      </c>
      <c r="H216" s="24">
        <f>1520+1560</f>
        <v>3080</v>
      </c>
      <c r="I216" s="24"/>
      <c r="J216" s="25" t="str">
        <f t="shared" si="9"/>
        <v>1</v>
      </c>
      <c r="K216" s="385"/>
      <c r="L216" s="385"/>
      <c r="M216" s="386">
        <f t="shared" si="10"/>
        <v>3080</v>
      </c>
      <c r="N216" s="496"/>
      <c r="O216" s="333">
        <f t="shared" si="11"/>
        <v>3080</v>
      </c>
      <c r="R216" s="23" t="str">
        <f>VLOOKUP(C:C,'Historic Data - working'!A:B,1,FALSE)</f>
        <v>BIR076</v>
      </c>
      <c r="U216" s="323"/>
      <c r="V216" s="323"/>
      <c r="W216" s="323"/>
    </row>
    <row r="217" spans="1:23" s="23" customFormat="1" ht="14.25" hidden="1" outlineLevel="1" x14ac:dyDescent="0.2">
      <c r="A217" s="381" t="s">
        <v>828</v>
      </c>
      <c r="B217" s="381" t="s">
        <v>324</v>
      </c>
      <c r="C217" s="389" t="s">
        <v>1113</v>
      </c>
      <c r="D217" s="381" t="s">
        <v>1114</v>
      </c>
      <c r="E217" s="383" t="s">
        <v>1115</v>
      </c>
      <c r="F217" s="381" t="s">
        <v>1116</v>
      </c>
      <c r="G217" s="384" t="s">
        <v>329</v>
      </c>
      <c r="H217" s="24"/>
      <c r="I217" s="24">
        <v>50.42</v>
      </c>
      <c r="J217" s="25" t="str">
        <f t="shared" si="9"/>
        <v>1</v>
      </c>
      <c r="K217" s="385" t="s">
        <v>1117</v>
      </c>
      <c r="L217" s="385"/>
      <c r="M217" s="386">
        <f t="shared" si="10"/>
        <v>0</v>
      </c>
      <c r="N217" s="496">
        <v>55</v>
      </c>
      <c r="O217" s="333">
        <f t="shared" si="11"/>
        <v>55</v>
      </c>
      <c r="R217" s="23" t="str">
        <f>VLOOKUP(C:C,'Historic Data - working'!A:B,1,FALSE)</f>
        <v>BIR077</v>
      </c>
      <c r="U217" s="323"/>
      <c r="V217" s="323"/>
      <c r="W217" s="323"/>
    </row>
    <row r="218" spans="1:23" s="23" customFormat="1" ht="14.25" hidden="1" outlineLevel="1" x14ac:dyDescent="0.2">
      <c r="A218" s="381" t="s">
        <v>828</v>
      </c>
      <c r="B218" s="381" t="s">
        <v>324</v>
      </c>
      <c r="C218" s="389" t="s">
        <v>1118</v>
      </c>
      <c r="D218" s="381" t="s">
        <v>1119</v>
      </c>
      <c r="E218" s="383" t="s">
        <v>1120</v>
      </c>
      <c r="F218" s="381" t="s">
        <v>1121</v>
      </c>
      <c r="G218" s="384"/>
      <c r="H218" s="24"/>
      <c r="I218" s="24"/>
      <c r="J218" s="25" t="str">
        <f t="shared" si="9"/>
        <v xml:space="preserve"> </v>
      </c>
      <c r="K218" s="385"/>
      <c r="L218" s="385"/>
      <c r="M218" s="386">
        <f t="shared" si="10"/>
        <v>0</v>
      </c>
      <c r="N218" s="496"/>
      <c r="O218" s="333">
        <f t="shared" si="11"/>
        <v>0</v>
      </c>
      <c r="R218" s="23" t="e">
        <f>VLOOKUP(C:C,'Historic Data - working'!A:B,1,FALSE)</f>
        <v>#N/A</v>
      </c>
      <c r="U218" s="323"/>
      <c r="V218" s="323"/>
      <c r="W218" s="323"/>
    </row>
    <row r="219" spans="1:23" s="23" customFormat="1" ht="14.25" hidden="1" outlineLevel="1" x14ac:dyDescent="0.2">
      <c r="A219" s="381" t="s">
        <v>828</v>
      </c>
      <c r="B219" s="381" t="s">
        <v>324</v>
      </c>
      <c r="C219" s="389" t="s">
        <v>1122</v>
      </c>
      <c r="D219" s="381" t="s">
        <v>1123</v>
      </c>
      <c r="E219" s="383" t="s">
        <v>532</v>
      </c>
      <c r="F219" s="381" t="s">
        <v>1124</v>
      </c>
      <c r="G219" s="384" t="s">
        <v>329</v>
      </c>
      <c r="H219" s="24">
        <v>1305</v>
      </c>
      <c r="I219" s="24"/>
      <c r="J219" s="25" t="str">
        <f t="shared" si="9"/>
        <v>1</v>
      </c>
      <c r="K219" s="385"/>
      <c r="L219" s="385"/>
      <c r="M219" s="386">
        <f t="shared" si="10"/>
        <v>1305</v>
      </c>
      <c r="N219" s="496">
        <v>626.5</v>
      </c>
      <c r="O219" s="333">
        <f t="shared" si="11"/>
        <v>1931.5</v>
      </c>
      <c r="R219" s="23" t="str">
        <f>VLOOKUP(C:C,'Historic Data - working'!A:B,1,FALSE)</f>
        <v>BIR078</v>
      </c>
      <c r="U219" s="323"/>
      <c r="V219" s="323"/>
      <c r="W219" s="323"/>
    </row>
    <row r="220" spans="1:23" s="23" customFormat="1" ht="14.25" hidden="1" outlineLevel="1" x14ac:dyDescent="0.2">
      <c r="A220" s="381" t="s">
        <v>828</v>
      </c>
      <c r="B220" s="381" t="s">
        <v>324</v>
      </c>
      <c r="C220" s="389" t="s">
        <v>1125</v>
      </c>
      <c r="D220" s="381" t="s">
        <v>1126</v>
      </c>
      <c r="E220" s="383" t="s">
        <v>1127</v>
      </c>
      <c r="F220" s="381" t="s">
        <v>1128</v>
      </c>
      <c r="G220" s="384" t="s">
        <v>329</v>
      </c>
      <c r="H220" s="24">
        <v>918</v>
      </c>
      <c r="I220" s="24"/>
      <c r="J220" s="25" t="str">
        <f t="shared" si="9"/>
        <v>1</v>
      </c>
      <c r="K220" s="392" t="s">
        <v>1129</v>
      </c>
      <c r="L220" s="385">
        <v>10</v>
      </c>
      <c r="M220" s="386">
        <f t="shared" si="10"/>
        <v>928</v>
      </c>
      <c r="N220" s="496"/>
      <c r="O220" s="334">
        <f t="shared" si="11"/>
        <v>928</v>
      </c>
      <c r="P220" s="351" t="s">
        <v>329</v>
      </c>
      <c r="Q220" s="331"/>
      <c r="R220" s="331" t="e">
        <f>VLOOKUP(C:C,'Historic Data - working'!A:B,1,FALSE)</f>
        <v>#N/A</v>
      </c>
      <c r="U220" s="323"/>
      <c r="V220" s="323"/>
      <c r="W220" s="323"/>
    </row>
    <row r="221" spans="1:23" s="23" customFormat="1" ht="14.25" hidden="1" outlineLevel="1" x14ac:dyDescent="0.2">
      <c r="A221" s="381" t="s">
        <v>828</v>
      </c>
      <c r="B221" s="381" t="s">
        <v>324</v>
      </c>
      <c r="C221" s="389" t="s">
        <v>1130</v>
      </c>
      <c r="D221" s="381" t="s">
        <v>1131</v>
      </c>
      <c r="E221" s="383" t="s">
        <v>164</v>
      </c>
      <c r="F221" s="381" t="s">
        <v>1132</v>
      </c>
      <c r="G221" s="384" t="s">
        <v>329</v>
      </c>
      <c r="H221" s="24">
        <v>395.73</v>
      </c>
      <c r="I221" s="24"/>
      <c r="J221" s="25" t="str">
        <f t="shared" si="9"/>
        <v>1</v>
      </c>
      <c r="K221" s="385" t="s">
        <v>1133</v>
      </c>
      <c r="L221" s="385">
        <f>-2+3.05</f>
        <v>1.0499999999999998</v>
      </c>
      <c r="M221" s="386">
        <f t="shared" si="10"/>
        <v>396.78000000000003</v>
      </c>
      <c r="N221" s="496"/>
      <c r="O221" s="333">
        <f t="shared" si="11"/>
        <v>396.78000000000003</v>
      </c>
      <c r="R221" s="23" t="str">
        <f>VLOOKUP(C:C,'Historic Data - working'!A:B,1,FALSE)</f>
        <v>BIR080</v>
      </c>
      <c r="U221" s="323"/>
      <c r="V221" s="323"/>
      <c r="W221" s="323"/>
    </row>
    <row r="222" spans="1:23" s="23" customFormat="1" ht="14.25" hidden="1" outlineLevel="1" x14ac:dyDescent="0.2">
      <c r="A222" s="381" t="s">
        <v>828</v>
      </c>
      <c r="B222" s="381" t="s">
        <v>324</v>
      </c>
      <c r="C222" s="389" t="s">
        <v>1134</v>
      </c>
      <c r="D222" s="381" t="s">
        <v>1135</v>
      </c>
      <c r="E222" s="383" t="s">
        <v>1054</v>
      </c>
      <c r="F222" s="381" t="s">
        <v>1116</v>
      </c>
      <c r="G222" s="384" t="s">
        <v>329</v>
      </c>
      <c r="H222" s="24">
        <v>887.71</v>
      </c>
      <c r="I222" s="24"/>
      <c r="J222" s="25" t="str">
        <f t="shared" si="9"/>
        <v>1</v>
      </c>
      <c r="K222" s="385" t="s">
        <v>1136</v>
      </c>
      <c r="L222" s="385"/>
      <c r="M222" s="386">
        <f t="shared" si="10"/>
        <v>887.71</v>
      </c>
      <c r="N222" s="496">
        <v>25</v>
      </c>
      <c r="O222" s="333">
        <f t="shared" si="11"/>
        <v>912.71</v>
      </c>
      <c r="R222" s="23" t="str">
        <f>VLOOKUP(C:C,'Historic Data - working'!A:B,1,FALSE)</f>
        <v>BIR081</v>
      </c>
      <c r="U222" s="323"/>
      <c r="V222" s="323"/>
      <c r="W222" s="323"/>
    </row>
    <row r="223" spans="1:23" s="23" customFormat="1" ht="14.25" hidden="1" outlineLevel="1" x14ac:dyDescent="0.2">
      <c r="A223" s="381" t="s">
        <v>828</v>
      </c>
      <c r="B223" s="381" t="s">
        <v>324</v>
      </c>
      <c r="C223" s="389" t="s">
        <v>1137</v>
      </c>
      <c r="D223" s="381" t="s">
        <v>1138</v>
      </c>
      <c r="E223" s="383" t="s">
        <v>1139</v>
      </c>
      <c r="F223" s="381" t="s">
        <v>1140</v>
      </c>
      <c r="G223" s="384" t="s">
        <v>329</v>
      </c>
      <c r="H223" s="24">
        <f>300.81+265.95</f>
        <v>566.76</v>
      </c>
      <c r="I223" s="24"/>
      <c r="J223" s="25" t="str">
        <f t="shared" si="9"/>
        <v>1</v>
      </c>
      <c r="K223" s="385"/>
      <c r="L223" s="385"/>
      <c r="M223" s="386">
        <f t="shared" si="10"/>
        <v>566.76</v>
      </c>
      <c r="N223" s="496">
        <v>664.06</v>
      </c>
      <c r="O223" s="334">
        <f t="shared" si="11"/>
        <v>1230.82</v>
      </c>
      <c r="P223" s="351" t="s">
        <v>329</v>
      </c>
      <c r="Q223" s="331"/>
      <c r="R223" s="331" t="e">
        <f>VLOOKUP(C:C,'Historic Data - working'!A:B,1,FALSE)</f>
        <v>#N/A</v>
      </c>
      <c r="U223" s="323"/>
      <c r="V223" s="323"/>
      <c r="W223" s="323"/>
    </row>
    <row r="224" spans="1:23" s="23" customFormat="1" ht="14.25" hidden="1" outlineLevel="1" x14ac:dyDescent="0.2">
      <c r="A224" s="381" t="s">
        <v>828</v>
      </c>
      <c r="B224" s="381" t="s">
        <v>324</v>
      </c>
      <c r="C224" s="389" t="s">
        <v>1141</v>
      </c>
      <c r="D224" s="381" t="s">
        <v>1142</v>
      </c>
      <c r="E224" s="383" t="s">
        <v>1143</v>
      </c>
      <c r="F224" s="381" t="s">
        <v>1144</v>
      </c>
      <c r="G224" s="384"/>
      <c r="H224" s="24"/>
      <c r="I224" s="24"/>
      <c r="J224" s="25" t="str">
        <f t="shared" si="9"/>
        <v xml:space="preserve"> </v>
      </c>
      <c r="K224" s="387" t="s">
        <v>1145</v>
      </c>
      <c r="L224" s="385">
        <v>862.66</v>
      </c>
      <c r="M224" s="386">
        <f t="shared" si="10"/>
        <v>862.66</v>
      </c>
      <c r="N224" s="496"/>
      <c r="O224" s="333">
        <f t="shared" si="11"/>
        <v>862.66</v>
      </c>
      <c r="R224" s="23" t="str">
        <f>VLOOKUP(C:C,'Historic Data - working'!A:B,1,FALSE)</f>
        <v>BIR083</v>
      </c>
      <c r="U224" s="323"/>
      <c r="V224" s="323"/>
      <c r="W224" s="323"/>
    </row>
    <row r="225" spans="1:23" s="23" customFormat="1" ht="14.25" hidden="1" outlineLevel="1" x14ac:dyDescent="0.2">
      <c r="A225" s="381" t="s">
        <v>828</v>
      </c>
      <c r="B225" s="381" t="s">
        <v>324</v>
      </c>
      <c r="C225" s="389" t="s">
        <v>1146</v>
      </c>
      <c r="D225" s="381" t="s">
        <v>1147</v>
      </c>
      <c r="E225" s="383" t="s">
        <v>1148</v>
      </c>
      <c r="F225" s="381" t="s">
        <v>1149</v>
      </c>
      <c r="G225" s="384" t="s">
        <v>329</v>
      </c>
      <c r="H225" s="24">
        <v>908</v>
      </c>
      <c r="I225" s="24"/>
      <c r="J225" s="25" t="str">
        <f t="shared" si="9"/>
        <v>1</v>
      </c>
      <c r="K225" s="385"/>
      <c r="L225" s="385"/>
      <c r="M225" s="386">
        <f t="shared" si="10"/>
        <v>908</v>
      </c>
      <c r="N225" s="496">
        <v>65</v>
      </c>
      <c r="O225" s="333">
        <f t="shared" si="11"/>
        <v>973</v>
      </c>
      <c r="R225" s="23" t="str">
        <f>VLOOKUP(C:C,'Historic Data - working'!A:B,1,FALSE)</f>
        <v>BIR084</v>
      </c>
      <c r="U225" s="323"/>
      <c r="V225" s="323"/>
      <c r="W225" s="323"/>
    </row>
    <row r="226" spans="1:23" s="23" customFormat="1" ht="14.25" hidden="1" outlineLevel="1" x14ac:dyDescent="0.2">
      <c r="A226" s="381" t="s">
        <v>828</v>
      </c>
      <c r="B226" s="381" t="s">
        <v>324</v>
      </c>
      <c r="C226" s="389" t="s">
        <v>1150</v>
      </c>
      <c r="D226" s="381" t="s">
        <v>1151</v>
      </c>
      <c r="E226" s="383" t="s">
        <v>1152</v>
      </c>
      <c r="F226" s="381" t="s">
        <v>1153</v>
      </c>
      <c r="G226" s="384" t="s">
        <v>329</v>
      </c>
      <c r="H226" s="24">
        <f>8+145+26.92+75+42+16+181.82+100+138+30+74+135+38+149+85+54.62+92+27.34+178+11+15+19+15+288+95+142+38</f>
        <v>2218.6999999999998</v>
      </c>
      <c r="I226" s="24"/>
      <c r="J226" s="25" t="str">
        <f t="shared" si="9"/>
        <v>1</v>
      </c>
      <c r="K226" s="385" t="s">
        <v>1154</v>
      </c>
      <c r="L226" s="385">
        <v>610.72</v>
      </c>
      <c r="M226" s="386">
        <f t="shared" si="10"/>
        <v>2829.42</v>
      </c>
      <c r="N226" s="496">
        <v>187.5</v>
      </c>
      <c r="O226" s="333">
        <f t="shared" si="11"/>
        <v>3016.92</v>
      </c>
      <c r="R226" s="23" t="str">
        <f>VLOOKUP(C:C,'Historic Data - working'!A:B,1,FALSE)</f>
        <v>BIR086</v>
      </c>
      <c r="U226" s="323"/>
      <c r="V226" s="323"/>
      <c r="W226" s="323"/>
    </row>
    <row r="227" spans="1:23" s="23" customFormat="1" ht="14.25" hidden="1" outlineLevel="1" x14ac:dyDescent="0.2">
      <c r="A227" s="381" t="s">
        <v>828</v>
      </c>
      <c r="B227" s="381" t="s">
        <v>324</v>
      </c>
      <c r="C227" s="389" t="s">
        <v>1155</v>
      </c>
      <c r="D227" s="381" t="s">
        <v>1156</v>
      </c>
      <c r="E227" s="383" t="s">
        <v>1157</v>
      </c>
      <c r="F227" s="381" t="s">
        <v>1153</v>
      </c>
      <c r="G227" s="384"/>
      <c r="H227" s="24"/>
      <c r="I227" s="24"/>
      <c r="J227" s="25" t="str">
        <f t="shared" si="9"/>
        <v xml:space="preserve"> </v>
      </c>
      <c r="K227" s="385"/>
      <c r="L227" s="385"/>
      <c r="M227" s="386">
        <f t="shared" si="10"/>
        <v>0</v>
      </c>
      <c r="N227" s="496">
        <v>936.6</v>
      </c>
      <c r="O227" s="333">
        <f t="shared" si="11"/>
        <v>936.6</v>
      </c>
      <c r="R227" s="23" t="str">
        <f>VLOOKUP(C:C,'Historic Data - working'!A:B,1,FALSE)</f>
        <v>BIR087</v>
      </c>
      <c r="U227" s="323"/>
      <c r="V227" s="323"/>
      <c r="W227" s="323"/>
    </row>
    <row r="228" spans="1:23" s="23" customFormat="1" ht="14.25" hidden="1" outlineLevel="1" x14ac:dyDescent="0.2">
      <c r="A228" s="381" t="s">
        <v>828</v>
      </c>
      <c r="B228" s="381" t="s">
        <v>324</v>
      </c>
      <c r="C228" s="389" t="s">
        <v>1158</v>
      </c>
      <c r="D228" s="381" t="s">
        <v>1159</v>
      </c>
      <c r="E228" s="383" t="s">
        <v>1160</v>
      </c>
      <c r="F228" s="381" t="s">
        <v>1153</v>
      </c>
      <c r="G228" s="384"/>
      <c r="H228" s="24"/>
      <c r="I228" s="24"/>
      <c r="J228" s="25" t="str">
        <f t="shared" si="9"/>
        <v xml:space="preserve"> </v>
      </c>
      <c r="K228" s="385"/>
      <c r="L228" s="385"/>
      <c r="M228" s="386">
        <f t="shared" si="10"/>
        <v>0</v>
      </c>
      <c r="N228" s="496"/>
      <c r="O228" s="333">
        <f t="shared" si="11"/>
        <v>0</v>
      </c>
      <c r="R228" s="23" t="e">
        <f>VLOOKUP(C:C,'Historic Data - working'!A:B,1,FALSE)</f>
        <v>#N/A</v>
      </c>
      <c r="U228" s="323"/>
      <c r="V228" s="323"/>
      <c r="W228" s="323"/>
    </row>
    <row r="229" spans="1:23" s="23" customFormat="1" ht="14.25" hidden="1" outlineLevel="1" x14ac:dyDescent="0.2">
      <c r="A229" s="381" t="s">
        <v>828</v>
      </c>
      <c r="B229" s="381" t="s">
        <v>324</v>
      </c>
      <c r="C229" s="389" t="s">
        <v>1161</v>
      </c>
      <c r="D229" s="381" t="s">
        <v>1162</v>
      </c>
      <c r="E229" s="383" t="s">
        <v>11</v>
      </c>
      <c r="F229" s="381" t="s">
        <v>1153</v>
      </c>
      <c r="G229" s="384" t="s">
        <v>329</v>
      </c>
      <c r="H229" s="24">
        <f>601.82+592.5</f>
        <v>1194.3200000000002</v>
      </c>
      <c r="I229" s="24"/>
      <c r="J229" s="25" t="str">
        <f t="shared" si="9"/>
        <v>1</v>
      </c>
      <c r="K229" s="385"/>
      <c r="L229" s="385"/>
      <c r="M229" s="386">
        <f t="shared" si="10"/>
        <v>1194.3200000000002</v>
      </c>
      <c r="N229" s="496">
        <v>100</v>
      </c>
      <c r="O229" s="333">
        <f t="shared" si="11"/>
        <v>1294.3200000000002</v>
      </c>
      <c r="R229" s="23" t="str">
        <f>VLOOKUP(C:C,'Historic Data - working'!A:B,1,FALSE)</f>
        <v>BIR088</v>
      </c>
      <c r="U229" s="323"/>
      <c r="V229" s="323"/>
      <c r="W229" s="323"/>
    </row>
    <row r="230" spans="1:23" s="23" customFormat="1" ht="14.25" hidden="1" outlineLevel="1" x14ac:dyDescent="0.2">
      <c r="A230" s="381" t="s">
        <v>828</v>
      </c>
      <c r="B230" s="381" t="s">
        <v>324</v>
      </c>
      <c r="C230" s="389" t="s">
        <v>1163</v>
      </c>
      <c r="D230" s="381" t="s">
        <v>1164</v>
      </c>
      <c r="E230" s="383" t="s">
        <v>1165</v>
      </c>
      <c r="F230" s="381" t="s">
        <v>1153</v>
      </c>
      <c r="G230" s="384" t="s">
        <v>329</v>
      </c>
      <c r="H230" s="24">
        <f>351+330+615.83</f>
        <v>1296.83</v>
      </c>
      <c r="I230" s="24"/>
      <c r="J230" s="25" t="str">
        <f t="shared" si="9"/>
        <v>1</v>
      </c>
      <c r="K230" s="385"/>
      <c r="L230" s="385"/>
      <c r="M230" s="386">
        <f t="shared" si="10"/>
        <v>1296.83</v>
      </c>
      <c r="N230" s="496">
        <v>210</v>
      </c>
      <c r="O230" s="333">
        <f t="shared" si="11"/>
        <v>1506.83</v>
      </c>
      <c r="R230" s="23" t="str">
        <f>VLOOKUP(C:C,'Historic Data - working'!A:B,1,FALSE)</f>
        <v>BIR089</v>
      </c>
      <c r="U230" s="323"/>
      <c r="V230" s="323"/>
      <c r="W230" s="323"/>
    </row>
    <row r="231" spans="1:23" s="23" customFormat="1" ht="14.25" hidden="1" outlineLevel="1" x14ac:dyDescent="0.2">
      <c r="A231" s="381" t="s">
        <v>828</v>
      </c>
      <c r="B231" s="381" t="s">
        <v>324</v>
      </c>
      <c r="C231" s="389" t="s">
        <v>1166</v>
      </c>
      <c r="D231" s="381" t="s">
        <v>1167</v>
      </c>
      <c r="E231" s="383" t="s">
        <v>127</v>
      </c>
      <c r="F231" s="381" t="s">
        <v>1153</v>
      </c>
      <c r="G231" s="384"/>
      <c r="H231" s="24"/>
      <c r="I231" s="24"/>
      <c r="J231" s="25" t="str">
        <f t="shared" si="9"/>
        <v xml:space="preserve"> </v>
      </c>
      <c r="K231" s="385"/>
      <c r="L231" s="385"/>
      <c r="M231" s="386">
        <f t="shared" si="10"/>
        <v>0</v>
      </c>
      <c r="N231" s="496">
        <v>1000</v>
      </c>
      <c r="O231" s="333">
        <f t="shared" si="11"/>
        <v>1000</v>
      </c>
      <c r="R231" s="23" t="str">
        <f>VLOOKUP(C:C,'Historic Data - working'!A:B,1,FALSE)</f>
        <v>BIR090</v>
      </c>
      <c r="U231" s="323"/>
      <c r="V231" s="323"/>
      <c r="W231" s="323"/>
    </row>
    <row r="232" spans="1:23" s="23" customFormat="1" ht="14.25" hidden="1" outlineLevel="1" x14ac:dyDescent="0.2">
      <c r="A232" s="381" t="s">
        <v>828</v>
      </c>
      <c r="B232" s="381" t="s">
        <v>324</v>
      </c>
      <c r="C232" s="389" t="s">
        <v>1168</v>
      </c>
      <c r="D232" s="381" t="s">
        <v>1169</v>
      </c>
      <c r="E232" s="383" t="s">
        <v>428</v>
      </c>
      <c r="F232" s="381" t="s">
        <v>1153</v>
      </c>
      <c r="G232" s="384"/>
      <c r="H232" s="24"/>
      <c r="I232" s="24"/>
      <c r="J232" s="25" t="str">
        <f t="shared" si="9"/>
        <v xml:space="preserve"> </v>
      </c>
      <c r="K232" s="390" t="s">
        <v>321</v>
      </c>
      <c r="L232" s="385">
        <v>457.82</v>
      </c>
      <c r="M232" s="386">
        <f t="shared" si="10"/>
        <v>457.82</v>
      </c>
      <c r="N232" s="496">
        <v>125</v>
      </c>
      <c r="O232" s="333">
        <f t="shared" si="11"/>
        <v>582.81999999999994</v>
      </c>
      <c r="R232" s="23" t="str">
        <f>VLOOKUP(C:C,'Historic Data - working'!A:B,1,FALSE)</f>
        <v>BIR091</v>
      </c>
      <c r="U232" s="323"/>
      <c r="V232" s="323"/>
      <c r="W232" s="323"/>
    </row>
    <row r="233" spans="1:23" s="23" customFormat="1" ht="14.25" hidden="1" outlineLevel="1" x14ac:dyDescent="0.2">
      <c r="A233" s="381" t="s">
        <v>828</v>
      </c>
      <c r="B233" s="381" t="s">
        <v>324</v>
      </c>
      <c r="C233" s="389" t="s">
        <v>1170</v>
      </c>
      <c r="D233" s="381" t="s">
        <v>1171</v>
      </c>
      <c r="E233" s="383" t="s">
        <v>66</v>
      </c>
      <c r="F233" s="381" t="s">
        <v>1153</v>
      </c>
      <c r="G233" s="384" t="s">
        <v>329</v>
      </c>
      <c r="H233" s="24">
        <f>235.23+174.6</f>
        <v>409.83</v>
      </c>
      <c r="I233" s="24"/>
      <c r="J233" s="25" t="str">
        <f t="shared" si="9"/>
        <v>1</v>
      </c>
      <c r="K233" s="385"/>
      <c r="L233" s="385"/>
      <c r="M233" s="386">
        <f t="shared" si="10"/>
        <v>409.83</v>
      </c>
      <c r="N233" s="496">
        <v>195.25</v>
      </c>
      <c r="O233" s="333">
        <f t="shared" si="11"/>
        <v>605.07999999999993</v>
      </c>
      <c r="R233" s="23" t="str">
        <f>VLOOKUP(C:C,'Historic Data - working'!A:B,1,FALSE)</f>
        <v>BIR092</v>
      </c>
      <c r="U233" s="323"/>
      <c r="V233" s="323"/>
      <c r="W233" s="323"/>
    </row>
    <row r="234" spans="1:23" s="23" customFormat="1" ht="14.25" hidden="1" outlineLevel="1" x14ac:dyDescent="0.2">
      <c r="A234" s="381" t="s">
        <v>828</v>
      </c>
      <c r="B234" s="381" t="s">
        <v>324</v>
      </c>
      <c r="C234" s="389" t="s">
        <v>1172</v>
      </c>
      <c r="D234" s="381" t="s">
        <v>1173</v>
      </c>
      <c r="E234" s="383" t="s">
        <v>1174</v>
      </c>
      <c r="F234" s="381" t="s">
        <v>1153</v>
      </c>
      <c r="G234" s="384" t="s">
        <v>329</v>
      </c>
      <c r="H234" s="24">
        <f>410+140+335+120</f>
        <v>1005</v>
      </c>
      <c r="I234" s="24"/>
      <c r="J234" s="25" t="str">
        <f t="shared" si="9"/>
        <v>1</v>
      </c>
      <c r="K234" s="385"/>
      <c r="L234" s="385"/>
      <c r="M234" s="386">
        <f t="shared" si="10"/>
        <v>1005</v>
      </c>
      <c r="N234" s="496">
        <v>345</v>
      </c>
      <c r="O234" s="333">
        <f t="shared" si="11"/>
        <v>1350</v>
      </c>
      <c r="R234" s="23" t="str">
        <f>VLOOKUP(C:C,'Historic Data - working'!A:B,1,FALSE)</f>
        <v>BIR093</v>
      </c>
      <c r="U234" s="323"/>
      <c r="V234" s="323"/>
      <c r="W234" s="323"/>
    </row>
    <row r="235" spans="1:23" s="23" customFormat="1" ht="14.25" hidden="1" outlineLevel="1" x14ac:dyDescent="0.2">
      <c r="A235" s="381" t="s">
        <v>828</v>
      </c>
      <c r="B235" s="381" t="s">
        <v>324</v>
      </c>
      <c r="C235" s="389" t="s">
        <v>1175</v>
      </c>
      <c r="D235" s="381" t="s">
        <v>1176</v>
      </c>
      <c r="E235" s="383" t="s">
        <v>989</v>
      </c>
      <c r="F235" s="381" t="s">
        <v>1153</v>
      </c>
      <c r="G235" s="384" t="s">
        <v>329</v>
      </c>
      <c r="H235" s="24"/>
      <c r="I235" s="24">
        <f>743.45+809.41</f>
        <v>1552.8600000000001</v>
      </c>
      <c r="J235" s="25" t="str">
        <f t="shared" si="9"/>
        <v>1</v>
      </c>
      <c r="K235" s="393" t="s">
        <v>1177</v>
      </c>
      <c r="L235" s="385"/>
      <c r="M235" s="386">
        <f t="shared" si="10"/>
        <v>0</v>
      </c>
      <c r="N235" s="496">
        <v>1622.8600000000001</v>
      </c>
      <c r="O235" s="333">
        <f t="shared" si="11"/>
        <v>1622.8600000000001</v>
      </c>
      <c r="R235" s="23" t="str">
        <f>VLOOKUP(C:C,'Historic Data - working'!A:B,1,FALSE)</f>
        <v>BIR094</v>
      </c>
      <c r="U235" s="323"/>
      <c r="V235" s="323"/>
      <c r="W235" s="323"/>
    </row>
    <row r="236" spans="1:23" s="23" customFormat="1" ht="14.25" hidden="1" outlineLevel="1" x14ac:dyDescent="0.2">
      <c r="A236" s="381" t="s">
        <v>828</v>
      </c>
      <c r="B236" s="381" t="s">
        <v>324</v>
      </c>
      <c r="C236" s="389" t="s">
        <v>1178</v>
      </c>
      <c r="D236" s="381" t="s">
        <v>1179</v>
      </c>
      <c r="E236" s="383" t="s">
        <v>1180</v>
      </c>
      <c r="F236" s="381" t="s">
        <v>1153</v>
      </c>
      <c r="G236" s="384" t="s">
        <v>329</v>
      </c>
      <c r="H236" s="24">
        <v>262.49</v>
      </c>
      <c r="I236" s="24"/>
      <c r="J236" s="25" t="str">
        <f t="shared" si="9"/>
        <v>1</v>
      </c>
      <c r="K236" s="385"/>
      <c r="L236" s="385"/>
      <c r="M236" s="386">
        <f t="shared" si="10"/>
        <v>262.49</v>
      </c>
      <c r="N236" s="496">
        <v>220</v>
      </c>
      <c r="O236" s="333">
        <f t="shared" si="11"/>
        <v>482.49</v>
      </c>
      <c r="R236" s="23" t="str">
        <f>VLOOKUP(C:C,'Historic Data - working'!A:B,1,FALSE)</f>
        <v>BIR095</v>
      </c>
      <c r="U236" s="323"/>
      <c r="V236" s="323"/>
      <c r="W236" s="323"/>
    </row>
    <row r="237" spans="1:23" s="23" customFormat="1" ht="14.25" hidden="1" outlineLevel="1" x14ac:dyDescent="0.2">
      <c r="A237" s="381" t="s">
        <v>828</v>
      </c>
      <c r="B237" s="381" t="s">
        <v>324</v>
      </c>
      <c r="C237" s="389" t="s">
        <v>1181</v>
      </c>
      <c r="D237" s="381" t="s">
        <v>1182</v>
      </c>
      <c r="E237" s="383" t="s">
        <v>1183</v>
      </c>
      <c r="F237" s="381" t="s">
        <v>1153</v>
      </c>
      <c r="G237" s="384" t="s">
        <v>329</v>
      </c>
      <c r="H237" s="24">
        <f>139.57+216.38+174.83</f>
        <v>530.78</v>
      </c>
      <c r="I237" s="24"/>
      <c r="J237" s="25" t="str">
        <f t="shared" si="9"/>
        <v>1</v>
      </c>
      <c r="K237" s="385"/>
      <c r="L237" s="385"/>
      <c r="M237" s="386">
        <f t="shared" si="10"/>
        <v>530.78</v>
      </c>
      <c r="N237" s="496">
        <v>170</v>
      </c>
      <c r="O237" s="333">
        <f t="shared" si="11"/>
        <v>700.78</v>
      </c>
      <c r="R237" s="23" t="str">
        <f>VLOOKUP(C:C,'Historic Data - working'!A:B,1,FALSE)</f>
        <v>BIR096</v>
      </c>
      <c r="U237" s="323"/>
      <c r="V237" s="323"/>
      <c r="W237" s="323"/>
    </row>
    <row r="238" spans="1:23" s="23" customFormat="1" ht="14.25" hidden="1" outlineLevel="1" x14ac:dyDescent="0.2">
      <c r="A238" s="381" t="s">
        <v>828</v>
      </c>
      <c r="B238" s="381" t="s">
        <v>324</v>
      </c>
      <c r="C238" s="389" t="s">
        <v>1184</v>
      </c>
      <c r="D238" s="381" t="s">
        <v>1185</v>
      </c>
      <c r="E238" s="383" t="s">
        <v>1186</v>
      </c>
      <c r="F238" s="381" t="s">
        <v>1153</v>
      </c>
      <c r="G238" s="384" t="s">
        <v>329</v>
      </c>
      <c r="H238" s="24"/>
      <c r="I238" s="24">
        <f>82.36+209.49</f>
        <v>291.85000000000002</v>
      </c>
      <c r="J238" s="25" t="str">
        <f t="shared" si="9"/>
        <v>1</v>
      </c>
      <c r="K238" s="385" t="s">
        <v>1187</v>
      </c>
      <c r="L238" s="385"/>
      <c r="M238" s="386">
        <f t="shared" si="10"/>
        <v>0</v>
      </c>
      <c r="N238" s="496">
        <v>514.53</v>
      </c>
      <c r="O238" s="333">
        <f t="shared" si="11"/>
        <v>514.53</v>
      </c>
      <c r="R238" s="23" t="str">
        <f>VLOOKUP(C:C,'Historic Data - working'!A:B,1,FALSE)</f>
        <v>BIR097</v>
      </c>
      <c r="U238" s="323"/>
      <c r="V238" s="323"/>
      <c r="W238" s="323"/>
    </row>
    <row r="239" spans="1:23" s="23" customFormat="1" ht="14.25" hidden="1" outlineLevel="1" x14ac:dyDescent="0.2">
      <c r="A239" s="381" t="s">
        <v>828</v>
      </c>
      <c r="B239" s="381" t="s">
        <v>324</v>
      </c>
      <c r="C239" s="389" t="s">
        <v>1188</v>
      </c>
      <c r="D239" s="381" t="s">
        <v>1189</v>
      </c>
      <c r="E239" s="383" t="s">
        <v>1190</v>
      </c>
      <c r="F239" s="381" t="s">
        <v>1153</v>
      </c>
      <c r="G239" s="384"/>
      <c r="H239" s="24"/>
      <c r="I239" s="24"/>
      <c r="J239" s="25" t="str">
        <f t="shared" si="9"/>
        <v xml:space="preserve"> </v>
      </c>
      <c r="K239" s="390" t="s">
        <v>321</v>
      </c>
      <c r="L239" s="385">
        <v>406.75</v>
      </c>
      <c r="M239" s="386">
        <f t="shared" si="10"/>
        <v>406.75</v>
      </c>
      <c r="N239" s="496">
        <v>100</v>
      </c>
      <c r="O239" s="333">
        <f t="shared" si="11"/>
        <v>506.75</v>
      </c>
      <c r="R239" s="23" t="str">
        <f>VLOOKUP(C:C,'Historic Data - working'!A:B,1,FALSE)</f>
        <v>BIR098</v>
      </c>
      <c r="U239" s="323"/>
      <c r="V239" s="323"/>
      <c r="W239" s="323"/>
    </row>
    <row r="240" spans="1:23" s="23" customFormat="1" ht="14.25" hidden="1" outlineLevel="1" x14ac:dyDescent="0.2">
      <c r="A240" s="381" t="s">
        <v>828</v>
      </c>
      <c r="B240" s="381" t="s">
        <v>324</v>
      </c>
      <c r="C240" s="389" t="s">
        <v>1191</v>
      </c>
      <c r="D240" s="381" t="s">
        <v>1192</v>
      </c>
      <c r="E240" s="383" t="s">
        <v>124</v>
      </c>
      <c r="F240" s="381" t="s">
        <v>1153</v>
      </c>
      <c r="G240" s="384" t="s">
        <v>329</v>
      </c>
      <c r="H240" s="24">
        <v>1043.9100000000001</v>
      </c>
      <c r="I240" s="24"/>
      <c r="J240" s="25" t="str">
        <f t="shared" si="9"/>
        <v>1</v>
      </c>
      <c r="K240" s="385"/>
      <c r="L240" s="385"/>
      <c r="M240" s="386">
        <f t="shared" si="10"/>
        <v>1043.9100000000001</v>
      </c>
      <c r="N240" s="496">
        <v>90</v>
      </c>
      <c r="O240" s="333">
        <f t="shared" si="11"/>
        <v>1133.9100000000001</v>
      </c>
      <c r="R240" s="23" t="str">
        <f>VLOOKUP(C:C,'Historic Data - working'!A:B,1,FALSE)</f>
        <v>BIR099</v>
      </c>
      <c r="U240" s="323"/>
      <c r="V240" s="323"/>
      <c r="W240" s="323"/>
    </row>
    <row r="241" spans="1:23" s="23" customFormat="1" ht="14.25" hidden="1" outlineLevel="1" x14ac:dyDescent="0.2">
      <c r="A241" s="381" t="s">
        <v>828</v>
      </c>
      <c r="B241" s="381" t="s">
        <v>324</v>
      </c>
      <c r="C241" s="389" t="s">
        <v>1193</v>
      </c>
      <c r="D241" s="381" t="s">
        <v>1194</v>
      </c>
      <c r="E241" s="383" t="s">
        <v>1195</v>
      </c>
      <c r="F241" s="381" t="s">
        <v>1153</v>
      </c>
      <c r="G241" s="384"/>
      <c r="H241" s="24"/>
      <c r="I241" s="24"/>
      <c r="J241" s="25" t="str">
        <f t="shared" si="9"/>
        <v xml:space="preserve"> </v>
      </c>
      <c r="K241" s="385"/>
      <c r="L241" s="385"/>
      <c r="M241" s="386">
        <f t="shared" si="10"/>
        <v>0</v>
      </c>
      <c r="N241" s="496"/>
      <c r="O241" s="333">
        <f t="shared" si="11"/>
        <v>0</v>
      </c>
      <c r="R241" s="23" t="e">
        <f>VLOOKUP(C:C,'Historic Data - working'!A:B,1,FALSE)</f>
        <v>#N/A</v>
      </c>
      <c r="U241" s="323"/>
      <c r="V241" s="323"/>
      <c r="W241" s="323"/>
    </row>
    <row r="242" spans="1:23" s="23" customFormat="1" ht="14.25" hidden="1" outlineLevel="1" x14ac:dyDescent="0.2">
      <c r="A242" s="381" t="s">
        <v>828</v>
      </c>
      <c r="B242" s="381" t="s">
        <v>324</v>
      </c>
      <c r="C242" s="389" t="s">
        <v>1196</v>
      </c>
      <c r="D242" s="381" t="s">
        <v>1197</v>
      </c>
      <c r="E242" s="383" t="s">
        <v>453</v>
      </c>
      <c r="F242" s="381" t="s">
        <v>1153</v>
      </c>
      <c r="G242" s="384" t="s">
        <v>329</v>
      </c>
      <c r="H242" s="24">
        <f>393+493+611+906.51</f>
        <v>2403.5100000000002</v>
      </c>
      <c r="I242" s="24"/>
      <c r="J242" s="25" t="str">
        <f t="shared" si="9"/>
        <v>1</v>
      </c>
      <c r="K242" s="385"/>
      <c r="L242" s="385"/>
      <c r="M242" s="386">
        <f t="shared" si="10"/>
        <v>2403.5100000000002</v>
      </c>
      <c r="N242" s="496">
        <v>165</v>
      </c>
      <c r="O242" s="333">
        <f t="shared" si="11"/>
        <v>2568.5100000000002</v>
      </c>
      <c r="R242" s="23" t="str">
        <f>VLOOKUP(C:C,'Historic Data - working'!A:B,1,FALSE)</f>
        <v>BIR100</v>
      </c>
      <c r="U242" s="323"/>
      <c r="V242" s="323"/>
      <c r="W242" s="323"/>
    </row>
    <row r="243" spans="1:23" s="23" customFormat="1" ht="14.25" hidden="1" outlineLevel="1" x14ac:dyDescent="0.2">
      <c r="A243" s="381" t="s">
        <v>828</v>
      </c>
      <c r="B243" s="381" t="s">
        <v>324</v>
      </c>
      <c r="C243" s="389" t="s">
        <v>1198</v>
      </c>
      <c r="D243" s="381" t="s">
        <v>1199</v>
      </c>
      <c r="E243" s="383" t="s">
        <v>1200</v>
      </c>
      <c r="F243" s="381" t="s">
        <v>1153</v>
      </c>
      <c r="G243" s="384"/>
      <c r="H243" s="24"/>
      <c r="I243" s="24"/>
      <c r="J243" s="25" t="str">
        <f t="shared" si="9"/>
        <v xml:space="preserve"> </v>
      </c>
      <c r="K243" s="385"/>
      <c r="L243" s="385"/>
      <c r="M243" s="386">
        <f t="shared" si="10"/>
        <v>0</v>
      </c>
      <c r="N243" s="496"/>
      <c r="O243" s="333">
        <f t="shared" si="11"/>
        <v>0</v>
      </c>
      <c r="R243" s="23" t="e">
        <f>VLOOKUP(C:C,'Historic Data - working'!A:B,1,FALSE)</f>
        <v>#N/A</v>
      </c>
      <c r="U243" s="323"/>
      <c r="V243" s="323"/>
      <c r="W243" s="323"/>
    </row>
    <row r="244" spans="1:23" s="23" customFormat="1" ht="14.25" hidden="1" outlineLevel="1" x14ac:dyDescent="0.2">
      <c r="A244" s="381" t="s">
        <v>828</v>
      </c>
      <c r="B244" s="381" t="s">
        <v>324</v>
      </c>
      <c r="C244" s="389" t="s">
        <v>1201</v>
      </c>
      <c r="D244" s="381" t="s">
        <v>1202</v>
      </c>
      <c r="E244" s="383" t="s">
        <v>1203</v>
      </c>
      <c r="F244" s="381" t="s">
        <v>1204</v>
      </c>
      <c r="G244" s="384" t="s">
        <v>329</v>
      </c>
      <c r="H244" s="24">
        <f>191.28+157.99</f>
        <v>349.27</v>
      </c>
      <c r="I244" s="24"/>
      <c r="J244" s="25" t="str">
        <f t="shared" si="9"/>
        <v>1</v>
      </c>
      <c r="K244" s="385"/>
      <c r="L244" s="385"/>
      <c r="M244" s="386">
        <f t="shared" si="10"/>
        <v>349.27</v>
      </c>
      <c r="N244" s="496"/>
      <c r="O244" s="333">
        <f t="shared" si="11"/>
        <v>349.27</v>
      </c>
      <c r="R244" s="23" t="str">
        <f>VLOOKUP(C:C,'Historic Data - working'!A:B,1,FALSE)</f>
        <v>BIR101</v>
      </c>
      <c r="U244" s="323"/>
      <c r="V244" s="323"/>
      <c r="W244" s="323"/>
    </row>
    <row r="245" spans="1:23" s="23" customFormat="1" ht="14.25" hidden="1" outlineLevel="1" x14ac:dyDescent="0.2">
      <c r="A245" s="381" t="s">
        <v>828</v>
      </c>
      <c r="B245" s="381" t="s">
        <v>324</v>
      </c>
      <c r="C245" s="389" t="s">
        <v>1205</v>
      </c>
      <c r="D245" s="381" t="s">
        <v>1206</v>
      </c>
      <c r="E245" s="383" t="s">
        <v>61</v>
      </c>
      <c r="F245" s="381" t="s">
        <v>1207</v>
      </c>
      <c r="G245" s="384" t="s">
        <v>329</v>
      </c>
      <c r="H245" s="24">
        <f>648.9+40</f>
        <v>688.9</v>
      </c>
      <c r="I245" s="24"/>
      <c r="J245" s="25" t="str">
        <f t="shared" si="9"/>
        <v>1</v>
      </c>
      <c r="K245" s="385"/>
      <c r="L245" s="385"/>
      <c r="M245" s="386">
        <f t="shared" si="10"/>
        <v>688.9</v>
      </c>
      <c r="N245" s="496"/>
      <c r="O245" s="333">
        <f t="shared" si="11"/>
        <v>688.9</v>
      </c>
      <c r="R245" s="23" t="str">
        <f>VLOOKUP(C:C,'Historic Data - working'!A:B,1,FALSE)</f>
        <v>BIR102</v>
      </c>
      <c r="U245" s="323"/>
      <c r="V245" s="323"/>
      <c r="W245" s="323"/>
    </row>
    <row r="246" spans="1:23" s="23" customFormat="1" ht="14.25" hidden="1" outlineLevel="1" x14ac:dyDescent="0.2">
      <c r="A246" s="381" t="s">
        <v>828</v>
      </c>
      <c r="B246" s="381" t="s">
        <v>324</v>
      </c>
      <c r="C246" s="389" t="s">
        <v>1208</v>
      </c>
      <c r="D246" s="381" t="s">
        <v>1209</v>
      </c>
      <c r="E246" s="383" t="s">
        <v>1210</v>
      </c>
      <c r="F246" s="381" t="s">
        <v>1211</v>
      </c>
      <c r="G246" s="384" t="s">
        <v>329</v>
      </c>
      <c r="H246" s="24">
        <f>172.23+109.85+20+238.36</f>
        <v>540.44000000000005</v>
      </c>
      <c r="I246" s="24"/>
      <c r="J246" s="25" t="str">
        <f t="shared" si="9"/>
        <v>1</v>
      </c>
      <c r="K246" s="385"/>
      <c r="L246" s="385"/>
      <c r="M246" s="386">
        <f t="shared" si="10"/>
        <v>540.44000000000005</v>
      </c>
      <c r="N246" s="496">
        <v>55</v>
      </c>
      <c r="O246" s="333">
        <f t="shared" si="11"/>
        <v>595.44000000000005</v>
      </c>
      <c r="R246" s="23" t="str">
        <f>VLOOKUP(C:C,'Historic Data - working'!A:B,1,FALSE)</f>
        <v>BIR103</v>
      </c>
      <c r="U246" s="323"/>
      <c r="V246" s="323"/>
      <c r="W246" s="323"/>
    </row>
    <row r="247" spans="1:23" s="23" customFormat="1" ht="14.25" hidden="1" outlineLevel="1" x14ac:dyDescent="0.2">
      <c r="A247" s="381" t="s">
        <v>828</v>
      </c>
      <c r="B247" s="381" t="s">
        <v>324</v>
      </c>
      <c r="C247" s="389" t="s">
        <v>1212</v>
      </c>
      <c r="D247" s="381" t="s">
        <v>1213</v>
      </c>
      <c r="E247" s="383" t="s">
        <v>1214</v>
      </c>
      <c r="F247" s="381" t="s">
        <v>1215</v>
      </c>
      <c r="G247" s="384"/>
      <c r="H247" s="24"/>
      <c r="I247" s="24"/>
      <c r="J247" s="25" t="str">
        <f t="shared" si="9"/>
        <v xml:space="preserve"> </v>
      </c>
      <c r="K247" s="385"/>
      <c r="L247" s="385"/>
      <c r="M247" s="386">
        <f t="shared" si="10"/>
        <v>0</v>
      </c>
      <c r="N247" s="496"/>
      <c r="O247" s="333">
        <f t="shared" si="11"/>
        <v>0</v>
      </c>
      <c r="R247" s="23" t="e">
        <f>VLOOKUP(C:C,'Historic Data - working'!A:B,1,FALSE)</f>
        <v>#N/A</v>
      </c>
      <c r="U247" s="323"/>
      <c r="V247" s="323"/>
      <c r="W247" s="323"/>
    </row>
    <row r="248" spans="1:23" s="23" customFormat="1" ht="14.25" hidden="1" outlineLevel="1" x14ac:dyDescent="0.2">
      <c r="A248" s="381" t="s">
        <v>828</v>
      </c>
      <c r="B248" s="381" t="s">
        <v>324</v>
      </c>
      <c r="C248" s="389" t="s">
        <v>1216</v>
      </c>
      <c r="D248" s="381" t="s">
        <v>1217</v>
      </c>
      <c r="E248" s="383" t="s">
        <v>1218</v>
      </c>
      <c r="F248" s="381" t="s">
        <v>1219</v>
      </c>
      <c r="G248" s="384" t="s">
        <v>329</v>
      </c>
      <c r="H248" s="24">
        <f>122.21+164.64+10994.41+597.69</f>
        <v>11878.95</v>
      </c>
      <c r="I248" s="24"/>
      <c r="J248" s="25" t="str">
        <f t="shared" si="9"/>
        <v>1</v>
      </c>
      <c r="K248" s="385"/>
      <c r="L248" s="385"/>
      <c r="M248" s="386">
        <f t="shared" si="10"/>
        <v>11878.95</v>
      </c>
      <c r="N248" s="496">
        <v>345</v>
      </c>
      <c r="O248" s="333">
        <f t="shared" si="11"/>
        <v>12223.95</v>
      </c>
      <c r="R248" s="23" t="str">
        <f>VLOOKUP(C:C,'Historic Data - working'!A:B,1,FALSE)</f>
        <v>BIR104</v>
      </c>
      <c r="U248" s="323"/>
      <c r="V248" s="323"/>
      <c r="W248" s="323"/>
    </row>
    <row r="249" spans="1:23" s="23" customFormat="1" ht="14.25" hidden="1" outlineLevel="1" x14ac:dyDescent="0.2">
      <c r="A249" s="381" t="s">
        <v>828</v>
      </c>
      <c r="B249" s="381" t="s">
        <v>324</v>
      </c>
      <c r="C249" s="389" t="s">
        <v>1220</v>
      </c>
      <c r="D249" s="381" t="s">
        <v>1221</v>
      </c>
      <c r="E249" s="383" t="s">
        <v>1222</v>
      </c>
      <c r="F249" s="381" t="s">
        <v>1223</v>
      </c>
      <c r="G249" s="384"/>
      <c r="H249" s="24"/>
      <c r="I249" s="24"/>
      <c r="J249" s="25" t="str">
        <f t="shared" si="9"/>
        <v xml:space="preserve"> </v>
      </c>
      <c r="K249" s="385"/>
      <c r="L249" s="385"/>
      <c r="M249" s="386">
        <f t="shared" si="10"/>
        <v>0</v>
      </c>
      <c r="N249" s="496"/>
      <c r="O249" s="333">
        <f t="shared" si="11"/>
        <v>0</v>
      </c>
      <c r="R249" s="23" t="e">
        <f>VLOOKUP(C:C,'Historic Data - working'!A:B,1,FALSE)</f>
        <v>#N/A</v>
      </c>
      <c r="U249" s="323"/>
      <c r="V249" s="323"/>
      <c r="W249" s="323"/>
    </row>
    <row r="250" spans="1:23" s="23" customFormat="1" ht="14.25" hidden="1" outlineLevel="1" x14ac:dyDescent="0.2">
      <c r="A250" s="381" t="s">
        <v>828</v>
      </c>
      <c r="B250" s="381" t="s">
        <v>324</v>
      </c>
      <c r="C250" s="389" t="s">
        <v>1224</v>
      </c>
      <c r="D250" s="381" t="s">
        <v>1225</v>
      </c>
      <c r="E250" s="383" t="s">
        <v>1226</v>
      </c>
      <c r="F250" s="381" t="s">
        <v>1227</v>
      </c>
      <c r="G250" s="384"/>
      <c r="H250" s="24"/>
      <c r="I250" s="24"/>
      <c r="J250" s="25" t="str">
        <f t="shared" si="9"/>
        <v xml:space="preserve"> </v>
      </c>
      <c r="K250" s="390" t="s">
        <v>321</v>
      </c>
      <c r="L250" s="385">
        <v>403.87</v>
      </c>
      <c r="M250" s="386">
        <f t="shared" si="10"/>
        <v>403.87</v>
      </c>
      <c r="N250" s="496">
        <v>35</v>
      </c>
      <c r="O250" s="333">
        <f t="shared" si="11"/>
        <v>438.87</v>
      </c>
      <c r="R250" s="23" t="str">
        <f>VLOOKUP(C:C,'Historic Data - working'!A:B,1,FALSE)</f>
        <v>BIR105</v>
      </c>
      <c r="U250" s="323"/>
      <c r="V250" s="323"/>
      <c r="W250" s="323"/>
    </row>
    <row r="251" spans="1:23" s="23" customFormat="1" ht="14.25" hidden="1" outlineLevel="1" x14ac:dyDescent="0.2">
      <c r="A251" s="381" t="s">
        <v>828</v>
      </c>
      <c r="B251" s="381" t="s">
        <v>324</v>
      </c>
      <c r="C251" s="389" t="s">
        <v>1228</v>
      </c>
      <c r="D251" s="381" t="s">
        <v>1229</v>
      </c>
      <c r="E251" s="383" t="s">
        <v>1230</v>
      </c>
      <c r="F251" s="381" t="s">
        <v>1231</v>
      </c>
      <c r="G251" s="384" t="s">
        <v>329</v>
      </c>
      <c r="H251" s="24">
        <f>236.3+433.51+35.6</f>
        <v>705.41</v>
      </c>
      <c r="I251" s="24"/>
      <c r="J251" s="25" t="str">
        <f t="shared" si="9"/>
        <v>1</v>
      </c>
      <c r="K251" s="385"/>
      <c r="L251" s="385"/>
      <c r="M251" s="386">
        <f t="shared" si="10"/>
        <v>705.41</v>
      </c>
      <c r="N251" s="496">
        <v>140</v>
      </c>
      <c r="O251" s="333">
        <f t="shared" si="11"/>
        <v>845.41</v>
      </c>
      <c r="R251" s="23" t="str">
        <f>VLOOKUP(C:C,'Historic Data - working'!A:B,1,FALSE)</f>
        <v>BIR106</v>
      </c>
      <c r="U251" s="323"/>
      <c r="V251" s="323"/>
      <c r="W251" s="323"/>
    </row>
    <row r="252" spans="1:23" s="23" customFormat="1" ht="14.25" hidden="1" outlineLevel="1" x14ac:dyDescent="0.2">
      <c r="A252" s="381" t="s">
        <v>828</v>
      </c>
      <c r="B252" s="381" t="s">
        <v>324</v>
      </c>
      <c r="C252" s="389" t="s">
        <v>1232</v>
      </c>
      <c r="D252" s="381" t="s">
        <v>1233</v>
      </c>
      <c r="E252" s="383" t="s">
        <v>231</v>
      </c>
      <c r="F252" s="381" t="s">
        <v>1234</v>
      </c>
      <c r="G252" s="384" t="s">
        <v>329</v>
      </c>
      <c r="H252" s="24">
        <f>113.69+140.49</f>
        <v>254.18</v>
      </c>
      <c r="I252" s="24"/>
      <c r="J252" s="25" t="str">
        <f t="shared" si="9"/>
        <v>1</v>
      </c>
      <c r="K252" s="385"/>
      <c r="L252" s="385"/>
      <c r="M252" s="386">
        <f t="shared" si="10"/>
        <v>254.18</v>
      </c>
      <c r="N252" s="496">
        <v>40</v>
      </c>
      <c r="O252" s="333">
        <f t="shared" si="11"/>
        <v>294.18</v>
      </c>
      <c r="R252" s="23" t="str">
        <f>VLOOKUP(C:C,'Historic Data - working'!A:B,1,FALSE)</f>
        <v>BIR107</v>
      </c>
      <c r="U252" s="323"/>
      <c r="V252" s="323"/>
      <c r="W252" s="323"/>
    </row>
    <row r="253" spans="1:23" s="23" customFormat="1" ht="14.25" hidden="1" outlineLevel="1" x14ac:dyDescent="0.2">
      <c r="A253" s="381" t="s">
        <v>828</v>
      </c>
      <c r="B253" s="381" t="s">
        <v>324</v>
      </c>
      <c r="C253" s="389" t="s">
        <v>1235</v>
      </c>
      <c r="D253" s="381" t="s">
        <v>1236</v>
      </c>
      <c r="E253" s="383" t="s">
        <v>1237</v>
      </c>
      <c r="F253" s="381" t="s">
        <v>1238</v>
      </c>
      <c r="G253" s="384" t="s">
        <v>329</v>
      </c>
      <c r="H253" s="24">
        <v>218</v>
      </c>
      <c r="I253" s="24"/>
      <c r="J253" s="25" t="str">
        <f t="shared" si="9"/>
        <v>1</v>
      </c>
      <c r="K253" s="385"/>
      <c r="L253" s="385"/>
      <c r="M253" s="386">
        <f t="shared" si="10"/>
        <v>218</v>
      </c>
      <c r="N253" s="496">
        <v>180</v>
      </c>
      <c r="O253" s="333">
        <f t="shared" si="11"/>
        <v>398</v>
      </c>
      <c r="R253" s="23" t="str">
        <f>VLOOKUP(C:C,'Historic Data - working'!A:B,1,FALSE)</f>
        <v>BIR108</v>
      </c>
      <c r="U253" s="323"/>
      <c r="V253" s="323"/>
      <c r="W253" s="323"/>
    </row>
    <row r="254" spans="1:23" s="23" customFormat="1" ht="14.25" hidden="1" outlineLevel="1" x14ac:dyDescent="0.2">
      <c r="A254" s="381" t="s">
        <v>828</v>
      </c>
      <c r="B254" s="381" t="s">
        <v>324</v>
      </c>
      <c r="C254" s="389" t="s">
        <v>1239</v>
      </c>
      <c r="D254" s="381" t="s">
        <v>1240</v>
      </c>
      <c r="E254" s="383" t="s">
        <v>276</v>
      </c>
      <c r="F254" s="381" t="s">
        <v>1241</v>
      </c>
      <c r="G254" s="384" t="s">
        <v>329</v>
      </c>
      <c r="H254" s="24"/>
      <c r="I254" s="24">
        <f>116.01+89.13</f>
        <v>205.14</v>
      </c>
      <c r="J254" s="25" t="str">
        <f t="shared" si="9"/>
        <v>1</v>
      </c>
      <c r="K254" s="385"/>
      <c r="L254" s="385"/>
      <c r="M254" s="386">
        <f t="shared" si="10"/>
        <v>0</v>
      </c>
      <c r="N254" s="496">
        <v>225.14</v>
      </c>
      <c r="O254" s="333">
        <f t="shared" si="11"/>
        <v>225.14</v>
      </c>
      <c r="R254" s="23" t="str">
        <f>VLOOKUP(C:C,'Historic Data - working'!A:B,1,FALSE)</f>
        <v>BIR109</v>
      </c>
      <c r="U254" s="323"/>
      <c r="V254" s="323"/>
      <c r="W254" s="323"/>
    </row>
    <row r="255" spans="1:23" s="23" customFormat="1" ht="14.25" hidden="1" outlineLevel="1" x14ac:dyDescent="0.2">
      <c r="A255" s="381" t="s">
        <v>828</v>
      </c>
      <c r="B255" s="381" t="s">
        <v>324</v>
      </c>
      <c r="C255" s="389" t="s">
        <v>1242</v>
      </c>
      <c r="D255" s="381" t="s">
        <v>1243</v>
      </c>
      <c r="E255" s="383" t="s">
        <v>1244</v>
      </c>
      <c r="F255" s="381" t="s">
        <v>1245</v>
      </c>
      <c r="G255" s="384"/>
      <c r="H255" s="24"/>
      <c r="I255" s="24"/>
      <c r="J255" s="25" t="str">
        <f t="shared" si="9"/>
        <v xml:space="preserve"> </v>
      </c>
      <c r="K255" s="385"/>
      <c r="L255" s="385"/>
      <c r="M255" s="386">
        <f t="shared" si="10"/>
        <v>0</v>
      </c>
      <c r="N255" s="496">
        <v>30</v>
      </c>
      <c r="O255" s="333">
        <f t="shared" si="11"/>
        <v>30</v>
      </c>
      <c r="R255" s="23" t="str">
        <f>VLOOKUP(C:C,'Historic Data - working'!A:B,1,FALSE)</f>
        <v>BIR110</v>
      </c>
      <c r="U255" s="323"/>
      <c r="V255" s="323"/>
      <c r="W255" s="323"/>
    </row>
    <row r="256" spans="1:23" s="23" customFormat="1" ht="14.25" hidden="1" outlineLevel="1" x14ac:dyDescent="0.2">
      <c r="A256" s="381" t="s">
        <v>828</v>
      </c>
      <c r="B256" s="381" t="s">
        <v>324</v>
      </c>
      <c r="C256" s="389" t="s">
        <v>1246</v>
      </c>
      <c r="D256" s="381" t="s">
        <v>1247</v>
      </c>
      <c r="E256" s="383" t="s">
        <v>916</v>
      </c>
      <c r="F256" s="381" t="s">
        <v>1248</v>
      </c>
      <c r="G256" s="384" t="s">
        <v>329</v>
      </c>
      <c r="H256" s="24">
        <f>126.14+233.61</f>
        <v>359.75</v>
      </c>
      <c r="I256" s="24"/>
      <c r="J256" s="25" t="str">
        <f t="shared" si="9"/>
        <v>1</v>
      </c>
      <c r="K256" s="385"/>
      <c r="L256" s="385"/>
      <c r="M256" s="386">
        <f t="shared" si="10"/>
        <v>359.75</v>
      </c>
      <c r="N256" s="496">
        <v>140</v>
      </c>
      <c r="O256" s="333">
        <f t="shared" si="11"/>
        <v>499.75</v>
      </c>
      <c r="R256" s="23" t="str">
        <f>VLOOKUP(C:C,'Historic Data - working'!A:B,1,FALSE)</f>
        <v>BIR110A</v>
      </c>
      <c r="U256" s="323"/>
      <c r="V256" s="323"/>
      <c r="W256" s="323"/>
    </row>
    <row r="257" spans="1:23" s="23" customFormat="1" ht="14.25" hidden="1" outlineLevel="1" x14ac:dyDescent="0.2">
      <c r="A257" s="381" t="s">
        <v>828</v>
      </c>
      <c r="B257" s="381" t="s">
        <v>324</v>
      </c>
      <c r="C257" s="389" t="s">
        <v>1249</v>
      </c>
      <c r="D257" s="381" t="s">
        <v>1250</v>
      </c>
      <c r="E257" s="383" t="s">
        <v>1251</v>
      </c>
      <c r="F257" s="381" t="s">
        <v>1252</v>
      </c>
      <c r="G257" s="384"/>
      <c r="H257" s="24"/>
      <c r="I257" s="24"/>
      <c r="J257" s="25" t="str">
        <f t="shared" si="9"/>
        <v xml:space="preserve"> </v>
      </c>
      <c r="K257" s="390" t="s">
        <v>321</v>
      </c>
      <c r="L257" s="385">
        <v>1115.55</v>
      </c>
      <c r="M257" s="386">
        <f t="shared" si="10"/>
        <v>1115.55</v>
      </c>
      <c r="N257" s="496"/>
      <c r="O257" s="333">
        <f t="shared" si="11"/>
        <v>1115.55</v>
      </c>
      <c r="R257" s="23" t="str">
        <f>VLOOKUP(C:C,'Historic Data - working'!A:B,1,FALSE)</f>
        <v>BIR111</v>
      </c>
      <c r="U257" s="323"/>
      <c r="V257" s="323"/>
      <c r="W257" s="323"/>
    </row>
    <row r="258" spans="1:23" s="23" customFormat="1" ht="14.25" hidden="1" outlineLevel="1" x14ac:dyDescent="0.2">
      <c r="A258" s="381" t="s">
        <v>828</v>
      </c>
      <c r="B258" s="381" t="s">
        <v>324</v>
      </c>
      <c r="C258" s="389" t="s">
        <v>1253</v>
      </c>
      <c r="D258" s="381" t="s">
        <v>1254</v>
      </c>
      <c r="E258" s="383" t="s">
        <v>1255</v>
      </c>
      <c r="F258" s="381" t="s">
        <v>1256</v>
      </c>
      <c r="G258" s="384" t="s">
        <v>329</v>
      </c>
      <c r="H258" s="24">
        <f>135.19+112.05+33.94+11.37</f>
        <v>292.55</v>
      </c>
      <c r="I258" s="24"/>
      <c r="J258" s="25" t="str">
        <f t="shared" ref="J258:J321" si="12">IF(G258="Y","1"," ")</f>
        <v>1</v>
      </c>
      <c r="K258" s="385"/>
      <c r="L258" s="385"/>
      <c r="M258" s="386">
        <f t="shared" ref="M258:M321" si="13">H258+L258</f>
        <v>292.55</v>
      </c>
      <c r="N258" s="496">
        <v>250</v>
      </c>
      <c r="O258" s="333">
        <f t="shared" ref="O258:O321" si="14">M258+N258</f>
        <v>542.54999999999995</v>
      </c>
      <c r="R258" s="23" t="str">
        <f>VLOOKUP(C:C,'Historic Data - working'!A:B,1,FALSE)</f>
        <v>BIR112</v>
      </c>
      <c r="U258" s="323"/>
      <c r="V258" s="323"/>
      <c r="W258" s="323"/>
    </row>
    <row r="259" spans="1:23" s="23" customFormat="1" ht="14.25" hidden="1" outlineLevel="1" x14ac:dyDescent="0.2">
      <c r="A259" s="381" t="s">
        <v>828</v>
      </c>
      <c r="B259" s="381" t="s">
        <v>324</v>
      </c>
      <c r="C259" s="389" t="s">
        <v>1257</v>
      </c>
      <c r="D259" s="381" t="s">
        <v>1258</v>
      </c>
      <c r="E259" s="383" t="s">
        <v>61</v>
      </c>
      <c r="F259" s="381" t="s">
        <v>1259</v>
      </c>
      <c r="G259" s="384" t="s">
        <v>329</v>
      </c>
      <c r="H259" s="24">
        <f>200.14+21.66+90.6+6.53+345.74+24.07+105.78+22.34+16+131.73+198.8+410.08+69.18+20.65</f>
        <v>1663.3000000000002</v>
      </c>
      <c r="I259" s="24"/>
      <c r="J259" s="25" t="str">
        <f t="shared" si="12"/>
        <v>1</v>
      </c>
      <c r="K259" s="385"/>
      <c r="L259" s="385"/>
      <c r="M259" s="386">
        <f t="shared" si="13"/>
        <v>1663.3000000000002</v>
      </c>
      <c r="N259" s="496">
        <v>465</v>
      </c>
      <c r="O259" s="333">
        <f t="shared" si="14"/>
        <v>2128.3000000000002</v>
      </c>
      <c r="R259" s="23" t="str">
        <f>VLOOKUP(C:C,'Historic Data - working'!A:B,1,FALSE)</f>
        <v>BIR113</v>
      </c>
      <c r="U259" s="323"/>
      <c r="V259" s="323"/>
      <c r="W259" s="323"/>
    </row>
    <row r="260" spans="1:23" s="23" customFormat="1" ht="14.25" hidden="1" outlineLevel="1" x14ac:dyDescent="0.2">
      <c r="A260" s="381" t="s">
        <v>828</v>
      </c>
      <c r="B260" s="381" t="s">
        <v>324</v>
      </c>
      <c r="C260" s="389" t="s">
        <v>1260</v>
      </c>
      <c r="D260" s="381" t="s">
        <v>1261</v>
      </c>
      <c r="E260" s="383" t="s">
        <v>1262</v>
      </c>
      <c r="F260" s="381" t="s">
        <v>1263</v>
      </c>
      <c r="G260" s="384" t="s">
        <v>329</v>
      </c>
      <c r="H260" s="24">
        <f>301.59+23.77+313.98+31.25+25</f>
        <v>695.58999999999992</v>
      </c>
      <c r="I260" s="24"/>
      <c r="J260" s="25" t="str">
        <f t="shared" si="12"/>
        <v>1</v>
      </c>
      <c r="K260" s="385"/>
      <c r="L260" s="385"/>
      <c r="M260" s="386">
        <f t="shared" si="13"/>
        <v>695.58999999999992</v>
      </c>
      <c r="N260" s="496">
        <v>136</v>
      </c>
      <c r="O260" s="333">
        <f t="shared" si="14"/>
        <v>831.58999999999992</v>
      </c>
      <c r="R260" s="23" t="str">
        <f>VLOOKUP(C:C,'Historic Data - working'!A:B,1,FALSE)</f>
        <v>BIR113X</v>
      </c>
      <c r="U260" s="323"/>
      <c r="V260" s="323"/>
      <c r="W260" s="323"/>
    </row>
    <row r="261" spans="1:23" s="23" customFormat="1" ht="14.25" hidden="1" outlineLevel="1" x14ac:dyDescent="0.2">
      <c r="A261" s="381" t="s">
        <v>828</v>
      </c>
      <c r="B261" s="381" t="s">
        <v>324</v>
      </c>
      <c r="C261" s="389" t="s">
        <v>1264</v>
      </c>
      <c r="D261" s="381" t="s">
        <v>1265</v>
      </c>
      <c r="E261" s="383" t="s">
        <v>1266</v>
      </c>
      <c r="F261" s="381" t="s">
        <v>1267</v>
      </c>
      <c r="G261" s="384"/>
      <c r="H261" s="24"/>
      <c r="I261" s="24"/>
      <c r="J261" s="25" t="str">
        <f t="shared" si="12"/>
        <v xml:space="preserve"> </v>
      </c>
      <c r="K261" s="390" t="s">
        <v>321</v>
      </c>
      <c r="L261" s="385">
        <v>1878.66</v>
      </c>
      <c r="M261" s="386">
        <f t="shared" si="13"/>
        <v>1878.66</v>
      </c>
      <c r="N261" s="496">
        <v>400</v>
      </c>
      <c r="O261" s="333">
        <f t="shared" si="14"/>
        <v>2278.66</v>
      </c>
      <c r="R261" s="23" t="str">
        <f>VLOOKUP(C:C,'Historic Data - working'!A:B,1,FALSE)</f>
        <v>BIR114</v>
      </c>
      <c r="U261" s="323"/>
      <c r="V261" s="323"/>
      <c r="W261" s="323"/>
    </row>
    <row r="262" spans="1:23" s="23" customFormat="1" ht="14.25" hidden="1" outlineLevel="1" x14ac:dyDescent="0.2">
      <c r="A262" s="381" t="s">
        <v>828</v>
      </c>
      <c r="B262" s="381" t="s">
        <v>324</v>
      </c>
      <c r="C262" s="389" t="s">
        <v>1268</v>
      </c>
      <c r="D262" s="381" t="s">
        <v>1269</v>
      </c>
      <c r="E262" s="383" t="s">
        <v>812</v>
      </c>
      <c r="F262" s="381" t="s">
        <v>1270</v>
      </c>
      <c r="G262" s="384" t="s">
        <v>329</v>
      </c>
      <c r="H262" s="24">
        <v>246.33</v>
      </c>
      <c r="I262" s="24"/>
      <c r="J262" s="25" t="str">
        <f t="shared" si="12"/>
        <v>1</v>
      </c>
      <c r="K262" s="388" t="s">
        <v>8423</v>
      </c>
      <c r="L262" s="385"/>
      <c r="M262" s="386">
        <f t="shared" si="13"/>
        <v>246.33</v>
      </c>
      <c r="N262" s="496">
        <v>130</v>
      </c>
      <c r="O262" s="333">
        <f t="shared" si="14"/>
        <v>376.33000000000004</v>
      </c>
      <c r="R262" s="23" t="str">
        <f>VLOOKUP(C:C,'Historic Data - working'!A:B,1,FALSE)</f>
        <v>BIR115</v>
      </c>
      <c r="U262" s="323"/>
      <c r="V262" s="323"/>
      <c r="W262" s="323"/>
    </row>
    <row r="263" spans="1:23" s="23" customFormat="1" ht="14.25" hidden="1" outlineLevel="1" x14ac:dyDescent="0.2">
      <c r="A263" s="381" t="s">
        <v>828</v>
      </c>
      <c r="B263" s="381" t="s">
        <v>324</v>
      </c>
      <c r="C263" s="389" t="s">
        <v>1271</v>
      </c>
      <c r="D263" s="381" t="s">
        <v>1272</v>
      </c>
      <c r="E263" s="383" t="s">
        <v>1273</v>
      </c>
      <c r="F263" s="381" t="s">
        <v>1274</v>
      </c>
      <c r="G263" s="384" t="s">
        <v>329</v>
      </c>
      <c r="H263" s="24">
        <v>417.47</v>
      </c>
      <c r="I263" s="24"/>
      <c r="J263" s="25" t="str">
        <f t="shared" si="12"/>
        <v>1</v>
      </c>
      <c r="K263" s="385"/>
      <c r="L263" s="385"/>
      <c r="M263" s="386">
        <f t="shared" si="13"/>
        <v>417.47</v>
      </c>
      <c r="N263" s="496">
        <v>146</v>
      </c>
      <c r="O263" s="333">
        <f t="shared" si="14"/>
        <v>563.47</v>
      </c>
      <c r="R263" s="23" t="str">
        <f>VLOOKUP(C:C,'Historic Data - working'!A:B,1,FALSE)</f>
        <v>BIR116</v>
      </c>
      <c r="U263" s="323"/>
      <c r="V263" s="323"/>
      <c r="W263" s="323"/>
    </row>
    <row r="264" spans="1:23" s="23" customFormat="1" ht="14.25" hidden="1" outlineLevel="1" x14ac:dyDescent="0.2">
      <c r="A264" s="381" t="s">
        <v>828</v>
      </c>
      <c r="B264" s="381" t="s">
        <v>324</v>
      </c>
      <c r="C264" s="389" t="s">
        <v>1275</v>
      </c>
      <c r="D264" s="381" t="s">
        <v>1276</v>
      </c>
      <c r="E264" s="383" t="s">
        <v>1277</v>
      </c>
      <c r="F264" s="381" t="s">
        <v>1278</v>
      </c>
      <c r="G264" s="384"/>
      <c r="H264" s="24"/>
      <c r="I264" s="24"/>
      <c r="J264" s="25" t="str">
        <f t="shared" si="12"/>
        <v xml:space="preserve"> </v>
      </c>
      <c r="K264" s="385"/>
      <c r="L264" s="385"/>
      <c r="M264" s="386">
        <f t="shared" si="13"/>
        <v>0</v>
      </c>
      <c r="N264" s="496"/>
      <c r="O264" s="333">
        <f t="shared" si="14"/>
        <v>0</v>
      </c>
      <c r="R264" s="23" t="str">
        <f>VLOOKUP(C:C,'Historic Data - working'!A:B,1,FALSE)</f>
        <v>BIR117</v>
      </c>
      <c r="U264" s="323"/>
      <c r="V264" s="323"/>
      <c r="W264" s="323"/>
    </row>
    <row r="265" spans="1:23" s="23" customFormat="1" ht="14.25" hidden="1" outlineLevel="1" x14ac:dyDescent="0.2">
      <c r="A265" s="381" t="s">
        <v>828</v>
      </c>
      <c r="B265" s="381" t="s">
        <v>324</v>
      </c>
      <c r="C265" s="389" t="s">
        <v>1279</v>
      </c>
      <c r="D265" s="381" t="s">
        <v>1280</v>
      </c>
      <c r="E265" s="383" t="s">
        <v>193</v>
      </c>
      <c r="F265" s="381" t="s">
        <v>1281</v>
      </c>
      <c r="G265" s="384"/>
      <c r="H265" s="24"/>
      <c r="I265" s="24"/>
      <c r="J265" s="25" t="str">
        <f t="shared" si="12"/>
        <v xml:space="preserve"> </v>
      </c>
      <c r="K265" s="385"/>
      <c r="L265" s="385"/>
      <c r="M265" s="386">
        <f t="shared" si="13"/>
        <v>0</v>
      </c>
      <c r="N265" s="496"/>
      <c r="O265" s="333">
        <f t="shared" si="14"/>
        <v>0</v>
      </c>
      <c r="R265" s="23" t="str">
        <f>VLOOKUP(C:C,'Historic Data - working'!A:B,1,FALSE)</f>
        <v>BIR118</v>
      </c>
      <c r="U265" s="323"/>
      <c r="V265" s="323"/>
      <c r="W265" s="323"/>
    </row>
    <row r="266" spans="1:23" s="23" customFormat="1" ht="14.25" hidden="1" outlineLevel="1" x14ac:dyDescent="0.2">
      <c r="A266" s="381" t="s">
        <v>828</v>
      </c>
      <c r="B266" s="381" t="s">
        <v>324</v>
      </c>
      <c r="C266" s="389" t="s">
        <v>1282</v>
      </c>
      <c r="D266" s="381" t="s">
        <v>1283</v>
      </c>
      <c r="E266" s="383" t="s">
        <v>1284</v>
      </c>
      <c r="F266" s="381" t="s">
        <v>1285</v>
      </c>
      <c r="G266" s="384"/>
      <c r="H266" s="24"/>
      <c r="I266" s="24"/>
      <c r="J266" s="25" t="str">
        <f t="shared" si="12"/>
        <v xml:space="preserve"> </v>
      </c>
      <c r="K266" s="385"/>
      <c r="L266" s="385"/>
      <c r="M266" s="386">
        <f t="shared" si="13"/>
        <v>0</v>
      </c>
      <c r="N266" s="496">
        <v>370</v>
      </c>
      <c r="O266" s="333">
        <f t="shared" si="14"/>
        <v>370</v>
      </c>
      <c r="R266" s="23" t="str">
        <f>VLOOKUP(C:C,'Historic Data - working'!A:B,1,FALSE)</f>
        <v>BIR119</v>
      </c>
      <c r="U266" s="323"/>
      <c r="V266" s="323"/>
      <c r="W266" s="323"/>
    </row>
    <row r="267" spans="1:23" s="23" customFormat="1" ht="14.25" hidden="1" outlineLevel="1" x14ac:dyDescent="0.2">
      <c r="A267" s="381" t="s">
        <v>828</v>
      </c>
      <c r="B267" s="381" t="s">
        <v>324</v>
      </c>
      <c r="C267" s="389" t="s">
        <v>1286</v>
      </c>
      <c r="D267" s="381" t="s">
        <v>1287</v>
      </c>
      <c r="E267" s="383" t="s">
        <v>1288</v>
      </c>
      <c r="F267" s="381" t="s">
        <v>1289</v>
      </c>
      <c r="G267" s="384"/>
      <c r="H267" s="24"/>
      <c r="I267" s="24"/>
      <c r="J267" s="25" t="str">
        <f t="shared" si="12"/>
        <v xml:space="preserve"> </v>
      </c>
      <c r="K267" s="385"/>
      <c r="L267" s="385"/>
      <c r="M267" s="386">
        <f t="shared" si="13"/>
        <v>0</v>
      </c>
      <c r="N267" s="496"/>
      <c r="O267" s="333">
        <f t="shared" si="14"/>
        <v>0</v>
      </c>
      <c r="R267" s="23" t="str">
        <f>VLOOKUP(C:C,'Historic Data - working'!A:B,1,FALSE)</f>
        <v>BIR120</v>
      </c>
      <c r="U267" s="323"/>
      <c r="V267" s="323"/>
      <c r="W267" s="323"/>
    </row>
    <row r="268" spans="1:23" s="23" customFormat="1" ht="14.25" hidden="1" outlineLevel="1" x14ac:dyDescent="0.2">
      <c r="A268" s="381" t="s">
        <v>828</v>
      </c>
      <c r="B268" s="381" t="s">
        <v>324</v>
      </c>
      <c r="C268" s="389" t="s">
        <v>1290</v>
      </c>
      <c r="D268" s="381" t="s">
        <v>1291</v>
      </c>
      <c r="E268" s="383" t="s">
        <v>1160</v>
      </c>
      <c r="F268" s="381" t="s">
        <v>1292</v>
      </c>
      <c r="G268" s="384"/>
      <c r="H268" s="24"/>
      <c r="I268" s="24"/>
      <c r="J268" s="25" t="str">
        <f t="shared" si="12"/>
        <v xml:space="preserve"> </v>
      </c>
      <c r="K268" s="385"/>
      <c r="L268" s="385"/>
      <c r="M268" s="386">
        <f t="shared" si="13"/>
        <v>0</v>
      </c>
      <c r="N268" s="496"/>
      <c r="O268" s="333">
        <f t="shared" si="14"/>
        <v>0</v>
      </c>
      <c r="R268" s="23" t="e">
        <f>VLOOKUP(C:C,'Historic Data - working'!A:B,1,FALSE)</f>
        <v>#N/A</v>
      </c>
      <c r="U268" s="323"/>
      <c r="V268" s="323"/>
      <c r="W268" s="323"/>
    </row>
    <row r="269" spans="1:23" s="23" customFormat="1" ht="14.25" hidden="1" outlineLevel="1" x14ac:dyDescent="0.2">
      <c r="A269" s="381" t="s">
        <v>828</v>
      </c>
      <c r="B269" s="381" t="s">
        <v>324</v>
      </c>
      <c r="C269" s="389" t="s">
        <v>1293</v>
      </c>
      <c r="D269" s="381" t="s">
        <v>1294</v>
      </c>
      <c r="E269" s="383" t="s">
        <v>1295</v>
      </c>
      <c r="F269" s="381" t="s">
        <v>1292</v>
      </c>
      <c r="G269" s="384" t="s">
        <v>329</v>
      </c>
      <c r="H269" s="24">
        <v>1423.04</v>
      </c>
      <c r="I269" s="24"/>
      <c r="J269" s="25" t="str">
        <f t="shared" si="12"/>
        <v>1</v>
      </c>
      <c r="K269" s="392"/>
      <c r="L269" s="385"/>
      <c r="M269" s="386">
        <f t="shared" si="13"/>
        <v>1423.04</v>
      </c>
      <c r="N269" s="496">
        <v>449</v>
      </c>
      <c r="O269" s="333">
        <f t="shared" si="14"/>
        <v>1872.04</v>
      </c>
      <c r="R269" s="23" t="str">
        <f>VLOOKUP(C:C,'Historic Data - working'!A:B,1,FALSE)</f>
        <v>BIR122</v>
      </c>
      <c r="U269" s="323"/>
      <c r="V269" s="323"/>
      <c r="W269" s="323"/>
    </row>
    <row r="270" spans="1:23" s="23" customFormat="1" ht="14.25" hidden="1" outlineLevel="1" x14ac:dyDescent="0.2">
      <c r="A270" s="381" t="s">
        <v>828</v>
      </c>
      <c r="B270" s="381" t="s">
        <v>324</v>
      </c>
      <c r="C270" s="389" t="s">
        <v>1296</v>
      </c>
      <c r="D270" s="381" t="s">
        <v>1297</v>
      </c>
      <c r="E270" s="383" t="s">
        <v>1298</v>
      </c>
      <c r="F270" s="381" t="s">
        <v>1263</v>
      </c>
      <c r="G270" s="384" t="s">
        <v>329</v>
      </c>
      <c r="H270" s="24">
        <v>2913.48</v>
      </c>
      <c r="I270" s="24"/>
      <c r="J270" s="25" t="str">
        <f t="shared" si="12"/>
        <v>1</v>
      </c>
      <c r="K270" s="385"/>
      <c r="L270" s="385"/>
      <c r="M270" s="386">
        <f t="shared" si="13"/>
        <v>2913.48</v>
      </c>
      <c r="N270" s="496">
        <v>60</v>
      </c>
      <c r="O270" s="333">
        <f t="shared" si="14"/>
        <v>2973.48</v>
      </c>
      <c r="R270" s="23" t="str">
        <f>VLOOKUP(C:C,'Historic Data - working'!A:B,1,FALSE)</f>
        <v>BIR123</v>
      </c>
      <c r="U270" s="323"/>
      <c r="V270" s="323"/>
      <c r="W270" s="323"/>
    </row>
    <row r="271" spans="1:23" s="23" customFormat="1" ht="14.25" hidden="1" outlineLevel="1" x14ac:dyDescent="0.2">
      <c r="A271" s="381" t="s">
        <v>828</v>
      </c>
      <c r="B271" s="381" t="s">
        <v>324</v>
      </c>
      <c r="C271" s="389" t="s">
        <v>1299</v>
      </c>
      <c r="D271" s="381" t="s">
        <v>1300</v>
      </c>
      <c r="E271" s="383" t="s">
        <v>1301</v>
      </c>
      <c r="F271" s="381" t="s">
        <v>1263</v>
      </c>
      <c r="G271" s="384"/>
      <c r="H271" s="24"/>
      <c r="I271" s="24"/>
      <c r="J271" s="25" t="str">
        <f t="shared" si="12"/>
        <v xml:space="preserve"> </v>
      </c>
      <c r="K271" s="385"/>
      <c r="L271" s="385"/>
      <c r="M271" s="386">
        <f t="shared" si="13"/>
        <v>0</v>
      </c>
      <c r="N271" s="496"/>
      <c r="O271" s="333">
        <f t="shared" si="14"/>
        <v>0</v>
      </c>
      <c r="R271" s="23" t="e">
        <f>VLOOKUP(C:C,'Historic Data - working'!A:B,1,FALSE)</f>
        <v>#N/A</v>
      </c>
      <c r="U271" s="323"/>
      <c r="V271" s="323"/>
      <c r="W271" s="323"/>
    </row>
    <row r="272" spans="1:23" s="23" customFormat="1" ht="28.5" hidden="1" outlineLevel="1" x14ac:dyDescent="0.2">
      <c r="A272" s="381" t="s">
        <v>828</v>
      </c>
      <c r="B272" s="381" t="s">
        <v>324</v>
      </c>
      <c r="C272" s="389" t="s">
        <v>1302</v>
      </c>
      <c r="D272" s="381" t="s">
        <v>1303</v>
      </c>
      <c r="E272" s="383" t="s">
        <v>1304</v>
      </c>
      <c r="F272" s="381" t="s">
        <v>1305</v>
      </c>
      <c r="G272" s="384" t="s">
        <v>329</v>
      </c>
      <c r="H272" s="24">
        <f>303.13+219.72+56.3+182.91+86+27+139.05+70.78+88.24+20</f>
        <v>1193.1299999999999</v>
      </c>
      <c r="I272" s="24"/>
      <c r="J272" s="25" t="str">
        <f t="shared" si="12"/>
        <v>1</v>
      </c>
      <c r="K272" s="385"/>
      <c r="L272" s="385"/>
      <c r="M272" s="386">
        <f t="shared" si="13"/>
        <v>1193.1299999999999</v>
      </c>
      <c r="N272" s="496">
        <v>342.94</v>
      </c>
      <c r="O272" s="333">
        <f t="shared" si="14"/>
        <v>1536.07</v>
      </c>
      <c r="R272" s="23" t="str">
        <f>VLOOKUP(C:C,'Historic Data - working'!A:B,1,FALSE)</f>
        <v>BIR124</v>
      </c>
      <c r="U272" s="323"/>
      <c r="V272" s="323"/>
      <c r="W272" s="323"/>
    </row>
    <row r="273" spans="1:23" s="23" customFormat="1" ht="14.25" hidden="1" outlineLevel="1" x14ac:dyDescent="0.2">
      <c r="A273" s="381" t="s">
        <v>828</v>
      </c>
      <c r="B273" s="381" t="s">
        <v>324</v>
      </c>
      <c r="C273" s="389" t="s">
        <v>1306</v>
      </c>
      <c r="D273" s="381" t="s">
        <v>1307</v>
      </c>
      <c r="E273" s="383" t="s">
        <v>1308</v>
      </c>
      <c r="F273" s="381" t="s">
        <v>1309</v>
      </c>
      <c r="G273" s="384"/>
      <c r="H273" s="24"/>
      <c r="I273" s="24"/>
      <c r="J273" s="25" t="str">
        <f t="shared" si="12"/>
        <v xml:space="preserve"> </v>
      </c>
      <c r="K273" s="385"/>
      <c r="L273" s="385"/>
      <c r="M273" s="386">
        <f t="shared" si="13"/>
        <v>0</v>
      </c>
      <c r="N273" s="496"/>
      <c r="O273" s="333">
        <f t="shared" si="14"/>
        <v>0</v>
      </c>
      <c r="R273" s="23" t="e">
        <f>VLOOKUP(C:C,'Historic Data - working'!A:B,1,FALSE)</f>
        <v>#N/A</v>
      </c>
      <c r="U273" s="323"/>
      <c r="V273" s="323"/>
      <c r="W273" s="323"/>
    </row>
    <row r="274" spans="1:23" s="23" customFormat="1" ht="14.25" hidden="1" outlineLevel="1" x14ac:dyDescent="0.2">
      <c r="A274" s="381" t="s">
        <v>828</v>
      </c>
      <c r="B274" s="381" t="s">
        <v>324</v>
      </c>
      <c r="C274" s="389" t="s">
        <v>1310</v>
      </c>
      <c r="D274" s="381" t="s">
        <v>1311</v>
      </c>
      <c r="E274" s="383" t="s">
        <v>1312</v>
      </c>
      <c r="F274" s="381" t="s">
        <v>1313</v>
      </c>
      <c r="G274" s="384"/>
      <c r="H274" s="24"/>
      <c r="I274" s="24"/>
      <c r="J274" s="25" t="str">
        <f t="shared" si="12"/>
        <v xml:space="preserve"> </v>
      </c>
      <c r="K274" s="385"/>
      <c r="L274" s="385"/>
      <c r="M274" s="386">
        <f t="shared" si="13"/>
        <v>0</v>
      </c>
      <c r="N274" s="496">
        <v>305</v>
      </c>
      <c r="O274" s="333">
        <f t="shared" si="14"/>
        <v>305</v>
      </c>
      <c r="R274" s="23" t="str">
        <f>VLOOKUP(C:C,'Historic Data - working'!A:B,1,FALSE)</f>
        <v>BIR125</v>
      </c>
      <c r="U274" s="323"/>
      <c r="V274" s="323"/>
      <c r="W274" s="323"/>
    </row>
    <row r="275" spans="1:23" s="23" customFormat="1" ht="14.25" hidden="1" outlineLevel="1" x14ac:dyDescent="0.2">
      <c r="A275" s="381" t="s">
        <v>828</v>
      </c>
      <c r="B275" s="381" t="s">
        <v>324</v>
      </c>
      <c r="C275" s="389" t="s">
        <v>1314</v>
      </c>
      <c r="D275" s="381" t="s">
        <v>1315</v>
      </c>
      <c r="E275" s="383" t="s">
        <v>896</v>
      </c>
      <c r="F275" s="381" t="s">
        <v>1316</v>
      </c>
      <c r="G275" s="384"/>
      <c r="H275" s="24"/>
      <c r="I275" s="24"/>
      <c r="J275" s="25" t="str">
        <f t="shared" si="12"/>
        <v xml:space="preserve"> </v>
      </c>
      <c r="K275" s="390" t="s">
        <v>321</v>
      </c>
      <c r="L275" s="385">
        <v>821.25</v>
      </c>
      <c r="M275" s="386">
        <f t="shared" si="13"/>
        <v>821.25</v>
      </c>
      <c r="N275" s="496">
        <v>100</v>
      </c>
      <c r="O275" s="333">
        <f t="shared" si="14"/>
        <v>921.25</v>
      </c>
      <c r="R275" s="23" t="str">
        <f>VLOOKUP(C:C,'Historic Data - working'!A:B,1,FALSE)</f>
        <v>BIR126</v>
      </c>
      <c r="U275" s="323"/>
      <c r="V275" s="323"/>
      <c r="W275" s="323"/>
    </row>
    <row r="276" spans="1:23" s="23" customFormat="1" ht="14.25" hidden="1" outlineLevel="1" x14ac:dyDescent="0.2">
      <c r="A276" s="381" t="s">
        <v>828</v>
      </c>
      <c r="B276" s="381" t="s">
        <v>324</v>
      </c>
      <c r="C276" s="389" t="s">
        <v>1317</v>
      </c>
      <c r="D276" s="381" t="s">
        <v>1318</v>
      </c>
      <c r="E276" s="383" t="s">
        <v>61</v>
      </c>
      <c r="F276" s="381" t="s">
        <v>1319</v>
      </c>
      <c r="G276" s="384"/>
      <c r="H276" s="24"/>
      <c r="I276" s="24"/>
      <c r="J276" s="25" t="str">
        <f t="shared" si="12"/>
        <v xml:space="preserve"> </v>
      </c>
      <c r="K276" s="385"/>
      <c r="L276" s="385"/>
      <c r="M276" s="386">
        <f t="shared" si="13"/>
        <v>0</v>
      </c>
      <c r="N276" s="496"/>
      <c r="O276" s="333">
        <f t="shared" si="14"/>
        <v>0</v>
      </c>
      <c r="R276" s="23" t="e">
        <f>VLOOKUP(C:C,'Historic Data - working'!A:B,1,FALSE)</f>
        <v>#N/A</v>
      </c>
      <c r="U276" s="323"/>
      <c r="V276" s="323"/>
      <c r="W276" s="323"/>
    </row>
    <row r="277" spans="1:23" s="23" customFormat="1" ht="14.25" hidden="1" outlineLevel="1" x14ac:dyDescent="0.2">
      <c r="A277" s="381" t="s">
        <v>828</v>
      </c>
      <c r="B277" s="381" t="s">
        <v>324</v>
      </c>
      <c r="C277" s="389" t="s">
        <v>1320</v>
      </c>
      <c r="D277" s="381" t="s">
        <v>1321</v>
      </c>
      <c r="E277" s="383" t="s">
        <v>1322</v>
      </c>
      <c r="F277" s="381" t="s">
        <v>1153</v>
      </c>
      <c r="G277" s="384"/>
      <c r="H277" s="24"/>
      <c r="I277" s="24"/>
      <c r="J277" s="25" t="str">
        <f t="shared" si="12"/>
        <v xml:space="preserve"> </v>
      </c>
      <c r="K277" s="385"/>
      <c r="L277" s="385"/>
      <c r="M277" s="386">
        <f t="shared" si="13"/>
        <v>0</v>
      </c>
      <c r="N277" s="496"/>
      <c r="O277" s="333">
        <f t="shared" si="14"/>
        <v>0</v>
      </c>
      <c r="R277" s="23" t="e">
        <f>VLOOKUP(C:C,'Historic Data - working'!A:B,1,FALSE)</f>
        <v>#N/A</v>
      </c>
      <c r="U277" s="323"/>
      <c r="V277" s="323"/>
      <c r="W277" s="323"/>
    </row>
    <row r="278" spans="1:23" s="23" customFormat="1" ht="14.25" hidden="1" outlineLevel="1" x14ac:dyDescent="0.2">
      <c r="A278" s="381" t="s">
        <v>828</v>
      </c>
      <c r="B278" s="381" t="s">
        <v>324</v>
      </c>
      <c r="C278" s="389" t="s">
        <v>1323</v>
      </c>
      <c r="D278" s="381" t="s">
        <v>1324</v>
      </c>
      <c r="E278" s="383" t="s">
        <v>1325</v>
      </c>
      <c r="F278" s="381" t="s">
        <v>1326</v>
      </c>
      <c r="G278" s="384" t="s">
        <v>329</v>
      </c>
      <c r="H278" s="24">
        <f>54.86+24.43+44.36+29.53+11.9+52.24+30.3+45.3+64.84+73.62+55.56+173.06+7.86</f>
        <v>667.86</v>
      </c>
      <c r="I278" s="24"/>
      <c r="J278" s="25" t="str">
        <f t="shared" si="12"/>
        <v>1</v>
      </c>
      <c r="K278" s="385" t="s">
        <v>1327</v>
      </c>
      <c r="L278" s="385">
        <v>65.099999999999994</v>
      </c>
      <c r="M278" s="386">
        <f t="shared" si="13"/>
        <v>732.96</v>
      </c>
      <c r="N278" s="496"/>
      <c r="O278" s="333">
        <f t="shared" si="14"/>
        <v>732.96</v>
      </c>
      <c r="R278" s="23" t="str">
        <f>VLOOKUP(C:C,'Historic Data - working'!A:B,1,FALSE)</f>
        <v>BIR127</v>
      </c>
      <c r="U278" s="323"/>
      <c r="V278" s="323"/>
      <c r="W278" s="323"/>
    </row>
    <row r="279" spans="1:23" s="23" customFormat="1" ht="14.25" hidden="1" outlineLevel="1" x14ac:dyDescent="0.2">
      <c r="A279" s="381" t="s">
        <v>828</v>
      </c>
      <c r="B279" s="381" t="s">
        <v>324</v>
      </c>
      <c r="C279" s="389" t="s">
        <v>1328</v>
      </c>
      <c r="D279" s="381" t="s">
        <v>1329</v>
      </c>
      <c r="E279" s="383" t="s">
        <v>1330</v>
      </c>
      <c r="F279" s="381" t="s">
        <v>1326</v>
      </c>
      <c r="G279" s="384"/>
      <c r="H279" s="24"/>
      <c r="I279" s="24"/>
      <c r="J279" s="25" t="str">
        <f t="shared" si="12"/>
        <v xml:space="preserve"> </v>
      </c>
      <c r="K279" s="385"/>
      <c r="L279" s="385"/>
      <c r="M279" s="386">
        <f t="shared" si="13"/>
        <v>0</v>
      </c>
      <c r="N279" s="496"/>
      <c r="O279" s="333">
        <f t="shared" si="14"/>
        <v>0</v>
      </c>
      <c r="R279" s="23" t="e">
        <f>VLOOKUP(C:C,'Historic Data - working'!A:B,1,FALSE)</f>
        <v>#N/A</v>
      </c>
      <c r="U279" s="323"/>
      <c r="V279" s="323"/>
      <c r="W279" s="323"/>
    </row>
    <row r="280" spans="1:23" s="23" customFormat="1" ht="14.25" hidden="1" outlineLevel="1" x14ac:dyDescent="0.2">
      <c r="A280" s="381" t="s">
        <v>828</v>
      </c>
      <c r="B280" s="381" t="s">
        <v>324</v>
      </c>
      <c r="C280" s="389" t="s">
        <v>1331</v>
      </c>
      <c r="D280" s="381" t="s">
        <v>1332</v>
      </c>
      <c r="E280" s="383" t="s">
        <v>1203</v>
      </c>
      <c r="F280" s="381" t="s">
        <v>1333</v>
      </c>
      <c r="G280" s="384" t="s">
        <v>329</v>
      </c>
      <c r="H280" s="24">
        <v>996.55</v>
      </c>
      <c r="I280" s="24"/>
      <c r="J280" s="25" t="str">
        <f t="shared" si="12"/>
        <v>1</v>
      </c>
      <c r="K280" s="385" t="s">
        <v>1334</v>
      </c>
      <c r="L280" s="385">
        <f>22.45+19.65+38.23</f>
        <v>80.329999999999984</v>
      </c>
      <c r="M280" s="386">
        <f t="shared" si="13"/>
        <v>1076.8799999999999</v>
      </c>
      <c r="N280" s="496">
        <v>131</v>
      </c>
      <c r="O280" s="333">
        <f t="shared" si="14"/>
        <v>1207.8799999999999</v>
      </c>
      <c r="R280" s="23" t="str">
        <f>VLOOKUP(C:C,'Historic Data - working'!A:B,1,FALSE)</f>
        <v>BIR128</v>
      </c>
      <c r="U280" s="323"/>
      <c r="V280" s="323"/>
      <c r="W280" s="323"/>
    </row>
    <row r="281" spans="1:23" s="23" customFormat="1" ht="14.25" hidden="1" outlineLevel="1" x14ac:dyDescent="0.2">
      <c r="A281" s="381" t="s">
        <v>828</v>
      </c>
      <c r="B281" s="381" t="s">
        <v>324</v>
      </c>
      <c r="C281" s="389" t="s">
        <v>1335</v>
      </c>
      <c r="D281" s="381" t="s">
        <v>1336</v>
      </c>
      <c r="E281" s="383" t="s">
        <v>1337</v>
      </c>
      <c r="F281" s="381" t="s">
        <v>1338</v>
      </c>
      <c r="G281" s="384"/>
      <c r="H281" s="24"/>
      <c r="I281" s="24"/>
      <c r="J281" s="25" t="str">
        <f t="shared" si="12"/>
        <v xml:space="preserve"> </v>
      </c>
      <c r="K281" s="385"/>
      <c r="L281" s="385"/>
      <c r="M281" s="386">
        <f t="shared" si="13"/>
        <v>0</v>
      </c>
      <c r="N281" s="496"/>
      <c r="O281" s="333">
        <f t="shared" si="14"/>
        <v>0</v>
      </c>
      <c r="R281" s="23" t="str">
        <f>VLOOKUP(C:C,'Historic Data - working'!A:B,1,FALSE)</f>
        <v>BIR129</v>
      </c>
      <c r="U281" s="323"/>
      <c r="V281" s="323"/>
      <c r="W281" s="323"/>
    </row>
    <row r="282" spans="1:23" s="23" customFormat="1" ht="14.25" hidden="1" outlineLevel="1" x14ac:dyDescent="0.2">
      <c r="A282" s="381" t="s">
        <v>828</v>
      </c>
      <c r="B282" s="381" t="s">
        <v>324</v>
      </c>
      <c r="C282" s="389" t="s">
        <v>1339</v>
      </c>
      <c r="D282" s="381" t="s">
        <v>1340</v>
      </c>
      <c r="E282" s="383" t="s">
        <v>1341</v>
      </c>
      <c r="F282" s="381" t="s">
        <v>1342</v>
      </c>
      <c r="G282" s="384"/>
      <c r="H282" s="24"/>
      <c r="I282" s="24"/>
      <c r="J282" s="25" t="str">
        <f t="shared" si="12"/>
        <v xml:space="preserve"> </v>
      </c>
      <c r="K282" s="385"/>
      <c r="L282" s="385"/>
      <c r="M282" s="386">
        <f t="shared" si="13"/>
        <v>0</v>
      </c>
      <c r="N282" s="496">
        <v>1114.49</v>
      </c>
      <c r="O282" s="333">
        <f t="shared" si="14"/>
        <v>1114.49</v>
      </c>
      <c r="R282" s="23" t="str">
        <f>VLOOKUP(C:C,'Historic Data - working'!A:B,1,FALSE)</f>
        <v>BIR130</v>
      </c>
      <c r="U282" s="323"/>
      <c r="V282" s="323"/>
      <c r="W282" s="323"/>
    </row>
    <row r="283" spans="1:23" s="23" customFormat="1" ht="14.25" hidden="1" outlineLevel="1" x14ac:dyDescent="0.2">
      <c r="A283" s="381" t="s">
        <v>828</v>
      </c>
      <c r="B283" s="381" t="s">
        <v>324</v>
      </c>
      <c r="C283" s="389" t="s">
        <v>1343</v>
      </c>
      <c r="D283" s="381" t="s">
        <v>1344</v>
      </c>
      <c r="E283" s="383" t="s">
        <v>226</v>
      </c>
      <c r="F283" s="381" t="s">
        <v>1345</v>
      </c>
      <c r="G283" s="384" t="s">
        <v>329</v>
      </c>
      <c r="H283" s="24">
        <f>82+53+53+82.55+92+72.5+48+36+39+55+20+149+33.5</f>
        <v>815.55</v>
      </c>
      <c r="I283" s="24"/>
      <c r="J283" s="25" t="str">
        <f t="shared" si="12"/>
        <v>1</v>
      </c>
      <c r="K283" s="385" t="s">
        <v>1346</v>
      </c>
      <c r="L283" s="385">
        <v>5</v>
      </c>
      <c r="M283" s="386">
        <f t="shared" si="13"/>
        <v>820.55</v>
      </c>
      <c r="N283" s="496">
        <v>325</v>
      </c>
      <c r="O283" s="333">
        <f t="shared" si="14"/>
        <v>1145.55</v>
      </c>
      <c r="R283" s="23" t="str">
        <f>VLOOKUP(C:C,'Historic Data - working'!A:B,1,FALSE)</f>
        <v>BIR131</v>
      </c>
      <c r="U283" s="323"/>
      <c r="V283" s="323"/>
      <c r="W283" s="323"/>
    </row>
    <row r="284" spans="1:23" s="23" customFormat="1" ht="14.25" hidden="1" outlineLevel="1" x14ac:dyDescent="0.2">
      <c r="A284" s="381" t="s">
        <v>828</v>
      </c>
      <c r="B284" s="381" t="s">
        <v>324</v>
      </c>
      <c r="C284" s="389" t="s">
        <v>1347</v>
      </c>
      <c r="D284" s="381" t="s">
        <v>1348</v>
      </c>
      <c r="E284" s="383" t="s">
        <v>1349</v>
      </c>
      <c r="F284" s="381" t="s">
        <v>1350</v>
      </c>
      <c r="G284" s="384" t="s">
        <v>329</v>
      </c>
      <c r="H284" s="24">
        <f>214.33+181.21+71.62+241.65+92.56+279.92+918.61</f>
        <v>1999.9</v>
      </c>
      <c r="I284" s="24"/>
      <c r="J284" s="25" t="str">
        <f t="shared" si="12"/>
        <v>1</v>
      </c>
      <c r="K284" s="387"/>
      <c r="L284" s="385"/>
      <c r="M284" s="386">
        <f t="shared" si="13"/>
        <v>1999.9</v>
      </c>
      <c r="N284" s="496">
        <v>913</v>
      </c>
      <c r="O284" s="333">
        <f t="shared" si="14"/>
        <v>2912.9</v>
      </c>
      <c r="R284" s="23" t="str">
        <f>VLOOKUP(C:C,'Historic Data - working'!A:B,1,FALSE)</f>
        <v>BIR132</v>
      </c>
      <c r="U284" s="323"/>
      <c r="V284" s="323"/>
      <c r="W284" s="323"/>
    </row>
    <row r="285" spans="1:23" s="23" customFormat="1" ht="14.25" hidden="1" outlineLevel="1" x14ac:dyDescent="0.2">
      <c r="A285" s="381" t="s">
        <v>828</v>
      </c>
      <c r="B285" s="381" t="s">
        <v>324</v>
      </c>
      <c r="C285" s="389" t="s">
        <v>1351</v>
      </c>
      <c r="D285" s="381" t="s">
        <v>8424</v>
      </c>
      <c r="E285" s="383" t="s">
        <v>1352</v>
      </c>
      <c r="F285" s="381" t="s">
        <v>1350</v>
      </c>
      <c r="G285" s="384"/>
      <c r="H285" s="24"/>
      <c r="I285" s="24"/>
      <c r="J285" s="25" t="str">
        <f t="shared" si="12"/>
        <v xml:space="preserve"> </v>
      </c>
      <c r="K285" s="385"/>
      <c r="L285" s="385"/>
      <c r="M285" s="386">
        <f t="shared" si="13"/>
        <v>0</v>
      </c>
      <c r="N285" s="496">
        <v>25</v>
      </c>
      <c r="O285" s="333">
        <f t="shared" si="14"/>
        <v>25</v>
      </c>
      <c r="R285" s="23" t="e">
        <f>VLOOKUP(C:C,'Historic Data - working'!A:B,1,FALSE)</f>
        <v>#N/A</v>
      </c>
      <c r="U285" s="323"/>
      <c r="V285" s="323"/>
      <c r="W285" s="323"/>
    </row>
    <row r="286" spans="1:23" s="23" customFormat="1" ht="14.25" hidden="1" outlineLevel="1" x14ac:dyDescent="0.2">
      <c r="A286" s="381" t="s">
        <v>828</v>
      </c>
      <c r="B286" s="381" t="s">
        <v>324</v>
      </c>
      <c r="C286" s="389" t="s">
        <v>1353</v>
      </c>
      <c r="D286" s="381" t="s">
        <v>1354</v>
      </c>
      <c r="E286" s="383" t="s">
        <v>1355</v>
      </c>
      <c r="F286" s="381" t="s">
        <v>1356</v>
      </c>
      <c r="G286" s="384"/>
      <c r="H286" s="24"/>
      <c r="I286" s="24"/>
      <c r="J286" s="25" t="str">
        <f t="shared" si="12"/>
        <v xml:space="preserve"> </v>
      </c>
      <c r="K286" s="385"/>
      <c r="L286" s="385"/>
      <c r="M286" s="386">
        <f t="shared" si="13"/>
        <v>0</v>
      </c>
      <c r="N286" s="496">
        <v>40</v>
      </c>
      <c r="O286" s="333">
        <f t="shared" si="14"/>
        <v>40</v>
      </c>
      <c r="R286" s="23" t="str">
        <f>VLOOKUP(C:C,'Historic Data - working'!A:B,1,FALSE)</f>
        <v>BIR133</v>
      </c>
      <c r="U286" s="323"/>
      <c r="V286" s="323"/>
      <c r="W286" s="323"/>
    </row>
    <row r="287" spans="1:23" s="23" customFormat="1" ht="14.25" hidden="1" outlineLevel="1" x14ac:dyDescent="0.2">
      <c r="A287" s="381" t="s">
        <v>828</v>
      </c>
      <c r="B287" s="381" t="s">
        <v>324</v>
      </c>
      <c r="C287" s="389" t="s">
        <v>1357</v>
      </c>
      <c r="D287" s="381" t="s">
        <v>1358</v>
      </c>
      <c r="E287" s="383" t="s">
        <v>1359</v>
      </c>
      <c r="F287" s="381" t="s">
        <v>1259</v>
      </c>
      <c r="G287" s="384" t="s">
        <v>329</v>
      </c>
      <c r="H287" s="24">
        <f>98.06+10.92</f>
        <v>108.98</v>
      </c>
      <c r="I287" s="24"/>
      <c r="J287" s="25" t="str">
        <f t="shared" si="12"/>
        <v>1</v>
      </c>
      <c r="K287" s="385"/>
      <c r="L287" s="385"/>
      <c r="M287" s="386">
        <f t="shared" si="13"/>
        <v>108.98</v>
      </c>
      <c r="N287" s="496">
        <v>120</v>
      </c>
      <c r="O287" s="333">
        <f t="shared" si="14"/>
        <v>228.98000000000002</v>
      </c>
      <c r="R287" s="23" t="str">
        <f>VLOOKUP(C:C,'Historic Data - working'!A:B,1,FALSE)</f>
        <v>BIR134</v>
      </c>
      <c r="U287" s="323"/>
      <c r="V287" s="323"/>
      <c r="W287" s="323"/>
    </row>
    <row r="288" spans="1:23" s="23" customFormat="1" ht="14.25" hidden="1" outlineLevel="1" x14ac:dyDescent="0.2">
      <c r="A288" s="381" t="s">
        <v>828</v>
      </c>
      <c r="B288" s="381" t="s">
        <v>324</v>
      </c>
      <c r="C288" s="389" t="s">
        <v>1360</v>
      </c>
      <c r="D288" s="381" t="s">
        <v>1361</v>
      </c>
      <c r="E288" s="383" t="s">
        <v>1362</v>
      </c>
      <c r="F288" s="381" t="s">
        <v>1363</v>
      </c>
      <c r="G288" s="384" t="s">
        <v>329</v>
      </c>
      <c r="H288" s="24">
        <f>355.32+276.42</f>
        <v>631.74</v>
      </c>
      <c r="I288" s="24"/>
      <c r="J288" s="25" t="str">
        <f t="shared" si="12"/>
        <v>1</v>
      </c>
      <c r="K288" s="385"/>
      <c r="L288" s="385"/>
      <c r="M288" s="386">
        <f t="shared" si="13"/>
        <v>631.74</v>
      </c>
      <c r="N288" s="496"/>
      <c r="O288" s="333">
        <f t="shared" si="14"/>
        <v>631.74</v>
      </c>
      <c r="R288" s="23" t="str">
        <f>VLOOKUP(C:C,'Historic Data - working'!A:B,1,FALSE)</f>
        <v>BIR135</v>
      </c>
      <c r="U288" s="323"/>
      <c r="V288" s="323"/>
      <c r="W288" s="323"/>
    </row>
    <row r="289" spans="1:23" s="23" customFormat="1" ht="14.25" hidden="1" outlineLevel="1" x14ac:dyDescent="0.2">
      <c r="A289" s="381" t="s">
        <v>828</v>
      </c>
      <c r="B289" s="381" t="s">
        <v>324</v>
      </c>
      <c r="C289" s="389" t="s">
        <v>1364</v>
      </c>
      <c r="D289" s="381" t="s">
        <v>1365</v>
      </c>
      <c r="E289" s="383" t="s">
        <v>1366</v>
      </c>
      <c r="F289" s="381" t="s">
        <v>1367</v>
      </c>
      <c r="G289" s="384"/>
      <c r="H289" s="24"/>
      <c r="I289" s="24"/>
      <c r="J289" s="25" t="str">
        <f t="shared" si="12"/>
        <v xml:space="preserve"> </v>
      </c>
      <c r="K289" s="387" t="s">
        <v>1368</v>
      </c>
      <c r="L289" s="385">
        <v>186.95</v>
      </c>
      <c r="M289" s="386">
        <f t="shared" si="13"/>
        <v>186.95</v>
      </c>
      <c r="N289" s="496">
        <v>90</v>
      </c>
      <c r="O289" s="333">
        <f t="shared" si="14"/>
        <v>276.95</v>
      </c>
      <c r="R289" s="23" t="str">
        <f>VLOOKUP(C:C,'Historic Data - working'!A:B,1,FALSE)</f>
        <v>BIR137</v>
      </c>
      <c r="U289" s="323"/>
      <c r="V289" s="323"/>
      <c r="W289" s="323"/>
    </row>
    <row r="290" spans="1:23" s="23" customFormat="1" ht="14.25" hidden="1" outlineLevel="1" x14ac:dyDescent="0.2">
      <c r="A290" s="381" t="s">
        <v>828</v>
      </c>
      <c r="B290" s="381" t="s">
        <v>324</v>
      </c>
      <c r="C290" s="389" t="s">
        <v>1369</v>
      </c>
      <c r="D290" s="381" t="s">
        <v>1370</v>
      </c>
      <c r="E290" s="383" t="s">
        <v>1371</v>
      </c>
      <c r="F290" s="381" t="s">
        <v>1372</v>
      </c>
      <c r="G290" s="384" t="s">
        <v>329</v>
      </c>
      <c r="H290" s="24">
        <v>1093.1199999999999</v>
      </c>
      <c r="I290" s="24"/>
      <c r="J290" s="25" t="str">
        <f t="shared" si="12"/>
        <v>1</v>
      </c>
      <c r="K290" s="394" t="s">
        <v>1373</v>
      </c>
      <c r="L290" s="385">
        <v>0.83</v>
      </c>
      <c r="M290" s="386">
        <f t="shared" si="13"/>
        <v>1093.9499999999998</v>
      </c>
      <c r="N290" s="496">
        <v>450</v>
      </c>
      <c r="O290" s="333">
        <f t="shared" si="14"/>
        <v>1543.9499999999998</v>
      </c>
      <c r="R290" s="23" t="str">
        <f>VLOOKUP(C:C,'Historic Data - working'!A:B,1,FALSE)</f>
        <v>BIR138</v>
      </c>
      <c r="U290" s="323"/>
      <c r="V290" s="323"/>
      <c r="W290" s="323"/>
    </row>
    <row r="291" spans="1:23" s="23" customFormat="1" ht="14.25" hidden="1" outlineLevel="1" x14ac:dyDescent="0.2">
      <c r="A291" s="381" t="s">
        <v>828</v>
      </c>
      <c r="B291" s="381" t="s">
        <v>324</v>
      </c>
      <c r="C291" s="389" t="s">
        <v>1374</v>
      </c>
      <c r="D291" s="381" t="s">
        <v>1375</v>
      </c>
      <c r="E291" s="383" t="s">
        <v>1376</v>
      </c>
      <c r="F291" s="381" t="s">
        <v>1377</v>
      </c>
      <c r="G291" s="384" t="s">
        <v>329</v>
      </c>
      <c r="H291" s="24">
        <f>1016.52+120</f>
        <v>1136.52</v>
      </c>
      <c r="I291" s="24"/>
      <c r="J291" s="25" t="str">
        <f t="shared" si="12"/>
        <v>1</v>
      </c>
      <c r="K291" s="385"/>
      <c r="L291" s="385"/>
      <c r="M291" s="386">
        <f t="shared" si="13"/>
        <v>1136.52</v>
      </c>
      <c r="N291" s="496">
        <v>244.5</v>
      </c>
      <c r="O291" s="333">
        <f t="shared" si="14"/>
        <v>1381.02</v>
      </c>
      <c r="R291" s="23" t="str">
        <f>VLOOKUP(C:C,'Historic Data - working'!A:B,1,FALSE)</f>
        <v>BIR139</v>
      </c>
      <c r="U291" s="323"/>
      <c r="V291" s="323"/>
      <c r="W291" s="323"/>
    </row>
    <row r="292" spans="1:23" s="23" customFormat="1" ht="14.25" hidden="1" outlineLevel="1" x14ac:dyDescent="0.2">
      <c r="A292" s="381" t="s">
        <v>828</v>
      </c>
      <c r="B292" s="381" t="s">
        <v>324</v>
      </c>
      <c r="C292" s="389" t="s">
        <v>1378</v>
      </c>
      <c r="D292" s="381" t="s">
        <v>1379</v>
      </c>
      <c r="E292" s="383" t="s">
        <v>839</v>
      </c>
      <c r="F292" s="381" t="s">
        <v>1377</v>
      </c>
      <c r="G292" s="384" t="s">
        <v>329</v>
      </c>
      <c r="H292" s="24">
        <f>190.34+223.33+236.75+241.98</f>
        <v>892.40000000000009</v>
      </c>
      <c r="I292" s="24"/>
      <c r="J292" s="25" t="str">
        <f t="shared" si="12"/>
        <v>1</v>
      </c>
      <c r="K292" s="385" t="s">
        <v>1380</v>
      </c>
      <c r="L292" s="385">
        <v>38.36</v>
      </c>
      <c r="M292" s="386">
        <f t="shared" si="13"/>
        <v>930.7600000000001</v>
      </c>
      <c r="N292" s="496">
        <v>39</v>
      </c>
      <c r="O292" s="333">
        <f t="shared" si="14"/>
        <v>969.7600000000001</v>
      </c>
      <c r="R292" s="23" t="str">
        <f>VLOOKUP(C:C,'Historic Data - working'!A:B,1,FALSE)</f>
        <v>BIR140</v>
      </c>
      <c r="U292" s="323"/>
      <c r="V292" s="323"/>
      <c r="W292" s="323"/>
    </row>
    <row r="293" spans="1:23" s="23" customFormat="1" ht="14.25" hidden="1" outlineLevel="1" x14ac:dyDescent="0.2">
      <c r="A293" s="381" t="s">
        <v>828</v>
      </c>
      <c r="B293" s="381" t="s">
        <v>324</v>
      </c>
      <c r="C293" s="389" t="s">
        <v>1381</v>
      </c>
      <c r="D293" s="381" t="s">
        <v>1382</v>
      </c>
      <c r="E293" s="383" t="s">
        <v>532</v>
      </c>
      <c r="F293" s="381" t="s">
        <v>1383</v>
      </c>
      <c r="G293" s="384"/>
      <c r="H293" s="24"/>
      <c r="I293" s="24"/>
      <c r="J293" s="25" t="str">
        <f t="shared" si="12"/>
        <v xml:space="preserve"> </v>
      </c>
      <c r="K293" s="385"/>
      <c r="L293" s="385"/>
      <c r="M293" s="386">
        <f t="shared" si="13"/>
        <v>0</v>
      </c>
      <c r="N293" s="496"/>
      <c r="O293" s="333">
        <f t="shared" si="14"/>
        <v>0</v>
      </c>
      <c r="R293" s="23" t="e">
        <f>VLOOKUP(C:C,'Historic Data - working'!A:B,1,FALSE)</f>
        <v>#N/A</v>
      </c>
      <c r="U293" s="323"/>
      <c r="V293" s="323"/>
      <c r="W293" s="323"/>
    </row>
    <row r="294" spans="1:23" s="23" customFormat="1" ht="14.25" hidden="1" outlineLevel="1" x14ac:dyDescent="0.2">
      <c r="A294" s="381" t="s">
        <v>828</v>
      </c>
      <c r="B294" s="381" t="s">
        <v>324</v>
      </c>
      <c r="C294" s="389" t="s">
        <v>1384</v>
      </c>
      <c r="D294" s="381" t="s">
        <v>1385</v>
      </c>
      <c r="E294" s="383" t="s">
        <v>1386</v>
      </c>
      <c r="F294" s="381" t="s">
        <v>1387</v>
      </c>
      <c r="G294" s="384"/>
      <c r="H294" s="24"/>
      <c r="I294" s="24"/>
      <c r="J294" s="25" t="str">
        <f t="shared" si="12"/>
        <v xml:space="preserve"> </v>
      </c>
      <c r="K294" s="385"/>
      <c r="L294" s="385"/>
      <c r="M294" s="386">
        <f t="shared" si="13"/>
        <v>0</v>
      </c>
      <c r="N294" s="496">
        <v>120</v>
      </c>
      <c r="O294" s="333">
        <f t="shared" si="14"/>
        <v>120</v>
      </c>
      <c r="R294" s="23" t="e">
        <f>VLOOKUP(C:C,'Historic Data - working'!A:B,1,FALSE)</f>
        <v>#N/A</v>
      </c>
      <c r="U294" s="323"/>
      <c r="V294" s="323"/>
      <c r="W294" s="323"/>
    </row>
    <row r="295" spans="1:23" s="23" customFormat="1" ht="14.25" hidden="1" outlineLevel="1" x14ac:dyDescent="0.2">
      <c r="A295" s="381" t="s">
        <v>828</v>
      </c>
      <c r="B295" s="381" t="s">
        <v>324</v>
      </c>
      <c r="C295" s="389" t="s">
        <v>1388</v>
      </c>
      <c r="D295" s="381" t="s">
        <v>1389</v>
      </c>
      <c r="E295" s="383" t="s">
        <v>1390</v>
      </c>
      <c r="F295" s="381" t="s">
        <v>1391</v>
      </c>
      <c r="G295" s="384"/>
      <c r="H295" s="24"/>
      <c r="I295" s="24"/>
      <c r="J295" s="25" t="str">
        <f t="shared" si="12"/>
        <v xml:space="preserve"> </v>
      </c>
      <c r="K295" s="390" t="s">
        <v>321</v>
      </c>
      <c r="L295" s="385">
        <v>581.5</v>
      </c>
      <c r="M295" s="386">
        <f t="shared" si="13"/>
        <v>581.5</v>
      </c>
      <c r="N295" s="496">
        <v>150</v>
      </c>
      <c r="O295" s="333">
        <f t="shared" si="14"/>
        <v>731.5</v>
      </c>
      <c r="R295" s="23" t="str">
        <f>VLOOKUP(C:C,'Historic Data - working'!A:B,1,FALSE)</f>
        <v>BIR142</v>
      </c>
      <c r="U295" s="323"/>
      <c r="V295" s="323"/>
      <c r="W295" s="323"/>
    </row>
    <row r="296" spans="1:23" s="23" customFormat="1" ht="14.25" hidden="1" outlineLevel="1" x14ac:dyDescent="0.2">
      <c r="A296" s="381" t="s">
        <v>828</v>
      </c>
      <c r="B296" s="381" t="s">
        <v>324</v>
      </c>
      <c r="C296" s="389" t="s">
        <v>1392</v>
      </c>
      <c r="D296" s="381" t="s">
        <v>1393</v>
      </c>
      <c r="E296" s="383" t="s">
        <v>11</v>
      </c>
      <c r="F296" s="381" t="s">
        <v>1394</v>
      </c>
      <c r="G296" s="384"/>
      <c r="H296" s="24"/>
      <c r="I296" s="24"/>
      <c r="J296" s="25" t="str">
        <f t="shared" si="12"/>
        <v xml:space="preserve"> </v>
      </c>
      <c r="K296" s="387" t="s">
        <v>1395</v>
      </c>
      <c r="L296" s="385">
        <v>20.69</v>
      </c>
      <c r="M296" s="386">
        <f t="shared" si="13"/>
        <v>20.69</v>
      </c>
      <c r="N296" s="496"/>
      <c r="O296" s="333">
        <f t="shared" si="14"/>
        <v>20.69</v>
      </c>
      <c r="R296" s="23" t="str">
        <f>VLOOKUP(C:C,'Historic Data - working'!A:B,1,FALSE)</f>
        <v>BIR143</v>
      </c>
      <c r="U296" s="323"/>
      <c r="V296" s="323"/>
      <c r="W296" s="323"/>
    </row>
    <row r="297" spans="1:23" s="23" customFormat="1" ht="14.25" hidden="1" outlineLevel="1" x14ac:dyDescent="0.2">
      <c r="A297" s="381" t="s">
        <v>828</v>
      </c>
      <c r="B297" s="381" t="s">
        <v>324</v>
      </c>
      <c r="C297" s="389" t="s">
        <v>1396</v>
      </c>
      <c r="D297" s="381" t="s">
        <v>1397</v>
      </c>
      <c r="E297" s="383" t="s">
        <v>1203</v>
      </c>
      <c r="F297" s="381" t="s">
        <v>1398</v>
      </c>
      <c r="G297" s="384"/>
      <c r="H297" s="24"/>
      <c r="I297" s="24"/>
      <c r="J297" s="25" t="str">
        <f t="shared" si="12"/>
        <v xml:space="preserve"> </v>
      </c>
      <c r="K297" s="385"/>
      <c r="L297" s="385"/>
      <c r="M297" s="386">
        <f t="shared" si="13"/>
        <v>0</v>
      </c>
      <c r="N297" s="496"/>
      <c r="O297" s="333">
        <f t="shared" si="14"/>
        <v>0</v>
      </c>
      <c r="R297" s="23" t="e">
        <f>VLOOKUP(C:C,'Historic Data - working'!A:B,1,FALSE)</f>
        <v>#N/A</v>
      </c>
      <c r="U297" s="323"/>
      <c r="V297" s="323"/>
      <c r="W297" s="323"/>
    </row>
    <row r="298" spans="1:23" s="23" customFormat="1" ht="14.25" hidden="1" outlineLevel="1" x14ac:dyDescent="0.2">
      <c r="A298" s="381" t="s">
        <v>828</v>
      </c>
      <c r="B298" s="381" t="s">
        <v>324</v>
      </c>
      <c r="C298" s="389" t="s">
        <v>1399</v>
      </c>
      <c r="D298" s="381" t="s">
        <v>1400</v>
      </c>
      <c r="E298" s="383" t="s">
        <v>977</v>
      </c>
      <c r="F298" s="381" t="s">
        <v>1394</v>
      </c>
      <c r="G298" s="384" t="s">
        <v>329</v>
      </c>
      <c r="H298" s="24">
        <f>648.69+683.62</f>
        <v>1332.31</v>
      </c>
      <c r="I298" s="24"/>
      <c r="J298" s="25" t="str">
        <f t="shared" si="12"/>
        <v>1</v>
      </c>
      <c r="K298" s="385"/>
      <c r="L298" s="385"/>
      <c r="M298" s="386">
        <f t="shared" si="13"/>
        <v>1332.31</v>
      </c>
      <c r="N298" s="496">
        <v>56.97</v>
      </c>
      <c r="O298" s="333">
        <f t="shared" si="14"/>
        <v>1389.28</v>
      </c>
      <c r="R298" s="23" t="str">
        <f>VLOOKUP(C:C,'Historic Data - working'!A:B,1,FALSE)</f>
        <v>BIR144</v>
      </c>
      <c r="U298" s="323"/>
      <c r="V298" s="323"/>
      <c r="W298" s="323"/>
    </row>
    <row r="299" spans="1:23" s="23" customFormat="1" ht="14.25" hidden="1" outlineLevel="1" x14ac:dyDescent="0.2">
      <c r="A299" s="381" t="s">
        <v>828</v>
      </c>
      <c r="B299" s="381" t="s">
        <v>324</v>
      </c>
      <c r="C299" s="389" t="s">
        <v>1401</v>
      </c>
      <c r="D299" s="381" t="s">
        <v>1402</v>
      </c>
      <c r="E299" s="383" t="s">
        <v>231</v>
      </c>
      <c r="F299" s="381" t="s">
        <v>1394</v>
      </c>
      <c r="G299" s="384" t="s">
        <v>329</v>
      </c>
      <c r="H299" s="24">
        <f>152.51+134.84+78.66</f>
        <v>366.01</v>
      </c>
      <c r="I299" s="24"/>
      <c r="J299" s="25" t="str">
        <f t="shared" si="12"/>
        <v>1</v>
      </c>
      <c r="K299" s="385" t="s">
        <v>1403</v>
      </c>
      <c r="L299" s="385">
        <v>78</v>
      </c>
      <c r="M299" s="386">
        <f t="shared" si="13"/>
        <v>444.01</v>
      </c>
      <c r="N299" s="496">
        <v>59</v>
      </c>
      <c r="O299" s="333">
        <f t="shared" si="14"/>
        <v>503.01</v>
      </c>
      <c r="R299" s="23" t="str">
        <f>VLOOKUP(C:C,'Historic Data - working'!A:B,1,FALSE)</f>
        <v>BIR145</v>
      </c>
      <c r="U299" s="323"/>
      <c r="V299" s="323"/>
      <c r="W299" s="323"/>
    </row>
    <row r="300" spans="1:23" s="23" customFormat="1" ht="14.25" hidden="1" outlineLevel="1" x14ac:dyDescent="0.2">
      <c r="A300" s="381" t="s">
        <v>828</v>
      </c>
      <c r="B300" s="381" t="s">
        <v>324</v>
      </c>
      <c r="C300" s="389" t="s">
        <v>1404</v>
      </c>
      <c r="D300" s="381" t="s">
        <v>1405</v>
      </c>
      <c r="E300" s="383" t="s">
        <v>1406</v>
      </c>
      <c r="F300" s="381" t="s">
        <v>1394</v>
      </c>
      <c r="G300" s="384"/>
      <c r="H300" s="24"/>
      <c r="I300" s="24"/>
      <c r="J300" s="25" t="str">
        <f t="shared" si="12"/>
        <v xml:space="preserve"> </v>
      </c>
      <c r="K300" s="385"/>
      <c r="L300" s="385"/>
      <c r="M300" s="386">
        <f t="shared" si="13"/>
        <v>0</v>
      </c>
      <c r="N300" s="496">
        <v>525</v>
      </c>
      <c r="O300" s="333">
        <f t="shared" si="14"/>
        <v>525</v>
      </c>
      <c r="R300" s="23" t="str">
        <f>VLOOKUP(C:C,'Historic Data - working'!A:B,1,FALSE)</f>
        <v>BIR146</v>
      </c>
      <c r="U300" s="323"/>
      <c r="V300" s="323"/>
      <c r="W300" s="323"/>
    </row>
    <row r="301" spans="1:23" s="23" customFormat="1" ht="14.25" hidden="1" outlineLevel="1" x14ac:dyDescent="0.2">
      <c r="A301" s="381" t="s">
        <v>828</v>
      </c>
      <c r="B301" s="381" t="s">
        <v>324</v>
      </c>
      <c r="C301" s="389" t="s">
        <v>1407</v>
      </c>
      <c r="D301" s="381" t="s">
        <v>1408</v>
      </c>
      <c r="E301" s="383" t="s">
        <v>1409</v>
      </c>
      <c r="F301" s="381" t="s">
        <v>1394</v>
      </c>
      <c r="G301" s="384"/>
      <c r="H301" s="24"/>
      <c r="I301" s="24"/>
      <c r="J301" s="25" t="str">
        <f t="shared" si="12"/>
        <v xml:space="preserve"> </v>
      </c>
      <c r="K301" s="385"/>
      <c r="L301" s="385"/>
      <c r="M301" s="386">
        <f t="shared" si="13"/>
        <v>0</v>
      </c>
      <c r="N301" s="496">
        <v>202.22</v>
      </c>
      <c r="O301" s="333">
        <f t="shared" si="14"/>
        <v>202.22</v>
      </c>
      <c r="R301" s="23" t="str">
        <f>VLOOKUP(C:C,'Historic Data - working'!A:B,1,FALSE)</f>
        <v>BIR147</v>
      </c>
      <c r="U301" s="323"/>
      <c r="V301" s="323"/>
      <c r="W301" s="323"/>
    </row>
    <row r="302" spans="1:23" s="23" customFormat="1" ht="14.25" hidden="1" outlineLevel="1" x14ac:dyDescent="0.2">
      <c r="A302" s="381" t="s">
        <v>828</v>
      </c>
      <c r="B302" s="381" t="s">
        <v>324</v>
      </c>
      <c r="C302" s="389" t="s">
        <v>1410</v>
      </c>
      <c r="D302" s="381" t="s">
        <v>1411</v>
      </c>
      <c r="E302" s="383" t="s">
        <v>1412</v>
      </c>
      <c r="F302" s="381" t="s">
        <v>1394</v>
      </c>
      <c r="G302" s="384"/>
      <c r="H302" s="24"/>
      <c r="I302" s="24"/>
      <c r="J302" s="25" t="str">
        <f t="shared" si="12"/>
        <v xml:space="preserve"> </v>
      </c>
      <c r="K302" s="390" t="s">
        <v>321</v>
      </c>
      <c r="L302" s="385">
        <v>234.86</v>
      </c>
      <c r="M302" s="386">
        <f t="shared" si="13"/>
        <v>234.86</v>
      </c>
      <c r="N302" s="496">
        <v>10</v>
      </c>
      <c r="O302" s="333">
        <f t="shared" si="14"/>
        <v>244.86</v>
      </c>
      <c r="R302" s="23" t="str">
        <f>VLOOKUP(C:C,'Historic Data - working'!A:B,1,FALSE)</f>
        <v>BIR148</v>
      </c>
      <c r="U302" s="323"/>
      <c r="V302" s="323"/>
      <c r="W302" s="323"/>
    </row>
    <row r="303" spans="1:23" s="23" customFormat="1" ht="14.25" hidden="1" outlineLevel="1" x14ac:dyDescent="0.2">
      <c r="A303" s="381" t="s">
        <v>828</v>
      </c>
      <c r="B303" s="381" t="s">
        <v>324</v>
      </c>
      <c r="C303" s="389" t="s">
        <v>1413</v>
      </c>
      <c r="D303" s="381" t="s">
        <v>1414</v>
      </c>
      <c r="E303" s="383" t="s">
        <v>1415</v>
      </c>
      <c r="F303" s="381" t="s">
        <v>1394</v>
      </c>
      <c r="G303" s="384"/>
      <c r="H303" s="24"/>
      <c r="I303" s="24"/>
      <c r="J303" s="25" t="str">
        <f t="shared" si="12"/>
        <v xml:space="preserve"> </v>
      </c>
      <c r="K303" s="385"/>
      <c r="L303" s="385"/>
      <c r="M303" s="386">
        <f t="shared" si="13"/>
        <v>0</v>
      </c>
      <c r="N303" s="496">
        <v>5</v>
      </c>
      <c r="O303" s="333">
        <f t="shared" si="14"/>
        <v>5</v>
      </c>
      <c r="R303" s="23" t="str">
        <f>VLOOKUP(C:C,'Historic Data - working'!A:B,1,FALSE)</f>
        <v>BIR149</v>
      </c>
      <c r="U303" s="323"/>
      <c r="V303" s="323"/>
      <c r="W303" s="323"/>
    </row>
    <row r="304" spans="1:23" s="23" customFormat="1" ht="14.25" hidden="1" outlineLevel="1" x14ac:dyDescent="0.2">
      <c r="A304" s="381" t="s">
        <v>828</v>
      </c>
      <c r="B304" s="381" t="s">
        <v>324</v>
      </c>
      <c r="C304" s="389" t="s">
        <v>1416</v>
      </c>
      <c r="D304" s="381" t="s">
        <v>1417</v>
      </c>
      <c r="E304" s="383" t="s">
        <v>1418</v>
      </c>
      <c r="F304" s="381" t="s">
        <v>1394</v>
      </c>
      <c r="G304" s="384"/>
      <c r="H304" s="24"/>
      <c r="I304" s="24"/>
      <c r="J304" s="25" t="str">
        <f t="shared" si="12"/>
        <v xml:space="preserve"> </v>
      </c>
      <c r="K304" s="385"/>
      <c r="L304" s="385"/>
      <c r="M304" s="386">
        <f t="shared" si="13"/>
        <v>0</v>
      </c>
      <c r="N304" s="496">
        <v>154</v>
      </c>
      <c r="O304" s="333">
        <f t="shared" si="14"/>
        <v>154</v>
      </c>
      <c r="R304" s="23" t="str">
        <f>VLOOKUP(C:C,'Historic Data - working'!A:B,1,FALSE)</f>
        <v>BIR150</v>
      </c>
      <c r="U304" s="323"/>
      <c r="V304" s="323"/>
      <c r="W304" s="323"/>
    </row>
    <row r="305" spans="1:23" s="23" customFormat="1" ht="14.25" hidden="1" outlineLevel="1" x14ac:dyDescent="0.2">
      <c r="A305" s="381" t="s">
        <v>828</v>
      </c>
      <c r="B305" s="381" t="s">
        <v>324</v>
      </c>
      <c r="C305" s="389" t="s">
        <v>1419</v>
      </c>
      <c r="D305" s="381" t="s">
        <v>1420</v>
      </c>
      <c r="E305" s="383" t="s">
        <v>1421</v>
      </c>
      <c r="F305" s="381" t="s">
        <v>1422</v>
      </c>
      <c r="G305" s="384" t="s">
        <v>329</v>
      </c>
      <c r="H305" s="24">
        <f>177.38+203.69+346.8+138.31+369.47+50.87+75.06+19.47</f>
        <v>1381.05</v>
      </c>
      <c r="I305" s="24"/>
      <c r="J305" s="25" t="str">
        <f t="shared" si="12"/>
        <v>1</v>
      </c>
      <c r="K305" s="385"/>
      <c r="L305" s="385"/>
      <c r="M305" s="386">
        <f t="shared" si="13"/>
        <v>1381.05</v>
      </c>
      <c r="N305" s="496"/>
      <c r="O305" s="333">
        <f t="shared" si="14"/>
        <v>1381.05</v>
      </c>
      <c r="R305" s="23" t="str">
        <f>VLOOKUP(C:C,'Historic Data - working'!A:B,1,FALSE)</f>
        <v>BIR151</v>
      </c>
      <c r="U305" s="323"/>
      <c r="V305" s="323"/>
      <c r="W305" s="323"/>
    </row>
    <row r="306" spans="1:23" s="23" customFormat="1" ht="14.25" hidden="1" outlineLevel="1" x14ac:dyDescent="0.2">
      <c r="A306" s="381" t="s">
        <v>828</v>
      </c>
      <c r="B306" s="381" t="s">
        <v>324</v>
      </c>
      <c r="C306" s="389" t="s">
        <v>1423</v>
      </c>
      <c r="D306" s="381" t="s">
        <v>1424</v>
      </c>
      <c r="E306" s="383" t="s">
        <v>1425</v>
      </c>
      <c r="F306" s="381" t="s">
        <v>1426</v>
      </c>
      <c r="G306" s="384" t="s">
        <v>329</v>
      </c>
      <c r="H306" s="24">
        <f>89+81</f>
        <v>170</v>
      </c>
      <c r="I306" s="24"/>
      <c r="J306" s="25" t="str">
        <f t="shared" si="12"/>
        <v>1</v>
      </c>
      <c r="K306" s="385"/>
      <c r="L306" s="385"/>
      <c r="M306" s="386">
        <f t="shared" si="13"/>
        <v>170</v>
      </c>
      <c r="N306" s="496">
        <v>415</v>
      </c>
      <c r="O306" s="333">
        <f t="shared" si="14"/>
        <v>585</v>
      </c>
      <c r="R306" s="23" t="str">
        <f>VLOOKUP(C:C,'Historic Data - working'!A:B,1,FALSE)</f>
        <v>BIR152</v>
      </c>
      <c r="U306" s="323"/>
      <c r="V306" s="323"/>
      <c r="W306" s="323"/>
    </row>
    <row r="307" spans="1:23" s="23" customFormat="1" ht="14.25" hidden="1" outlineLevel="1" x14ac:dyDescent="0.2">
      <c r="A307" s="381" t="s">
        <v>828</v>
      </c>
      <c r="B307" s="381" t="s">
        <v>324</v>
      </c>
      <c r="C307" s="389" t="s">
        <v>1427</v>
      </c>
      <c r="D307" s="381" t="s">
        <v>1428</v>
      </c>
      <c r="E307" s="383" t="s">
        <v>226</v>
      </c>
      <c r="F307" s="381" t="s">
        <v>1429</v>
      </c>
      <c r="G307" s="384"/>
      <c r="H307" s="24"/>
      <c r="I307" s="24"/>
      <c r="J307" s="25" t="str">
        <f t="shared" si="12"/>
        <v xml:space="preserve"> </v>
      </c>
      <c r="K307" s="385"/>
      <c r="L307" s="385"/>
      <c r="M307" s="386">
        <f t="shared" si="13"/>
        <v>0</v>
      </c>
      <c r="N307" s="496"/>
      <c r="O307" s="333">
        <f t="shared" si="14"/>
        <v>0</v>
      </c>
      <c r="R307" s="23" t="e">
        <f>VLOOKUP(C:C,'Historic Data - working'!A:B,1,FALSE)</f>
        <v>#N/A</v>
      </c>
      <c r="U307" s="323"/>
      <c r="V307" s="323"/>
      <c r="W307" s="323"/>
    </row>
    <row r="308" spans="1:23" s="23" customFormat="1" ht="14.25" hidden="1" outlineLevel="1" x14ac:dyDescent="0.2">
      <c r="A308" s="381" t="s">
        <v>828</v>
      </c>
      <c r="B308" s="381" t="s">
        <v>324</v>
      </c>
      <c r="C308" s="389" t="s">
        <v>1430</v>
      </c>
      <c r="D308" s="381" t="s">
        <v>1431</v>
      </c>
      <c r="E308" s="383" t="s">
        <v>1087</v>
      </c>
      <c r="F308" s="381" t="s">
        <v>1432</v>
      </c>
      <c r="G308" s="384"/>
      <c r="H308" s="24"/>
      <c r="I308" s="24"/>
      <c r="J308" s="25" t="str">
        <f t="shared" si="12"/>
        <v xml:space="preserve"> </v>
      </c>
      <c r="K308" s="385"/>
      <c r="L308" s="385"/>
      <c r="M308" s="386">
        <f t="shared" si="13"/>
        <v>0</v>
      </c>
      <c r="N308" s="496"/>
      <c r="O308" s="333">
        <f t="shared" si="14"/>
        <v>0</v>
      </c>
      <c r="R308" s="23" t="e">
        <f>VLOOKUP(C:C,'Historic Data - working'!A:B,1,FALSE)</f>
        <v>#N/A</v>
      </c>
      <c r="U308" s="323"/>
      <c r="V308" s="323"/>
      <c r="W308" s="323"/>
    </row>
    <row r="309" spans="1:23" s="23" customFormat="1" ht="14.25" hidden="1" outlineLevel="1" x14ac:dyDescent="0.2">
      <c r="A309" s="381" t="s">
        <v>828</v>
      </c>
      <c r="B309" s="381" t="s">
        <v>324</v>
      </c>
      <c r="C309" s="389" t="s">
        <v>1433</v>
      </c>
      <c r="D309" s="381" t="s">
        <v>1434</v>
      </c>
      <c r="E309" s="383" t="s">
        <v>1435</v>
      </c>
      <c r="F309" s="381" t="s">
        <v>1436</v>
      </c>
      <c r="G309" s="384"/>
      <c r="H309" s="24"/>
      <c r="I309" s="24"/>
      <c r="J309" s="25" t="str">
        <f t="shared" si="12"/>
        <v xml:space="preserve"> </v>
      </c>
      <c r="K309" s="385"/>
      <c r="L309" s="385"/>
      <c r="M309" s="386">
        <f t="shared" si="13"/>
        <v>0</v>
      </c>
      <c r="N309" s="496"/>
      <c r="O309" s="333">
        <f t="shared" si="14"/>
        <v>0</v>
      </c>
      <c r="R309" s="23" t="e">
        <f>VLOOKUP(C:C,'Historic Data - working'!A:B,1,FALSE)</f>
        <v>#N/A</v>
      </c>
      <c r="U309" s="323"/>
      <c r="V309" s="323"/>
      <c r="W309" s="323"/>
    </row>
    <row r="310" spans="1:23" s="23" customFormat="1" ht="14.25" hidden="1" outlineLevel="1" x14ac:dyDescent="0.2">
      <c r="A310" s="381" t="s">
        <v>828</v>
      </c>
      <c r="B310" s="381" t="s">
        <v>324</v>
      </c>
      <c r="C310" s="389" t="s">
        <v>1437</v>
      </c>
      <c r="D310" s="381" t="s">
        <v>1438</v>
      </c>
      <c r="E310" s="383" t="s">
        <v>83</v>
      </c>
      <c r="F310" s="381" t="s">
        <v>1439</v>
      </c>
      <c r="G310" s="384" t="s">
        <v>329</v>
      </c>
      <c r="H310" s="24">
        <f>284.19+212+147+240.66+7.58</f>
        <v>891.43000000000006</v>
      </c>
      <c r="I310" s="24"/>
      <c r="J310" s="25" t="str">
        <f t="shared" si="12"/>
        <v>1</v>
      </c>
      <c r="K310" s="385"/>
      <c r="L310" s="385"/>
      <c r="M310" s="386">
        <f t="shared" si="13"/>
        <v>891.43000000000006</v>
      </c>
      <c r="N310" s="496">
        <v>235</v>
      </c>
      <c r="O310" s="333">
        <f t="shared" si="14"/>
        <v>1126.43</v>
      </c>
      <c r="R310" s="23" t="str">
        <f>VLOOKUP(C:C,'Historic Data - working'!A:B,1,FALSE)</f>
        <v>BIR153</v>
      </c>
      <c r="U310" s="323"/>
      <c r="V310" s="323"/>
      <c r="W310" s="323"/>
    </row>
    <row r="311" spans="1:23" s="23" customFormat="1" ht="14.25" hidden="1" outlineLevel="1" x14ac:dyDescent="0.2">
      <c r="A311" s="381" t="s">
        <v>828</v>
      </c>
      <c r="B311" s="381" t="s">
        <v>324</v>
      </c>
      <c r="C311" s="389" t="s">
        <v>1440</v>
      </c>
      <c r="D311" s="381" t="s">
        <v>1441</v>
      </c>
      <c r="E311" s="383" t="s">
        <v>1442</v>
      </c>
      <c r="F311" s="381" t="s">
        <v>1439</v>
      </c>
      <c r="G311" s="384" t="s">
        <v>329</v>
      </c>
      <c r="H311" s="24">
        <f>229.93+265.07+345.74</f>
        <v>840.74</v>
      </c>
      <c r="I311" s="24"/>
      <c r="J311" s="25" t="str">
        <f t="shared" si="12"/>
        <v>1</v>
      </c>
      <c r="K311" s="385"/>
      <c r="L311" s="385"/>
      <c r="M311" s="386">
        <f t="shared" si="13"/>
        <v>840.74</v>
      </c>
      <c r="N311" s="496">
        <v>480</v>
      </c>
      <c r="O311" s="333">
        <f t="shared" si="14"/>
        <v>1320.74</v>
      </c>
      <c r="R311" s="23" t="str">
        <f>VLOOKUP(C:C,'Historic Data - working'!A:B,1,FALSE)</f>
        <v>BIR154</v>
      </c>
      <c r="U311" s="323"/>
      <c r="V311" s="323"/>
      <c r="W311" s="323"/>
    </row>
    <row r="312" spans="1:23" s="23" customFormat="1" ht="14.25" hidden="1" outlineLevel="1" x14ac:dyDescent="0.2">
      <c r="A312" s="381" t="s">
        <v>828</v>
      </c>
      <c r="B312" s="381" t="s">
        <v>324</v>
      </c>
      <c r="C312" s="389" t="s">
        <v>1443</v>
      </c>
      <c r="D312" s="381" t="s">
        <v>1444</v>
      </c>
      <c r="E312" s="383" t="s">
        <v>1445</v>
      </c>
      <c r="F312" s="381" t="s">
        <v>1439</v>
      </c>
      <c r="G312" s="384" t="s">
        <v>329</v>
      </c>
      <c r="H312" s="24">
        <v>3686.09</v>
      </c>
      <c r="I312" s="24"/>
      <c r="J312" s="25" t="str">
        <f t="shared" si="12"/>
        <v>1</v>
      </c>
      <c r="K312" s="385" t="s">
        <v>1446</v>
      </c>
      <c r="L312" s="385">
        <v>-426.53999999999996</v>
      </c>
      <c r="M312" s="386">
        <f t="shared" si="13"/>
        <v>3259.55</v>
      </c>
      <c r="N312" s="496">
        <v>220</v>
      </c>
      <c r="O312" s="333">
        <f t="shared" si="14"/>
        <v>3479.55</v>
      </c>
      <c r="R312" s="23" t="str">
        <f>VLOOKUP(C:C,'Historic Data - working'!A:B,1,FALSE)</f>
        <v>BIR155</v>
      </c>
      <c r="U312" s="323"/>
      <c r="V312" s="323"/>
      <c r="W312" s="323"/>
    </row>
    <row r="313" spans="1:23" s="23" customFormat="1" ht="14.25" hidden="1" outlineLevel="1" x14ac:dyDescent="0.2">
      <c r="A313" s="381" t="s">
        <v>828</v>
      </c>
      <c r="B313" s="381" t="s">
        <v>324</v>
      </c>
      <c r="C313" s="389" t="s">
        <v>1447</v>
      </c>
      <c r="D313" s="381" t="s">
        <v>1448</v>
      </c>
      <c r="E313" s="383" t="s">
        <v>1449</v>
      </c>
      <c r="F313" s="381" t="s">
        <v>1450</v>
      </c>
      <c r="G313" s="384" t="s">
        <v>329</v>
      </c>
      <c r="H313" s="24">
        <v>1399</v>
      </c>
      <c r="I313" s="24"/>
      <c r="J313" s="25" t="str">
        <f t="shared" si="12"/>
        <v>1</v>
      </c>
      <c r="K313" s="385" t="s">
        <v>1451</v>
      </c>
      <c r="L313" s="385">
        <v>0.9</v>
      </c>
      <c r="M313" s="386">
        <f t="shared" si="13"/>
        <v>1399.9</v>
      </c>
      <c r="N313" s="496">
        <v>30</v>
      </c>
      <c r="O313" s="333">
        <f t="shared" si="14"/>
        <v>1429.9</v>
      </c>
      <c r="R313" s="23" t="str">
        <f>VLOOKUP(C:C,'Historic Data - working'!A:B,1,FALSE)</f>
        <v>BIR156</v>
      </c>
      <c r="U313" s="323"/>
      <c r="V313" s="323"/>
      <c r="W313" s="323"/>
    </row>
    <row r="314" spans="1:23" s="23" customFormat="1" ht="14.25" hidden="1" outlineLevel="1" x14ac:dyDescent="0.2">
      <c r="A314" s="381" t="s">
        <v>828</v>
      </c>
      <c r="B314" s="381" t="s">
        <v>324</v>
      </c>
      <c r="C314" s="389" t="s">
        <v>1452</v>
      </c>
      <c r="D314" s="381" t="s">
        <v>1453</v>
      </c>
      <c r="E314" s="383" t="s">
        <v>1454</v>
      </c>
      <c r="F314" s="381" t="s">
        <v>1455</v>
      </c>
      <c r="G314" s="384" t="s">
        <v>329</v>
      </c>
      <c r="H314" s="24">
        <v>1095.68</v>
      </c>
      <c r="I314" s="24"/>
      <c r="J314" s="25" t="str">
        <f t="shared" si="12"/>
        <v>1</v>
      </c>
      <c r="K314" s="385"/>
      <c r="L314" s="385"/>
      <c r="M314" s="386">
        <f t="shared" si="13"/>
        <v>1095.68</v>
      </c>
      <c r="N314" s="496">
        <v>189.89</v>
      </c>
      <c r="O314" s="333">
        <f t="shared" si="14"/>
        <v>1285.5700000000002</v>
      </c>
      <c r="R314" s="23" t="str">
        <f>VLOOKUP(C:C,'Historic Data - working'!A:B,1,FALSE)</f>
        <v>BIR157</v>
      </c>
      <c r="U314" s="323"/>
      <c r="V314" s="323"/>
      <c r="W314" s="323"/>
    </row>
    <row r="315" spans="1:23" s="23" customFormat="1" ht="14.25" hidden="1" outlineLevel="1" x14ac:dyDescent="0.2">
      <c r="A315" s="381" t="s">
        <v>828</v>
      </c>
      <c r="B315" s="381" t="s">
        <v>324</v>
      </c>
      <c r="C315" s="389" t="s">
        <v>1456</v>
      </c>
      <c r="D315" s="381" t="s">
        <v>1457</v>
      </c>
      <c r="E315" s="383" t="s">
        <v>896</v>
      </c>
      <c r="F315" s="381" t="s">
        <v>1458</v>
      </c>
      <c r="G315" s="384" t="s">
        <v>329</v>
      </c>
      <c r="H315" s="24">
        <f>111.69+93.16+232.15+199.27+75</f>
        <v>711.27</v>
      </c>
      <c r="I315" s="24"/>
      <c r="J315" s="25" t="str">
        <f t="shared" si="12"/>
        <v>1</v>
      </c>
      <c r="K315" s="385" t="s">
        <v>1459</v>
      </c>
      <c r="L315" s="385">
        <v>236.2</v>
      </c>
      <c r="M315" s="386">
        <f t="shared" si="13"/>
        <v>947.47</v>
      </c>
      <c r="N315" s="496"/>
      <c r="O315" s="333">
        <f t="shared" si="14"/>
        <v>947.47</v>
      </c>
      <c r="R315" s="23" t="str">
        <f>VLOOKUP(C:C,'Historic Data - working'!A:B,1,FALSE)</f>
        <v>BIR158</v>
      </c>
      <c r="U315" s="323"/>
      <c r="V315" s="323"/>
      <c r="W315" s="323"/>
    </row>
    <row r="316" spans="1:23" s="23" customFormat="1" ht="14.25" hidden="1" outlineLevel="1" x14ac:dyDescent="0.2">
      <c r="A316" s="381" t="s">
        <v>828</v>
      </c>
      <c r="B316" s="381" t="s">
        <v>324</v>
      </c>
      <c r="C316" s="389" t="s">
        <v>1460</v>
      </c>
      <c r="D316" s="381" t="s">
        <v>1461</v>
      </c>
      <c r="E316" s="383" t="s">
        <v>1462</v>
      </c>
      <c r="F316" s="381" t="s">
        <v>1463</v>
      </c>
      <c r="G316" s="384" t="s">
        <v>329</v>
      </c>
      <c r="H316" s="24">
        <f>239.52+172.58</f>
        <v>412.1</v>
      </c>
      <c r="I316" s="24"/>
      <c r="J316" s="25" t="str">
        <f t="shared" si="12"/>
        <v>1</v>
      </c>
      <c r="K316" s="385"/>
      <c r="L316" s="385"/>
      <c r="M316" s="386">
        <f t="shared" si="13"/>
        <v>412.1</v>
      </c>
      <c r="N316" s="496">
        <v>180</v>
      </c>
      <c r="O316" s="333">
        <f t="shared" si="14"/>
        <v>592.1</v>
      </c>
      <c r="R316" s="23" t="str">
        <f>VLOOKUP(C:C,'Historic Data - working'!A:B,1,FALSE)</f>
        <v>BIR159</v>
      </c>
      <c r="U316" s="323"/>
      <c r="V316" s="323"/>
      <c r="W316" s="323"/>
    </row>
    <row r="317" spans="1:23" s="23" customFormat="1" ht="14.25" hidden="1" outlineLevel="1" x14ac:dyDescent="0.2">
      <c r="A317" s="381" t="s">
        <v>828</v>
      </c>
      <c r="B317" s="381" t="s">
        <v>324</v>
      </c>
      <c r="C317" s="389" t="s">
        <v>1464</v>
      </c>
      <c r="D317" s="381" t="s">
        <v>1465</v>
      </c>
      <c r="E317" s="383" t="s">
        <v>942</v>
      </c>
      <c r="F317" s="381" t="s">
        <v>1466</v>
      </c>
      <c r="G317" s="384"/>
      <c r="H317" s="24"/>
      <c r="I317" s="24"/>
      <c r="J317" s="25" t="str">
        <f t="shared" si="12"/>
        <v xml:space="preserve"> </v>
      </c>
      <c r="K317" s="385"/>
      <c r="L317" s="385"/>
      <c r="M317" s="386">
        <f t="shared" si="13"/>
        <v>0</v>
      </c>
      <c r="N317" s="496"/>
      <c r="O317" s="333">
        <f t="shared" si="14"/>
        <v>0</v>
      </c>
      <c r="R317" s="23" t="e">
        <f>VLOOKUP(C:C,'Historic Data - working'!A:B,1,FALSE)</f>
        <v>#N/A</v>
      </c>
      <c r="U317" s="323"/>
      <c r="V317" s="323"/>
      <c r="W317" s="323"/>
    </row>
    <row r="318" spans="1:23" s="23" customFormat="1" ht="14.25" hidden="1" outlineLevel="1" x14ac:dyDescent="0.2">
      <c r="A318" s="381" t="s">
        <v>828</v>
      </c>
      <c r="B318" s="381" t="s">
        <v>324</v>
      </c>
      <c r="C318" s="389" t="s">
        <v>1467</v>
      </c>
      <c r="D318" s="381" t="s">
        <v>1468</v>
      </c>
      <c r="E318" s="383" t="s">
        <v>1469</v>
      </c>
      <c r="F318" s="381" t="s">
        <v>1470</v>
      </c>
      <c r="G318" s="384" t="s">
        <v>329</v>
      </c>
      <c r="H318" s="24">
        <f>1718.51+100</f>
        <v>1818.51</v>
      </c>
      <c r="I318" s="24"/>
      <c r="J318" s="25" t="str">
        <f t="shared" si="12"/>
        <v>1</v>
      </c>
      <c r="K318" s="385" t="s">
        <v>1471</v>
      </c>
      <c r="L318" s="385">
        <v>-100</v>
      </c>
      <c r="M318" s="386">
        <f t="shared" si="13"/>
        <v>1718.51</v>
      </c>
      <c r="N318" s="496">
        <v>290</v>
      </c>
      <c r="O318" s="333">
        <f t="shared" si="14"/>
        <v>2008.51</v>
      </c>
      <c r="R318" s="23" t="str">
        <f>VLOOKUP(C:C,'Historic Data - working'!A:B,1,FALSE)</f>
        <v>BIR160</v>
      </c>
      <c r="U318" s="323"/>
      <c r="V318" s="323"/>
      <c r="W318" s="323"/>
    </row>
    <row r="319" spans="1:23" s="23" customFormat="1" ht="14.25" hidden="1" outlineLevel="1" x14ac:dyDescent="0.2">
      <c r="A319" s="381" t="s">
        <v>828</v>
      </c>
      <c r="B319" s="381" t="s">
        <v>324</v>
      </c>
      <c r="C319" s="389" t="s">
        <v>1472</v>
      </c>
      <c r="D319" s="381" t="s">
        <v>1473</v>
      </c>
      <c r="E319" s="383" t="s">
        <v>231</v>
      </c>
      <c r="F319" s="381" t="s">
        <v>1474</v>
      </c>
      <c r="G319" s="384"/>
      <c r="H319" s="24"/>
      <c r="I319" s="24"/>
      <c r="J319" s="25" t="str">
        <f t="shared" si="12"/>
        <v xml:space="preserve"> </v>
      </c>
      <c r="K319" s="385"/>
      <c r="L319" s="385"/>
      <c r="M319" s="386">
        <f t="shared" si="13"/>
        <v>0</v>
      </c>
      <c r="N319" s="496">
        <v>65</v>
      </c>
      <c r="O319" s="333">
        <f t="shared" si="14"/>
        <v>65</v>
      </c>
      <c r="R319" s="23" t="str">
        <f>VLOOKUP(C:C,'Historic Data - working'!A:B,1,FALSE)</f>
        <v>BIR161</v>
      </c>
      <c r="U319" s="323"/>
      <c r="V319" s="323"/>
      <c r="W319" s="323"/>
    </row>
    <row r="320" spans="1:23" s="23" customFormat="1" ht="14.25" hidden="1" outlineLevel="1" x14ac:dyDescent="0.2">
      <c r="A320" s="381" t="s">
        <v>828</v>
      </c>
      <c r="B320" s="381" t="s">
        <v>324</v>
      </c>
      <c r="C320" s="389" t="s">
        <v>1475</v>
      </c>
      <c r="D320" s="381" t="s">
        <v>1476</v>
      </c>
      <c r="E320" s="383" t="s">
        <v>1477</v>
      </c>
      <c r="F320" s="381" t="s">
        <v>1478</v>
      </c>
      <c r="G320" s="384"/>
      <c r="H320" s="24"/>
      <c r="I320" s="24"/>
      <c r="J320" s="25" t="str">
        <f t="shared" si="12"/>
        <v xml:space="preserve"> </v>
      </c>
      <c r="K320" s="385"/>
      <c r="L320" s="385"/>
      <c r="M320" s="386">
        <f t="shared" si="13"/>
        <v>0</v>
      </c>
      <c r="N320" s="496">
        <v>35</v>
      </c>
      <c r="O320" s="333">
        <f t="shared" si="14"/>
        <v>35</v>
      </c>
      <c r="R320" s="23" t="str">
        <f>VLOOKUP(C:C,'Historic Data - working'!A:B,1,FALSE)</f>
        <v>BIR162</v>
      </c>
      <c r="U320" s="323"/>
      <c r="V320" s="323"/>
      <c r="W320" s="323"/>
    </row>
    <row r="321" spans="1:23" s="23" customFormat="1" ht="14.25" hidden="1" outlineLevel="1" x14ac:dyDescent="0.2">
      <c r="A321" s="381" t="s">
        <v>828</v>
      </c>
      <c r="B321" s="381" t="s">
        <v>324</v>
      </c>
      <c r="C321" s="389" t="s">
        <v>1479</v>
      </c>
      <c r="D321" s="381" t="s">
        <v>1480</v>
      </c>
      <c r="E321" s="383" t="s">
        <v>1481</v>
      </c>
      <c r="F321" s="381" t="s">
        <v>1478</v>
      </c>
      <c r="G321" s="384"/>
      <c r="H321" s="24"/>
      <c r="I321" s="24"/>
      <c r="J321" s="25" t="str">
        <f t="shared" si="12"/>
        <v xml:space="preserve"> </v>
      </c>
      <c r="K321" s="385"/>
      <c r="L321" s="385"/>
      <c r="M321" s="386">
        <f t="shared" si="13"/>
        <v>0</v>
      </c>
      <c r="N321" s="496"/>
      <c r="O321" s="333">
        <f t="shared" si="14"/>
        <v>0</v>
      </c>
      <c r="R321" s="23" t="e">
        <f>VLOOKUP(C:C,'Historic Data - working'!A:B,1,FALSE)</f>
        <v>#N/A</v>
      </c>
      <c r="U321" s="323"/>
      <c r="V321" s="323"/>
      <c r="W321" s="323"/>
    </row>
    <row r="322" spans="1:23" s="23" customFormat="1" ht="14.25" hidden="1" outlineLevel="1" x14ac:dyDescent="0.2">
      <c r="A322" s="381" t="s">
        <v>828</v>
      </c>
      <c r="B322" s="381" t="s">
        <v>324</v>
      </c>
      <c r="C322" s="389" t="s">
        <v>1482</v>
      </c>
      <c r="D322" s="381" t="s">
        <v>1483</v>
      </c>
      <c r="E322" s="383" t="s">
        <v>1484</v>
      </c>
      <c r="F322" s="381" t="s">
        <v>1485</v>
      </c>
      <c r="G322" s="384" t="s">
        <v>329</v>
      </c>
      <c r="H322" s="24">
        <v>6058.33</v>
      </c>
      <c r="I322" s="24">
        <v>55</v>
      </c>
      <c r="J322" s="25" t="str">
        <f t="shared" ref="J322:J354" si="15">IF(G322="Y","1"," ")</f>
        <v>1</v>
      </c>
      <c r="K322" s="385" t="s">
        <v>1486</v>
      </c>
      <c r="L322" s="385">
        <v>0.6</v>
      </c>
      <c r="M322" s="386">
        <f t="shared" ref="M322:M385" si="16">H322+L322</f>
        <v>6058.93</v>
      </c>
      <c r="N322" s="496">
        <v>480</v>
      </c>
      <c r="O322" s="333">
        <f t="shared" ref="O322:O385" si="17">M322+N322</f>
        <v>6538.93</v>
      </c>
      <c r="R322" s="23" t="str">
        <f>VLOOKUP(C:C,'Historic Data - working'!A:B,1,FALSE)</f>
        <v>BIR163</v>
      </c>
      <c r="U322" s="323"/>
      <c r="V322" s="323"/>
      <c r="W322" s="323"/>
    </row>
    <row r="323" spans="1:23" s="23" customFormat="1" ht="14.25" hidden="1" outlineLevel="1" x14ac:dyDescent="0.2">
      <c r="A323" s="381" t="s">
        <v>828</v>
      </c>
      <c r="B323" s="381" t="s">
        <v>324</v>
      </c>
      <c r="C323" s="389" t="s">
        <v>1487</v>
      </c>
      <c r="D323" s="381" t="s">
        <v>1488</v>
      </c>
      <c r="E323" s="383" t="s">
        <v>1489</v>
      </c>
      <c r="F323" s="381" t="s">
        <v>1490</v>
      </c>
      <c r="G323" s="384" t="s">
        <v>329</v>
      </c>
      <c r="H323" s="24">
        <f>540.68+215.08</f>
        <v>755.76</v>
      </c>
      <c r="I323" s="24"/>
      <c r="J323" s="25" t="str">
        <f t="shared" si="15"/>
        <v>1</v>
      </c>
      <c r="K323" s="385" t="s">
        <v>1491</v>
      </c>
      <c r="L323" s="385">
        <v>-0.02</v>
      </c>
      <c r="M323" s="386">
        <f t="shared" si="16"/>
        <v>755.74</v>
      </c>
      <c r="N323" s="496">
        <v>660</v>
      </c>
      <c r="O323" s="333">
        <f t="shared" si="17"/>
        <v>1415.74</v>
      </c>
      <c r="R323" s="23" t="str">
        <f>VLOOKUP(C:C,'Historic Data - working'!A:B,1,FALSE)</f>
        <v>BIR164</v>
      </c>
      <c r="U323" s="323"/>
      <c r="V323" s="323"/>
      <c r="W323" s="323"/>
    </row>
    <row r="324" spans="1:23" s="23" customFormat="1" ht="14.25" hidden="1" outlineLevel="1" x14ac:dyDescent="0.2">
      <c r="A324" s="381" t="s">
        <v>828</v>
      </c>
      <c r="B324" s="381" t="s">
        <v>324</v>
      </c>
      <c r="C324" s="389" t="s">
        <v>1492</v>
      </c>
      <c r="D324" s="381" t="s">
        <v>1493</v>
      </c>
      <c r="E324" s="383" t="s">
        <v>1494</v>
      </c>
      <c r="F324" s="381" t="s">
        <v>1495</v>
      </c>
      <c r="G324" s="384" t="s">
        <v>329</v>
      </c>
      <c r="H324" s="24">
        <f>195.24+241.23+107.42</f>
        <v>543.89</v>
      </c>
      <c r="I324" s="24"/>
      <c r="J324" s="25" t="str">
        <f t="shared" si="15"/>
        <v>1</v>
      </c>
      <c r="K324" s="385"/>
      <c r="L324" s="385"/>
      <c r="M324" s="386">
        <f t="shared" si="16"/>
        <v>543.89</v>
      </c>
      <c r="N324" s="496">
        <v>100</v>
      </c>
      <c r="O324" s="333">
        <f t="shared" si="17"/>
        <v>643.89</v>
      </c>
      <c r="R324" s="23" t="str">
        <f>VLOOKUP(C:C,'Historic Data - working'!A:B,1,FALSE)</f>
        <v>BIR165</v>
      </c>
      <c r="U324" s="323"/>
      <c r="V324" s="323"/>
      <c r="W324" s="323"/>
    </row>
    <row r="325" spans="1:23" s="23" customFormat="1" ht="14.25" hidden="1" outlineLevel="1" x14ac:dyDescent="0.2">
      <c r="A325" s="381" t="s">
        <v>828</v>
      </c>
      <c r="B325" s="381" t="s">
        <v>324</v>
      </c>
      <c r="C325" s="389" t="s">
        <v>1496</v>
      </c>
      <c r="D325" s="381" t="s">
        <v>1497</v>
      </c>
      <c r="E325" s="383" t="s">
        <v>1008</v>
      </c>
      <c r="F325" s="381" t="s">
        <v>1498</v>
      </c>
      <c r="G325" s="384"/>
      <c r="H325" s="24"/>
      <c r="I325" s="24"/>
      <c r="J325" s="25" t="str">
        <f t="shared" si="15"/>
        <v xml:space="preserve"> </v>
      </c>
      <c r="K325" s="385"/>
      <c r="L325" s="385"/>
      <c r="M325" s="386">
        <f t="shared" si="16"/>
        <v>0</v>
      </c>
      <c r="N325" s="496"/>
      <c r="O325" s="333">
        <f t="shared" si="17"/>
        <v>0</v>
      </c>
      <c r="R325" s="23" t="e">
        <f>VLOOKUP(C:C,'Historic Data - working'!A:B,1,FALSE)</f>
        <v>#N/A</v>
      </c>
      <c r="U325" s="323"/>
      <c r="V325" s="323"/>
      <c r="W325" s="323"/>
    </row>
    <row r="326" spans="1:23" s="23" customFormat="1" ht="14.25" hidden="1" outlineLevel="1" x14ac:dyDescent="0.2">
      <c r="A326" s="381" t="s">
        <v>828</v>
      </c>
      <c r="B326" s="381" t="s">
        <v>324</v>
      </c>
      <c r="C326" s="389" t="s">
        <v>1499</v>
      </c>
      <c r="D326" s="381" t="s">
        <v>1500</v>
      </c>
      <c r="E326" s="383" t="s">
        <v>66</v>
      </c>
      <c r="F326" s="381" t="s">
        <v>1501</v>
      </c>
      <c r="G326" s="384" t="s">
        <v>329</v>
      </c>
      <c r="H326" s="24">
        <f>76.91+103.45+59.11+55.21+35+30.94+174.94+89.01+79.58+193.73+308.72+18.29+97.22</f>
        <v>1322.11</v>
      </c>
      <c r="I326" s="24"/>
      <c r="J326" s="25" t="str">
        <f t="shared" si="15"/>
        <v>1</v>
      </c>
      <c r="K326" s="387" t="s">
        <v>1502</v>
      </c>
      <c r="L326" s="385"/>
      <c r="M326" s="386">
        <f t="shared" si="16"/>
        <v>1322.11</v>
      </c>
      <c r="N326" s="496">
        <v>30</v>
      </c>
      <c r="O326" s="333">
        <f t="shared" si="17"/>
        <v>1352.11</v>
      </c>
      <c r="R326" s="23" t="str">
        <f>VLOOKUP(C:C,'Historic Data - working'!A:B,1,FALSE)</f>
        <v>BIR166</v>
      </c>
      <c r="U326" s="323"/>
      <c r="V326" s="323"/>
      <c r="W326" s="323"/>
    </row>
    <row r="327" spans="1:23" s="23" customFormat="1" ht="14.25" hidden="1" outlineLevel="1" x14ac:dyDescent="0.2">
      <c r="A327" s="381" t="s">
        <v>828</v>
      </c>
      <c r="B327" s="381" t="s">
        <v>324</v>
      </c>
      <c r="C327" s="389" t="s">
        <v>1503</v>
      </c>
      <c r="D327" s="381" t="s">
        <v>1504</v>
      </c>
      <c r="E327" s="383" t="s">
        <v>1505</v>
      </c>
      <c r="F327" s="381" t="s">
        <v>1501</v>
      </c>
      <c r="G327" s="384" t="s">
        <v>329</v>
      </c>
      <c r="H327" s="24">
        <v>1867.46</v>
      </c>
      <c r="I327" s="24"/>
      <c r="J327" s="25" t="str">
        <f t="shared" si="15"/>
        <v>1</v>
      </c>
      <c r="K327" s="385"/>
      <c r="L327" s="385"/>
      <c r="M327" s="386">
        <f t="shared" si="16"/>
        <v>1867.46</v>
      </c>
      <c r="N327" s="496">
        <v>406</v>
      </c>
      <c r="O327" s="333">
        <f t="shared" si="17"/>
        <v>2273.46</v>
      </c>
      <c r="R327" s="23" t="str">
        <f>VLOOKUP(C:C,'Historic Data - working'!A:B,1,FALSE)</f>
        <v>BIR167</v>
      </c>
      <c r="U327" s="323"/>
      <c r="V327" s="323"/>
      <c r="W327" s="323"/>
    </row>
    <row r="328" spans="1:23" s="23" customFormat="1" ht="14.25" hidden="1" outlineLevel="1" x14ac:dyDescent="0.2">
      <c r="A328" s="381" t="s">
        <v>828</v>
      </c>
      <c r="B328" s="381" t="s">
        <v>324</v>
      </c>
      <c r="C328" s="389" t="s">
        <v>1506</v>
      </c>
      <c r="D328" s="381" t="s">
        <v>1507</v>
      </c>
      <c r="E328" s="383" t="s">
        <v>124</v>
      </c>
      <c r="F328" s="381" t="s">
        <v>1501</v>
      </c>
      <c r="G328" s="384" t="s">
        <v>329</v>
      </c>
      <c r="H328" s="24">
        <f>20+232.66+80</f>
        <v>332.65999999999997</v>
      </c>
      <c r="I328" s="24">
        <v>22.5</v>
      </c>
      <c r="J328" s="25" t="str">
        <f t="shared" si="15"/>
        <v>1</v>
      </c>
      <c r="K328" s="385" t="s">
        <v>1508</v>
      </c>
      <c r="L328" s="385"/>
      <c r="M328" s="386">
        <f t="shared" si="16"/>
        <v>332.65999999999997</v>
      </c>
      <c r="N328" s="496">
        <v>57.5</v>
      </c>
      <c r="O328" s="333">
        <f t="shared" si="17"/>
        <v>390.15999999999997</v>
      </c>
      <c r="R328" s="23" t="str">
        <f>VLOOKUP(C:C,'Historic Data - working'!A:B,1,FALSE)</f>
        <v>BIR168</v>
      </c>
      <c r="U328" s="323"/>
      <c r="V328" s="323"/>
      <c r="W328" s="323"/>
    </row>
    <row r="329" spans="1:23" s="23" customFormat="1" ht="14.25" hidden="1" outlineLevel="1" x14ac:dyDescent="0.2">
      <c r="A329" s="381" t="s">
        <v>828</v>
      </c>
      <c r="B329" s="381" t="s">
        <v>324</v>
      </c>
      <c r="C329" s="389" t="s">
        <v>1509</v>
      </c>
      <c r="D329" s="381" t="s">
        <v>1510</v>
      </c>
      <c r="E329" s="383" t="s">
        <v>1511</v>
      </c>
      <c r="F329" s="381" t="s">
        <v>1512</v>
      </c>
      <c r="G329" s="384" t="s">
        <v>329</v>
      </c>
      <c r="H329" s="24">
        <f>238+176+251</f>
        <v>665</v>
      </c>
      <c r="I329" s="24"/>
      <c r="J329" s="25" t="str">
        <f t="shared" si="15"/>
        <v>1</v>
      </c>
      <c r="K329" s="385"/>
      <c r="L329" s="385"/>
      <c r="M329" s="386">
        <f t="shared" si="16"/>
        <v>665</v>
      </c>
      <c r="N329" s="496">
        <v>50</v>
      </c>
      <c r="O329" s="333">
        <f t="shared" si="17"/>
        <v>715</v>
      </c>
      <c r="R329" s="23" t="str">
        <f>VLOOKUP(C:C,'Historic Data - working'!A:B,1,FALSE)</f>
        <v>BIR169</v>
      </c>
      <c r="U329" s="323"/>
      <c r="V329" s="323"/>
      <c r="W329" s="323"/>
    </row>
    <row r="330" spans="1:23" s="23" customFormat="1" ht="14.25" hidden="1" outlineLevel="1" x14ac:dyDescent="0.2">
      <c r="A330" s="381" t="s">
        <v>828</v>
      </c>
      <c r="B330" s="381" t="s">
        <v>324</v>
      </c>
      <c r="C330" s="389" t="s">
        <v>1513</v>
      </c>
      <c r="D330" s="381" t="s">
        <v>1514</v>
      </c>
      <c r="E330" s="383" t="s">
        <v>1515</v>
      </c>
      <c r="F330" s="381" t="s">
        <v>1516</v>
      </c>
      <c r="G330" s="384"/>
      <c r="H330" s="24"/>
      <c r="I330" s="24"/>
      <c r="J330" s="25" t="str">
        <f t="shared" si="15"/>
        <v xml:space="preserve"> </v>
      </c>
      <c r="K330" s="390" t="s">
        <v>321</v>
      </c>
      <c r="L330" s="385">
        <v>268.74</v>
      </c>
      <c r="M330" s="386">
        <f t="shared" si="16"/>
        <v>268.74</v>
      </c>
      <c r="N330" s="496">
        <v>100</v>
      </c>
      <c r="O330" s="333">
        <f t="shared" si="17"/>
        <v>368.74</v>
      </c>
      <c r="R330" s="23" t="str">
        <f>VLOOKUP(C:C,'Historic Data - working'!A:B,1,FALSE)</f>
        <v>BIR170</v>
      </c>
      <c r="U330" s="323"/>
      <c r="V330" s="323"/>
      <c r="W330" s="323"/>
    </row>
    <row r="331" spans="1:23" s="23" customFormat="1" ht="14.25" hidden="1" outlineLevel="1" x14ac:dyDescent="0.2">
      <c r="A331" s="381" t="s">
        <v>828</v>
      </c>
      <c r="B331" s="381" t="s">
        <v>324</v>
      </c>
      <c r="C331" s="389" t="s">
        <v>1517</v>
      </c>
      <c r="D331" s="381" t="s">
        <v>1518</v>
      </c>
      <c r="E331" s="383" t="s">
        <v>1519</v>
      </c>
      <c r="F331" s="381" t="s">
        <v>1512</v>
      </c>
      <c r="G331" s="384"/>
      <c r="H331" s="24"/>
      <c r="I331" s="24"/>
      <c r="J331" s="25" t="str">
        <f t="shared" si="15"/>
        <v xml:space="preserve"> </v>
      </c>
      <c r="K331" s="390" t="s">
        <v>321</v>
      </c>
      <c r="L331" s="385">
        <v>1736.76</v>
      </c>
      <c r="M331" s="386">
        <f t="shared" si="16"/>
        <v>1736.76</v>
      </c>
      <c r="N331" s="496">
        <v>35</v>
      </c>
      <c r="O331" s="333">
        <f t="shared" si="17"/>
        <v>1771.76</v>
      </c>
      <c r="R331" s="23" t="str">
        <f>VLOOKUP(C:C,'Historic Data - working'!A:B,1,FALSE)</f>
        <v>BIR171</v>
      </c>
      <c r="U331" s="323"/>
      <c r="V331" s="323"/>
      <c r="W331" s="323"/>
    </row>
    <row r="332" spans="1:23" s="23" customFormat="1" ht="14.25" hidden="1" outlineLevel="1" x14ac:dyDescent="0.2">
      <c r="A332" s="381" t="s">
        <v>828</v>
      </c>
      <c r="B332" s="381" t="s">
        <v>324</v>
      </c>
      <c r="C332" s="389" t="s">
        <v>1520</v>
      </c>
      <c r="D332" s="381" t="s">
        <v>1521</v>
      </c>
      <c r="E332" s="383" t="s">
        <v>1522</v>
      </c>
      <c r="F332" s="381" t="s">
        <v>1523</v>
      </c>
      <c r="G332" s="384" t="s">
        <v>329</v>
      </c>
      <c r="H332" s="24">
        <f>68.28+17.1+20.01</f>
        <v>105.39</v>
      </c>
      <c r="I332" s="24"/>
      <c r="J332" s="25" t="str">
        <f t="shared" si="15"/>
        <v>1</v>
      </c>
      <c r="K332" s="385" t="s">
        <v>1524</v>
      </c>
      <c r="L332" s="385"/>
      <c r="M332" s="386">
        <f t="shared" si="16"/>
        <v>105.39</v>
      </c>
      <c r="N332" s="496"/>
      <c r="O332" s="333">
        <f t="shared" si="17"/>
        <v>105.39</v>
      </c>
      <c r="R332" s="23" t="str">
        <f>VLOOKUP(C:C,'Historic Data - working'!A:B,1,FALSE)</f>
        <v>BIR173</v>
      </c>
      <c r="U332" s="323"/>
      <c r="V332" s="323"/>
      <c r="W332" s="323"/>
    </row>
    <row r="333" spans="1:23" s="23" customFormat="1" ht="14.25" hidden="1" outlineLevel="1" x14ac:dyDescent="0.2">
      <c r="A333" s="381" t="s">
        <v>828</v>
      </c>
      <c r="B333" s="381" t="s">
        <v>324</v>
      </c>
      <c r="C333" s="389" t="s">
        <v>1525</v>
      </c>
      <c r="D333" s="381" t="s">
        <v>1526</v>
      </c>
      <c r="E333" s="383" t="s">
        <v>61</v>
      </c>
      <c r="F333" s="381" t="s">
        <v>1527</v>
      </c>
      <c r="G333" s="384" t="s">
        <v>329</v>
      </c>
      <c r="H333" s="24">
        <f>575.89+578</f>
        <v>1153.8899999999999</v>
      </c>
      <c r="I333" s="24"/>
      <c r="J333" s="25" t="str">
        <f t="shared" si="15"/>
        <v>1</v>
      </c>
      <c r="K333" s="385"/>
      <c r="L333" s="385"/>
      <c r="M333" s="386">
        <f t="shared" si="16"/>
        <v>1153.8899999999999</v>
      </c>
      <c r="N333" s="496"/>
      <c r="O333" s="333">
        <f t="shared" si="17"/>
        <v>1153.8899999999999</v>
      </c>
      <c r="R333" s="23" t="str">
        <f>VLOOKUP(C:C,'Historic Data - working'!A:B,1,FALSE)</f>
        <v>BIR174</v>
      </c>
      <c r="U333" s="323"/>
      <c r="V333" s="323"/>
      <c r="W333" s="323"/>
    </row>
    <row r="334" spans="1:23" s="23" customFormat="1" ht="14.25" hidden="1" outlineLevel="1" x14ac:dyDescent="0.2">
      <c r="A334" s="381" t="s">
        <v>828</v>
      </c>
      <c r="B334" s="381" t="s">
        <v>324</v>
      </c>
      <c r="C334" s="389" t="s">
        <v>1528</v>
      </c>
      <c r="D334" s="381" t="s">
        <v>1529</v>
      </c>
      <c r="E334" s="383" t="s">
        <v>276</v>
      </c>
      <c r="F334" s="381" t="s">
        <v>1523</v>
      </c>
      <c r="G334" s="384"/>
      <c r="H334" s="24"/>
      <c r="I334" s="24"/>
      <c r="J334" s="25" t="str">
        <f t="shared" si="15"/>
        <v xml:space="preserve"> </v>
      </c>
      <c r="K334" s="390" t="s">
        <v>321</v>
      </c>
      <c r="L334" s="385">
        <v>489.89</v>
      </c>
      <c r="M334" s="386">
        <f t="shared" si="16"/>
        <v>489.89</v>
      </c>
      <c r="N334" s="496"/>
      <c r="O334" s="333">
        <f t="shared" si="17"/>
        <v>489.89</v>
      </c>
      <c r="R334" s="23" t="str">
        <f>VLOOKUP(C:C,'Historic Data - working'!A:B,1,FALSE)</f>
        <v>BIR175</v>
      </c>
      <c r="U334" s="323"/>
      <c r="V334" s="323"/>
      <c r="W334" s="323"/>
    </row>
    <row r="335" spans="1:23" s="23" customFormat="1" ht="14.25" hidden="1" outlineLevel="1" x14ac:dyDescent="0.2">
      <c r="A335" s="381" t="s">
        <v>828</v>
      </c>
      <c r="B335" s="381" t="s">
        <v>324</v>
      </c>
      <c r="C335" s="389" t="s">
        <v>1530</v>
      </c>
      <c r="D335" s="381" t="s">
        <v>1531</v>
      </c>
      <c r="E335" s="383" t="s">
        <v>158</v>
      </c>
      <c r="F335" s="381" t="s">
        <v>1512</v>
      </c>
      <c r="G335" s="384"/>
      <c r="H335" s="24"/>
      <c r="I335" s="24"/>
      <c r="J335" s="25" t="str">
        <f t="shared" si="15"/>
        <v xml:space="preserve"> </v>
      </c>
      <c r="K335" s="385"/>
      <c r="L335" s="385"/>
      <c r="M335" s="386">
        <f t="shared" si="16"/>
        <v>0</v>
      </c>
      <c r="N335" s="496"/>
      <c r="O335" s="333">
        <f t="shared" si="17"/>
        <v>0</v>
      </c>
      <c r="R335" s="23" t="e">
        <f>VLOOKUP(C:C,'Historic Data - working'!A:B,1,FALSE)</f>
        <v>#N/A</v>
      </c>
      <c r="U335" s="323"/>
      <c r="V335" s="323"/>
      <c r="W335" s="323"/>
    </row>
    <row r="336" spans="1:23" s="23" customFormat="1" ht="14.25" hidden="1" outlineLevel="1" x14ac:dyDescent="0.2">
      <c r="A336" s="381" t="s">
        <v>828</v>
      </c>
      <c r="B336" s="381" t="s">
        <v>324</v>
      </c>
      <c r="C336" s="389" t="s">
        <v>1532</v>
      </c>
      <c r="D336" s="381" t="s">
        <v>1533</v>
      </c>
      <c r="E336" s="383" t="s">
        <v>1032</v>
      </c>
      <c r="F336" s="381" t="s">
        <v>1523</v>
      </c>
      <c r="G336" s="384" t="s">
        <v>329</v>
      </c>
      <c r="H336" s="24">
        <f>188.2+76.11+182.37+90</f>
        <v>536.68000000000006</v>
      </c>
      <c r="I336" s="24"/>
      <c r="J336" s="25" t="str">
        <f t="shared" si="15"/>
        <v>1</v>
      </c>
      <c r="K336" s="385"/>
      <c r="L336" s="385"/>
      <c r="M336" s="386">
        <f t="shared" si="16"/>
        <v>536.68000000000006</v>
      </c>
      <c r="N336" s="496"/>
      <c r="O336" s="333">
        <f t="shared" si="17"/>
        <v>536.68000000000006</v>
      </c>
      <c r="R336" s="23" t="str">
        <f>VLOOKUP(C:C,'Historic Data - working'!A:B,1,FALSE)</f>
        <v>BIR177</v>
      </c>
      <c r="U336" s="323"/>
      <c r="V336" s="323"/>
      <c r="W336" s="323"/>
    </row>
    <row r="337" spans="1:23" s="23" customFormat="1" ht="14.25" hidden="1" outlineLevel="1" x14ac:dyDescent="0.2">
      <c r="A337" s="381" t="s">
        <v>828</v>
      </c>
      <c r="B337" s="381" t="s">
        <v>324</v>
      </c>
      <c r="C337" s="389" t="s">
        <v>1534</v>
      </c>
      <c r="D337" s="381" t="s">
        <v>1535</v>
      </c>
      <c r="E337" s="383" t="s">
        <v>61</v>
      </c>
      <c r="F337" s="381" t="s">
        <v>1536</v>
      </c>
      <c r="G337" s="384" t="s">
        <v>329</v>
      </c>
      <c r="H337" s="24">
        <f>191.43+184.49+187.45+84.55</f>
        <v>647.91999999999996</v>
      </c>
      <c r="I337" s="24"/>
      <c r="J337" s="25" t="str">
        <f t="shared" si="15"/>
        <v>1</v>
      </c>
      <c r="K337" s="385" t="s">
        <v>1537</v>
      </c>
      <c r="L337" s="385">
        <f>-187.45+188.07</f>
        <v>0.62000000000000455</v>
      </c>
      <c r="M337" s="386">
        <f t="shared" si="16"/>
        <v>648.54</v>
      </c>
      <c r="N337" s="496">
        <v>20</v>
      </c>
      <c r="O337" s="333">
        <f t="shared" si="17"/>
        <v>668.54</v>
      </c>
      <c r="R337" s="23" t="str">
        <f>VLOOKUP(C:C,'Historic Data - working'!A:B,1,FALSE)</f>
        <v>BIR178</v>
      </c>
      <c r="U337" s="323"/>
      <c r="V337" s="323"/>
      <c r="W337" s="323"/>
    </row>
    <row r="338" spans="1:23" s="23" customFormat="1" ht="14.25" hidden="1" outlineLevel="1" x14ac:dyDescent="0.2">
      <c r="A338" s="381" t="s">
        <v>828</v>
      </c>
      <c r="B338" s="381" t="s">
        <v>324</v>
      </c>
      <c r="C338" s="389" t="s">
        <v>1538</v>
      </c>
      <c r="D338" s="381" t="s">
        <v>1539</v>
      </c>
      <c r="E338" s="383" t="s">
        <v>428</v>
      </c>
      <c r="F338" s="381" t="s">
        <v>1523</v>
      </c>
      <c r="G338" s="384" t="s">
        <v>329</v>
      </c>
      <c r="H338" s="24">
        <v>1402.54</v>
      </c>
      <c r="I338" s="24"/>
      <c r="J338" s="25" t="str">
        <f t="shared" si="15"/>
        <v>1</v>
      </c>
      <c r="K338" s="385" t="s">
        <v>1540</v>
      </c>
      <c r="L338" s="385">
        <v>-54.8</v>
      </c>
      <c r="M338" s="386">
        <f t="shared" si="16"/>
        <v>1347.74</v>
      </c>
      <c r="N338" s="496">
        <v>55</v>
      </c>
      <c r="O338" s="333">
        <f t="shared" si="17"/>
        <v>1402.74</v>
      </c>
      <c r="R338" s="23" t="str">
        <f>VLOOKUP(C:C,'Historic Data - working'!A:B,1,FALSE)</f>
        <v>BIR179</v>
      </c>
      <c r="U338" s="323"/>
      <c r="V338" s="323"/>
      <c r="W338" s="323"/>
    </row>
    <row r="339" spans="1:23" s="23" customFormat="1" ht="14.25" hidden="1" outlineLevel="1" x14ac:dyDescent="0.2">
      <c r="A339" s="381" t="s">
        <v>828</v>
      </c>
      <c r="B339" s="381" t="s">
        <v>324</v>
      </c>
      <c r="C339" s="389" t="s">
        <v>1541</v>
      </c>
      <c r="D339" s="381" t="s">
        <v>1542</v>
      </c>
      <c r="E339" s="383" t="s">
        <v>1543</v>
      </c>
      <c r="F339" s="381" t="s">
        <v>1512</v>
      </c>
      <c r="G339" s="384" t="s">
        <v>329</v>
      </c>
      <c r="H339" s="24">
        <v>761.72</v>
      </c>
      <c r="I339" s="24"/>
      <c r="J339" s="25" t="str">
        <f t="shared" si="15"/>
        <v>1</v>
      </c>
      <c r="K339" s="385"/>
      <c r="L339" s="385"/>
      <c r="M339" s="386">
        <f t="shared" si="16"/>
        <v>761.72</v>
      </c>
      <c r="N339" s="496">
        <v>30</v>
      </c>
      <c r="O339" s="333">
        <f t="shared" si="17"/>
        <v>791.72</v>
      </c>
      <c r="R339" s="23" t="str">
        <f>VLOOKUP(C:C,'Historic Data - working'!A:B,1,FALSE)</f>
        <v>BIR180</v>
      </c>
      <c r="U339" s="323"/>
      <c r="V339" s="323"/>
      <c r="W339" s="323"/>
    </row>
    <row r="340" spans="1:23" s="23" customFormat="1" ht="14.25" hidden="1" outlineLevel="1" x14ac:dyDescent="0.2">
      <c r="A340" s="381" t="s">
        <v>828</v>
      </c>
      <c r="B340" s="381" t="s">
        <v>324</v>
      </c>
      <c r="C340" s="389" t="s">
        <v>1544</v>
      </c>
      <c r="D340" s="381" t="s">
        <v>1545</v>
      </c>
      <c r="E340" s="383" t="s">
        <v>1546</v>
      </c>
      <c r="F340" s="381" t="s">
        <v>1547</v>
      </c>
      <c r="G340" s="384" t="s">
        <v>329</v>
      </c>
      <c r="H340" s="24">
        <v>1530.66</v>
      </c>
      <c r="I340" s="24"/>
      <c r="J340" s="25" t="str">
        <f t="shared" si="15"/>
        <v>1</v>
      </c>
      <c r="K340" s="385" t="s">
        <v>1548</v>
      </c>
      <c r="L340" s="385">
        <v>10</v>
      </c>
      <c r="M340" s="386">
        <f t="shared" si="16"/>
        <v>1540.66</v>
      </c>
      <c r="N340" s="496">
        <v>50</v>
      </c>
      <c r="O340" s="333">
        <f t="shared" si="17"/>
        <v>1590.66</v>
      </c>
      <c r="R340" s="23" t="str">
        <f>VLOOKUP(C:C,'Historic Data - working'!A:B,1,FALSE)</f>
        <v>BIR181</v>
      </c>
      <c r="U340" s="323"/>
      <c r="V340" s="323"/>
      <c r="W340" s="323"/>
    </row>
    <row r="341" spans="1:23" s="23" customFormat="1" ht="14.25" hidden="1" outlineLevel="1" x14ac:dyDescent="0.2">
      <c r="A341" s="381" t="s">
        <v>828</v>
      </c>
      <c r="B341" s="381" t="s">
        <v>324</v>
      </c>
      <c r="C341" s="389" t="s">
        <v>1549</v>
      </c>
      <c r="D341" s="381" t="s">
        <v>1550</v>
      </c>
      <c r="E341" s="383" t="s">
        <v>226</v>
      </c>
      <c r="F341" s="381" t="s">
        <v>1551</v>
      </c>
      <c r="G341" s="384"/>
      <c r="H341" s="24"/>
      <c r="I341" s="24"/>
      <c r="J341" s="25" t="str">
        <f t="shared" si="15"/>
        <v xml:space="preserve"> </v>
      </c>
      <c r="K341" s="385"/>
      <c r="L341" s="385"/>
      <c r="M341" s="386">
        <f t="shared" si="16"/>
        <v>0</v>
      </c>
      <c r="N341" s="496"/>
      <c r="O341" s="333">
        <f t="shared" si="17"/>
        <v>0</v>
      </c>
      <c r="R341" s="23" t="e">
        <f>VLOOKUP(C:C,'Historic Data - working'!A:B,1,FALSE)</f>
        <v>#N/A</v>
      </c>
      <c r="U341" s="323"/>
      <c r="V341" s="323"/>
      <c r="W341" s="323"/>
    </row>
    <row r="342" spans="1:23" s="23" customFormat="1" ht="14.25" hidden="1" outlineLevel="1" x14ac:dyDescent="0.2">
      <c r="A342" s="381" t="s">
        <v>828</v>
      </c>
      <c r="B342" s="381" t="s">
        <v>324</v>
      </c>
      <c r="C342" s="389" t="s">
        <v>1552</v>
      </c>
      <c r="D342" s="381" t="s">
        <v>1553</v>
      </c>
      <c r="E342" s="383" t="s">
        <v>31</v>
      </c>
      <c r="F342" s="381" t="s">
        <v>1523</v>
      </c>
      <c r="G342" s="384" t="s">
        <v>329</v>
      </c>
      <c r="H342" s="24">
        <v>328.06</v>
      </c>
      <c r="I342" s="24"/>
      <c r="J342" s="25" t="str">
        <f t="shared" si="15"/>
        <v>1</v>
      </c>
      <c r="K342" s="385" t="s">
        <v>1554</v>
      </c>
      <c r="L342" s="385">
        <v>60</v>
      </c>
      <c r="M342" s="386">
        <f t="shared" si="16"/>
        <v>388.06</v>
      </c>
      <c r="N342" s="496">
        <v>10</v>
      </c>
      <c r="O342" s="333">
        <f t="shared" si="17"/>
        <v>398.06</v>
      </c>
      <c r="R342" s="23" t="str">
        <f>VLOOKUP(C:C,'Historic Data - working'!A:B,1,FALSE)</f>
        <v>BIR182</v>
      </c>
      <c r="U342" s="323"/>
      <c r="V342" s="323"/>
      <c r="W342" s="323"/>
    </row>
    <row r="343" spans="1:23" s="23" customFormat="1" ht="14.25" hidden="1" outlineLevel="1" x14ac:dyDescent="0.2">
      <c r="A343" s="381" t="s">
        <v>828</v>
      </c>
      <c r="B343" s="381" t="s">
        <v>324</v>
      </c>
      <c r="C343" s="389" t="s">
        <v>1555</v>
      </c>
      <c r="D343" s="381" t="s">
        <v>1556</v>
      </c>
      <c r="E343" s="383" t="s">
        <v>934</v>
      </c>
      <c r="F343" s="381" t="s">
        <v>1523</v>
      </c>
      <c r="G343" s="384" t="s">
        <v>329</v>
      </c>
      <c r="H343" s="24">
        <f>415.23+100+144.4+253.56+201.61</f>
        <v>1114.8000000000002</v>
      </c>
      <c r="I343" s="24"/>
      <c r="J343" s="25" t="str">
        <f t="shared" si="15"/>
        <v>1</v>
      </c>
      <c r="K343" s="385" t="s">
        <v>1557</v>
      </c>
      <c r="L343" s="385">
        <v>185.5</v>
      </c>
      <c r="M343" s="386">
        <f t="shared" si="16"/>
        <v>1300.3000000000002</v>
      </c>
      <c r="N343" s="496"/>
      <c r="O343" s="333">
        <f t="shared" si="17"/>
        <v>1300.3000000000002</v>
      </c>
      <c r="R343" s="23" t="str">
        <f>VLOOKUP(C:C,'Historic Data - working'!A:B,1,FALSE)</f>
        <v>BIR183</v>
      </c>
      <c r="U343" s="323"/>
      <c r="V343" s="323"/>
      <c r="W343" s="323"/>
    </row>
    <row r="344" spans="1:23" s="23" customFormat="1" ht="14.25" hidden="1" outlineLevel="1" x14ac:dyDescent="0.2">
      <c r="A344" s="381" t="s">
        <v>828</v>
      </c>
      <c r="B344" s="381" t="s">
        <v>324</v>
      </c>
      <c r="C344" s="389" t="s">
        <v>1558</v>
      </c>
      <c r="D344" s="381" t="s">
        <v>1559</v>
      </c>
      <c r="E344" s="383" t="s">
        <v>231</v>
      </c>
      <c r="F344" s="381" t="s">
        <v>1523</v>
      </c>
      <c r="G344" s="384" t="s">
        <v>329</v>
      </c>
      <c r="H344" s="24">
        <v>497.19</v>
      </c>
      <c r="I344" s="24"/>
      <c r="J344" s="25" t="str">
        <f t="shared" si="15"/>
        <v>1</v>
      </c>
      <c r="K344" s="385" t="s">
        <v>1560</v>
      </c>
      <c r="L344" s="385">
        <v>-18.02</v>
      </c>
      <c r="M344" s="386">
        <f t="shared" si="16"/>
        <v>479.17</v>
      </c>
      <c r="N344" s="496">
        <v>20</v>
      </c>
      <c r="O344" s="333">
        <f t="shared" si="17"/>
        <v>499.17</v>
      </c>
      <c r="R344" s="23" t="str">
        <f>VLOOKUP(C:C,'Historic Data - working'!A:B,1,FALSE)</f>
        <v>BIR184</v>
      </c>
      <c r="U344" s="323"/>
      <c r="V344" s="323"/>
      <c r="W344" s="323"/>
    </row>
    <row r="345" spans="1:23" s="23" customFormat="1" ht="14.25" hidden="1" outlineLevel="1" x14ac:dyDescent="0.2">
      <c r="A345" s="381" t="s">
        <v>828</v>
      </c>
      <c r="B345" s="381" t="s">
        <v>324</v>
      </c>
      <c r="C345" s="389" t="s">
        <v>1561</v>
      </c>
      <c r="D345" s="381" t="s">
        <v>1562</v>
      </c>
      <c r="E345" s="383" t="s">
        <v>1563</v>
      </c>
      <c r="F345" s="381" t="s">
        <v>1512</v>
      </c>
      <c r="G345" s="384"/>
      <c r="H345" s="24"/>
      <c r="I345" s="24"/>
      <c r="J345" s="25" t="str">
        <f t="shared" si="15"/>
        <v xml:space="preserve"> </v>
      </c>
      <c r="K345" s="385"/>
      <c r="L345" s="385"/>
      <c r="M345" s="386">
        <f t="shared" si="16"/>
        <v>0</v>
      </c>
      <c r="N345" s="496"/>
      <c r="O345" s="333">
        <f t="shared" si="17"/>
        <v>0</v>
      </c>
      <c r="R345" s="23" t="e">
        <f>VLOOKUP(C:C,'Historic Data - working'!A:B,1,FALSE)</f>
        <v>#N/A</v>
      </c>
      <c r="U345" s="323"/>
      <c r="V345" s="323"/>
      <c r="W345" s="323"/>
    </row>
    <row r="346" spans="1:23" s="23" customFormat="1" ht="14.25" hidden="1" outlineLevel="1" x14ac:dyDescent="0.2">
      <c r="A346" s="381" t="s">
        <v>828</v>
      </c>
      <c r="B346" s="381" t="s">
        <v>324</v>
      </c>
      <c r="C346" s="389" t="s">
        <v>1564</v>
      </c>
      <c r="D346" s="381" t="s">
        <v>1565</v>
      </c>
      <c r="E346" s="383" t="s">
        <v>1566</v>
      </c>
      <c r="F346" s="381" t="s">
        <v>1567</v>
      </c>
      <c r="G346" s="384" t="s">
        <v>329</v>
      </c>
      <c r="H346" s="24">
        <v>1464.33</v>
      </c>
      <c r="I346" s="24"/>
      <c r="J346" s="25" t="str">
        <f t="shared" si="15"/>
        <v>1</v>
      </c>
      <c r="K346" s="385" t="s">
        <v>1568</v>
      </c>
      <c r="L346" s="385">
        <f>30+257.84+0.9+80.65</f>
        <v>369.39</v>
      </c>
      <c r="M346" s="386">
        <f t="shared" si="16"/>
        <v>1833.7199999999998</v>
      </c>
      <c r="N346" s="496">
        <v>20</v>
      </c>
      <c r="O346" s="333">
        <f t="shared" si="17"/>
        <v>1853.7199999999998</v>
      </c>
      <c r="R346" s="23" t="str">
        <f>VLOOKUP(C:C,'Historic Data - working'!A:B,1,FALSE)</f>
        <v>BIR185</v>
      </c>
      <c r="U346" s="323"/>
      <c r="V346" s="323"/>
      <c r="W346" s="323"/>
    </row>
    <row r="347" spans="1:23" s="23" customFormat="1" ht="14.25" hidden="1" outlineLevel="1" x14ac:dyDescent="0.2">
      <c r="A347" s="381" t="s">
        <v>828</v>
      </c>
      <c r="B347" s="381" t="s">
        <v>324</v>
      </c>
      <c r="C347" s="389" t="s">
        <v>1569</v>
      </c>
      <c r="D347" s="381" t="s">
        <v>1570</v>
      </c>
      <c r="E347" s="383" t="s">
        <v>1571</v>
      </c>
      <c r="F347" s="381" t="s">
        <v>1572</v>
      </c>
      <c r="G347" s="384"/>
      <c r="H347" s="24"/>
      <c r="I347" s="24"/>
      <c r="J347" s="25" t="str">
        <f t="shared" si="15"/>
        <v xml:space="preserve"> </v>
      </c>
      <c r="K347" s="385"/>
      <c r="L347" s="385"/>
      <c r="M347" s="386">
        <f t="shared" si="16"/>
        <v>0</v>
      </c>
      <c r="N347" s="496"/>
      <c r="O347" s="333">
        <f t="shared" si="17"/>
        <v>0</v>
      </c>
      <c r="R347" s="23" t="e">
        <f>VLOOKUP(C:C,'Historic Data - working'!A:B,1,FALSE)</f>
        <v>#N/A</v>
      </c>
      <c r="U347" s="323"/>
      <c r="V347" s="323"/>
      <c r="W347" s="323"/>
    </row>
    <row r="348" spans="1:23" s="23" customFormat="1" ht="14.25" hidden="1" outlineLevel="1" x14ac:dyDescent="0.2">
      <c r="A348" s="381" t="s">
        <v>828</v>
      </c>
      <c r="B348" s="381" t="s">
        <v>324</v>
      </c>
      <c r="C348" s="389" t="s">
        <v>1573</v>
      </c>
      <c r="D348" s="381" t="s">
        <v>1574</v>
      </c>
      <c r="E348" s="383" t="s">
        <v>1575</v>
      </c>
      <c r="F348" s="381" t="s">
        <v>1576</v>
      </c>
      <c r="G348" s="384" t="s">
        <v>329</v>
      </c>
      <c r="H348" s="24">
        <v>4228.1000000000004</v>
      </c>
      <c r="I348" s="24"/>
      <c r="J348" s="25" t="str">
        <f t="shared" si="15"/>
        <v>1</v>
      </c>
      <c r="K348" s="385"/>
      <c r="L348" s="385"/>
      <c r="M348" s="386">
        <f t="shared" si="16"/>
        <v>4228.1000000000004</v>
      </c>
      <c r="N348" s="496">
        <v>1060</v>
      </c>
      <c r="O348" s="333">
        <f t="shared" si="17"/>
        <v>5288.1</v>
      </c>
      <c r="R348" s="23" t="str">
        <f>VLOOKUP(C:C,'Historic Data - working'!A:B,1,FALSE)</f>
        <v>BIR186</v>
      </c>
      <c r="U348" s="323"/>
      <c r="V348" s="323"/>
      <c r="W348" s="323"/>
    </row>
    <row r="349" spans="1:23" s="23" customFormat="1" ht="14.25" hidden="1" outlineLevel="1" x14ac:dyDescent="0.2">
      <c r="A349" s="381" t="s">
        <v>828</v>
      </c>
      <c r="B349" s="381" t="s">
        <v>324</v>
      </c>
      <c r="C349" s="389" t="s">
        <v>1577</v>
      </c>
      <c r="D349" s="381" t="s">
        <v>1578</v>
      </c>
      <c r="E349" s="383" t="s">
        <v>1579</v>
      </c>
      <c r="F349" s="381" t="s">
        <v>1580</v>
      </c>
      <c r="G349" s="384" t="s">
        <v>329</v>
      </c>
      <c r="H349" s="24">
        <v>871</v>
      </c>
      <c r="I349" s="24"/>
      <c r="J349" s="25" t="str">
        <f t="shared" si="15"/>
        <v>1</v>
      </c>
      <c r="K349" s="385" t="s">
        <v>1581</v>
      </c>
      <c r="L349" s="385">
        <f>29.45+226.58+22.73</f>
        <v>278.76000000000005</v>
      </c>
      <c r="M349" s="386">
        <f t="shared" si="16"/>
        <v>1149.76</v>
      </c>
      <c r="N349" s="496">
        <v>240</v>
      </c>
      <c r="O349" s="333">
        <f t="shared" si="17"/>
        <v>1389.76</v>
      </c>
      <c r="R349" s="23" t="str">
        <f>VLOOKUP(C:C,'Historic Data - working'!A:B,1,FALSE)</f>
        <v>BIR187</v>
      </c>
      <c r="U349" s="323"/>
      <c r="V349" s="323"/>
      <c r="W349" s="323"/>
    </row>
    <row r="350" spans="1:23" s="23" customFormat="1" ht="14.25" hidden="1" outlineLevel="1" x14ac:dyDescent="0.2">
      <c r="A350" s="381" t="s">
        <v>828</v>
      </c>
      <c r="B350" s="381" t="s">
        <v>324</v>
      </c>
      <c r="C350" s="389" t="s">
        <v>1582</v>
      </c>
      <c r="D350" s="381" t="s">
        <v>1583</v>
      </c>
      <c r="E350" s="383" t="s">
        <v>1584</v>
      </c>
      <c r="F350" s="381" t="s">
        <v>1585</v>
      </c>
      <c r="G350" s="384"/>
      <c r="H350" s="24"/>
      <c r="I350" s="24"/>
      <c r="J350" s="25" t="str">
        <f t="shared" si="15"/>
        <v xml:space="preserve"> </v>
      </c>
      <c r="K350" s="385"/>
      <c r="L350" s="385"/>
      <c r="M350" s="386">
        <f t="shared" si="16"/>
        <v>0</v>
      </c>
      <c r="N350" s="496"/>
      <c r="O350" s="333">
        <f t="shared" si="17"/>
        <v>0</v>
      </c>
      <c r="R350" s="23" t="e">
        <f>VLOOKUP(C:C,'Historic Data - working'!A:B,1,FALSE)</f>
        <v>#N/A</v>
      </c>
      <c r="U350" s="323"/>
      <c r="V350" s="323"/>
      <c r="W350" s="323"/>
    </row>
    <row r="351" spans="1:23" s="23" customFormat="1" ht="14.25" hidden="1" outlineLevel="1" x14ac:dyDescent="0.2">
      <c r="A351" s="381" t="s">
        <v>828</v>
      </c>
      <c r="B351" s="381" t="s">
        <v>324</v>
      </c>
      <c r="C351" s="389" t="s">
        <v>1586</v>
      </c>
      <c r="D351" s="381" t="s">
        <v>1587</v>
      </c>
      <c r="E351" s="383" t="s">
        <v>1588</v>
      </c>
      <c r="F351" s="381" t="s">
        <v>1589</v>
      </c>
      <c r="G351" s="384" t="s">
        <v>329</v>
      </c>
      <c r="H351" s="24">
        <f>255.9+233.64+279.71+345.83+375.37+128.1+206.23+174.71+130.97+150.7</f>
        <v>2281.1599999999994</v>
      </c>
      <c r="I351" s="24"/>
      <c r="J351" s="25" t="str">
        <f t="shared" si="15"/>
        <v>1</v>
      </c>
      <c r="K351" s="385"/>
      <c r="L351" s="385"/>
      <c r="M351" s="386">
        <f t="shared" si="16"/>
        <v>2281.1599999999994</v>
      </c>
      <c r="N351" s="496">
        <v>760</v>
      </c>
      <c r="O351" s="333">
        <f t="shared" si="17"/>
        <v>3041.1599999999994</v>
      </c>
      <c r="R351" s="23" t="str">
        <f>VLOOKUP(C:C,'Historic Data - working'!A:B,1,FALSE)</f>
        <v>BIR188</v>
      </c>
      <c r="U351" s="323"/>
      <c r="V351" s="323"/>
      <c r="W351" s="323"/>
    </row>
    <row r="352" spans="1:23" s="23" customFormat="1" ht="14.25" hidden="1" outlineLevel="1" x14ac:dyDescent="0.2">
      <c r="A352" s="381" t="s">
        <v>828</v>
      </c>
      <c r="B352" s="381" t="s">
        <v>324</v>
      </c>
      <c r="C352" s="389" t="s">
        <v>1590</v>
      </c>
      <c r="D352" s="381" t="s">
        <v>1591</v>
      </c>
      <c r="E352" s="383" t="s">
        <v>1592</v>
      </c>
      <c r="F352" s="381" t="s">
        <v>1593</v>
      </c>
      <c r="G352" s="384"/>
      <c r="H352" s="24"/>
      <c r="I352" s="24"/>
      <c r="J352" s="25" t="str">
        <f t="shared" si="15"/>
        <v xml:space="preserve"> </v>
      </c>
      <c r="K352" s="385"/>
      <c r="L352" s="385"/>
      <c r="M352" s="386">
        <f t="shared" si="16"/>
        <v>0</v>
      </c>
      <c r="N352" s="496"/>
      <c r="O352" s="333">
        <f t="shared" si="17"/>
        <v>0</v>
      </c>
      <c r="R352" s="23" t="e">
        <f>VLOOKUP(C:C,'Historic Data - working'!A:B,1,FALSE)</f>
        <v>#N/A</v>
      </c>
      <c r="U352" s="323"/>
      <c r="V352" s="323"/>
      <c r="W352" s="323"/>
    </row>
    <row r="353" spans="1:23" s="23" customFormat="1" ht="14.25" hidden="1" outlineLevel="1" x14ac:dyDescent="0.2">
      <c r="A353" s="381" t="s">
        <v>828</v>
      </c>
      <c r="B353" s="381" t="s">
        <v>324</v>
      </c>
      <c r="C353" s="389" t="s">
        <v>1594</v>
      </c>
      <c r="D353" s="381" t="s">
        <v>1595</v>
      </c>
      <c r="E353" s="383" t="s">
        <v>66</v>
      </c>
      <c r="F353" s="381" t="s">
        <v>1596</v>
      </c>
      <c r="G353" s="384" t="s">
        <v>329</v>
      </c>
      <c r="H353" s="24">
        <v>1763.44</v>
      </c>
      <c r="I353" s="24"/>
      <c r="J353" s="25" t="str">
        <f t="shared" si="15"/>
        <v>1</v>
      </c>
      <c r="K353" s="385"/>
      <c r="L353" s="385"/>
      <c r="M353" s="386">
        <f t="shared" si="16"/>
        <v>1763.44</v>
      </c>
      <c r="N353" s="496">
        <v>465.37</v>
      </c>
      <c r="O353" s="333">
        <f t="shared" si="17"/>
        <v>2228.81</v>
      </c>
      <c r="R353" s="23" t="str">
        <f>VLOOKUP(C:C,'Historic Data - working'!A:B,1,FALSE)</f>
        <v>BIR189</v>
      </c>
      <c r="U353" s="323"/>
      <c r="V353" s="323"/>
      <c r="W353" s="323"/>
    </row>
    <row r="354" spans="1:23" s="23" customFormat="1" ht="14.25" hidden="1" outlineLevel="1" x14ac:dyDescent="0.2">
      <c r="A354" s="381" t="s">
        <v>828</v>
      </c>
      <c r="B354" s="381" t="s">
        <v>324</v>
      </c>
      <c r="C354" s="389" t="s">
        <v>1597</v>
      </c>
      <c r="D354" s="381" t="s">
        <v>1598</v>
      </c>
      <c r="E354" s="383" t="s">
        <v>31</v>
      </c>
      <c r="F354" s="381" t="s">
        <v>1599</v>
      </c>
      <c r="G354" s="384" t="s">
        <v>329</v>
      </c>
      <c r="H354" s="24">
        <f>211.38+433.81</f>
        <v>645.19000000000005</v>
      </c>
      <c r="I354" s="24"/>
      <c r="J354" s="25" t="str">
        <f t="shared" si="15"/>
        <v>1</v>
      </c>
      <c r="K354" s="385"/>
      <c r="L354" s="385"/>
      <c r="M354" s="386">
        <f t="shared" si="16"/>
        <v>645.19000000000005</v>
      </c>
      <c r="N354" s="496">
        <v>55</v>
      </c>
      <c r="O354" s="333">
        <f t="shared" si="17"/>
        <v>700.19</v>
      </c>
      <c r="R354" s="23" t="str">
        <f>VLOOKUP(C:C,'Historic Data - working'!A:B,1,FALSE)</f>
        <v>BIR190</v>
      </c>
      <c r="U354" s="323"/>
      <c r="V354" s="323"/>
      <c r="W354" s="323"/>
    </row>
    <row r="355" spans="1:23" s="23" customFormat="1" ht="14.25" hidden="1" outlineLevel="1" x14ac:dyDescent="0.2">
      <c r="A355" s="381" t="s">
        <v>828</v>
      </c>
      <c r="B355" s="381" t="s">
        <v>324</v>
      </c>
      <c r="C355" s="389" t="s">
        <v>1600</v>
      </c>
      <c r="D355" s="381" t="s">
        <v>1601</v>
      </c>
      <c r="E355" s="383" t="s">
        <v>1054</v>
      </c>
      <c r="F355" s="381" t="s">
        <v>1602</v>
      </c>
      <c r="G355" s="384" t="s">
        <v>329</v>
      </c>
      <c r="H355" s="24">
        <v>4514.93</v>
      </c>
      <c r="I355" s="24"/>
      <c r="J355" s="25" t="str">
        <f>IF(G358="Y","1"," ")</f>
        <v>1</v>
      </c>
      <c r="K355" s="385" t="s">
        <v>1603</v>
      </c>
      <c r="L355" s="385">
        <v>-0.05</v>
      </c>
      <c r="M355" s="386">
        <f t="shared" si="16"/>
        <v>4514.88</v>
      </c>
      <c r="N355" s="496">
        <v>295</v>
      </c>
      <c r="O355" s="333">
        <f t="shared" si="17"/>
        <v>4809.88</v>
      </c>
      <c r="R355" s="23" t="str">
        <f>VLOOKUP(C:C,'Historic Data - working'!A:B,1,FALSE)</f>
        <v>BIR191</v>
      </c>
      <c r="U355" s="323"/>
      <c r="V355" s="323"/>
      <c r="W355" s="323"/>
    </row>
    <row r="356" spans="1:23" s="23" customFormat="1" ht="14.25" hidden="1" outlineLevel="1" x14ac:dyDescent="0.2">
      <c r="A356" s="381" t="s">
        <v>828</v>
      </c>
      <c r="B356" s="381" t="s">
        <v>324</v>
      </c>
      <c r="C356" s="389" t="s">
        <v>1604</v>
      </c>
      <c r="D356" s="381" t="s">
        <v>1605</v>
      </c>
      <c r="E356" s="383" t="s">
        <v>1606</v>
      </c>
      <c r="F356" s="381" t="s">
        <v>1602</v>
      </c>
      <c r="G356" s="384" t="s">
        <v>329</v>
      </c>
      <c r="H356" s="24">
        <v>0</v>
      </c>
      <c r="I356" s="24">
        <v>0</v>
      </c>
      <c r="J356" s="25" t="str">
        <f t="shared" ref="J356:J419" si="18">IF(G356="Y","1"," ")</f>
        <v>1</v>
      </c>
      <c r="K356" s="385" t="s">
        <v>1607</v>
      </c>
      <c r="L356" s="385"/>
      <c r="M356" s="386">
        <f t="shared" si="16"/>
        <v>0</v>
      </c>
      <c r="N356" s="496">
        <v>162</v>
      </c>
      <c r="O356" s="333">
        <f t="shared" si="17"/>
        <v>162</v>
      </c>
      <c r="R356" s="23" t="str">
        <f>VLOOKUP(C:C,'Historic Data - working'!A:B,1,FALSE)</f>
        <v>BIR192</v>
      </c>
      <c r="U356" s="323"/>
      <c r="V356" s="323"/>
      <c r="W356" s="323"/>
    </row>
    <row r="357" spans="1:23" s="23" customFormat="1" ht="14.25" hidden="1" outlineLevel="1" x14ac:dyDescent="0.2">
      <c r="A357" s="381" t="s">
        <v>828</v>
      </c>
      <c r="B357" s="381" t="s">
        <v>324</v>
      </c>
      <c r="C357" s="389" t="s">
        <v>1608</v>
      </c>
      <c r="D357" s="381" t="s">
        <v>1609</v>
      </c>
      <c r="E357" s="383" t="s">
        <v>428</v>
      </c>
      <c r="F357" s="381" t="s">
        <v>1602</v>
      </c>
      <c r="G357" s="384" t="s">
        <v>329</v>
      </c>
      <c r="H357" s="24">
        <v>1021.06</v>
      </c>
      <c r="I357" s="24"/>
      <c r="J357" s="25" t="str">
        <f t="shared" si="18"/>
        <v>1</v>
      </c>
      <c r="K357" s="392"/>
      <c r="L357" s="385"/>
      <c r="M357" s="386">
        <f t="shared" si="16"/>
        <v>1021.06</v>
      </c>
      <c r="N357" s="496">
        <v>175</v>
      </c>
      <c r="O357" s="333">
        <f t="shared" si="17"/>
        <v>1196.06</v>
      </c>
      <c r="R357" s="23" t="str">
        <f>VLOOKUP(C:C,'Historic Data - working'!A:B,1,FALSE)</f>
        <v>BIR193</v>
      </c>
      <c r="U357" s="323"/>
      <c r="V357" s="323"/>
      <c r="W357" s="323"/>
    </row>
    <row r="358" spans="1:23" s="23" customFormat="1" ht="14.25" hidden="1" outlineLevel="1" x14ac:dyDescent="0.2">
      <c r="A358" s="381" t="s">
        <v>828</v>
      </c>
      <c r="B358" s="381" t="s">
        <v>324</v>
      </c>
      <c r="C358" s="389" t="s">
        <v>1610</v>
      </c>
      <c r="D358" s="381" t="s">
        <v>1611</v>
      </c>
      <c r="E358" s="383" t="s">
        <v>1612</v>
      </c>
      <c r="F358" s="381" t="s">
        <v>1602</v>
      </c>
      <c r="G358" s="384" t="s">
        <v>329</v>
      </c>
      <c r="H358" s="24">
        <f>157.1+160.62+61.41+143.54</f>
        <v>522.66999999999996</v>
      </c>
      <c r="I358" s="24"/>
      <c r="J358" s="25" t="str">
        <f t="shared" si="18"/>
        <v>1</v>
      </c>
      <c r="K358" s="385"/>
      <c r="L358" s="385"/>
      <c r="M358" s="386">
        <f t="shared" si="16"/>
        <v>522.66999999999996</v>
      </c>
      <c r="N358" s="496">
        <v>249</v>
      </c>
      <c r="O358" s="333">
        <f t="shared" si="17"/>
        <v>771.67</v>
      </c>
      <c r="R358" s="23" t="str">
        <f>VLOOKUP(C:C,'Historic Data - working'!A:B,1,FALSE)</f>
        <v>BIR194</v>
      </c>
      <c r="U358" s="323"/>
      <c r="V358" s="323"/>
      <c r="W358" s="323"/>
    </row>
    <row r="359" spans="1:23" s="23" customFormat="1" ht="14.25" hidden="1" outlineLevel="1" x14ac:dyDescent="0.2">
      <c r="A359" s="381" t="s">
        <v>828</v>
      </c>
      <c r="B359" s="381" t="s">
        <v>324</v>
      </c>
      <c r="C359" s="389" t="s">
        <v>1613</v>
      </c>
      <c r="D359" s="381" t="s">
        <v>1614</v>
      </c>
      <c r="E359" s="383" t="s">
        <v>127</v>
      </c>
      <c r="F359" s="381" t="s">
        <v>1615</v>
      </c>
      <c r="G359" s="384" t="s">
        <v>329</v>
      </c>
      <c r="H359" s="24">
        <f>178.3+329.19</f>
        <v>507.49</v>
      </c>
      <c r="I359" s="24"/>
      <c r="J359" s="25" t="str">
        <f t="shared" si="18"/>
        <v>1</v>
      </c>
      <c r="K359" s="385"/>
      <c r="L359" s="385"/>
      <c r="M359" s="386">
        <f t="shared" si="16"/>
        <v>507.49</v>
      </c>
      <c r="N359" s="496">
        <v>180</v>
      </c>
      <c r="O359" s="333">
        <f t="shared" si="17"/>
        <v>687.49</v>
      </c>
      <c r="R359" s="23" t="str">
        <f>VLOOKUP(C:C,'Historic Data - working'!A:B,1,FALSE)</f>
        <v>BIR195</v>
      </c>
      <c r="U359" s="323"/>
      <c r="V359" s="323"/>
      <c r="W359" s="323"/>
    </row>
    <row r="360" spans="1:23" s="23" customFormat="1" ht="14.25" hidden="1" outlineLevel="1" x14ac:dyDescent="0.2">
      <c r="A360" s="381" t="s">
        <v>828</v>
      </c>
      <c r="B360" s="381" t="s">
        <v>324</v>
      </c>
      <c r="C360" s="389" t="s">
        <v>1616</v>
      </c>
      <c r="D360" s="381" t="s">
        <v>1617</v>
      </c>
      <c r="E360" s="383" t="s">
        <v>1008</v>
      </c>
      <c r="F360" s="381" t="s">
        <v>1618</v>
      </c>
      <c r="G360" s="384" t="s">
        <v>329</v>
      </c>
      <c r="H360" s="24">
        <f>753.2+592</f>
        <v>1345.2</v>
      </c>
      <c r="I360" s="24"/>
      <c r="J360" s="25" t="str">
        <f t="shared" si="18"/>
        <v>1</v>
      </c>
      <c r="K360" s="385"/>
      <c r="L360" s="385"/>
      <c r="M360" s="386">
        <f t="shared" si="16"/>
        <v>1345.2</v>
      </c>
      <c r="N360" s="496">
        <v>275</v>
      </c>
      <c r="O360" s="333">
        <f t="shared" si="17"/>
        <v>1620.2</v>
      </c>
      <c r="R360" s="23" t="str">
        <f>VLOOKUP(C:C,'Historic Data - working'!A:B,1,FALSE)</f>
        <v>BIR196</v>
      </c>
      <c r="U360" s="323"/>
      <c r="V360" s="323"/>
      <c r="W360" s="323"/>
    </row>
    <row r="361" spans="1:23" s="23" customFormat="1" ht="14.25" hidden="1" outlineLevel="1" x14ac:dyDescent="0.2">
      <c r="A361" s="381" t="s">
        <v>828</v>
      </c>
      <c r="B361" s="381" t="s">
        <v>324</v>
      </c>
      <c r="C361" s="389" t="s">
        <v>1619</v>
      </c>
      <c r="D361" s="381" t="s">
        <v>1620</v>
      </c>
      <c r="E361" s="383" t="s">
        <v>428</v>
      </c>
      <c r="F361" s="381" t="s">
        <v>1621</v>
      </c>
      <c r="G361" s="384"/>
      <c r="H361" s="24"/>
      <c r="I361" s="24"/>
      <c r="J361" s="25" t="str">
        <f t="shared" si="18"/>
        <v xml:space="preserve"> </v>
      </c>
      <c r="K361" s="390" t="s">
        <v>321</v>
      </c>
      <c r="L361" s="385">
        <v>274.87</v>
      </c>
      <c r="M361" s="386">
        <f t="shared" si="16"/>
        <v>274.87</v>
      </c>
      <c r="N361" s="496"/>
      <c r="O361" s="333">
        <f t="shared" si="17"/>
        <v>274.87</v>
      </c>
      <c r="R361" s="23" t="str">
        <f>VLOOKUP(C:C,'Historic Data - working'!A:B,1,FALSE)</f>
        <v>BIR196X</v>
      </c>
      <c r="U361" s="323"/>
      <c r="V361" s="323"/>
      <c r="W361" s="323"/>
    </row>
    <row r="362" spans="1:23" s="23" customFormat="1" ht="14.25" hidden="1" outlineLevel="1" x14ac:dyDescent="0.2">
      <c r="A362" s="381" t="s">
        <v>828</v>
      </c>
      <c r="B362" s="381" t="s">
        <v>324</v>
      </c>
      <c r="C362" s="389" t="s">
        <v>1622</v>
      </c>
      <c r="D362" s="381" t="s">
        <v>1623</v>
      </c>
      <c r="E362" s="383" t="s">
        <v>78</v>
      </c>
      <c r="F362" s="381" t="s">
        <v>1624</v>
      </c>
      <c r="G362" s="384"/>
      <c r="H362" s="24"/>
      <c r="I362" s="24"/>
      <c r="J362" s="25" t="str">
        <f t="shared" si="18"/>
        <v xml:space="preserve"> </v>
      </c>
      <c r="K362" s="385"/>
      <c r="L362" s="385"/>
      <c r="M362" s="386">
        <f t="shared" si="16"/>
        <v>0</v>
      </c>
      <c r="N362" s="496"/>
      <c r="O362" s="333">
        <f t="shared" si="17"/>
        <v>0</v>
      </c>
      <c r="R362" s="23" t="e">
        <f>VLOOKUP(C:C,'Historic Data - working'!A:B,1,FALSE)</f>
        <v>#N/A</v>
      </c>
      <c r="U362" s="323"/>
      <c r="V362" s="323"/>
      <c r="W362" s="323"/>
    </row>
    <row r="363" spans="1:23" s="23" customFormat="1" ht="14.25" hidden="1" outlineLevel="1" x14ac:dyDescent="0.2">
      <c r="A363" s="381" t="s">
        <v>828</v>
      </c>
      <c r="B363" s="381" t="s">
        <v>324</v>
      </c>
      <c r="C363" s="389" t="s">
        <v>1625</v>
      </c>
      <c r="D363" s="381" t="s">
        <v>1626</v>
      </c>
      <c r="E363" s="383" t="s">
        <v>1627</v>
      </c>
      <c r="F363" s="381" t="s">
        <v>1628</v>
      </c>
      <c r="G363" s="384" t="s">
        <v>329</v>
      </c>
      <c r="H363" s="24">
        <v>290.94</v>
      </c>
      <c r="I363" s="24"/>
      <c r="J363" s="25" t="str">
        <f t="shared" si="18"/>
        <v>1</v>
      </c>
      <c r="K363" s="385"/>
      <c r="L363" s="385"/>
      <c r="M363" s="386">
        <f t="shared" si="16"/>
        <v>290.94</v>
      </c>
      <c r="N363" s="496"/>
      <c r="O363" s="333">
        <f t="shared" si="17"/>
        <v>290.94</v>
      </c>
      <c r="R363" s="23" t="str">
        <f>VLOOKUP(C:C,'Historic Data - working'!A:B,1,FALSE)</f>
        <v>BIR198</v>
      </c>
      <c r="U363" s="323"/>
      <c r="V363" s="323"/>
      <c r="W363" s="323"/>
    </row>
    <row r="364" spans="1:23" s="23" customFormat="1" ht="14.25" hidden="1" outlineLevel="1" x14ac:dyDescent="0.2">
      <c r="A364" s="381" t="s">
        <v>828</v>
      </c>
      <c r="B364" s="381" t="s">
        <v>324</v>
      </c>
      <c r="C364" s="389" t="s">
        <v>1629</v>
      </c>
      <c r="D364" s="381" t="s">
        <v>1630</v>
      </c>
      <c r="E364" s="383" t="s">
        <v>61</v>
      </c>
      <c r="F364" s="381" t="s">
        <v>1631</v>
      </c>
      <c r="G364" s="384" t="s">
        <v>329</v>
      </c>
      <c r="H364" s="24">
        <v>416.07</v>
      </c>
      <c r="I364" s="24"/>
      <c r="J364" s="25" t="str">
        <f t="shared" si="18"/>
        <v>1</v>
      </c>
      <c r="K364" s="385"/>
      <c r="L364" s="385"/>
      <c r="M364" s="386">
        <f t="shared" si="16"/>
        <v>416.07</v>
      </c>
      <c r="N364" s="496">
        <v>455</v>
      </c>
      <c r="O364" s="333">
        <f t="shared" si="17"/>
        <v>871.06999999999994</v>
      </c>
      <c r="R364" s="23" t="str">
        <f>VLOOKUP(C:C,'Historic Data - working'!A:B,1,FALSE)</f>
        <v>BIR199</v>
      </c>
      <c r="U364" s="323"/>
      <c r="V364" s="323"/>
      <c r="W364" s="323"/>
    </row>
    <row r="365" spans="1:23" s="23" customFormat="1" ht="14.25" hidden="1" outlineLevel="1" x14ac:dyDescent="0.2">
      <c r="A365" s="381" t="s">
        <v>828</v>
      </c>
      <c r="B365" s="381" t="s">
        <v>324</v>
      </c>
      <c r="C365" s="389" t="s">
        <v>1632</v>
      </c>
      <c r="D365" s="381" t="s">
        <v>1633</v>
      </c>
      <c r="E365" s="383" t="s">
        <v>1634</v>
      </c>
      <c r="F365" s="381" t="s">
        <v>1635</v>
      </c>
      <c r="G365" s="384" t="s">
        <v>329</v>
      </c>
      <c r="H365" s="24">
        <f>127.06+184.94+223.46+365.67</f>
        <v>901.13000000000011</v>
      </c>
      <c r="I365" s="24"/>
      <c r="J365" s="25" t="str">
        <f t="shared" si="18"/>
        <v>1</v>
      </c>
      <c r="K365" s="385"/>
      <c r="L365" s="385"/>
      <c r="M365" s="386">
        <f t="shared" si="16"/>
        <v>901.13000000000011</v>
      </c>
      <c r="N365" s="496">
        <v>80</v>
      </c>
      <c r="O365" s="333">
        <f t="shared" si="17"/>
        <v>981.13000000000011</v>
      </c>
      <c r="R365" s="23" t="str">
        <f>VLOOKUP(C:C,'Historic Data - working'!A:B,1,FALSE)</f>
        <v>BIR200</v>
      </c>
      <c r="U365" s="323"/>
      <c r="V365" s="323"/>
      <c r="W365" s="323"/>
    </row>
    <row r="366" spans="1:23" s="23" customFormat="1" ht="14.25" hidden="1" outlineLevel="1" x14ac:dyDescent="0.2">
      <c r="A366" s="381" t="s">
        <v>828</v>
      </c>
      <c r="B366" s="381" t="s">
        <v>324</v>
      </c>
      <c r="C366" s="389" t="s">
        <v>1636</v>
      </c>
      <c r="D366" s="381" t="s">
        <v>1637</v>
      </c>
      <c r="E366" s="383" t="s">
        <v>61</v>
      </c>
      <c r="F366" s="381" t="s">
        <v>1638</v>
      </c>
      <c r="G366" s="384" t="s">
        <v>329</v>
      </c>
      <c r="H366" s="24">
        <f>331.7+40+130+274.94</f>
        <v>776.64</v>
      </c>
      <c r="I366" s="24"/>
      <c r="J366" s="25" t="str">
        <f t="shared" si="18"/>
        <v>1</v>
      </c>
      <c r="K366" s="385" t="s">
        <v>1639</v>
      </c>
      <c r="L366" s="385"/>
      <c r="M366" s="386">
        <f t="shared" si="16"/>
        <v>776.64</v>
      </c>
      <c r="N366" s="496"/>
      <c r="O366" s="333">
        <f t="shared" si="17"/>
        <v>776.64</v>
      </c>
      <c r="R366" s="23" t="str">
        <f>VLOOKUP(C:C,'Historic Data - working'!A:B,1,FALSE)</f>
        <v>BIR200X</v>
      </c>
      <c r="U366" s="323"/>
      <c r="V366" s="323"/>
      <c r="W366" s="323"/>
    </row>
    <row r="367" spans="1:23" s="23" customFormat="1" ht="14.25" hidden="1" outlineLevel="1" x14ac:dyDescent="0.2">
      <c r="A367" s="381" t="s">
        <v>828</v>
      </c>
      <c r="B367" s="381" t="s">
        <v>324</v>
      </c>
      <c r="C367" s="389" t="s">
        <v>1640</v>
      </c>
      <c r="D367" s="381" t="s">
        <v>1641</v>
      </c>
      <c r="E367" s="383" t="s">
        <v>1642</v>
      </c>
      <c r="F367" s="381" t="s">
        <v>1643</v>
      </c>
      <c r="G367" s="384"/>
      <c r="H367" s="24"/>
      <c r="I367" s="24"/>
      <c r="J367" s="25" t="str">
        <f t="shared" si="18"/>
        <v xml:space="preserve"> </v>
      </c>
      <c r="K367" s="385"/>
      <c r="L367" s="385"/>
      <c r="M367" s="386">
        <f t="shared" si="16"/>
        <v>0</v>
      </c>
      <c r="N367" s="496"/>
      <c r="O367" s="333">
        <f t="shared" si="17"/>
        <v>0</v>
      </c>
      <c r="R367" s="23" t="e">
        <f>VLOOKUP(C:C,'Historic Data - working'!A:B,1,FALSE)</f>
        <v>#N/A</v>
      </c>
      <c r="U367" s="323"/>
      <c r="V367" s="323"/>
      <c r="W367" s="323"/>
    </row>
    <row r="368" spans="1:23" s="23" customFormat="1" ht="14.25" hidden="1" outlineLevel="1" x14ac:dyDescent="0.2">
      <c r="A368" s="381" t="s">
        <v>828</v>
      </c>
      <c r="B368" s="381" t="s">
        <v>324</v>
      </c>
      <c r="C368" s="389" t="s">
        <v>1644</v>
      </c>
      <c r="D368" s="381" t="s">
        <v>1645</v>
      </c>
      <c r="E368" s="383" t="s">
        <v>31</v>
      </c>
      <c r="F368" s="381" t="s">
        <v>1646</v>
      </c>
      <c r="G368" s="384" t="s">
        <v>329</v>
      </c>
      <c r="H368" s="24">
        <f>326.03+79.94+38.5+313.71+10</f>
        <v>768.18</v>
      </c>
      <c r="I368" s="24"/>
      <c r="J368" s="25" t="str">
        <f t="shared" si="18"/>
        <v>1</v>
      </c>
      <c r="K368" s="385"/>
      <c r="L368" s="385"/>
      <c r="M368" s="386">
        <f t="shared" si="16"/>
        <v>768.18</v>
      </c>
      <c r="N368" s="496">
        <v>342</v>
      </c>
      <c r="O368" s="333">
        <f t="shared" si="17"/>
        <v>1110.1799999999998</v>
      </c>
      <c r="R368" s="23" t="str">
        <f>VLOOKUP(C:C,'Historic Data - working'!A:B,1,FALSE)</f>
        <v>BIR201</v>
      </c>
      <c r="U368" s="323"/>
      <c r="V368" s="323"/>
      <c r="W368" s="323"/>
    </row>
    <row r="369" spans="1:23" s="23" customFormat="1" ht="14.25" hidden="1" outlineLevel="1" x14ac:dyDescent="0.2">
      <c r="A369" s="381" t="s">
        <v>828</v>
      </c>
      <c r="B369" s="381" t="s">
        <v>324</v>
      </c>
      <c r="C369" s="389" t="s">
        <v>1647</v>
      </c>
      <c r="D369" s="381" t="s">
        <v>1648</v>
      </c>
      <c r="E369" s="383" t="s">
        <v>1649</v>
      </c>
      <c r="F369" s="381" t="s">
        <v>1650</v>
      </c>
      <c r="G369" s="384"/>
      <c r="H369" s="24"/>
      <c r="I369" s="24"/>
      <c r="J369" s="25" t="str">
        <f t="shared" si="18"/>
        <v xml:space="preserve"> </v>
      </c>
      <c r="K369" s="385"/>
      <c r="L369" s="385"/>
      <c r="M369" s="386">
        <f t="shared" si="16"/>
        <v>0</v>
      </c>
      <c r="N369" s="496"/>
      <c r="O369" s="333">
        <f t="shared" si="17"/>
        <v>0</v>
      </c>
      <c r="R369" s="23" t="e">
        <f>VLOOKUP(C:C,'Historic Data - working'!A:B,1,FALSE)</f>
        <v>#N/A</v>
      </c>
      <c r="U369" s="323"/>
      <c r="V369" s="323"/>
      <c r="W369" s="323"/>
    </row>
    <row r="370" spans="1:23" s="23" customFormat="1" ht="14.25" hidden="1" outlineLevel="1" x14ac:dyDescent="0.2">
      <c r="A370" s="381" t="s">
        <v>828</v>
      </c>
      <c r="B370" s="381" t="s">
        <v>324</v>
      </c>
      <c r="C370" s="389" t="s">
        <v>1651</v>
      </c>
      <c r="D370" s="381" t="s">
        <v>1652</v>
      </c>
      <c r="E370" s="383" t="s">
        <v>226</v>
      </c>
      <c r="F370" s="381" t="s">
        <v>1653</v>
      </c>
      <c r="G370" s="384" t="s">
        <v>329</v>
      </c>
      <c r="H370" s="24">
        <v>760.69</v>
      </c>
      <c r="I370" s="24"/>
      <c r="J370" s="25" t="str">
        <f t="shared" si="18"/>
        <v>1</v>
      </c>
      <c r="K370" s="385"/>
      <c r="L370" s="385"/>
      <c r="M370" s="386">
        <f t="shared" si="16"/>
        <v>760.69</v>
      </c>
      <c r="N370" s="496">
        <v>542.81999999999994</v>
      </c>
      <c r="O370" s="333">
        <f t="shared" si="17"/>
        <v>1303.51</v>
      </c>
      <c r="R370" s="23" t="str">
        <f>VLOOKUP(C:C,'Historic Data - working'!A:B,1,FALSE)</f>
        <v>BIR202</v>
      </c>
      <c r="U370" s="323"/>
      <c r="V370" s="323"/>
      <c r="W370" s="323"/>
    </row>
    <row r="371" spans="1:23" s="23" customFormat="1" ht="14.25" hidden="1" outlineLevel="1" x14ac:dyDescent="0.2">
      <c r="A371" s="381" t="s">
        <v>828</v>
      </c>
      <c r="B371" s="381" t="s">
        <v>324</v>
      </c>
      <c r="C371" s="389" t="s">
        <v>1654</v>
      </c>
      <c r="D371" s="381" t="s">
        <v>1655</v>
      </c>
      <c r="E371" s="383" t="s">
        <v>124</v>
      </c>
      <c r="F371" s="381" t="s">
        <v>1653</v>
      </c>
      <c r="G371" s="384" t="s">
        <v>329</v>
      </c>
      <c r="H371" s="24">
        <f>243.76+336.7+40</f>
        <v>620.46</v>
      </c>
      <c r="I371" s="24"/>
      <c r="J371" s="25" t="str">
        <f t="shared" si="18"/>
        <v>1</v>
      </c>
      <c r="K371" s="385"/>
      <c r="L371" s="385"/>
      <c r="M371" s="386">
        <f t="shared" si="16"/>
        <v>620.46</v>
      </c>
      <c r="N371" s="496">
        <v>195.7</v>
      </c>
      <c r="O371" s="333">
        <f t="shared" si="17"/>
        <v>816.16000000000008</v>
      </c>
      <c r="R371" s="23" t="str">
        <f>VLOOKUP(C:C,'Historic Data - working'!A:B,1,FALSE)</f>
        <v>BIR203</v>
      </c>
      <c r="U371" s="323"/>
      <c r="V371" s="323"/>
      <c r="W371" s="323"/>
    </row>
    <row r="372" spans="1:23" s="23" customFormat="1" ht="14.25" hidden="1" outlineLevel="1" x14ac:dyDescent="0.2">
      <c r="A372" s="381" t="s">
        <v>828</v>
      </c>
      <c r="B372" s="381" t="s">
        <v>324</v>
      </c>
      <c r="C372" s="389" t="s">
        <v>1656</v>
      </c>
      <c r="D372" s="381" t="s">
        <v>1657</v>
      </c>
      <c r="E372" s="383" t="s">
        <v>78</v>
      </c>
      <c r="F372" s="381" t="s">
        <v>1653</v>
      </c>
      <c r="G372" s="384" t="s">
        <v>329</v>
      </c>
      <c r="H372" s="24"/>
      <c r="I372" s="24">
        <v>262.18</v>
      </c>
      <c r="J372" s="25" t="str">
        <f t="shared" si="18"/>
        <v>1</v>
      </c>
      <c r="K372" s="385"/>
      <c r="L372" s="385"/>
      <c r="M372" s="386">
        <f t="shared" si="16"/>
        <v>0</v>
      </c>
      <c r="N372" s="496">
        <v>372.18</v>
      </c>
      <c r="O372" s="333">
        <f t="shared" si="17"/>
        <v>372.18</v>
      </c>
      <c r="R372" s="23" t="str">
        <f>VLOOKUP(C:C,'Historic Data - working'!A:B,1,FALSE)</f>
        <v>BIR204</v>
      </c>
      <c r="U372" s="323"/>
      <c r="V372" s="323"/>
      <c r="W372" s="323"/>
    </row>
    <row r="373" spans="1:23" s="23" customFormat="1" ht="14.25" hidden="1" outlineLevel="1" x14ac:dyDescent="0.2">
      <c r="A373" s="381" t="s">
        <v>828</v>
      </c>
      <c r="B373" s="381" t="s">
        <v>324</v>
      </c>
      <c r="C373" s="389" t="s">
        <v>1658</v>
      </c>
      <c r="D373" s="381" t="s">
        <v>1659</v>
      </c>
      <c r="E373" s="383" t="s">
        <v>66</v>
      </c>
      <c r="F373" s="381" t="s">
        <v>1660</v>
      </c>
      <c r="G373" s="384" t="s">
        <v>329</v>
      </c>
      <c r="H373" s="24">
        <v>480.34</v>
      </c>
      <c r="I373" s="24"/>
      <c r="J373" s="25" t="str">
        <f t="shared" si="18"/>
        <v>1</v>
      </c>
      <c r="K373" s="385"/>
      <c r="L373" s="385"/>
      <c r="M373" s="386">
        <f t="shared" si="16"/>
        <v>480.34</v>
      </c>
      <c r="N373" s="496">
        <v>25</v>
      </c>
      <c r="O373" s="333">
        <f t="shared" si="17"/>
        <v>505.34</v>
      </c>
      <c r="R373" s="23" t="str">
        <f>VLOOKUP(C:C,'Historic Data - working'!A:B,1,FALSE)</f>
        <v>BIR205</v>
      </c>
      <c r="U373" s="323"/>
      <c r="V373" s="323"/>
      <c r="W373" s="323"/>
    </row>
    <row r="374" spans="1:23" s="23" customFormat="1" ht="14.25" hidden="1" outlineLevel="1" x14ac:dyDescent="0.2">
      <c r="A374" s="381" t="s">
        <v>828</v>
      </c>
      <c r="B374" s="381" t="s">
        <v>324</v>
      </c>
      <c r="C374" s="389" t="s">
        <v>1661</v>
      </c>
      <c r="D374" s="381" t="s">
        <v>1662</v>
      </c>
      <c r="E374" s="383" t="s">
        <v>1376</v>
      </c>
      <c r="F374" s="381" t="s">
        <v>1663</v>
      </c>
      <c r="G374" s="384"/>
      <c r="H374" s="24"/>
      <c r="I374" s="24"/>
      <c r="J374" s="25" t="str">
        <f t="shared" si="18"/>
        <v xml:space="preserve"> </v>
      </c>
      <c r="K374" s="385"/>
      <c r="L374" s="385"/>
      <c r="M374" s="386">
        <f t="shared" si="16"/>
        <v>0</v>
      </c>
      <c r="N374" s="496"/>
      <c r="O374" s="333">
        <f t="shared" si="17"/>
        <v>0</v>
      </c>
      <c r="R374" s="23" t="e">
        <f>VLOOKUP(C:C,'Historic Data - working'!A:B,1,FALSE)</f>
        <v>#N/A</v>
      </c>
      <c r="U374" s="323"/>
      <c r="V374" s="323"/>
      <c r="W374" s="323"/>
    </row>
    <row r="375" spans="1:23" s="23" customFormat="1" ht="14.25" hidden="1" outlineLevel="1" x14ac:dyDescent="0.2">
      <c r="A375" s="381" t="s">
        <v>828</v>
      </c>
      <c r="B375" s="381" t="s">
        <v>324</v>
      </c>
      <c r="C375" s="389" t="s">
        <v>1664</v>
      </c>
      <c r="D375" s="381" t="s">
        <v>1665</v>
      </c>
      <c r="E375" s="383" t="s">
        <v>1666</v>
      </c>
      <c r="F375" s="381" t="s">
        <v>1667</v>
      </c>
      <c r="G375" s="384"/>
      <c r="H375" s="24"/>
      <c r="I375" s="24"/>
      <c r="J375" s="25" t="str">
        <f t="shared" si="18"/>
        <v xml:space="preserve"> </v>
      </c>
      <c r="K375" s="385"/>
      <c r="L375" s="385"/>
      <c r="M375" s="386">
        <f t="shared" si="16"/>
        <v>0</v>
      </c>
      <c r="N375" s="496">
        <v>834.27</v>
      </c>
      <c r="O375" s="333">
        <f t="shared" si="17"/>
        <v>834.27</v>
      </c>
      <c r="R375" s="23" t="str">
        <f>VLOOKUP(C:C,'Historic Data - working'!A:B,1,FALSE)</f>
        <v>BIR206</v>
      </c>
      <c r="U375" s="323"/>
      <c r="V375" s="323"/>
      <c r="W375" s="323"/>
    </row>
    <row r="376" spans="1:23" s="23" customFormat="1" ht="14.25" hidden="1" outlineLevel="1" x14ac:dyDescent="0.2">
      <c r="A376" s="381" t="s">
        <v>828</v>
      </c>
      <c r="B376" s="381" t="s">
        <v>324</v>
      </c>
      <c r="C376" s="389" t="s">
        <v>1668</v>
      </c>
      <c r="D376" s="381" t="s">
        <v>1669</v>
      </c>
      <c r="E376" s="383" t="s">
        <v>1670</v>
      </c>
      <c r="F376" s="381" t="s">
        <v>1671</v>
      </c>
      <c r="G376" s="384" t="s">
        <v>329</v>
      </c>
      <c r="H376" s="24">
        <f>551.65+218.64+415.02+323.51</f>
        <v>1508.82</v>
      </c>
      <c r="I376" s="24"/>
      <c r="J376" s="25" t="str">
        <f t="shared" si="18"/>
        <v>1</v>
      </c>
      <c r="K376" s="385" t="s">
        <v>1672</v>
      </c>
      <c r="L376" s="385">
        <v>0.03</v>
      </c>
      <c r="M376" s="386">
        <f t="shared" si="16"/>
        <v>1508.85</v>
      </c>
      <c r="N376" s="496">
        <v>196</v>
      </c>
      <c r="O376" s="333">
        <f t="shared" si="17"/>
        <v>1704.85</v>
      </c>
      <c r="R376" s="23" t="str">
        <f>VLOOKUP(C:C,'Historic Data - working'!A:B,1,FALSE)</f>
        <v>BIR207</v>
      </c>
      <c r="U376" s="323"/>
      <c r="V376" s="323"/>
      <c r="W376" s="323"/>
    </row>
    <row r="377" spans="1:23" s="23" customFormat="1" ht="14.25" hidden="1" outlineLevel="1" x14ac:dyDescent="0.2">
      <c r="A377" s="381" t="s">
        <v>828</v>
      </c>
      <c r="B377" s="381" t="s">
        <v>324</v>
      </c>
      <c r="C377" s="389" t="s">
        <v>1673</v>
      </c>
      <c r="D377" s="381" t="s">
        <v>1674</v>
      </c>
      <c r="E377" s="383" t="s">
        <v>1675</v>
      </c>
      <c r="F377" s="381" t="s">
        <v>1676</v>
      </c>
      <c r="G377" s="384"/>
      <c r="H377" s="24"/>
      <c r="I377" s="24"/>
      <c r="J377" s="25" t="str">
        <f t="shared" si="18"/>
        <v xml:space="preserve"> </v>
      </c>
      <c r="K377" s="385"/>
      <c r="L377" s="385"/>
      <c r="M377" s="386">
        <f t="shared" si="16"/>
        <v>0</v>
      </c>
      <c r="N377" s="496"/>
      <c r="O377" s="333">
        <f t="shared" si="17"/>
        <v>0</v>
      </c>
      <c r="R377" s="23" t="str">
        <f>VLOOKUP(C:C,'Historic Data - working'!A:B,1,FALSE)</f>
        <v>BIR208</v>
      </c>
      <c r="U377" s="323"/>
      <c r="V377" s="323"/>
      <c r="W377" s="323"/>
    </row>
    <row r="378" spans="1:23" s="23" customFormat="1" ht="14.25" hidden="1" outlineLevel="1" x14ac:dyDescent="0.2">
      <c r="A378" s="381" t="s">
        <v>828</v>
      </c>
      <c r="B378" s="381" t="s">
        <v>324</v>
      </c>
      <c r="C378" s="389" t="s">
        <v>1677</v>
      </c>
      <c r="D378" s="381" t="s">
        <v>1678</v>
      </c>
      <c r="E378" s="383" t="s">
        <v>1679</v>
      </c>
      <c r="F378" s="381" t="s">
        <v>1680</v>
      </c>
      <c r="G378" s="384"/>
      <c r="H378" s="24"/>
      <c r="I378" s="24"/>
      <c r="J378" s="25" t="str">
        <f t="shared" si="18"/>
        <v xml:space="preserve"> </v>
      </c>
      <c r="K378" s="385"/>
      <c r="L378" s="385"/>
      <c r="M378" s="386">
        <f t="shared" si="16"/>
        <v>0</v>
      </c>
      <c r="N378" s="496"/>
      <c r="O378" s="333">
        <f t="shared" si="17"/>
        <v>0</v>
      </c>
      <c r="R378" s="23" t="e">
        <f>VLOOKUP(C:C,'Historic Data - working'!A:B,1,FALSE)</f>
        <v>#N/A</v>
      </c>
      <c r="U378" s="323"/>
      <c r="V378" s="323"/>
      <c r="W378" s="323"/>
    </row>
    <row r="379" spans="1:23" s="23" customFormat="1" ht="14.25" hidden="1" outlineLevel="1" x14ac:dyDescent="0.2">
      <c r="A379" s="381" t="s">
        <v>828</v>
      </c>
      <c r="B379" s="381" t="s">
        <v>324</v>
      </c>
      <c r="C379" s="389" t="s">
        <v>1681</v>
      </c>
      <c r="D379" s="381" t="s">
        <v>1682</v>
      </c>
      <c r="E379" s="383" t="s">
        <v>1683</v>
      </c>
      <c r="F379" s="381" t="s">
        <v>1684</v>
      </c>
      <c r="G379" s="384" t="s">
        <v>329</v>
      </c>
      <c r="H379" s="24">
        <f>23.24+70+11.75+5.19+8.3+19.42+8.02+41.5+9.4+5+10.74+19.11+15.98+6.74+74+8.41+21.11+7.93+7.85+15+3.15+46.2+9.12+24</f>
        <v>471.16</v>
      </c>
      <c r="I379" s="24"/>
      <c r="J379" s="25" t="str">
        <f t="shared" si="18"/>
        <v>1</v>
      </c>
      <c r="K379" s="385" t="s">
        <v>1685</v>
      </c>
      <c r="L379" s="385">
        <f>53.94+0.36</f>
        <v>54.3</v>
      </c>
      <c r="M379" s="386">
        <f t="shared" si="16"/>
        <v>525.46</v>
      </c>
      <c r="N379" s="496"/>
      <c r="O379" s="333">
        <f t="shared" si="17"/>
        <v>525.46</v>
      </c>
      <c r="R379" s="23" t="str">
        <f>VLOOKUP(C:C,'Historic Data - working'!A:B,1,FALSE)</f>
        <v>BIR209</v>
      </c>
      <c r="U379" s="323"/>
      <c r="V379" s="323"/>
      <c r="W379" s="323"/>
    </row>
    <row r="380" spans="1:23" s="23" customFormat="1" ht="14.25" hidden="1" outlineLevel="1" x14ac:dyDescent="0.2">
      <c r="A380" s="381" t="s">
        <v>828</v>
      </c>
      <c r="B380" s="381" t="s">
        <v>324</v>
      </c>
      <c r="C380" s="389" t="s">
        <v>1686</v>
      </c>
      <c r="D380" s="381" t="s">
        <v>1687</v>
      </c>
      <c r="E380" s="383" t="s">
        <v>1688</v>
      </c>
      <c r="F380" s="381" t="s">
        <v>1689</v>
      </c>
      <c r="G380" s="384" t="s">
        <v>329</v>
      </c>
      <c r="H380" s="24">
        <v>1062.92</v>
      </c>
      <c r="I380" s="24"/>
      <c r="J380" s="25" t="str">
        <f t="shared" si="18"/>
        <v>1</v>
      </c>
      <c r="K380" s="392"/>
      <c r="L380" s="385"/>
      <c r="M380" s="386">
        <f t="shared" si="16"/>
        <v>1062.92</v>
      </c>
      <c r="N380" s="496"/>
      <c r="O380" s="333">
        <f t="shared" si="17"/>
        <v>1062.92</v>
      </c>
      <c r="R380" s="23" t="str">
        <f>VLOOKUP(C:C,'Historic Data - working'!A:B,1,FALSE)</f>
        <v>BIR210</v>
      </c>
      <c r="U380" s="323"/>
      <c r="V380" s="323"/>
      <c r="W380" s="323"/>
    </row>
    <row r="381" spans="1:23" s="23" customFormat="1" ht="14.25" hidden="1" outlineLevel="1" x14ac:dyDescent="0.2">
      <c r="A381" s="381" t="s">
        <v>828</v>
      </c>
      <c r="B381" s="381" t="s">
        <v>324</v>
      </c>
      <c r="C381" s="389" t="s">
        <v>1690</v>
      </c>
      <c r="D381" s="381" t="s">
        <v>1691</v>
      </c>
      <c r="E381" s="383" t="s">
        <v>1349</v>
      </c>
      <c r="F381" s="381" t="s">
        <v>1689</v>
      </c>
      <c r="G381" s="384" t="s">
        <v>329</v>
      </c>
      <c r="H381" s="24">
        <f>213+91+81+89+45+178+140+53+171+64+50</f>
        <v>1175</v>
      </c>
      <c r="I381" s="24"/>
      <c r="J381" s="25" t="str">
        <f t="shared" si="18"/>
        <v>1</v>
      </c>
      <c r="K381" s="385"/>
      <c r="L381" s="385"/>
      <c r="M381" s="386">
        <f t="shared" si="16"/>
        <v>1175</v>
      </c>
      <c r="N381" s="496"/>
      <c r="O381" s="333">
        <f t="shared" si="17"/>
        <v>1175</v>
      </c>
      <c r="R381" s="23" t="str">
        <f>VLOOKUP(C:C,'Historic Data - working'!A:B,1,FALSE)</f>
        <v>BIR211</v>
      </c>
      <c r="U381" s="323"/>
      <c r="V381" s="323"/>
      <c r="W381" s="323"/>
    </row>
    <row r="382" spans="1:23" s="23" customFormat="1" ht="14.25" hidden="1" outlineLevel="1" x14ac:dyDescent="0.2">
      <c r="A382" s="381" t="s">
        <v>828</v>
      </c>
      <c r="B382" s="381" t="s">
        <v>324</v>
      </c>
      <c r="C382" s="389" t="s">
        <v>1692</v>
      </c>
      <c r="D382" s="381" t="s">
        <v>1693</v>
      </c>
      <c r="E382" s="383" t="s">
        <v>532</v>
      </c>
      <c r="F382" s="381" t="s">
        <v>1689</v>
      </c>
      <c r="G382" s="384"/>
      <c r="H382" s="24"/>
      <c r="I382" s="24"/>
      <c r="J382" s="25" t="str">
        <f t="shared" si="18"/>
        <v xml:space="preserve"> </v>
      </c>
      <c r="K382" s="385"/>
      <c r="L382" s="385"/>
      <c r="M382" s="386">
        <f t="shared" si="16"/>
        <v>0</v>
      </c>
      <c r="N382" s="496"/>
      <c r="O382" s="333">
        <f t="shared" si="17"/>
        <v>0</v>
      </c>
      <c r="R382" s="23" t="e">
        <f>VLOOKUP(C:C,'Historic Data - working'!A:B,1,FALSE)</f>
        <v>#N/A</v>
      </c>
      <c r="U382" s="323"/>
      <c r="V382" s="323"/>
      <c r="W382" s="323"/>
    </row>
    <row r="383" spans="1:23" s="23" customFormat="1" ht="14.25" hidden="1" outlineLevel="1" x14ac:dyDescent="0.2">
      <c r="A383" s="381" t="s">
        <v>828</v>
      </c>
      <c r="B383" s="381" t="s">
        <v>324</v>
      </c>
      <c r="C383" s="389" t="s">
        <v>1694</v>
      </c>
      <c r="D383" s="381" t="s">
        <v>1695</v>
      </c>
      <c r="E383" s="383" t="s">
        <v>1696</v>
      </c>
      <c r="F383" s="381" t="s">
        <v>1697</v>
      </c>
      <c r="G383" s="384" t="s">
        <v>329</v>
      </c>
      <c r="H383" s="24">
        <v>2708.68</v>
      </c>
      <c r="I383" s="24"/>
      <c r="J383" s="25" t="str">
        <f t="shared" si="18"/>
        <v>1</v>
      </c>
      <c r="K383" s="392" t="s">
        <v>1698</v>
      </c>
      <c r="L383" s="385">
        <v>-0.99</v>
      </c>
      <c r="M383" s="386">
        <f t="shared" si="16"/>
        <v>2707.69</v>
      </c>
      <c r="N383" s="496">
        <v>300</v>
      </c>
      <c r="O383" s="333">
        <f t="shared" si="17"/>
        <v>3007.69</v>
      </c>
      <c r="R383" s="23" t="str">
        <f>VLOOKUP(C:C,'Historic Data - working'!A:B,1,FALSE)</f>
        <v>BIR212</v>
      </c>
      <c r="U383" s="323"/>
      <c r="V383" s="323"/>
      <c r="W383" s="323"/>
    </row>
    <row r="384" spans="1:23" s="23" customFormat="1" ht="14.25" hidden="1" outlineLevel="1" x14ac:dyDescent="0.2">
      <c r="A384" s="381" t="s">
        <v>828</v>
      </c>
      <c r="B384" s="381" t="s">
        <v>324</v>
      </c>
      <c r="C384" s="389" t="s">
        <v>1699</v>
      </c>
      <c r="D384" s="381" t="s">
        <v>1700</v>
      </c>
      <c r="E384" s="383" t="s">
        <v>15</v>
      </c>
      <c r="F384" s="381" t="s">
        <v>1701</v>
      </c>
      <c r="G384" s="384" t="s">
        <v>329</v>
      </c>
      <c r="H384" s="24">
        <v>1271.3800000000001</v>
      </c>
      <c r="I384" s="24"/>
      <c r="J384" s="25" t="str">
        <f t="shared" si="18"/>
        <v>1</v>
      </c>
      <c r="K384" s="392"/>
      <c r="L384" s="385"/>
      <c r="M384" s="386">
        <f t="shared" si="16"/>
        <v>1271.3800000000001</v>
      </c>
      <c r="N384" s="496">
        <v>470</v>
      </c>
      <c r="O384" s="333">
        <f t="shared" si="17"/>
        <v>1741.38</v>
      </c>
      <c r="R384" s="23" t="str">
        <f>VLOOKUP(C:C,'Historic Data - working'!A:B,1,FALSE)</f>
        <v>BIR213</v>
      </c>
      <c r="U384" s="323"/>
      <c r="V384" s="323"/>
      <c r="W384" s="323"/>
    </row>
    <row r="385" spans="1:23" s="23" customFormat="1" ht="14.25" hidden="1" outlineLevel="1" x14ac:dyDescent="0.2">
      <c r="A385" s="381" t="s">
        <v>828</v>
      </c>
      <c r="B385" s="381" t="s">
        <v>324</v>
      </c>
      <c r="C385" s="389" t="s">
        <v>1702</v>
      </c>
      <c r="D385" s="381" t="s">
        <v>1703</v>
      </c>
      <c r="E385" s="383" t="s">
        <v>226</v>
      </c>
      <c r="F385" s="381" t="s">
        <v>1704</v>
      </c>
      <c r="G385" s="384"/>
      <c r="H385" s="24"/>
      <c r="I385" s="24"/>
      <c r="J385" s="25" t="str">
        <f t="shared" si="18"/>
        <v xml:space="preserve"> </v>
      </c>
      <c r="K385" s="385"/>
      <c r="L385" s="385"/>
      <c r="M385" s="386">
        <f t="shared" si="16"/>
        <v>0</v>
      </c>
      <c r="N385" s="496">
        <v>695</v>
      </c>
      <c r="O385" s="333">
        <f t="shared" si="17"/>
        <v>695</v>
      </c>
      <c r="R385" s="23" t="str">
        <f>VLOOKUP(C:C,'Historic Data - working'!A:B,1,FALSE)</f>
        <v>BIR214</v>
      </c>
      <c r="U385" s="323"/>
      <c r="V385" s="323"/>
      <c r="W385" s="323"/>
    </row>
    <row r="386" spans="1:23" s="23" customFormat="1" ht="14.25" hidden="1" outlineLevel="1" x14ac:dyDescent="0.2">
      <c r="A386" s="381" t="s">
        <v>828</v>
      </c>
      <c r="B386" s="381" t="s">
        <v>324</v>
      </c>
      <c r="C386" s="389" t="s">
        <v>1705</v>
      </c>
      <c r="D386" s="381" t="s">
        <v>1706</v>
      </c>
      <c r="E386" s="383" t="s">
        <v>1707</v>
      </c>
      <c r="F386" s="381" t="s">
        <v>1708</v>
      </c>
      <c r="G386" s="384"/>
      <c r="H386" s="24"/>
      <c r="I386" s="24"/>
      <c r="J386" s="25" t="str">
        <f t="shared" si="18"/>
        <v xml:space="preserve"> </v>
      </c>
      <c r="K386" s="390" t="s">
        <v>321</v>
      </c>
      <c r="L386" s="385">
        <v>786.96</v>
      </c>
      <c r="M386" s="386">
        <f t="shared" ref="M386:M449" si="19">H386+L386</f>
        <v>786.96</v>
      </c>
      <c r="N386" s="496">
        <v>90</v>
      </c>
      <c r="O386" s="333">
        <f t="shared" ref="O386:O449" si="20">M386+N386</f>
        <v>876.96</v>
      </c>
      <c r="R386" s="23" t="str">
        <f>VLOOKUP(C:C,'Historic Data - working'!A:B,1,FALSE)</f>
        <v>BIR215</v>
      </c>
      <c r="U386" s="323"/>
      <c r="V386" s="323"/>
      <c r="W386" s="323"/>
    </row>
    <row r="387" spans="1:23" s="23" customFormat="1" ht="14.25" hidden="1" outlineLevel="1" x14ac:dyDescent="0.2">
      <c r="A387" s="381" t="s">
        <v>828</v>
      </c>
      <c r="B387" s="381" t="s">
        <v>324</v>
      </c>
      <c r="C387" s="389" t="s">
        <v>1709</v>
      </c>
      <c r="D387" s="381" t="s">
        <v>1710</v>
      </c>
      <c r="E387" s="383" t="s">
        <v>1359</v>
      </c>
      <c r="F387" s="381" t="s">
        <v>1711</v>
      </c>
      <c r="G387" s="384"/>
      <c r="H387" s="24"/>
      <c r="I387" s="24"/>
      <c r="J387" s="25" t="str">
        <f t="shared" si="18"/>
        <v xml:space="preserve"> </v>
      </c>
      <c r="K387" s="385"/>
      <c r="L387" s="385"/>
      <c r="M387" s="386">
        <f t="shared" si="19"/>
        <v>0</v>
      </c>
      <c r="N387" s="496">
        <v>25</v>
      </c>
      <c r="O387" s="333">
        <f t="shared" si="20"/>
        <v>25</v>
      </c>
      <c r="R387" s="23" t="str">
        <f>VLOOKUP(C:C,'Historic Data - working'!A:B,1,FALSE)</f>
        <v>BIR216</v>
      </c>
      <c r="U387" s="323"/>
      <c r="V387" s="323"/>
      <c r="W387" s="323"/>
    </row>
    <row r="388" spans="1:23" s="23" customFormat="1" ht="14.25" hidden="1" outlineLevel="1" x14ac:dyDescent="0.2">
      <c r="A388" s="381" t="s">
        <v>828</v>
      </c>
      <c r="B388" s="381" t="s">
        <v>324</v>
      </c>
      <c r="C388" s="389" t="s">
        <v>1712</v>
      </c>
      <c r="D388" s="381" t="s">
        <v>1713</v>
      </c>
      <c r="E388" s="383" t="s">
        <v>11</v>
      </c>
      <c r="F388" s="381" t="s">
        <v>1714</v>
      </c>
      <c r="G388" s="384"/>
      <c r="H388" s="24"/>
      <c r="I388" s="24"/>
      <c r="J388" s="25" t="str">
        <f t="shared" si="18"/>
        <v xml:space="preserve"> </v>
      </c>
      <c r="K388" s="385"/>
      <c r="L388" s="385"/>
      <c r="M388" s="386">
        <f t="shared" si="19"/>
        <v>0</v>
      </c>
      <c r="N388" s="496">
        <v>700.26</v>
      </c>
      <c r="O388" s="333">
        <f t="shared" si="20"/>
        <v>700.26</v>
      </c>
      <c r="R388" s="23" t="str">
        <f>VLOOKUP(C:C,'Historic Data - working'!A:B,1,FALSE)</f>
        <v>BIR217</v>
      </c>
      <c r="U388" s="323"/>
      <c r="V388" s="323"/>
      <c r="W388" s="323"/>
    </row>
    <row r="389" spans="1:23" s="23" customFormat="1" ht="14.25" hidden="1" outlineLevel="1" x14ac:dyDescent="0.2">
      <c r="A389" s="381" t="s">
        <v>828</v>
      </c>
      <c r="B389" s="381" t="s">
        <v>324</v>
      </c>
      <c r="C389" s="389" t="s">
        <v>1715</v>
      </c>
      <c r="D389" s="381" t="s">
        <v>1716</v>
      </c>
      <c r="E389" s="383" t="s">
        <v>1032</v>
      </c>
      <c r="F389" s="381" t="s">
        <v>1714</v>
      </c>
      <c r="G389" s="384" t="s">
        <v>329</v>
      </c>
      <c r="H389" s="24">
        <f>2866.88</f>
        <v>2866.88</v>
      </c>
      <c r="I389" s="24"/>
      <c r="J389" s="25" t="str">
        <f t="shared" si="18"/>
        <v>1</v>
      </c>
      <c r="K389" s="385" t="s">
        <v>1717</v>
      </c>
      <c r="L389" s="385"/>
      <c r="M389" s="386">
        <f t="shared" si="19"/>
        <v>2866.88</v>
      </c>
      <c r="N389" s="496">
        <v>116.97</v>
      </c>
      <c r="O389" s="333">
        <f t="shared" si="20"/>
        <v>2983.85</v>
      </c>
      <c r="R389" s="23" t="str">
        <f>VLOOKUP(C:C,'Historic Data - working'!A:B,1,FALSE)</f>
        <v>BIR218</v>
      </c>
      <c r="U389" s="323"/>
      <c r="V389" s="323"/>
      <c r="W389" s="323"/>
    </row>
    <row r="390" spans="1:23" s="23" customFormat="1" ht="14.25" hidden="1" outlineLevel="1" x14ac:dyDescent="0.2">
      <c r="A390" s="381" t="s">
        <v>828</v>
      </c>
      <c r="B390" s="381" t="s">
        <v>324</v>
      </c>
      <c r="C390" s="389" t="s">
        <v>1718</v>
      </c>
      <c r="D390" s="381" t="s">
        <v>1719</v>
      </c>
      <c r="E390" s="383" t="s">
        <v>1409</v>
      </c>
      <c r="F390" s="381" t="s">
        <v>1714</v>
      </c>
      <c r="G390" s="384" t="s">
        <v>329</v>
      </c>
      <c r="H390" s="24"/>
      <c r="I390" s="24">
        <f>470+50</f>
        <v>520</v>
      </c>
      <c r="J390" s="25" t="str">
        <f t="shared" si="18"/>
        <v>1</v>
      </c>
      <c r="K390" s="385"/>
      <c r="L390" s="385"/>
      <c r="M390" s="386">
        <f t="shared" si="19"/>
        <v>0</v>
      </c>
      <c r="N390" s="496">
        <v>570</v>
      </c>
      <c r="O390" s="333">
        <f t="shared" si="20"/>
        <v>570</v>
      </c>
      <c r="R390" s="23" t="str">
        <f>VLOOKUP(C:C,'Historic Data - working'!A:B,1,FALSE)</f>
        <v>BIR219</v>
      </c>
      <c r="U390" s="323"/>
      <c r="V390" s="323"/>
      <c r="W390" s="323"/>
    </row>
    <row r="391" spans="1:23" s="23" customFormat="1" ht="14.25" hidden="1" outlineLevel="1" x14ac:dyDescent="0.2">
      <c r="A391" s="381" t="s">
        <v>828</v>
      </c>
      <c r="B391" s="381" t="s">
        <v>324</v>
      </c>
      <c r="C391" s="389" t="s">
        <v>1720</v>
      </c>
      <c r="D391" s="381" t="s">
        <v>1721</v>
      </c>
      <c r="E391" s="383" t="s">
        <v>61</v>
      </c>
      <c r="F391" s="381" t="s">
        <v>1714</v>
      </c>
      <c r="G391" s="384"/>
      <c r="H391" s="24"/>
      <c r="I391" s="24"/>
      <c r="J391" s="25" t="str">
        <f t="shared" si="18"/>
        <v xml:space="preserve"> </v>
      </c>
      <c r="K391" s="390" t="s">
        <v>321</v>
      </c>
      <c r="L391" s="385">
        <v>440.19</v>
      </c>
      <c r="M391" s="386">
        <f t="shared" si="19"/>
        <v>440.19</v>
      </c>
      <c r="N391" s="496">
        <v>20</v>
      </c>
      <c r="O391" s="333">
        <f t="shared" si="20"/>
        <v>460.19</v>
      </c>
      <c r="R391" s="23" t="str">
        <f>VLOOKUP(C:C,'Historic Data - working'!A:B,1,FALSE)</f>
        <v>BIR220</v>
      </c>
      <c r="U391" s="323"/>
      <c r="V391" s="323"/>
      <c r="W391" s="323"/>
    </row>
    <row r="392" spans="1:23" s="23" customFormat="1" ht="14.25" hidden="1" outlineLevel="1" x14ac:dyDescent="0.2">
      <c r="A392" s="381" t="s">
        <v>828</v>
      </c>
      <c r="B392" s="381" t="s">
        <v>324</v>
      </c>
      <c r="C392" s="389" t="s">
        <v>1722</v>
      </c>
      <c r="D392" s="381" t="s">
        <v>1723</v>
      </c>
      <c r="E392" s="383" t="s">
        <v>1724</v>
      </c>
      <c r="F392" s="381" t="s">
        <v>1714</v>
      </c>
      <c r="G392" s="384" t="s">
        <v>329</v>
      </c>
      <c r="H392" s="24">
        <v>446.77</v>
      </c>
      <c r="I392" s="24"/>
      <c r="J392" s="25" t="str">
        <f t="shared" si="18"/>
        <v>1</v>
      </c>
      <c r="K392" s="392"/>
      <c r="L392" s="385"/>
      <c r="M392" s="386">
        <f t="shared" si="19"/>
        <v>446.77</v>
      </c>
      <c r="N392" s="496">
        <v>434</v>
      </c>
      <c r="O392" s="333">
        <f t="shared" si="20"/>
        <v>880.77</v>
      </c>
      <c r="R392" s="23" t="str">
        <f>VLOOKUP(C:C,'Historic Data - working'!A:B,1,FALSE)</f>
        <v>BIR221</v>
      </c>
      <c r="U392" s="323"/>
      <c r="V392" s="323"/>
      <c r="W392" s="323"/>
    </row>
    <row r="393" spans="1:23" s="23" customFormat="1" ht="14.25" hidden="1" outlineLevel="1" x14ac:dyDescent="0.2">
      <c r="A393" s="381" t="s">
        <v>828</v>
      </c>
      <c r="B393" s="381" t="s">
        <v>324</v>
      </c>
      <c r="C393" s="389" t="s">
        <v>1725</v>
      </c>
      <c r="D393" s="381" t="s">
        <v>1726</v>
      </c>
      <c r="E393" s="383" t="s">
        <v>252</v>
      </c>
      <c r="F393" s="381" t="s">
        <v>1714</v>
      </c>
      <c r="G393" s="384" t="s">
        <v>329</v>
      </c>
      <c r="H393" s="24">
        <v>1728.66</v>
      </c>
      <c r="I393" s="24"/>
      <c r="J393" s="25" t="str">
        <f t="shared" si="18"/>
        <v>1</v>
      </c>
      <c r="K393" s="385"/>
      <c r="L393" s="385"/>
      <c r="M393" s="386">
        <f t="shared" si="19"/>
        <v>1728.66</v>
      </c>
      <c r="N393" s="496">
        <v>452</v>
      </c>
      <c r="O393" s="333">
        <f t="shared" si="20"/>
        <v>2180.66</v>
      </c>
      <c r="R393" s="23" t="str">
        <f>VLOOKUP(C:C,'Historic Data - working'!A:B,1,FALSE)</f>
        <v>BIR222</v>
      </c>
      <c r="U393" s="323"/>
      <c r="V393" s="323"/>
      <c r="W393" s="323"/>
    </row>
    <row r="394" spans="1:23" s="23" customFormat="1" ht="14.25" hidden="1" outlineLevel="1" x14ac:dyDescent="0.2">
      <c r="A394" s="381" t="s">
        <v>828</v>
      </c>
      <c r="B394" s="381" t="s">
        <v>324</v>
      </c>
      <c r="C394" s="389" t="s">
        <v>1727</v>
      </c>
      <c r="D394" s="381" t="s">
        <v>1728</v>
      </c>
      <c r="E394" s="383" t="s">
        <v>124</v>
      </c>
      <c r="F394" s="381" t="s">
        <v>1714</v>
      </c>
      <c r="G394" s="384" t="s">
        <v>329</v>
      </c>
      <c r="H394" s="24">
        <f>56.67+152.24</f>
        <v>208.91000000000003</v>
      </c>
      <c r="I394" s="24"/>
      <c r="J394" s="25" t="str">
        <f t="shared" si="18"/>
        <v>1</v>
      </c>
      <c r="K394" s="385"/>
      <c r="L394" s="385"/>
      <c r="M394" s="386">
        <f t="shared" si="19"/>
        <v>208.91000000000003</v>
      </c>
      <c r="N394" s="496">
        <v>64</v>
      </c>
      <c r="O394" s="333">
        <f t="shared" si="20"/>
        <v>272.91000000000003</v>
      </c>
      <c r="R394" s="23" t="str">
        <f>VLOOKUP(C:C,'Historic Data - working'!A:B,1,FALSE)</f>
        <v>BIR223</v>
      </c>
      <c r="U394" s="323"/>
      <c r="V394" s="323"/>
      <c r="W394" s="323"/>
    </row>
    <row r="395" spans="1:23" s="23" customFormat="1" ht="14.25" hidden="1" outlineLevel="1" x14ac:dyDescent="0.2">
      <c r="A395" s="381" t="s">
        <v>828</v>
      </c>
      <c r="B395" s="381" t="s">
        <v>324</v>
      </c>
      <c r="C395" s="389" t="s">
        <v>1729</v>
      </c>
      <c r="D395" s="381" t="s">
        <v>1730</v>
      </c>
      <c r="E395" s="383" t="s">
        <v>1731</v>
      </c>
      <c r="F395" s="381" t="s">
        <v>1714</v>
      </c>
      <c r="G395" s="384" t="s">
        <v>329</v>
      </c>
      <c r="H395" s="24">
        <f>84+105</f>
        <v>189</v>
      </c>
      <c r="I395" s="24">
        <v>257.27999999999997</v>
      </c>
      <c r="J395" s="25" t="str">
        <f t="shared" si="18"/>
        <v>1</v>
      </c>
      <c r="K395" s="385"/>
      <c r="L395" s="385"/>
      <c r="M395" s="386">
        <f t="shared" si="19"/>
        <v>189</v>
      </c>
      <c r="N395" s="496">
        <v>584.87</v>
      </c>
      <c r="O395" s="333">
        <f t="shared" si="20"/>
        <v>773.87</v>
      </c>
      <c r="R395" s="23" t="str">
        <f>VLOOKUP(C:C,'Historic Data - working'!A:B,1,FALSE)</f>
        <v>BIR224</v>
      </c>
      <c r="U395" s="323"/>
      <c r="V395" s="323"/>
      <c r="W395" s="323"/>
    </row>
    <row r="396" spans="1:23" s="23" customFormat="1" ht="14.25" hidden="1" outlineLevel="1" x14ac:dyDescent="0.2">
      <c r="A396" s="381" t="s">
        <v>828</v>
      </c>
      <c r="B396" s="381" t="s">
        <v>324</v>
      </c>
      <c r="C396" s="389" t="s">
        <v>1732</v>
      </c>
      <c r="D396" s="381" t="s">
        <v>1733</v>
      </c>
      <c r="E396" s="383" t="s">
        <v>1734</v>
      </c>
      <c r="F396" s="381" t="s">
        <v>1714</v>
      </c>
      <c r="G396" s="384" t="s">
        <v>329</v>
      </c>
      <c r="H396" s="24">
        <v>780.15</v>
      </c>
      <c r="I396" s="24"/>
      <c r="J396" s="25" t="str">
        <f t="shared" si="18"/>
        <v>1</v>
      </c>
      <c r="K396" s="385"/>
      <c r="L396" s="385"/>
      <c r="M396" s="386">
        <f t="shared" si="19"/>
        <v>780.15</v>
      </c>
      <c r="N396" s="496"/>
      <c r="O396" s="333">
        <f t="shared" si="20"/>
        <v>780.15</v>
      </c>
      <c r="R396" s="23" t="str">
        <f>VLOOKUP(C:C,'Historic Data - working'!A:B,1,FALSE)</f>
        <v>BIR225</v>
      </c>
      <c r="U396" s="323"/>
      <c r="V396" s="323"/>
      <c r="W396" s="323"/>
    </row>
    <row r="397" spans="1:23" s="23" customFormat="1" ht="14.25" hidden="1" outlineLevel="1" x14ac:dyDescent="0.2">
      <c r="A397" s="381" t="s">
        <v>828</v>
      </c>
      <c r="B397" s="381" t="s">
        <v>324</v>
      </c>
      <c r="C397" s="389" t="s">
        <v>1735</v>
      </c>
      <c r="D397" s="381" t="s">
        <v>1736</v>
      </c>
      <c r="E397" s="383" t="s">
        <v>78</v>
      </c>
      <c r="F397" s="381" t="s">
        <v>1737</v>
      </c>
      <c r="G397" s="384"/>
      <c r="H397" s="24"/>
      <c r="I397" s="24"/>
      <c r="J397" s="25" t="str">
        <f t="shared" si="18"/>
        <v xml:space="preserve"> </v>
      </c>
      <c r="K397" s="385"/>
      <c r="L397" s="385"/>
      <c r="M397" s="386">
        <f t="shared" si="19"/>
        <v>0</v>
      </c>
      <c r="N397" s="496">
        <v>107.5</v>
      </c>
      <c r="O397" s="333">
        <f t="shared" si="20"/>
        <v>107.5</v>
      </c>
      <c r="R397" s="23" t="str">
        <f>VLOOKUP(C:C,'Historic Data - working'!A:B,1,FALSE)</f>
        <v>BIR226</v>
      </c>
      <c r="U397" s="323"/>
      <c r="V397" s="323"/>
      <c r="W397" s="323"/>
    </row>
    <row r="398" spans="1:23" s="23" customFormat="1" ht="14.25" hidden="1" outlineLevel="1" x14ac:dyDescent="0.2">
      <c r="A398" s="381" t="s">
        <v>828</v>
      </c>
      <c r="B398" s="381" t="s">
        <v>324</v>
      </c>
      <c r="C398" s="389" t="s">
        <v>1738</v>
      </c>
      <c r="D398" s="381" t="s">
        <v>1739</v>
      </c>
      <c r="E398" s="383" t="s">
        <v>822</v>
      </c>
      <c r="F398" s="381" t="s">
        <v>1740</v>
      </c>
      <c r="G398" s="384" t="s">
        <v>329</v>
      </c>
      <c r="H398" s="24">
        <f>319+207.5+299+203.8</f>
        <v>1029.3</v>
      </c>
      <c r="I398" s="24"/>
      <c r="J398" s="25" t="str">
        <f t="shared" si="18"/>
        <v>1</v>
      </c>
      <c r="K398" s="385"/>
      <c r="L398" s="385"/>
      <c r="M398" s="386">
        <f t="shared" si="19"/>
        <v>1029.3</v>
      </c>
      <c r="N398" s="496">
        <v>61</v>
      </c>
      <c r="O398" s="333">
        <f t="shared" si="20"/>
        <v>1090.3</v>
      </c>
      <c r="R398" s="23" t="str">
        <f>VLOOKUP(C:C,'Historic Data - working'!A:B,1,FALSE)</f>
        <v>BIR227</v>
      </c>
      <c r="U398" s="323"/>
      <c r="V398" s="323"/>
      <c r="W398" s="323"/>
    </row>
    <row r="399" spans="1:23" s="23" customFormat="1" ht="14.25" hidden="1" outlineLevel="1" x14ac:dyDescent="0.2">
      <c r="A399" s="381" t="s">
        <v>828</v>
      </c>
      <c r="B399" s="381" t="s">
        <v>324</v>
      </c>
      <c r="C399" s="389" t="s">
        <v>1741</v>
      </c>
      <c r="D399" s="381" t="s">
        <v>1742</v>
      </c>
      <c r="E399" s="383" t="s">
        <v>1743</v>
      </c>
      <c r="F399" s="381" t="s">
        <v>1744</v>
      </c>
      <c r="G399" s="384"/>
      <c r="H399" s="24"/>
      <c r="I399" s="24"/>
      <c r="J399" s="25" t="str">
        <f t="shared" si="18"/>
        <v xml:space="preserve"> </v>
      </c>
      <c r="K399" s="385"/>
      <c r="L399" s="385"/>
      <c r="M399" s="386">
        <f t="shared" si="19"/>
        <v>0</v>
      </c>
      <c r="N399" s="496"/>
      <c r="O399" s="333">
        <f t="shared" si="20"/>
        <v>0</v>
      </c>
      <c r="R399" s="23" t="str">
        <f>VLOOKUP(C:C,'Historic Data - working'!A:B,1,FALSE)</f>
        <v>BIR228</v>
      </c>
      <c r="U399" s="323"/>
      <c r="V399" s="323"/>
      <c r="W399" s="323"/>
    </row>
    <row r="400" spans="1:23" s="23" customFormat="1" ht="14.25" hidden="1" outlineLevel="1" x14ac:dyDescent="0.2">
      <c r="A400" s="381" t="s">
        <v>828</v>
      </c>
      <c r="B400" s="381" t="s">
        <v>324</v>
      </c>
      <c r="C400" s="389" t="s">
        <v>1745</v>
      </c>
      <c r="D400" s="381" t="s">
        <v>1746</v>
      </c>
      <c r="E400" s="383" t="s">
        <v>1747</v>
      </c>
      <c r="F400" s="381" t="s">
        <v>1748</v>
      </c>
      <c r="G400" s="384"/>
      <c r="H400" s="24"/>
      <c r="I400" s="24"/>
      <c r="J400" s="25" t="str">
        <f t="shared" si="18"/>
        <v xml:space="preserve"> </v>
      </c>
      <c r="K400" s="385"/>
      <c r="L400" s="385"/>
      <c r="M400" s="386">
        <f t="shared" si="19"/>
        <v>0</v>
      </c>
      <c r="N400" s="496"/>
      <c r="O400" s="333">
        <f t="shared" si="20"/>
        <v>0</v>
      </c>
      <c r="R400" s="23" t="e">
        <f>VLOOKUP(C:C,'Historic Data - working'!A:B,1,FALSE)</f>
        <v>#N/A</v>
      </c>
      <c r="U400" s="323"/>
      <c r="V400" s="323"/>
      <c r="W400" s="323"/>
    </row>
    <row r="401" spans="1:23" s="23" customFormat="1" ht="14.25" hidden="1" outlineLevel="1" x14ac:dyDescent="0.2">
      <c r="A401" s="381" t="s">
        <v>828</v>
      </c>
      <c r="B401" s="381" t="s">
        <v>324</v>
      </c>
      <c r="C401" s="389" t="s">
        <v>1749</v>
      </c>
      <c r="D401" s="381" t="s">
        <v>1750</v>
      </c>
      <c r="E401" s="383" t="s">
        <v>1751</v>
      </c>
      <c r="F401" s="381" t="s">
        <v>1752</v>
      </c>
      <c r="G401" s="384" t="s">
        <v>329</v>
      </c>
      <c r="H401" s="24">
        <f>16.01+80+411.62+12.79+32.47+204.85+25.41</f>
        <v>783.15</v>
      </c>
      <c r="I401" s="24"/>
      <c r="J401" s="25" t="str">
        <f t="shared" si="18"/>
        <v>1</v>
      </c>
      <c r="K401" s="387"/>
      <c r="L401" s="385"/>
      <c r="M401" s="386">
        <f t="shared" si="19"/>
        <v>783.15</v>
      </c>
      <c r="N401" s="496">
        <v>65</v>
      </c>
      <c r="O401" s="333">
        <f t="shared" si="20"/>
        <v>848.15</v>
      </c>
      <c r="R401" s="23" t="str">
        <f>VLOOKUP(C:C,'Historic Data - working'!A:B,1,FALSE)</f>
        <v>BIR229</v>
      </c>
      <c r="U401" s="323"/>
      <c r="V401" s="323"/>
      <c r="W401" s="323"/>
    </row>
    <row r="402" spans="1:23" s="23" customFormat="1" ht="14.25" hidden="1" outlineLevel="1" x14ac:dyDescent="0.2">
      <c r="A402" s="381" t="s">
        <v>828</v>
      </c>
      <c r="B402" s="381" t="s">
        <v>324</v>
      </c>
      <c r="C402" s="389" t="s">
        <v>1753</v>
      </c>
      <c r="D402" s="381" t="s">
        <v>1754</v>
      </c>
      <c r="E402" s="383" t="s">
        <v>69</v>
      </c>
      <c r="F402" s="381" t="s">
        <v>1752</v>
      </c>
      <c r="G402" s="384"/>
      <c r="H402" s="24"/>
      <c r="I402" s="24"/>
      <c r="J402" s="25" t="str">
        <f t="shared" si="18"/>
        <v xml:space="preserve"> </v>
      </c>
      <c r="K402" s="387" t="s">
        <v>322</v>
      </c>
      <c r="L402" s="385">
        <v>80.38</v>
      </c>
      <c r="M402" s="386">
        <f t="shared" si="19"/>
        <v>80.38</v>
      </c>
      <c r="N402" s="496">
        <v>739</v>
      </c>
      <c r="O402" s="333">
        <f t="shared" si="20"/>
        <v>819.38</v>
      </c>
      <c r="R402" s="23" t="str">
        <f>VLOOKUP(C:C,'Historic Data - working'!A:B,1,FALSE)</f>
        <v>BIR230</v>
      </c>
      <c r="U402" s="323"/>
      <c r="V402" s="323"/>
      <c r="W402" s="323"/>
    </row>
    <row r="403" spans="1:23" s="23" customFormat="1" ht="14.25" hidden="1" outlineLevel="1" x14ac:dyDescent="0.2">
      <c r="A403" s="381" t="s">
        <v>828</v>
      </c>
      <c r="B403" s="381" t="s">
        <v>324</v>
      </c>
      <c r="C403" s="389" t="s">
        <v>1755</v>
      </c>
      <c r="D403" s="381" t="s">
        <v>1756</v>
      </c>
      <c r="E403" s="383" t="s">
        <v>61</v>
      </c>
      <c r="F403" s="381" t="s">
        <v>1752</v>
      </c>
      <c r="G403" s="384"/>
      <c r="H403" s="24"/>
      <c r="I403" s="24"/>
      <c r="J403" s="25" t="str">
        <f t="shared" si="18"/>
        <v xml:space="preserve"> </v>
      </c>
      <c r="K403" s="385"/>
      <c r="L403" s="385"/>
      <c r="M403" s="386">
        <f t="shared" si="19"/>
        <v>0</v>
      </c>
      <c r="N403" s="496">
        <v>1203.81</v>
      </c>
      <c r="O403" s="333">
        <f t="shared" si="20"/>
        <v>1203.81</v>
      </c>
      <c r="R403" s="23" t="str">
        <f>VLOOKUP(C:C,'Historic Data - working'!A:B,1,FALSE)</f>
        <v>BIR231</v>
      </c>
      <c r="U403" s="323"/>
      <c r="V403" s="323"/>
      <c r="W403" s="323"/>
    </row>
    <row r="404" spans="1:23" s="23" customFormat="1" ht="14.25" hidden="1" outlineLevel="1" x14ac:dyDescent="0.2">
      <c r="A404" s="381" t="s">
        <v>828</v>
      </c>
      <c r="B404" s="381" t="s">
        <v>324</v>
      </c>
      <c r="C404" s="389" t="s">
        <v>1757</v>
      </c>
      <c r="D404" s="381" t="s">
        <v>1758</v>
      </c>
      <c r="E404" s="383" t="s">
        <v>1759</v>
      </c>
      <c r="F404" s="381" t="s">
        <v>832</v>
      </c>
      <c r="G404" s="384"/>
      <c r="H404" s="24"/>
      <c r="I404" s="24"/>
      <c r="J404" s="25" t="str">
        <f t="shared" si="18"/>
        <v xml:space="preserve"> </v>
      </c>
      <c r="K404" s="385"/>
      <c r="L404" s="385"/>
      <c r="M404" s="386">
        <f t="shared" si="19"/>
        <v>0</v>
      </c>
      <c r="N404" s="496"/>
      <c r="O404" s="333">
        <f t="shared" si="20"/>
        <v>0</v>
      </c>
      <c r="R404" s="23" t="str">
        <f>VLOOKUP(C:C,'Historic Data - working'!A:B,1,FALSE)</f>
        <v>BIR232</v>
      </c>
      <c r="U404" s="323"/>
      <c r="V404" s="323"/>
      <c r="W404" s="323"/>
    </row>
    <row r="405" spans="1:23" s="23" customFormat="1" ht="14.25" hidden="1" outlineLevel="1" x14ac:dyDescent="0.2">
      <c r="A405" s="381" t="s">
        <v>828</v>
      </c>
      <c r="B405" s="381" t="s">
        <v>324</v>
      </c>
      <c r="C405" s="389" t="s">
        <v>1760</v>
      </c>
      <c r="D405" s="381" t="s">
        <v>1761</v>
      </c>
      <c r="E405" s="383" t="s">
        <v>1762</v>
      </c>
      <c r="F405" s="381" t="s">
        <v>1763</v>
      </c>
      <c r="G405" s="384" t="s">
        <v>1764</v>
      </c>
      <c r="H405" s="24"/>
      <c r="I405" s="24"/>
      <c r="J405" s="25" t="str">
        <f t="shared" si="18"/>
        <v xml:space="preserve"> </v>
      </c>
      <c r="K405" s="385" t="s">
        <v>1765</v>
      </c>
      <c r="L405" s="385"/>
      <c r="M405" s="386">
        <f t="shared" si="19"/>
        <v>0</v>
      </c>
      <c r="N405" s="496"/>
      <c r="O405" s="333">
        <f t="shared" si="20"/>
        <v>0</v>
      </c>
      <c r="R405" s="23" t="str">
        <f>VLOOKUP(C:C,'Historic Data - working'!A:B,1,FALSE)</f>
        <v>BIR233</v>
      </c>
      <c r="U405" s="323"/>
      <c r="V405" s="323"/>
      <c r="W405" s="323"/>
    </row>
    <row r="406" spans="1:23" s="23" customFormat="1" ht="14.25" hidden="1" outlineLevel="1" x14ac:dyDescent="0.2">
      <c r="A406" s="381" t="s">
        <v>828</v>
      </c>
      <c r="B406" s="381" t="s">
        <v>324</v>
      </c>
      <c r="C406" s="389" t="s">
        <v>1760</v>
      </c>
      <c r="D406" s="381" t="s">
        <v>1766</v>
      </c>
      <c r="E406" s="383" t="s">
        <v>1143</v>
      </c>
      <c r="F406" s="381" t="s">
        <v>1092</v>
      </c>
      <c r="G406" s="384" t="s">
        <v>1764</v>
      </c>
      <c r="H406" s="24"/>
      <c r="I406" s="24"/>
      <c r="J406" s="25" t="str">
        <f t="shared" si="18"/>
        <v xml:space="preserve"> </v>
      </c>
      <c r="K406" s="395" t="s">
        <v>1767</v>
      </c>
      <c r="L406" s="385"/>
      <c r="M406" s="386">
        <f t="shared" si="19"/>
        <v>0</v>
      </c>
      <c r="N406" s="496"/>
      <c r="O406" s="333">
        <f t="shared" si="20"/>
        <v>0</v>
      </c>
      <c r="R406" s="23" t="str">
        <f>VLOOKUP(C:C,'Historic Data - working'!A:B,1,FALSE)</f>
        <v>BIR233</v>
      </c>
      <c r="U406" s="323"/>
      <c r="V406" s="323"/>
      <c r="W406" s="323"/>
    </row>
    <row r="407" spans="1:23" s="23" customFormat="1" ht="14.25" hidden="1" outlineLevel="1" x14ac:dyDescent="0.2">
      <c r="A407" s="381" t="s">
        <v>828</v>
      </c>
      <c r="B407" s="381" t="s">
        <v>324</v>
      </c>
      <c r="C407" s="389" t="s">
        <v>1768</v>
      </c>
      <c r="D407" s="381" t="s">
        <v>1769</v>
      </c>
      <c r="E407" s="383" t="s">
        <v>1770</v>
      </c>
      <c r="F407" s="381" t="s">
        <v>1771</v>
      </c>
      <c r="G407" s="384"/>
      <c r="H407" s="24"/>
      <c r="I407" s="24"/>
      <c r="J407" s="25" t="str">
        <f t="shared" si="18"/>
        <v xml:space="preserve"> </v>
      </c>
      <c r="K407" s="390" t="s">
        <v>321</v>
      </c>
      <c r="L407" s="385">
        <v>251.69</v>
      </c>
      <c r="M407" s="386">
        <f t="shared" si="19"/>
        <v>251.69</v>
      </c>
      <c r="N407" s="496"/>
      <c r="O407" s="333">
        <f t="shared" si="20"/>
        <v>251.69</v>
      </c>
      <c r="R407" s="23" t="str">
        <f>VLOOKUP(C:C,'Historic Data - working'!A:B,1,FALSE)</f>
        <v>BIR234</v>
      </c>
      <c r="U407" s="323"/>
      <c r="V407" s="323"/>
      <c r="W407" s="323"/>
    </row>
    <row r="408" spans="1:23" s="23" customFormat="1" ht="14.25" hidden="1" outlineLevel="1" x14ac:dyDescent="0.2">
      <c r="A408" s="381" t="s">
        <v>828</v>
      </c>
      <c r="B408" s="381" t="s">
        <v>324</v>
      </c>
      <c r="C408" s="389" t="s">
        <v>1772</v>
      </c>
      <c r="D408" s="381" t="s">
        <v>1773</v>
      </c>
      <c r="E408" s="383" t="s">
        <v>1774</v>
      </c>
      <c r="F408" s="385"/>
      <c r="G408" s="384"/>
      <c r="H408" s="24"/>
      <c r="I408" s="24"/>
      <c r="J408" s="25" t="str">
        <f t="shared" si="18"/>
        <v xml:space="preserve"> </v>
      </c>
      <c r="K408" s="385" t="s">
        <v>1775</v>
      </c>
      <c r="L408" s="396">
        <f>888.43-4.28</f>
        <v>884.15</v>
      </c>
      <c r="M408" s="386">
        <f t="shared" si="19"/>
        <v>884.15</v>
      </c>
      <c r="N408" s="496">
        <v>172</v>
      </c>
      <c r="O408" s="334">
        <f t="shared" si="20"/>
        <v>1056.1500000000001</v>
      </c>
      <c r="P408" s="351"/>
      <c r="Q408" s="331"/>
      <c r="R408" s="331" t="e">
        <f>VLOOKUP(C:C,'Historic Data - working'!A:B,1,FALSE)</f>
        <v>#N/A</v>
      </c>
      <c r="U408" s="323"/>
      <c r="V408" s="323"/>
      <c r="W408" s="323"/>
    </row>
    <row r="409" spans="1:23" s="23" customFormat="1" ht="14.25" hidden="1" collapsed="1" x14ac:dyDescent="0.2">
      <c r="A409" s="381" t="s">
        <v>1776</v>
      </c>
      <c r="B409" s="381" t="s">
        <v>324</v>
      </c>
      <c r="C409" s="397" t="s">
        <v>1777</v>
      </c>
      <c r="D409" s="381" t="s">
        <v>1778</v>
      </c>
      <c r="E409" s="383" t="s">
        <v>1779</v>
      </c>
      <c r="F409" s="381" t="s">
        <v>1780</v>
      </c>
      <c r="G409" s="384"/>
      <c r="H409" s="24"/>
      <c r="I409" s="24"/>
      <c r="J409" s="25" t="str">
        <f t="shared" si="18"/>
        <v xml:space="preserve"> </v>
      </c>
      <c r="K409" s="385" t="s">
        <v>337</v>
      </c>
      <c r="L409" s="385">
        <v>2643.92</v>
      </c>
      <c r="M409" s="386">
        <f t="shared" si="19"/>
        <v>2643.92</v>
      </c>
      <c r="N409" s="496">
        <v>736</v>
      </c>
      <c r="O409" s="333">
        <f t="shared" si="20"/>
        <v>3379.92</v>
      </c>
      <c r="R409" s="23" t="str">
        <f>VLOOKUP(C:C,'Historic Data - working'!A:B,1,FALSE)</f>
        <v>BRE001</v>
      </c>
      <c r="U409" s="323"/>
      <c r="V409" s="323"/>
      <c r="W409" s="323"/>
    </row>
    <row r="410" spans="1:23" s="23" customFormat="1" ht="14.25" hidden="1" x14ac:dyDescent="0.2">
      <c r="A410" s="381" t="s">
        <v>1776</v>
      </c>
      <c r="B410" s="381" t="s">
        <v>324</v>
      </c>
      <c r="C410" s="397" t="s">
        <v>1781</v>
      </c>
      <c r="D410" s="381" t="s">
        <v>1782</v>
      </c>
      <c r="E410" s="383" t="s">
        <v>94</v>
      </c>
      <c r="F410" s="381" t="s">
        <v>1783</v>
      </c>
      <c r="G410" s="384" t="s">
        <v>329</v>
      </c>
      <c r="H410" s="24">
        <v>356</v>
      </c>
      <c r="I410" s="24"/>
      <c r="J410" s="25" t="str">
        <f t="shared" si="18"/>
        <v>1</v>
      </c>
      <c r="K410" s="385"/>
      <c r="L410" s="385"/>
      <c r="M410" s="386">
        <f t="shared" si="19"/>
        <v>356</v>
      </c>
      <c r="N410" s="496">
        <v>45</v>
      </c>
      <c r="O410" s="333">
        <f t="shared" si="20"/>
        <v>401</v>
      </c>
      <c r="R410" s="23" t="str">
        <f>VLOOKUP(C:C,'Historic Data - working'!A:B,1,FALSE)</f>
        <v>BRE002</v>
      </c>
      <c r="U410" s="323"/>
      <c r="V410" s="323"/>
      <c r="W410" s="323"/>
    </row>
    <row r="411" spans="1:23" s="23" customFormat="1" ht="28.5" hidden="1" x14ac:dyDescent="0.2">
      <c r="A411" s="381" t="s">
        <v>1776</v>
      </c>
      <c r="B411" s="381" t="s">
        <v>324</v>
      </c>
      <c r="C411" s="397" t="s">
        <v>1784</v>
      </c>
      <c r="D411" s="381" t="s">
        <v>1785</v>
      </c>
      <c r="E411" s="383" t="s">
        <v>1786</v>
      </c>
      <c r="F411" s="381" t="s">
        <v>1787</v>
      </c>
      <c r="G411" s="384" t="s">
        <v>329</v>
      </c>
      <c r="H411" s="24">
        <f>461.52+331.31</f>
        <v>792.82999999999993</v>
      </c>
      <c r="I411" s="24"/>
      <c r="J411" s="25" t="str">
        <f t="shared" si="18"/>
        <v>1</v>
      </c>
      <c r="K411" s="385"/>
      <c r="L411" s="385"/>
      <c r="M411" s="386">
        <f t="shared" si="19"/>
        <v>792.82999999999993</v>
      </c>
      <c r="N411" s="496">
        <v>276</v>
      </c>
      <c r="O411" s="333">
        <f t="shared" si="20"/>
        <v>1068.83</v>
      </c>
      <c r="R411" s="23" t="str">
        <f>VLOOKUP(C:C,'Historic Data - working'!A:B,1,FALSE)</f>
        <v>BRE003</v>
      </c>
      <c r="U411" s="323"/>
      <c r="V411" s="323"/>
      <c r="W411" s="323"/>
    </row>
    <row r="412" spans="1:23" s="23" customFormat="1" ht="14.25" hidden="1" x14ac:dyDescent="0.2">
      <c r="A412" s="381" t="s">
        <v>1776</v>
      </c>
      <c r="B412" s="381" t="s">
        <v>351</v>
      </c>
      <c r="C412" s="397" t="s">
        <v>1788</v>
      </c>
      <c r="D412" s="381" t="s">
        <v>1789</v>
      </c>
      <c r="E412" s="383" t="s">
        <v>56</v>
      </c>
      <c r="F412" s="381" t="s">
        <v>1787</v>
      </c>
      <c r="G412" s="384" t="s">
        <v>329</v>
      </c>
      <c r="H412" s="24">
        <v>951.76</v>
      </c>
      <c r="I412" s="24"/>
      <c r="J412" s="25" t="str">
        <f t="shared" si="18"/>
        <v>1</v>
      </c>
      <c r="K412" s="385" t="s">
        <v>1790</v>
      </c>
      <c r="L412" s="385">
        <f>-951.76+942.8</f>
        <v>-8.9600000000000364</v>
      </c>
      <c r="M412" s="386">
        <f t="shared" si="19"/>
        <v>942.8</v>
      </c>
      <c r="N412" s="496">
        <v>186.97</v>
      </c>
      <c r="O412" s="333">
        <f t="shared" si="20"/>
        <v>1129.77</v>
      </c>
      <c r="R412" s="23" t="str">
        <f>VLOOKUP(C:C,'Historic Data - working'!A:B,1,FALSE)</f>
        <v>BRE004</v>
      </c>
      <c r="U412" s="323"/>
      <c r="V412" s="323"/>
      <c r="W412" s="323"/>
    </row>
    <row r="413" spans="1:23" s="23" customFormat="1" ht="14.25" hidden="1" x14ac:dyDescent="0.2">
      <c r="A413" s="381" t="s">
        <v>1776</v>
      </c>
      <c r="B413" s="381" t="s">
        <v>351</v>
      </c>
      <c r="C413" s="397" t="s">
        <v>1791</v>
      </c>
      <c r="D413" s="381" t="s">
        <v>1792</v>
      </c>
      <c r="E413" s="383" t="s">
        <v>1793</v>
      </c>
      <c r="F413" s="381" t="s">
        <v>1787</v>
      </c>
      <c r="G413" s="384"/>
      <c r="H413" s="24"/>
      <c r="I413" s="24"/>
      <c r="J413" s="25" t="str">
        <f t="shared" si="18"/>
        <v xml:space="preserve"> </v>
      </c>
      <c r="K413" s="385"/>
      <c r="L413" s="385"/>
      <c r="M413" s="386">
        <f t="shared" si="19"/>
        <v>0</v>
      </c>
      <c r="N413" s="496"/>
      <c r="O413" s="333">
        <f t="shared" si="20"/>
        <v>0</v>
      </c>
      <c r="R413" s="23" t="e">
        <f>VLOOKUP(C:C,'Historic Data - working'!A:B,1,FALSE)</f>
        <v>#N/A</v>
      </c>
      <c r="U413" s="323"/>
      <c r="V413" s="323"/>
      <c r="W413" s="323"/>
    </row>
    <row r="414" spans="1:23" s="23" customFormat="1" ht="14.25" hidden="1" x14ac:dyDescent="0.2">
      <c r="A414" s="381" t="s">
        <v>1776</v>
      </c>
      <c r="B414" s="381" t="s">
        <v>324</v>
      </c>
      <c r="C414" s="397" t="s">
        <v>1794</v>
      </c>
      <c r="D414" s="381" t="s">
        <v>1795</v>
      </c>
      <c r="E414" s="383" t="s">
        <v>1796</v>
      </c>
      <c r="F414" s="381" t="s">
        <v>1797</v>
      </c>
      <c r="G414" s="384" t="s">
        <v>329</v>
      </c>
      <c r="H414" s="24">
        <f>1804+2128</f>
        <v>3932</v>
      </c>
      <c r="I414" s="24">
        <f>70</f>
        <v>70</v>
      </c>
      <c r="J414" s="25" t="str">
        <f t="shared" si="18"/>
        <v>1</v>
      </c>
      <c r="K414" s="387" t="s">
        <v>1798</v>
      </c>
      <c r="L414" s="385">
        <v>70</v>
      </c>
      <c r="M414" s="386">
        <f t="shared" si="19"/>
        <v>4002</v>
      </c>
      <c r="N414" s="496">
        <v>854</v>
      </c>
      <c r="O414" s="333">
        <f t="shared" si="20"/>
        <v>4856</v>
      </c>
      <c r="R414" s="23" t="str">
        <f>VLOOKUP(C:C,'Historic Data - working'!A:B,1,FALSE)</f>
        <v>BRE005</v>
      </c>
      <c r="U414" s="323"/>
      <c r="V414" s="323"/>
      <c r="W414" s="323"/>
    </row>
    <row r="415" spans="1:23" s="23" customFormat="1" ht="14.25" hidden="1" x14ac:dyDescent="0.2">
      <c r="A415" s="381" t="s">
        <v>1776</v>
      </c>
      <c r="B415" s="381" t="s">
        <v>351</v>
      </c>
      <c r="C415" s="397" t="s">
        <v>1799</v>
      </c>
      <c r="D415" s="381" t="s">
        <v>1800</v>
      </c>
      <c r="E415" s="383" t="s">
        <v>1801</v>
      </c>
      <c r="F415" s="381" t="s">
        <v>1802</v>
      </c>
      <c r="G415" s="384" t="s">
        <v>329</v>
      </c>
      <c r="H415" s="24">
        <f>210+105+785</f>
        <v>1100</v>
      </c>
      <c r="I415" s="24"/>
      <c r="J415" s="25" t="str">
        <f t="shared" si="18"/>
        <v>1</v>
      </c>
      <c r="K415" s="385"/>
      <c r="L415" s="385"/>
      <c r="M415" s="386">
        <f t="shared" si="19"/>
        <v>1100</v>
      </c>
      <c r="N415" s="496">
        <v>275</v>
      </c>
      <c r="O415" s="333">
        <f t="shared" si="20"/>
        <v>1375</v>
      </c>
      <c r="R415" s="23" t="str">
        <f>VLOOKUP(C:C,'Historic Data - working'!A:B,1,FALSE)</f>
        <v>BRE006</v>
      </c>
      <c r="U415" s="323"/>
      <c r="V415" s="323"/>
      <c r="W415" s="323"/>
    </row>
    <row r="416" spans="1:23" s="23" customFormat="1" ht="14.25" hidden="1" x14ac:dyDescent="0.2">
      <c r="A416" s="381" t="s">
        <v>1776</v>
      </c>
      <c r="B416" s="381" t="s">
        <v>351</v>
      </c>
      <c r="C416" s="397" t="s">
        <v>1803</v>
      </c>
      <c r="D416" s="381" t="s">
        <v>1804</v>
      </c>
      <c r="E416" s="383" t="s">
        <v>1805</v>
      </c>
      <c r="F416" s="381" t="s">
        <v>1802</v>
      </c>
      <c r="G416" s="384" t="s">
        <v>329</v>
      </c>
      <c r="H416" s="24">
        <f>74.15+218.42+100+63.73+10.56+40+21.22+57.35+24.77+12.52</f>
        <v>622.72</v>
      </c>
      <c r="I416" s="24"/>
      <c r="J416" s="25" t="str">
        <f t="shared" si="18"/>
        <v>1</v>
      </c>
      <c r="K416" s="385" t="s">
        <v>1806</v>
      </c>
      <c r="L416" s="385"/>
      <c r="M416" s="386">
        <f t="shared" si="19"/>
        <v>622.72</v>
      </c>
      <c r="N416" s="496">
        <v>123</v>
      </c>
      <c r="O416" s="333">
        <f t="shared" si="20"/>
        <v>745.72</v>
      </c>
      <c r="R416" s="23" t="str">
        <f>VLOOKUP(C:C,'Historic Data - working'!A:B,1,FALSE)</f>
        <v>BRE007</v>
      </c>
      <c r="U416" s="323"/>
      <c r="V416" s="323"/>
      <c r="W416" s="323"/>
    </row>
    <row r="417" spans="1:23" s="23" customFormat="1" ht="14.25" hidden="1" x14ac:dyDescent="0.2">
      <c r="A417" s="381" t="s">
        <v>1776</v>
      </c>
      <c r="B417" s="381" t="s">
        <v>324</v>
      </c>
      <c r="C417" s="397" t="s">
        <v>1807</v>
      </c>
      <c r="D417" s="381" t="s">
        <v>1808</v>
      </c>
      <c r="E417" s="383" t="s">
        <v>1809</v>
      </c>
      <c r="F417" s="381" t="s">
        <v>1810</v>
      </c>
      <c r="G417" s="384" t="s">
        <v>329</v>
      </c>
      <c r="H417" s="24">
        <f>219.95+99.83</f>
        <v>319.77999999999997</v>
      </c>
      <c r="I417" s="24"/>
      <c r="J417" s="25" t="str">
        <f t="shared" si="18"/>
        <v>1</v>
      </c>
      <c r="K417" s="385"/>
      <c r="L417" s="385"/>
      <c r="M417" s="386">
        <f t="shared" si="19"/>
        <v>319.77999999999997</v>
      </c>
      <c r="N417" s="496">
        <v>20</v>
      </c>
      <c r="O417" s="333">
        <f t="shared" si="20"/>
        <v>339.78</v>
      </c>
      <c r="R417" s="23" t="str">
        <f>VLOOKUP(C:C,'Historic Data - working'!A:B,1,FALSE)</f>
        <v>BRE008</v>
      </c>
      <c r="U417" s="323"/>
      <c r="V417" s="323"/>
      <c r="W417" s="323"/>
    </row>
    <row r="418" spans="1:23" s="23" customFormat="1" ht="14.25" hidden="1" x14ac:dyDescent="0.2">
      <c r="A418" s="381" t="s">
        <v>1776</v>
      </c>
      <c r="B418" s="381" t="s">
        <v>324</v>
      </c>
      <c r="C418" s="397" t="s">
        <v>1811</v>
      </c>
      <c r="D418" s="381" t="s">
        <v>1812</v>
      </c>
      <c r="E418" s="383" t="s">
        <v>238</v>
      </c>
      <c r="F418" s="381" t="s">
        <v>1813</v>
      </c>
      <c r="G418" s="384"/>
      <c r="H418" s="24"/>
      <c r="I418" s="24"/>
      <c r="J418" s="25" t="str">
        <f t="shared" si="18"/>
        <v xml:space="preserve"> </v>
      </c>
      <c r="K418" s="385"/>
      <c r="L418" s="385"/>
      <c r="M418" s="386">
        <f t="shared" si="19"/>
        <v>0</v>
      </c>
      <c r="N418" s="496">
        <v>574.9</v>
      </c>
      <c r="O418" s="333">
        <f t="shared" si="20"/>
        <v>574.9</v>
      </c>
      <c r="R418" s="23" t="str">
        <f>VLOOKUP(C:C,'Historic Data - working'!A:B,1,FALSE)</f>
        <v>BRE009</v>
      </c>
      <c r="U418" s="323"/>
      <c r="V418" s="323"/>
      <c r="W418" s="323"/>
    </row>
    <row r="419" spans="1:23" s="23" customFormat="1" ht="14.25" hidden="1" x14ac:dyDescent="0.2">
      <c r="A419" s="381" t="s">
        <v>1776</v>
      </c>
      <c r="B419" s="381" t="s">
        <v>324</v>
      </c>
      <c r="C419" s="397" t="s">
        <v>1814</v>
      </c>
      <c r="D419" s="381" t="s">
        <v>1815</v>
      </c>
      <c r="E419" s="383" t="s">
        <v>1816</v>
      </c>
      <c r="F419" s="381" t="s">
        <v>1813</v>
      </c>
      <c r="G419" s="384"/>
      <c r="H419" s="24"/>
      <c r="I419" s="24"/>
      <c r="J419" s="25" t="str">
        <f t="shared" si="18"/>
        <v xml:space="preserve"> </v>
      </c>
      <c r="K419" s="385"/>
      <c r="L419" s="385"/>
      <c r="M419" s="386">
        <f t="shared" si="19"/>
        <v>0</v>
      </c>
      <c r="N419" s="496"/>
      <c r="O419" s="333">
        <f t="shared" si="20"/>
        <v>0</v>
      </c>
      <c r="R419" s="23" t="e">
        <f>VLOOKUP(C:C,'Historic Data - working'!A:B,1,FALSE)</f>
        <v>#N/A</v>
      </c>
      <c r="U419" s="323"/>
      <c r="V419" s="323"/>
      <c r="W419" s="323"/>
    </row>
    <row r="420" spans="1:23" s="23" customFormat="1" ht="14.25" hidden="1" x14ac:dyDescent="0.2">
      <c r="A420" s="381" t="s">
        <v>1776</v>
      </c>
      <c r="B420" s="381" t="s">
        <v>324</v>
      </c>
      <c r="C420" s="397" t="s">
        <v>1817</v>
      </c>
      <c r="D420" s="381" t="s">
        <v>1818</v>
      </c>
      <c r="E420" s="383" t="s">
        <v>1819</v>
      </c>
      <c r="F420" s="381" t="s">
        <v>1820</v>
      </c>
      <c r="G420" s="384" t="s">
        <v>329</v>
      </c>
      <c r="H420" s="24">
        <f>245.48+46.31+33.32+67.96+235.38+135.94+165.83+101.35+(175.2+20+40+94.74+114.88+104.57+138.03+100.7+43.48+85.4+93.91+50.63+45.05+195.09+49.05)</f>
        <v>2382.2999999999997</v>
      </c>
      <c r="I420" s="24"/>
      <c r="J420" s="25" t="str">
        <f t="shared" ref="J420:J426" si="21">IF(G420="Y","1"," ")</f>
        <v>1</v>
      </c>
      <c r="K420" s="385"/>
      <c r="L420" s="385"/>
      <c r="M420" s="386">
        <f t="shared" si="19"/>
        <v>2382.2999999999997</v>
      </c>
      <c r="N420" s="496">
        <v>467.97</v>
      </c>
      <c r="O420" s="333">
        <f t="shared" si="20"/>
        <v>2850.2699999999995</v>
      </c>
      <c r="R420" s="23" t="str">
        <f>VLOOKUP(C:C,'Historic Data - working'!A:B,1,FALSE)</f>
        <v>BRE010</v>
      </c>
      <c r="U420" s="323"/>
      <c r="V420" s="323"/>
      <c r="W420" s="323"/>
    </row>
    <row r="421" spans="1:23" s="23" customFormat="1" ht="14.25" hidden="1" x14ac:dyDescent="0.2">
      <c r="A421" s="381" t="s">
        <v>1776</v>
      </c>
      <c r="B421" s="381" t="s">
        <v>324</v>
      </c>
      <c r="C421" s="397" t="s">
        <v>1821</v>
      </c>
      <c r="D421" s="381" t="s">
        <v>1822</v>
      </c>
      <c r="E421" s="383" t="s">
        <v>1823</v>
      </c>
      <c r="F421" s="381" t="s">
        <v>1824</v>
      </c>
      <c r="G421" s="384" t="s">
        <v>329</v>
      </c>
      <c r="H421" s="24">
        <f>137.28+81.97+217.24+354.28</f>
        <v>790.77</v>
      </c>
      <c r="I421" s="24"/>
      <c r="J421" s="25" t="str">
        <f t="shared" si="21"/>
        <v>1</v>
      </c>
      <c r="K421" s="385"/>
      <c r="L421" s="385"/>
      <c r="M421" s="386">
        <f t="shared" si="19"/>
        <v>790.77</v>
      </c>
      <c r="N421" s="496">
        <v>67.5</v>
      </c>
      <c r="O421" s="333">
        <f t="shared" si="20"/>
        <v>858.27</v>
      </c>
      <c r="R421" s="23" t="str">
        <f>VLOOKUP(C:C,'Historic Data - working'!A:B,1,FALSE)</f>
        <v>BRE011</v>
      </c>
      <c r="U421" s="323"/>
      <c r="V421" s="323"/>
      <c r="W421" s="323"/>
    </row>
    <row r="422" spans="1:23" s="23" customFormat="1" ht="28.5" hidden="1" x14ac:dyDescent="0.2">
      <c r="A422" s="381" t="s">
        <v>1776</v>
      </c>
      <c r="B422" s="381" t="s">
        <v>324</v>
      </c>
      <c r="C422" s="397" t="s">
        <v>1825</v>
      </c>
      <c r="D422" s="381" t="s">
        <v>1826</v>
      </c>
      <c r="E422" s="383" t="s">
        <v>1827</v>
      </c>
      <c r="F422" s="381" t="s">
        <v>1828</v>
      </c>
      <c r="G422" s="384"/>
      <c r="H422" s="24"/>
      <c r="I422" s="24"/>
      <c r="J422" s="25" t="str">
        <f t="shared" si="21"/>
        <v xml:space="preserve"> </v>
      </c>
      <c r="K422" s="385" t="s">
        <v>337</v>
      </c>
      <c r="L422" s="385">
        <v>1329</v>
      </c>
      <c r="M422" s="386">
        <f t="shared" si="19"/>
        <v>1329</v>
      </c>
      <c r="N422" s="496">
        <v>42</v>
      </c>
      <c r="O422" s="333">
        <f t="shared" si="20"/>
        <v>1371</v>
      </c>
      <c r="R422" s="23" t="str">
        <f>VLOOKUP(C:C,'Historic Data - working'!A:B,1,FALSE)</f>
        <v>BRE013</v>
      </c>
      <c r="U422" s="323"/>
      <c r="V422" s="323"/>
      <c r="W422" s="323"/>
    </row>
    <row r="423" spans="1:23" s="23" customFormat="1" ht="14.25" hidden="1" x14ac:dyDescent="0.2">
      <c r="A423" s="381" t="s">
        <v>1776</v>
      </c>
      <c r="B423" s="381" t="s">
        <v>351</v>
      </c>
      <c r="C423" s="397" t="s">
        <v>1829</v>
      </c>
      <c r="D423" s="381" t="s">
        <v>1830</v>
      </c>
      <c r="E423" s="383" t="s">
        <v>1831</v>
      </c>
      <c r="F423" s="381" t="s">
        <v>1832</v>
      </c>
      <c r="G423" s="384" t="s">
        <v>329</v>
      </c>
      <c r="H423" s="24">
        <v>565.92999999999995</v>
      </c>
      <c r="I423" s="24"/>
      <c r="J423" s="25" t="str">
        <f t="shared" si="21"/>
        <v>1</v>
      </c>
      <c r="K423" s="387" t="s">
        <v>359</v>
      </c>
      <c r="L423" s="385">
        <v>-565.92999999999995</v>
      </c>
      <c r="M423" s="386">
        <f t="shared" si="19"/>
        <v>0</v>
      </c>
      <c r="N423" s="496">
        <v>784.59999999999991</v>
      </c>
      <c r="O423" s="333">
        <f t="shared" si="20"/>
        <v>784.59999999999991</v>
      </c>
      <c r="R423" s="23" t="str">
        <f>VLOOKUP(C:C,'Historic Data - working'!A:B,1,FALSE)</f>
        <v>BRE014</v>
      </c>
      <c r="U423" s="323"/>
      <c r="V423" s="323"/>
      <c r="W423" s="323"/>
    </row>
    <row r="424" spans="1:23" s="23" customFormat="1" ht="14.25" hidden="1" x14ac:dyDescent="0.2">
      <c r="A424" s="381" t="s">
        <v>1776</v>
      </c>
      <c r="B424" s="381" t="s">
        <v>324</v>
      </c>
      <c r="C424" s="397" t="s">
        <v>1833</v>
      </c>
      <c r="D424" s="381" t="s">
        <v>1834</v>
      </c>
      <c r="E424" s="383" t="s">
        <v>1835</v>
      </c>
      <c r="F424" s="381" t="s">
        <v>1836</v>
      </c>
      <c r="G424" s="384"/>
      <c r="H424" s="24"/>
      <c r="I424" s="24"/>
      <c r="J424" s="25" t="str">
        <f t="shared" si="21"/>
        <v xml:space="preserve"> </v>
      </c>
      <c r="K424" s="385"/>
      <c r="L424" s="385"/>
      <c r="M424" s="386">
        <f t="shared" si="19"/>
        <v>0</v>
      </c>
      <c r="N424" s="496"/>
      <c r="O424" s="333">
        <f t="shared" si="20"/>
        <v>0</v>
      </c>
      <c r="R424" s="23" t="e">
        <f>VLOOKUP(C:C,'Historic Data - working'!A:B,1,FALSE)</f>
        <v>#N/A</v>
      </c>
      <c r="U424" s="323"/>
      <c r="V424" s="323"/>
      <c r="W424" s="323"/>
    </row>
    <row r="425" spans="1:23" s="23" customFormat="1" ht="14.25" hidden="1" x14ac:dyDescent="0.2">
      <c r="A425" s="381" t="s">
        <v>1776</v>
      </c>
      <c r="B425" s="381" t="s">
        <v>324</v>
      </c>
      <c r="C425" s="397" t="s">
        <v>1837</v>
      </c>
      <c r="D425" s="381" t="s">
        <v>1838</v>
      </c>
      <c r="E425" s="383" t="s">
        <v>1839</v>
      </c>
      <c r="F425" s="381" t="s">
        <v>1840</v>
      </c>
      <c r="G425" s="384"/>
      <c r="H425" s="24"/>
      <c r="I425" s="24"/>
      <c r="J425" s="25" t="str">
        <f t="shared" si="21"/>
        <v xml:space="preserve"> </v>
      </c>
      <c r="K425" s="385"/>
      <c r="L425" s="385"/>
      <c r="M425" s="386">
        <f t="shared" si="19"/>
        <v>0</v>
      </c>
      <c r="N425" s="496">
        <v>528.86</v>
      </c>
      <c r="O425" s="333">
        <f t="shared" si="20"/>
        <v>528.86</v>
      </c>
      <c r="R425" s="23" t="str">
        <f>VLOOKUP(C:C,'Historic Data - working'!A:B,1,FALSE)</f>
        <v>BRE016</v>
      </c>
      <c r="U425" s="323"/>
      <c r="V425" s="323"/>
      <c r="W425" s="323"/>
    </row>
    <row r="426" spans="1:23" s="23" customFormat="1" ht="14.25" hidden="1" x14ac:dyDescent="0.2">
      <c r="A426" s="381" t="s">
        <v>1776</v>
      </c>
      <c r="B426" s="381" t="s">
        <v>324</v>
      </c>
      <c r="C426" s="397" t="s">
        <v>1841</v>
      </c>
      <c r="D426" s="381" t="s">
        <v>1842</v>
      </c>
      <c r="E426" s="383" t="s">
        <v>1843</v>
      </c>
      <c r="F426" s="381" t="s">
        <v>1844</v>
      </c>
      <c r="G426" s="384"/>
      <c r="H426" s="24"/>
      <c r="I426" s="24"/>
      <c r="J426" s="25" t="str">
        <f t="shared" si="21"/>
        <v xml:space="preserve"> </v>
      </c>
      <c r="K426" s="385"/>
      <c r="L426" s="385"/>
      <c r="M426" s="386">
        <f t="shared" si="19"/>
        <v>0</v>
      </c>
      <c r="N426" s="496">
        <v>790</v>
      </c>
      <c r="O426" s="333">
        <f t="shared" si="20"/>
        <v>790</v>
      </c>
      <c r="R426" s="23" t="str">
        <f>VLOOKUP(C:C,'Historic Data - working'!A:B,1,FALSE)</f>
        <v>BRE017</v>
      </c>
      <c r="U426" s="323"/>
      <c r="V426" s="323"/>
      <c r="W426" s="323"/>
    </row>
    <row r="427" spans="1:23" s="26" customFormat="1" ht="28.5" hidden="1" x14ac:dyDescent="0.2">
      <c r="A427" s="398" t="s">
        <v>1776</v>
      </c>
      <c r="B427" s="398" t="s">
        <v>1845</v>
      </c>
      <c r="C427" s="399" t="s">
        <v>1846</v>
      </c>
      <c r="D427" s="398">
        <v>2081</v>
      </c>
      <c r="E427" s="399" t="s">
        <v>8430</v>
      </c>
      <c r="F427" s="398"/>
      <c r="G427" s="384" t="s">
        <v>329</v>
      </c>
      <c r="H427" s="24">
        <f>774.36+321.07</f>
        <v>1095.43</v>
      </c>
      <c r="I427" s="24"/>
      <c r="J427" s="27"/>
      <c r="K427" s="387" t="s">
        <v>1847</v>
      </c>
      <c r="L427" s="385">
        <v>-6.62</v>
      </c>
      <c r="M427" s="386">
        <f t="shared" si="19"/>
        <v>1088.8100000000002</v>
      </c>
      <c r="N427" s="496"/>
      <c r="O427" s="333">
        <f t="shared" si="20"/>
        <v>1088.8100000000002</v>
      </c>
      <c r="P427" s="26" t="s">
        <v>1848</v>
      </c>
      <c r="R427" s="23" t="str">
        <f>VLOOKUP(C:C,'Historic Data - working'!A:B,1,FALSE)</f>
        <v>BRE019</v>
      </c>
      <c r="U427" s="324"/>
      <c r="V427" s="324"/>
      <c r="W427" s="324"/>
    </row>
    <row r="428" spans="1:23" s="23" customFormat="1" ht="14.25" hidden="1" x14ac:dyDescent="0.2">
      <c r="A428" s="381" t="s">
        <v>1776</v>
      </c>
      <c r="B428" s="381" t="s">
        <v>324</v>
      </c>
      <c r="C428" s="397" t="s">
        <v>1849</v>
      </c>
      <c r="D428" s="381" t="s">
        <v>1850</v>
      </c>
      <c r="E428" s="383" t="s">
        <v>1851</v>
      </c>
      <c r="F428" s="381" t="s">
        <v>1852</v>
      </c>
      <c r="G428" s="384" t="s">
        <v>329</v>
      </c>
      <c r="H428" s="24">
        <f>493+160+170+150+103+30</f>
        <v>1106</v>
      </c>
      <c r="I428" s="24"/>
      <c r="J428" s="25" t="str">
        <f t="shared" ref="J428:J491" si="22">IF(G428="Y","1"," ")</f>
        <v>1</v>
      </c>
      <c r="K428" s="387" t="s">
        <v>1853</v>
      </c>
      <c r="L428" s="385">
        <v>-95</v>
      </c>
      <c r="M428" s="386">
        <f t="shared" si="19"/>
        <v>1011</v>
      </c>
      <c r="N428" s="496">
        <v>466.14</v>
      </c>
      <c r="O428" s="333">
        <f t="shared" si="20"/>
        <v>1477.1399999999999</v>
      </c>
      <c r="R428" s="23" t="str">
        <f>VLOOKUP(C:C,'Historic Data - working'!A:B,1,FALSE)</f>
        <v>BRE020</v>
      </c>
      <c r="U428" s="323"/>
      <c r="V428" s="323"/>
      <c r="W428" s="323"/>
    </row>
    <row r="429" spans="1:23" s="23" customFormat="1" ht="28.5" hidden="1" x14ac:dyDescent="0.2">
      <c r="A429" s="381" t="s">
        <v>1776</v>
      </c>
      <c r="B429" s="381" t="s">
        <v>324</v>
      </c>
      <c r="C429" s="397" t="s">
        <v>1854</v>
      </c>
      <c r="D429" s="398">
        <v>2083</v>
      </c>
      <c r="E429" s="383" t="s">
        <v>1855</v>
      </c>
      <c r="F429" s="381" t="s">
        <v>1856</v>
      </c>
      <c r="G429" s="384" t="s">
        <v>329</v>
      </c>
      <c r="H429" s="24">
        <v>507.22</v>
      </c>
      <c r="I429" s="24"/>
      <c r="J429" s="25" t="str">
        <f t="shared" si="22"/>
        <v>1</v>
      </c>
      <c r="K429" s="385" t="s">
        <v>1857</v>
      </c>
      <c r="L429" s="385">
        <v>0.05</v>
      </c>
      <c r="M429" s="386">
        <f t="shared" si="19"/>
        <v>507.27000000000004</v>
      </c>
      <c r="N429" s="496">
        <v>190</v>
      </c>
      <c r="O429" s="333">
        <f t="shared" si="20"/>
        <v>697.27</v>
      </c>
      <c r="R429" s="23" t="str">
        <f>VLOOKUP(C:C,'Historic Data - working'!A:B,1,FALSE)</f>
        <v>BRE021</v>
      </c>
      <c r="U429" s="323"/>
      <c r="V429" s="323"/>
      <c r="W429" s="323"/>
    </row>
    <row r="430" spans="1:23" s="23" customFormat="1" ht="14.25" hidden="1" x14ac:dyDescent="0.2">
      <c r="A430" s="381" t="s">
        <v>1776</v>
      </c>
      <c r="B430" s="381" t="s">
        <v>324</v>
      </c>
      <c r="C430" s="397" t="s">
        <v>1858</v>
      </c>
      <c r="D430" s="381" t="s">
        <v>1859</v>
      </c>
      <c r="E430" s="383" t="s">
        <v>1860</v>
      </c>
      <c r="F430" s="381" t="s">
        <v>1832</v>
      </c>
      <c r="G430" s="384"/>
      <c r="H430" s="24"/>
      <c r="I430" s="24"/>
      <c r="J430" s="25" t="str">
        <f t="shared" si="22"/>
        <v xml:space="preserve"> </v>
      </c>
      <c r="K430" s="385" t="s">
        <v>337</v>
      </c>
      <c r="L430" s="385">
        <v>862</v>
      </c>
      <c r="M430" s="386">
        <f t="shared" si="19"/>
        <v>862</v>
      </c>
      <c r="N430" s="496">
        <v>520</v>
      </c>
      <c r="O430" s="333">
        <f t="shared" si="20"/>
        <v>1382</v>
      </c>
      <c r="R430" s="23" t="str">
        <f>VLOOKUP(C:C,'Historic Data - working'!A:B,1,FALSE)</f>
        <v>BRE022</v>
      </c>
      <c r="U430" s="323"/>
      <c r="V430" s="323"/>
      <c r="W430" s="323"/>
    </row>
    <row r="431" spans="1:23" s="23" customFormat="1" ht="14.25" hidden="1" x14ac:dyDescent="0.2">
      <c r="A431" s="381" t="s">
        <v>1776</v>
      </c>
      <c r="B431" s="381" t="s">
        <v>324</v>
      </c>
      <c r="C431" s="397" t="s">
        <v>1861</v>
      </c>
      <c r="D431" s="381" t="s">
        <v>1862</v>
      </c>
      <c r="E431" s="383" t="s">
        <v>1863</v>
      </c>
      <c r="F431" s="381" t="s">
        <v>1864</v>
      </c>
      <c r="G431" s="384" t="s">
        <v>329</v>
      </c>
      <c r="H431" s="24">
        <f>916.64+489.45+404.33+27.41</f>
        <v>1837.83</v>
      </c>
      <c r="I431" s="24"/>
      <c r="J431" s="25" t="str">
        <f t="shared" si="22"/>
        <v>1</v>
      </c>
      <c r="K431" s="385"/>
      <c r="L431" s="385"/>
      <c r="M431" s="386">
        <f t="shared" si="19"/>
        <v>1837.83</v>
      </c>
      <c r="N431" s="496">
        <v>35</v>
      </c>
      <c r="O431" s="333">
        <f t="shared" si="20"/>
        <v>1872.83</v>
      </c>
      <c r="R431" s="23" t="str">
        <f>VLOOKUP(C:C,'Historic Data - working'!A:B,1,FALSE)</f>
        <v>BRE023</v>
      </c>
      <c r="U431" s="323"/>
      <c r="V431" s="323"/>
      <c r="W431" s="323"/>
    </row>
    <row r="432" spans="1:23" s="23" customFormat="1" ht="14.25" hidden="1" x14ac:dyDescent="0.2">
      <c r="A432" s="381" t="s">
        <v>1776</v>
      </c>
      <c r="B432" s="381" t="s">
        <v>324</v>
      </c>
      <c r="C432" s="397" t="s">
        <v>1865</v>
      </c>
      <c r="D432" s="381" t="s">
        <v>1866</v>
      </c>
      <c r="E432" s="383" t="s">
        <v>1867</v>
      </c>
      <c r="F432" s="381" t="s">
        <v>1868</v>
      </c>
      <c r="G432" s="384"/>
      <c r="H432" s="24"/>
      <c r="I432" s="24"/>
      <c r="J432" s="25" t="str">
        <f t="shared" si="22"/>
        <v xml:space="preserve"> </v>
      </c>
      <c r="K432" s="385"/>
      <c r="L432" s="385"/>
      <c r="M432" s="386">
        <f t="shared" si="19"/>
        <v>0</v>
      </c>
      <c r="N432" s="496"/>
      <c r="O432" s="333">
        <f t="shared" si="20"/>
        <v>0</v>
      </c>
      <c r="R432" s="23" t="str">
        <f>VLOOKUP(C:C,'Historic Data - working'!A:B,1,FALSE)</f>
        <v>BRE023A</v>
      </c>
      <c r="U432" s="323"/>
      <c r="V432" s="323"/>
      <c r="W432" s="323"/>
    </row>
    <row r="433" spans="1:23" s="23" customFormat="1" ht="14.25" hidden="1" x14ac:dyDescent="0.2">
      <c r="A433" s="381" t="s">
        <v>1776</v>
      </c>
      <c r="B433" s="381" t="s">
        <v>324</v>
      </c>
      <c r="C433" s="397" t="s">
        <v>1869</v>
      </c>
      <c r="D433" s="381" t="s">
        <v>1870</v>
      </c>
      <c r="E433" s="383" t="s">
        <v>1871</v>
      </c>
      <c r="F433" s="381" t="s">
        <v>1872</v>
      </c>
      <c r="G433" s="384"/>
      <c r="H433" s="24"/>
      <c r="I433" s="24"/>
      <c r="J433" s="25" t="str">
        <f t="shared" si="22"/>
        <v xml:space="preserve"> </v>
      </c>
      <c r="K433" s="385"/>
      <c r="L433" s="385"/>
      <c r="M433" s="386">
        <f t="shared" si="19"/>
        <v>0</v>
      </c>
      <c r="N433" s="496"/>
      <c r="O433" s="333">
        <f t="shared" si="20"/>
        <v>0</v>
      </c>
      <c r="R433" s="23" t="e">
        <f>VLOOKUP(C:C,'Historic Data - working'!A:B,1,FALSE)</f>
        <v>#N/A</v>
      </c>
      <c r="U433" s="323"/>
      <c r="V433" s="323"/>
      <c r="W433" s="323"/>
    </row>
    <row r="434" spans="1:23" s="23" customFormat="1" ht="14.25" hidden="1" x14ac:dyDescent="0.2">
      <c r="A434" s="381" t="s">
        <v>1776</v>
      </c>
      <c r="B434" s="381" t="s">
        <v>324</v>
      </c>
      <c r="C434" s="397" t="s">
        <v>1873</v>
      </c>
      <c r="D434" s="381" t="s">
        <v>1874</v>
      </c>
      <c r="E434" s="383" t="s">
        <v>1180</v>
      </c>
      <c r="F434" s="381" t="s">
        <v>1875</v>
      </c>
      <c r="G434" s="384" t="s">
        <v>329</v>
      </c>
      <c r="H434" s="24"/>
      <c r="I434" s="24">
        <v>323.45999999999998</v>
      </c>
      <c r="J434" s="25" t="str">
        <f t="shared" si="22"/>
        <v>1</v>
      </c>
      <c r="K434" s="385"/>
      <c r="L434" s="385"/>
      <c r="M434" s="386">
        <f t="shared" si="19"/>
        <v>0</v>
      </c>
      <c r="N434" s="496">
        <v>538.46</v>
      </c>
      <c r="O434" s="333">
        <f t="shared" si="20"/>
        <v>538.46</v>
      </c>
      <c r="R434" s="23" t="str">
        <f>VLOOKUP(C:C,'Historic Data - working'!A:B,1,FALSE)</f>
        <v>BRE024</v>
      </c>
      <c r="U434" s="323"/>
      <c r="V434" s="323"/>
      <c r="W434" s="323"/>
    </row>
    <row r="435" spans="1:23" s="23" customFormat="1" ht="14.25" hidden="1" x14ac:dyDescent="0.2">
      <c r="A435" s="381" t="s">
        <v>1776</v>
      </c>
      <c r="B435" s="381" t="s">
        <v>351</v>
      </c>
      <c r="C435" s="397" t="s">
        <v>1876</v>
      </c>
      <c r="D435" s="381" t="s">
        <v>1877</v>
      </c>
      <c r="E435" s="383" t="s">
        <v>1878</v>
      </c>
      <c r="F435" s="381" t="s">
        <v>1879</v>
      </c>
      <c r="G435" s="384"/>
      <c r="H435" s="24"/>
      <c r="I435" s="24"/>
      <c r="J435" s="25" t="str">
        <f t="shared" si="22"/>
        <v xml:space="preserve"> </v>
      </c>
      <c r="K435" s="385" t="s">
        <v>337</v>
      </c>
      <c r="L435" s="385">
        <v>978.42</v>
      </c>
      <c r="M435" s="386">
        <f t="shared" si="19"/>
        <v>978.42</v>
      </c>
      <c r="N435" s="496">
        <v>1090</v>
      </c>
      <c r="O435" s="333">
        <f t="shared" si="20"/>
        <v>2068.42</v>
      </c>
      <c r="R435" s="23" t="str">
        <f>VLOOKUP(C:C,'Historic Data - working'!A:B,1,FALSE)</f>
        <v>BRE025</v>
      </c>
      <c r="U435" s="323"/>
      <c r="V435" s="323"/>
      <c r="W435" s="323"/>
    </row>
    <row r="436" spans="1:23" s="23" customFormat="1" ht="14.25" hidden="1" x14ac:dyDescent="0.2">
      <c r="A436" s="381" t="s">
        <v>1776</v>
      </c>
      <c r="B436" s="381" t="s">
        <v>351</v>
      </c>
      <c r="C436" s="397" t="s">
        <v>1880</v>
      </c>
      <c r="D436" s="381" t="s">
        <v>1881</v>
      </c>
      <c r="E436" s="383" t="s">
        <v>1882</v>
      </c>
      <c r="F436" s="381" t="s">
        <v>1879</v>
      </c>
      <c r="G436" s="384"/>
      <c r="H436" s="24"/>
      <c r="I436" s="24"/>
      <c r="J436" s="25" t="str">
        <f t="shared" si="22"/>
        <v xml:space="preserve"> </v>
      </c>
      <c r="K436" s="385"/>
      <c r="L436" s="385"/>
      <c r="M436" s="386">
        <f t="shared" si="19"/>
        <v>0</v>
      </c>
      <c r="N436" s="496"/>
      <c r="O436" s="333">
        <f t="shared" si="20"/>
        <v>0</v>
      </c>
      <c r="R436" s="23" t="e">
        <f>VLOOKUP(C:C,'Historic Data - working'!A:B,1,FALSE)</f>
        <v>#N/A</v>
      </c>
      <c r="U436" s="323"/>
      <c r="V436" s="323"/>
      <c r="W436" s="323"/>
    </row>
    <row r="437" spans="1:23" s="23" customFormat="1" ht="28.5" hidden="1" x14ac:dyDescent="0.2">
      <c r="A437" s="381" t="s">
        <v>1776</v>
      </c>
      <c r="B437" s="381" t="s">
        <v>351</v>
      </c>
      <c r="C437" s="397" t="s">
        <v>1883</v>
      </c>
      <c r="D437" s="381" t="s">
        <v>1884</v>
      </c>
      <c r="E437" s="383" t="s">
        <v>1885</v>
      </c>
      <c r="F437" s="381" t="s">
        <v>1879</v>
      </c>
      <c r="G437" s="384"/>
      <c r="H437" s="24"/>
      <c r="I437" s="24"/>
      <c r="J437" s="25" t="str">
        <f t="shared" si="22"/>
        <v xml:space="preserve"> </v>
      </c>
      <c r="K437" s="385"/>
      <c r="L437" s="385"/>
      <c r="M437" s="386">
        <f t="shared" si="19"/>
        <v>0</v>
      </c>
      <c r="N437" s="496"/>
      <c r="O437" s="333">
        <f t="shared" si="20"/>
        <v>0</v>
      </c>
      <c r="R437" s="23" t="e">
        <f>VLOOKUP(C:C,'Historic Data - working'!A:B,1,FALSE)</f>
        <v>#N/A</v>
      </c>
      <c r="U437" s="323"/>
      <c r="V437" s="323"/>
      <c r="W437" s="323"/>
    </row>
    <row r="438" spans="1:23" s="23" customFormat="1" ht="28.5" hidden="1" x14ac:dyDescent="0.2">
      <c r="A438" s="381" t="s">
        <v>1776</v>
      </c>
      <c r="B438" s="381" t="s">
        <v>351</v>
      </c>
      <c r="C438" s="397" t="s">
        <v>1886</v>
      </c>
      <c r="D438" s="381" t="s">
        <v>1887</v>
      </c>
      <c r="E438" s="383" t="s">
        <v>1888</v>
      </c>
      <c r="F438" s="381" t="s">
        <v>1879</v>
      </c>
      <c r="G438" s="384"/>
      <c r="H438" s="24"/>
      <c r="I438" s="24"/>
      <c r="J438" s="25" t="str">
        <f t="shared" si="22"/>
        <v xml:space="preserve"> </v>
      </c>
      <c r="K438" s="385"/>
      <c r="L438" s="385"/>
      <c r="M438" s="386">
        <f t="shared" si="19"/>
        <v>0</v>
      </c>
      <c r="N438" s="496"/>
      <c r="O438" s="333">
        <f t="shared" si="20"/>
        <v>0</v>
      </c>
      <c r="R438" s="23" t="e">
        <f>VLOOKUP(C:C,'Historic Data - working'!A:B,1,FALSE)</f>
        <v>#N/A</v>
      </c>
      <c r="U438" s="323"/>
      <c r="V438" s="323"/>
      <c r="W438" s="323"/>
    </row>
    <row r="439" spans="1:23" s="23" customFormat="1" ht="14.25" hidden="1" x14ac:dyDescent="0.2">
      <c r="A439" s="381" t="s">
        <v>1776</v>
      </c>
      <c r="B439" s="381" t="s">
        <v>324</v>
      </c>
      <c r="C439" s="397" t="s">
        <v>1889</v>
      </c>
      <c r="D439" s="381" t="s">
        <v>1890</v>
      </c>
      <c r="E439" s="383" t="s">
        <v>11</v>
      </c>
      <c r="F439" s="381" t="s">
        <v>1844</v>
      </c>
      <c r="G439" s="384" t="s">
        <v>329</v>
      </c>
      <c r="H439" s="24">
        <f>36.93+114.84+121.52+75.31+31.63+72.81+88.66+325.97+113.75+125.21</f>
        <v>1106.6300000000001</v>
      </c>
      <c r="I439" s="24"/>
      <c r="J439" s="25" t="str">
        <f t="shared" si="22"/>
        <v>1</v>
      </c>
      <c r="K439" s="385" t="s">
        <v>1891</v>
      </c>
      <c r="L439" s="385">
        <v>-0.7</v>
      </c>
      <c r="M439" s="386">
        <f t="shared" si="19"/>
        <v>1105.93</v>
      </c>
      <c r="N439" s="496">
        <v>45</v>
      </c>
      <c r="O439" s="333">
        <f t="shared" si="20"/>
        <v>1150.93</v>
      </c>
      <c r="R439" s="23" t="str">
        <f>VLOOKUP(C:C,'Historic Data - working'!A:B,1,FALSE)</f>
        <v>BRE026</v>
      </c>
      <c r="U439" s="323"/>
      <c r="V439" s="323"/>
      <c r="W439" s="323"/>
    </row>
    <row r="440" spans="1:23" s="23" customFormat="1" ht="14.25" hidden="1" x14ac:dyDescent="0.2">
      <c r="A440" s="381" t="s">
        <v>1776</v>
      </c>
      <c r="B440" s="381" t="s">
        <v>324</v>
      </c>
      <c r="C440" s="397" t="s">
        <v>1892</v>
      </c>
      <c r="D440" s="381" t="s">
        <v>1893</v>
      </c>
      <c r="E440" s="383" t="s">
        <v>1894</v>
      </c>
      <c r="F440" s="381" t="s">
        <v>1832</v>
      </c>
      <c r="G440" s="384" t="s">
        <v>329</v>
      </c>
      <c r="H440" s="24">
        <f>107.81+149.89+281.25</f>
        <v>538.95000000000005</v>
      </c>
      <c r="I440" s="24"/>
      <c r="J440" s="25" t="str">
        <f t="shared" si="22"/>
        <v>1</v>
      </c>
      <c r="K440" s="385"/>
      <c r="L440" s="385"/>
      <c r="M440" s="386">
        <f t="shared" si="19"/>
        <v>538.95000000000005</v>
      </c>
      <c r="N440" s="496">
        <v>100</v>
      </c>
      <c r="O440" s="333">
        <f t="shared" si="20"/>
        <v>638.95000000000005</v>
      </c>
      <c r="R440" s="23" t="str">
        <f>VLOOKUP(C:C,'Historic Data - working'!A:B,1,FALSE)</f>
        <v>BRE027</v>
      </c>
      <c r="U440" s="323"/>
      <c r="V440" s="323"/>
      <c r="W440" s="323"/>
    </row>
    <row r="441" spans="1:23" s="23" customFormat="1" ht="28.5" hidden="1" x14ac:dyDescent="0.2">
      <c r="A441" s="381" t="s">
        <v>1776</v>
      </c>
      <c r="B441" s="381" t="s">
        <v>324</v>
      </c>
      <c r="C441" s="397" t="s">
        <v>1895</v>
      </c>
      <c r="D441" s="381" t="s">
        <v>1896</v>
      </c>
      <c r="E441" s="383" t="s">
        <v>1897</v>
      </c>
      <c r="F441" s="381" t="s">
        <v>1832</v>
      </c>
      <c r="G441" s="384"/>
      <c r="H441" s="24"/>
      <c r="I441" s="24"/>
      <c r="J441" s="25" t="str">
        <f t="shared" si="22"/>
        <v xml:space="preserve"> </v>
      </c>
      <c r="K441" s="385"/>
      <c r="L441" s="385"/>
      <c r="M441" s="386">
        <f t="shared" si="19"/>
        <v>0</v>
      </c>
      <c r="N441" s="496"/>
      <c r="O441" s="333">
        <f t="shared" si="20"/>
        <v>0</v>
      </c>
      <c r="R441" s="23" t="e">
        <f>VLOOKUP(C:C,'Historic Data - working'!A:B,1,FALSE)</f>
        <v>#N/A</v>
      </c>
      <c r="U441" s="323"/>
      <c r="V441" s="323"/>
      <c r="W441" s="323"/>
    </row>
    <row r="442" spans="1:23" s="23" customFormat="1" ht="14.25" hidden="1" x14ac:dyDescent="0.2">
      <c r="A442" s="381" t="s">
        <v>1776</v>
      </c>
      <c r="B442" s="381" t="s">
        <v>324</v>
      </c>
      <c r="C442" s="397" t="s">
        <v>1898</v>
      </c>
      <c r="D442" s="381" t="s">
        <v>1899</v>
      </c>
      <c r="E442" s="383" t="s">
        <v>276</v>
      </c>
      <c r="F442" s="381" t="s">
        <v>1810</v>
      </c>
      <c r="G442" s="384" t="s">
        <v>329</v>
      </c>
      <c r="H442" s="24"/>
      <c r="I442" s="24">
        <v>367.42</v>
      </c>
      <c r="J442" s="25" t="str">
        <f t="shared" si="22"/>
        <v>1</v>
      </c>
      <c r="K442" s="385"/>
      <c r="L442" s="385"/>
      <c r="M442" s="386">
        <f t="shared" si="19"/>
        <v>0</v>
      </c>
      <c r="N442" s="496">
        <v>710.01</v>
      </c>
      <c r="O442" s="333">
        <f t="shared" si="20"/>
        <v>710.01</v>
      </c>
      <c r="R442" s="23" t="str">
        <f>VLOOKUP(C:C,'Historic Data - working'!A:B,1,FALSE)</f>
        <v>BRE028</v>
      </c>
      <c r="U442" s="323"/>
      <c r="V442" s="323"/>
      <c r="W442" s="323"/>
    </row>
    <row r="443" spans="1:23" s="23" customFormat="1" ht="14.25" hidden="1" x14ac:dyDescent="0.2">
      <c r="A443" s="381" t="s">
        <v>1776</v>
      </c>
      <c r="B443" s="381" t="s">
        <v>324</v>
      </c>
      <c r="C443" s="397" t="s">
        <v>1900</v>
      </c>
      <c r="D443" s="381" t="s">
        <v>1901</v>
      </c>
      <c r="E443" s="383" t="s">
        <v>238</v>
      </c>
      <c r="F443" s="381" t="s">
        <v>1810</v>
      </c>
      <c r="G443" s="384" t="s">
        <v>329</v>
      </c>
      <c r="H443" s="24">
        <f>260+52.75+244.45+59.74+26.26+84.96+64.12+138.87</f>
        <v>931.15000000000009</v>
      </c>
      <c r="I443" s="24"/>
      <c r="J443" s="25" t="str">
        <f t="shared" si="22"/>
        <v>1</v>
      </c>
      <c r="K443" s="385"/>
      <c r="L443" s="385"/>
      <c r="M443" s="386">
        <f t="shared" si="19"/>
        <v>931.15000000000009</v>
      </c>
      <c r="N443" s="496">
        <v>375</v>
      </c>
      <c r="O443" s="333">
        <f t="shared" si="20"/>
        <v>1306.1500000000001</v>
      </c>
      <c r="R443" s="23" t="str">
        <f>VLOOKUP(C:C,'Historic Data - working'!A:B,1,FALSE)</f>
        <v>BRE029</v>
      </c>
      <c r="U443" s="323"/>
      <c r="V443" s="323"/>
      <c r="W443" s="323"/>
    </row>
    <row r="444" spans="1:23" s="23" customFormat="1" ht="28.5" hidden="1" x14ac:dyDescent="0.2">
      <c r="A444" s="381" t="s">
        <v>1776</v>
      </c>
      <c r="B444" s="381" t="s">
        <v>351</v>
      </c>
      <c r="C444" s="397" t="s">
        <v>1902</v>
      </c>
      <c r="D444" s="381" t="s">
        <v>1903</v>
      </c>
      <c r="E444" s="383" t="s">
        <v>1904</v>
      </c>
      <c r="F444" s="381" t="s">
        <v>1905</v>
      </c>
      <c r="G444" s="384"/>
      <c r="H444" s="24"/>
      <c r="I444" s="24"/>
      <c r="J444" s="25" t="str">
        <f t="shared" si="22"/>
        <v xml:space="preserve"> </v>
      </c>
      <c r="K444" s="385"/>
      <c r="L444" s="385"/>
      <c r="M444" s="386">
        <f t="shared" si="19"/>
        <v>0</v>
      </c>
      <c r="N444" s="496">
        <v>340.17</v>
      </c>
      <c r="O444" s="333">
        <f t="shared" si="20"/>
        <v>340.17</v>
      </c>
      <c r="R444" s="23" t="str">
        <f>VLOOKUP(C:C,'Historic Data - working'!A:B,1,FALSE)</f>
        <v>BRE030</v>
      </c>
      <c r="U444" s="323"/>
      <c r="V444" s="323"/>
      <c r="W444" s="323"/>
    </row>
    <row r="445" spans="1:23" s="23" customFormat="1" ht="28.5" hidden="1" x14ac:dyDescent="0.2">
      <c r="A445" s="381" t="s">
        <v>1776</v>
      </c>
      <c r="B445" s="381" t="s">
        <v>351</v>
      </c>
      <c r="C445" s="397" t="s">
        <v>1906</v>
      </c>
      <c r="D445" s="381" t="s">
        <v>1907</v>
      </c>
      <c r="E445" s="383" t="s">
        <v>1908</v>
      </c>
      <c r="F445" s="381" t="s">
        <v>1852</v>
      </c>
      <c r="G445" s="384"/>
      <c r="H445" s="24"/>
      <c r="I445" s="24"/>
      <c r="J445" s="25" t="str">
        <f t="shared" si="22"/>
        <v xml:space="preserve"> </v>
      </c>
      <c r="K445" s="385"/>
      <c r="L445" s="385"/>
      <c r="M445" s="386">
        <f t="shared" si="19"/>
        <v>0</v>
      </c>
      <c r="N445" s="496"/>
      <c r="O445" s="333">
        <f t="shared" si="20"/>
        <v>0</v>
      </c>
      <c r="R445" s="23" t="e">
        <f>VLOOKUP(C:C,'Historic Data - working'!A:B,1,FALSE)</f>
        <v>#N/A</v>
      </c>
      <c r="U445" s="323"/>
      <c r="V445" s="323"/>
      <c r="W445" s="323"/>
    </row>
    <row r="446" spans="1:23" s="23" customFormat="1" ht="14.25" hidden="1" x14ac:dyDescent="0.2">
      <c r="A446" s="381" t="s">
        <v>1776</v>
      </c>
      <c r="B446" s="381" t="s">
        <v>324</v>
      </c>
      <c r="C446" s="397" t="s">
        <v>1909</v>
      </c>
      <c r="D446" s="381" t="s">
        <v>1910</v>
      </c>
      <c r="E446" s="383" t="s">
        <v>1911</v>
      </c>
      <c r="F446" s="381" t="s">
        <v>1912</v>
      </c>
      <c r="G446" s="384"/>
      <c r="H446" s="24"/>
      <c r="I446" s="24"/>
      <c r="J446" s="25" t="str">
        <f t="shared" si="22"/>
        <v xml:space="preserve"> </v>
      </c>
      <c r="K446" s="385"/>
      <c r="L446" s="385"/>
      <c r="M446" s="386">
        <f t="shared" si="19"/>
        <v>0</v>
      </c>
      <c r="N446" s="496"/>
      <c r="O446" s="333">
        <f t="shared" si="20"/>
        <v>0</v>
      </c>
      <c r="R446" s="23" t="str">
        <f>VLOOKUP(C:C,'Historic Data - working'!A:B,1,FALSE)</f>
        <v>BRE031</v>
      </c>
      <c r="U446" s="323"/>
      <c r="V446" s="323"/>
      <c r="W446" s="323"/>
    </row>
    <row r="447" spans="1:23" s="23" customFormat="1" ht="14.25" hidden="1" x14ac:dyDescent="0.2">
      <c r="A447" s="381" t="s">
        <v>1776</v>
      </c>
      <c r="B447" s="381" t="s">
        <v>324</v>
      </c>
      <c r="C447" s="397" t="s">
        <v>1913</v>
      </c>
      <c r="D447" s="381" t="s">
        <v>1914</v>
      </c>
      <c r="E447" s="383" t="s">
        <v>1915</v>
      </c>
      <c r="F447" s="381" t="s">
        <v>1916</v>
      </c>
      <c r="G447" s="384" t="s">
        <v>329</v>
      </c>
      <c r="H447" s="24">
        <f>198.62+215.68</f>
        <v>414.3</v>
      </c>
      <c r="I447" s="24"/>
      <c r="J447" s="25" t="str">
        <f t="shared" si="22"/>
        <v>1</v>
      </c>
      <c r="K447" s="385" t="s">
        <v>1917</v>
      </c>
      <c r="L447" s="385">
        <v>147.28</v>
      </c>
      <c r="M447" s="386">
        <f t="shared" si="19"/>
        <v>561.58000000000004</v>
      </c>
      <c r="N447" s="496">
        <v>56</v>
      </c>
      <c r="O447" s="333">
        <f t="shared" si="20"/>
        <v>617.58000000000004</v>
      </c>
      <c r="R447" s="23" t="str">
        <f>VLOOKUP(C:C,'Historic Data - working'!A:B,1,FALSE)</f>
        <v>BRE032</v>
      </c>
      <c r="U447" s="323"/>
      <c r="V447" s="323"/>
      <c r="W447" s="323"/>
    </row>
    <row r="448" spans="1:23" s="23" customFormat="1" ht="14.25" hidden="1" x14ac:dyDescent="0.2">
      <c r="A448" s="381" t="s">
        <v>1776</v>
      </c>
      <c r="B448" s="381" t="s">
        <v>324</v>
      </c>
      <c r="C448" s="397" t="s">
        <v>1918</v>
      </c>
      <c r="D448" s="381" t="s">
        <v>1919</v>
      </c>
      <c r="E448" s="383" t="s">
        <v>1920</v>
      </c>
      <c r="F448" s="381" t="s">
        <v>1921</v>
      </c>
      <c r="G448" s="384"/>
      <c r="H448" s="24"/>
      <c r="I448" s="24"/>
      <c r="J448" s="25" t="str">
        <f t="shared" si="22"/>
        <v xml:space="preserve"> </v>
      </c>
      <c r="K448" s="385"/>
      <c r="L448" s="385"/>
      <c r="M448" s="386">
        <f t="shared" si="19"/>
        <v>0</v>
      </c>
      <c r="N448" s="496"/>
      <c r="O448" s="333">
        <f t="shared" si="20"/>
        <v>0</v>
      </c>
      <c r="R448" s="23" t="e">
        <f>VLOOKUP(C:C,'Historic Data - working'!A:B,1,FALSE)</f>
        <v>#N/A</v>
      </c>
      <c r="U448" s="323"/>
      <c r="V448" s="323"/>
      <c r="W448" s="323"/>
    </row>
    <row r="449" spans="1:23" s="23" customFormat="1" ht="14.25" hidden="1" x14ac:dyDescent="0.2">
      <c r="A449" s="381" t="s">
        <v>1776</v>
      </c>
      <c r="B449" s="381" t="s">
        <v>324</v>
      </c>
      <c r="C449" s="397" t="s">
        <v>1922</v>
      </c>
      <c r="D449" s="381" t="s">
        <v>1923</v>
      </c>
      <c r="E449" s="383" t="s">
        <v>252</v>
      </c>
      <c r="F449" s="381" t="s">
        <v>1832</v>
      </c>
      <c r="G449" s="384"/>
      <c r="H449" s="24"/>
      <c r="I449" s="24"/>
      <c r="J449" s="25" t="str">
        <f t="shared" si="22"/>
        <v xml:space="preserve"> </v>
      </c>
      <c r="K449" s="385" t="s">
        <v>337</v>
      </c>
      <c r="L449" s="385">
        <v>316.33999999999997</v>
      </c>
      <c r="M449" s="386">
        <f t="shared" si="19"/>
        <v>316.33999999999997</v>
      </c>
      <c r="N449" s="496">
        <v>499.6</v>
      </c>
      <c r="O449" s="333">
        <f t="shared" si="20"/>
        <v>815.94</v>
      </c>
      <c r="R449" s="23" t="str">
        <f>VLOOKUP(C:C,'Historic Data - working'!A:B,1,FALSE)</f>
        <v>BRE033</v>
      </c>
      <c r="U449" s="323"/>
      <c r="V449" s="323"/>
      <c r="W449" s="323"/>
    </row>
    <row r="450" spans="1:23" s="23" customFormat="1" ht="28.5" hidden="1" x14ac:dyDescent="0.2">
      <c r="A450" s="381" t="s">
        <v>1776</v>
      </c>
      <c r="B450" s="381" t="s">
        <v>324</v>
      </c>
      <c r="C450" s="397" t="s">
        <v>1924</v>
      </c>
      <c r="D450" s="381" t="s">
        <v>1925</v>
      </c>
      <c r="E450" s="383" t="s">
        <v>1926</v>
      </c>
      <c r="F450" s="381" t="s">
        <v>1832</v>
      </c>
      <c r="G450" s="384"/>
      <c r="H450" s="24"/>
      <c r="I450" s="24"/>
      <c r="J450" s="25" t="str">
        <f t="shared" si="22"/>
        <v xml:space="preserve"> </v>
      </c>
      <c r="K450" s="385"/>
      <c r="L450" s="385"/>
      <c r="M450" s="386">
        <f t="shared" ref="M450:M513" si="23">H450+L450</f>
        <v>0</v>
      </c>
      <c r="N450" s="496"/>
      <c r="O450" s="333">
        <f t="shared" ref="O450:O513" si="24">M450+N450</f>
        <v>0</v>
      </c>
      <c r="R450" s="23" t="e">
        <f>VLOOKUP(C:C,'Historic Data - working'!A:B,1,FALSE)</f>
        <v>#N/A</v>
      </c>
      <c r="U450" s="323"/>
      <c r="V450" s="323"/>
      <c r="W450" s="323"/>
    </row>
    <row r="451" spans="1:23" s="23" customFormat="1" ht="14.25" hidden="1" x14ac:dyDescent="0.2">
      <c r="A451" s="381" t="s">
        <v>1776</v>
      </c>
      <c r="B451" s="381" t="s">
        <v>324</v>
      </c>
      <c r="C451" s="397" t="s">
        <v>1927</v>
      </c>
      <c r="D451" s="381" t="s">
        <v>1928</v>
      </c>
      <c r="E451" s="383" t="s">
        <v>599</v>
      </c>
      <c r="F451" s="381" t="s">
        <v>1929</v>
      </c>
      <c r="G451" s="384" t="s">
        <v>329</v>
      </c>
      <c r="H451" s="24">
        <f>930.74+896.97</f>
        <v>1827.71</v>
      </c>
      <c r="I451" s="24"/>
      <c r="J451" s="25" t="str">
        <f t="shared" si="22"/>
        <v>1</v>
      </c>
      <c r="K451" s="385"/>
      <c r="L451" s="385"/>
      <c r="M451" s="386">
        <f t="shared" si="23"/>
        <v>1827.71</v>
      </c>
      <c r="N451" s="496">
        <v>160</v>
      </c>
      <c r="O451" s="333">
        <f t="shared" si="24"/>
        <v>1987.71</v>
      </c>
      <c r="R451" s="23" t="str">
        <f>VLOOKUP(C:C,'Historic Data - working'!A:B,1,FALSE)</f>
        <v>BRE034</v>
      </c>
      <c r="U451" s="323"/>
      <c r="V451" s="323"/>
      <c r="W451" s="323"/>
    </row>
    <row r="452" spans="1:23" s="23" customFormat="1" ht="14.25" hidden="1" x14ac:dyDescent="0.2">
      <c r="A452" s="381" t="s">
        <v>1776</v>
      </c>
      <c r="B452" s="381" t="s">
        <v>324</v>
      </c>
      <c r="C452" s="397" t="s">
        <v>1930</v>
      </c>
      <c r="D452" s="381" t="s">
        <v>1931</v>
      </c>
      <c r="E452" s="383" t="s">
        <v>1932</v>
      </c>
      <c r="F452" s="381" t="s">
        <v>1933</v>
      </c>
      <c r="G452" s="384"/>
      <c r="H452" s="24"/>
      <c r="I452" s="24"/>
      <c r="J452" s="25" t="str">
        <f t="shared" si="22"/>
        <v xml:space="preserve"> </v>
      </c>
      <c r="K452" s="385" t="s">
        <v>337</v>
      </c>
      <c r="L452" s="385">
        <v>180</v>
      </c>
      <c r="M452" s="386">
        <f t="shared" si="23"/>
        <v>180</v>
      </c>
      <c r="N452" s="496">
        <v>580</v>
      </c>
      <c r="O452" s="333">
        <f t="shared" si="24"/>
        <v>760</v>
      </c>
      <c r="R452" s="23" t="str">
        <f>VLOOKUP(C:C,'Historic Data - working'!A:B,1,FALSE)</f>
        <v>BRE035</v>
      </c>
      <c r="U452" s="323"/>
      <c r="V452" s="323"/>
      <c r="W452" s="323"/>
    </row>
    <row r="453" spans="1:23" s="23" customFormat="1" ht="14.25" hidden="1" x14ac:dyDescent="0.2">
      <c r="A453" s="381" t="s">
        <v>1776</v>
      </c>
      <c r="B453" s="381" t="s">
        <v>324</v>
      </c>
      <c r="C453" s="397" t="s">
        <v>1934</v>
      </c>
      <c r="D453" s="381" t="s">
        <v>1935</v>
      </c>
      <c r="E453" s="383" t="s">
        <v>249</v>
      </c>
      <c r="F453" s="381" t="s">
        <v>1936</v>
      </c>
      <c r="G453" s="384"/>
      <c r="H453" s="24"/>
      <c r="I453" s="24"/>
      <c r="J453" s="25" t="str">
        <f t="shared" si="22"/>
        <v xml:space="preserve"> </v>
      </c>
      <c r="K453" s="385" t="s">
        <v>337</v>
      </c>
      <c r="L453" s="385">
        <v>854</v>
      </c>
      <c r="M453" s="386">
        <f t="shared" si="23"/>
        <v>854</v>
      </c>
      <c r="N453" s="496">
        <v>197.1</v>
      </c>
      <c r="O453" s="333">
        <f t="shared" si="24"/>
        <v>1051.0999999999999</v>
      </c>
      <c r="R453" s="23" t="str">
        <f>VLOOKUP(C:C,'Historic Data - working'!A:B,1,FALSE)</f>
        <v>BRE036</v>
      </c>
      <c r="U453" s="323"/>
      <c r="V453" s="323"/>
      <c r="W453" s="323"/>
    </row>
    <row r="454" spans="1:23" s="23" customFormat="1" ht="14.25" hidden="1" x14ac:dyDescent="0.2">
      <c r="A454" s="381" t="s">
        <v>1776</v>
      </c>
      <c r="B454" s="381" t="s">
        <v>324</v>
      </c>
      <c r="C454" s="397" t="s">
        <v>1937</v>
      </c>
      <c r="D454" s="381" t="s">
        <v>1938</v>
      </c>
      <c r="E454" s="383" t="s">
        <v>709</v>
      </c>
      <c r="F454" s="381" t="s">
        <v>1832</v>
      </c>
      <c r="G454" s="384"/>
      <c r="H454" s="24"/>
      <c r="I454" s="24"/>
      <c r="J454" s="25" t="str">
        <f t="shared" si="22"/>
        <v xml:space="preserve"> </v>
      </c>
      <c r="K454" s="385"/>
      <c r="L454" s="385"/>
      <c r="M454" s="386">
        <f t="shared" si="23"/>
        <v>0</v>
      </c>
      <c r="N454" s="496">
        <v>198.45999999999998</v>
      </c>
      <c r="O454" s="333">
        <f t="shared" si="24"/>
        <v>198.45999999999998</v>
      </c>
      <c r="R454" s="23" t="str">
        <f>VLOOKUP(C:C,'Historic Data - working'!A:B,1,FALSE)</f>
        <v>BRE037</v>
      </c>
      <c r="U454" s="323"/>
      <c r="V454" s="323"/>
      <c r="W454" s="323"/>
    </row>
    <row r="455" spans="1:23" s="23" customFormat="1" ht="14.25" hidden="1" x14ac:dyDescent="0.2">
      <c r="A455" s="381" t="s">
        <v>1776</v>
      </c>
      <c r="B455" s="381" t="s">
        <v>324</v>
      </c>
      <c r="C455" s="397" t="s">
        <v>1939</v>
      </c>
      <c r="D455" s="381" t="s">
        <v>1940</v>
      </c>
      <c r="E455" s="383" t="s">
        <v>1941</v>
      </c>
      <c r="F455" s="381" t="s">
        <v>1942</v>
      </c>
      <c r="G455" s="384"/>
      <c r="H455" s="24"/>
      <c r="I455" s="24"/>
      <c r="J455" s="25" t="str">
        <f t="shared" si="22"/>
        <v xml:space="preserve"> </v>
      </c>
      <c r="K455" s="385"/>
      <c r="L455" s="385"/>
      <c r="M455" s="386">
        <f t="shared" si="23"/>
        <v>0</v>
      </c>
      <c r="N455" s="496"/>
      <c r="O455" s="333">
        <f t="shared" si="24"/>
        <v>0</v>
      </c>
      <c r="R455" s="23" t="e">
        <f>VLOOKUP(C:C,'Historic Data - working'!A:B,1,FALSE)</f>
        <v>#N/A</v>
      </c>
      <c r="U455" s="323"/>
      <c r="V455" s="323"/>
      <c r="W455" s="323"/>
    </row>
    <row r="456" spans="1:23" s="23" customFormat="1" ht="14.25" hidden="1" x14ac:dyDescent="0.2">
      <c r="A456" s="381" t="s">
        <v>1776</v>
      </c>
      <c r="B456" s="381" t="s">
        <v>324</v>
      </c>
      <c r="C456" s="397" t="s">
        <v>1943</v>
      </c>
      <c r="D456" s="381" t="s">
        <v>1944</v>
      </c>
      <c r="E456" s="383" t="s">
        <v>1945</v>
      </c>
      <c r="F456" s="381" t="s">
        <v>1946</v>
      </c>
      <c r="G456" s="384" t="s">
        <v>329</v>
      </c>
      <c r="H456" s="24">
        <v>812.01</v>
      </c>
      <c r="I456" s="24"/>
      <c r="J456" s="25" t="str">
        <f t="shared" si="22"/>
        <v>1</v>
      </c>
      <c r="K456" s="388"/>
      <c r="L456" s="385"/>
      <c r="M456" s="386">
        <f t="shared" si="23"/>
        <v>812.01</v>
      </c>
      <c r="N456" s="496">
        <v>180</v>
      </c>
      <c r="O456" s="333">
        <f t="shared" si="24"/>
        <v>992.01</v>
      </c>
      <c r="R456" s="23" t="str">
        <f>VLOOKUP(C:C,'Historic Data - working'!A:B,1,FALSE)</f>
        <v>BRE038</v>
      </c>
      <c r="U456" s="323"/>
      <c r="V456" s="323"/>
      <c r="W456" s="323"/>
    </row>
    <row r="457" spans="1:23" s="23" customFormat="1" ht="14.25" hidden="1" x14ac:dyDescent="0.2">
      <c r="A457" s="381" t="s">
        <v>1776</v>
      </c>
      <c r="B457" s="381" t="s">
        <v>324</v>
      </c>
      <c r="C457" s="397" t="s">
        <v>1947</v>
      </c>
      <c r="D457" s="381" t="s">
        <v>1948</v>
      </c>
      <c r="E457" s="383" t="s">
        <v>1949</v>
      </c>
      <c r="F457" s="381" t="s">
        <v>1844</v>
      </c>
      <c r="G457" s="384" t="s">
        <v>329</v>
      </c>
      <c r="H457" s="24">
        <f>126.6+13.19+49.1+36.28+22.67+780.17+23.79+16.65+21.4+270.74+(170.21+742.18+27.01+91.06+52.31+433.25+11.44)</f>
        <v>2888.05</v>
      </c>
      <c r="I457" s="24"/>
      <c r="J457" s="25" t="str">
        <f t="shared" si="22"/>
        <v>1</v>
      </c>
      <c r="K457" s="385"/>
      <c r="L457" s="385"/>
      <c r="M457" s="386">
        <f t="shared" si="23"/>
        <v>2888.05</v>
      </c>
      <c r="N457" s="496">
        <v>181</v>
      </c>
      <c r="O457" s="333">
        <f t="shared" si="24"/>
        <v>3069.05</v>
      </c>
      <c r="R457" s="23" t="str">
        <f>VLOOKUP(C:C,'Historic Data - working'!A:B,1,FALSE)</f>
        <v>BRE039</v>
      </c>
      <c r="U457" s="323"/>
      <c r="V457" s="323"/>
      <c r="W457" s="323"/>
    </row>
    <row r="458" spans="1:23" s="23" customFormat="1" ht="14.25" hidden="1" x14ac:dyDescent="0.2">
      <c r="A458" s="381" t="s">
        <v>1776</v>
      </c>
      <c r="B458" s="381" t="s">
        <v>324</v>
      </c>
      <c r="C458" s="397" t="s">
        <v>1950</v>
      </c>
      <c r="D458" s="381" t="s">
        <v>1951</v>
      </c>
      <c r="E458" s="383" t="s">
        <v>1952</v>
      </c>
      <c r="F458" s="381" t="s">
        <v>1875</v>
      </c>
      <c r="G458" s="384"/>
      <c r="H458" s="24"/>
      <c r="I458" s="24"/>
      <c r="J458" s="25" t="str">
        <f t="shared" si="22"/>
        <v xml:space="preserve"> </v>
      </c>
      <c r="K458" s="385"/>
      <c r="L458" s="385"/>
      <c r="M458" s="386">
        <f t="shared" si="23"/>
        <v>0</v>
      </c>
      <c r="N458" s="496"/>
      <c r="O458" s="333">
        <f t="shared" si="24"/>
        <v>0</v>
      </c>
      <c r="R458" s="23" t="e">
        <f>VLOOKUP(C:C,'Historic Data - working'!A:B,1,FALSE)</f>
        <v>#N/A</v>
      </c>
      <c r="U458" s="323"/>
      <c r="V458" s="323"/>
      <c r="W458" s="323"/>
    </row>
    <row r="459" spans="1:23" s="23" customFormat="1" ht="14.25" hidden="1" x14ac:dyDescent="0.2">
      <c r="A459" s="381" t="s">
        <v>1776</v>
      </c>
      <c r="B459" s="381" t="s">
        <v>324</v>
      </c>
      <c r="C459" s="397" t="s">
        <v>1953</v>
      </c>
      <c r="D459" s="381" t="s">
        <v>1954</v>
      </c>
      <c r="E459" s="383" t="s">
        <v>78</v>
      </c>
      <c r="F459" s="381" t="s">
        <v>1955</v>
      </c>
      <c r="G459" s="384"/>
      <c r="H459" s="24"/>
      <c r="I459" s="24"/>
      <c r="J459" s="25" t="str">
        <f t="shared" si="22"/>
        <v xml:space="preserve"> </v>
      </c>
      <c r="K459" s="385" t="s">
        <v>337</v>
      </c>
      <c r="L459" s="385">
        <v>2301</v>
      </c>
      <c r="M459" s="386">
        <f t="shared" si="23"/>
        <v>2301</v>
      </c>
      <c r="N459" s="496">
        <v>644</v>
      </c>
      <c r="O459" s="333">
        <f t="shared" si="24"/>
        <v>2945</v>
      </c>
      <c r="R459" s="23" t="str">
        <f>VLOOKUP(C:C,'Historic Data - working'!A:B,1,FALSE)</f>
        <v>BRE041</v>
      </c>
      <c r="U459" s="323"/>
      <c r="V459" s="323"/>
      <c r="W459" s="323"/>
    </row>
    <row r="460" spans="1:23" s="23" customFormat="1" ht="14.25" hidden="1" x14ac:dyDescent="0.2">
      <c r="A460" s="381" t="s">
        <v>1776</v>
      </c>
      <c r="B460" s="381" t="s">
        <v>324</v>
      </c>
      <c r="C460" s="397" t="s">
        <v>1956</v>
      </c>
      <c r="D460" s="381" t="s">
        <v>1957</v>
      </c>
      <c r="E460" s="383" t="s">
        <v>1958</v>
      </c>
      <c r="F460" s="381" t="s">
        <v>1955</v>
      </c>
      <c r="G460" s="384"/>
      <c r="H460" s="24"/>
      <c r="I460" s="24"/>
      <c r="J460" s="25" t="str">
        <f t="shared" si="22"/>
        <v xml:space="preserve"> </v>
      </c>
      <c r="K460" s="385"/>
      <c r="L460" s="385"/>
      <c r="M460" s="386">
        <f t="shared" si="23"/>
        <v>0</v>
      </c>
      <c r="N460" s="496"/>
      <c r="O460" s="333">
        <f t="shared" si="24"/>
        <v>0</v>
      </c>
      <c r="R460" s="23" t="e">
        <f>VLOOKUP(C:C,'Historic Data - working'!A:B,1,FALSE)</f>
        <v>#N/A</v>
      </c>
      <c r="U460" s="323"/>
      <c r="V460" s="323"/>
      <c r="W460" s="323"/>
    </row>
    <row r="461" spans="1:23" s="23" customFormat="1" ht="14.25" hidden="1" x14ac:dyDescent="0.2">
      <c r="A461" s="381" t="s">
        <v>1776</v>
      </c>
      <c r="B461" s="381" t="s">
        <v>324</v>
      </c>
      <c r="C461" s="397" t="s">
        <v>1959</v>
      </c>
      <c r="D461" s="381" t="s">
        <v>1960</v>
      </c>
      <c r="E461" s="383" t="s">
        <v>1961</v>
      </c>
      <c r="F461" s="381" t="s">
        <v>1824</v>
      </c>
      <c r="G461" s="384"/>
      <c r="H461" s="24"/>
      <c r="I461" s="24"/>
      <c r="J461" s="25" t="str">
        <f t="shared" si="22"/>
        <v xml:space="preserve"> </v>
      </c>
      <c r="K461" s="385"/>
      <c r="L461" s="385"/>
      <c r="M461" s="386">
        <f t="shared" si="23"/>
        <v>0</v>
      </c>
      <c r="N461" s="496">
        <v>321.73</v>
      </c>
      <c r="O461" s="333">
        <f t="shared" si="24"/>
        <v>321.73</v>
      </c>
      <c r="R461" s="23" t="str">
        <f>VLOOKUP(C:C,'Historic Data - working'!A:B,1,FALSE)</f>
        <v>BRE041X</v>
      </c>
      <c r="U461" s="323"/>
      <c r="V461" s="323"/>
      <c r="W461" s="323"/>
    </row>
    <row r="462" spans="1:23" s="23" customFormat="1" ht="14.25" hidden="1" x14ac:dyDescent="0.2">
      <c r="A462" s="381" t="s">
        <v>1776</v>
      </c>
      <c r="B462" s="381" t="s">
        <v>324</v>
      </c>
      <c r="C462" s="397" t="s">
        <v>1962</v>
      </c>
      <c r="D462" s="381" t="s">
        <v>1963</v>
      </c>
      <c r="E462" s="383" t="s">
        <v>216</v>
      </c>
      <c r="F462" s="381" t="s">
        <v>1964</v>
      </c>
      <c r="G462" s="384"/>
      <c r="H462" s="24"/>
      <c r="I462" s="24"/>
      <c r="J462" s="25" t="str">
        <f t="shared" si="22"/>
        <v xml:space="preserve"> </v>
      </c>
      <c r="K462" s="385"/>
      <c r="L462" s="385"/>
      <c r="M462" s="386">
        <f t="shared" si="23"/>
        <v>0</v>
      </c>
      <c r="N462" s="496"/>
      <c r="O462" s="333">
        <f t="shared" si="24"/>
        <v>0</v>
      </c>
      <c r="R462" s="23" t="e">
        <f>VLOOKUP(C:C,'Historic Data - working'!A:B,1,FALSE)</f>
        <v>#N/A</v>
      </c>
      <c r="U462" s="323"/>
      <c r="V462" s="323"/>
      <c r="W462" s="323"/>
    </row>
    <row r="463" spans="1:23" s="23" customFormat="1" ht="14.25" hidden="1" x14ac:dyDescent="0.2">
      <c r="A463" s="381" t="s">
        <v>1776</v>
      </c>
      <c r="B463" s="381" t="s">
        <v>324</v>
      </c>
      <c r="C463" s="397" t="s">
        <v>1965</v>
      </c>
      <c r="D463" s="381" t="s">
        <v>1966</v>
      </c>
      <c r="E463" s="383" t="s">
        <v>1967</v>
      </c>
      <c r="F463" s="381" t="s">
        <v>1879</v>
      </c>
      <c r="G463" s="384"/>
      <c r="H463" s="24"/>
      <c r="I463" s="24"/>
      <c r="J463" s="25" t="str">
        <f t="shared" si="22"/>
        <v xml:space="preserve"> </v>
      </c>
      <c r="K463" s="385"/>
      <c r="L463" s="385"/>
      <c r="M463" s="386">
        <f t="shared" si="23"/>
        <v>0</v>
      </c>
      <c r="N463" s="496">
        <v>696.85</v>
      </c>
      <c r="O463" s="333">
        <f t="shared" si="24"/>
        <v>696.85</v>
      </c>
      <c r="R463" s="23" t="str">
        <f>VLOOKUP(C:C,'Historic Data - working'!A:B,1,FALSE)</f>
        <v>BRE041Y</v>
      </c>
      <c r="U463" s="323"/>
      <c r="V463" s="323"/>
      <c r="W463" s="323"/>
    </row>
    <row r="464" spans="1:23" s="23" customFormat="1" ht="14.25" hidden="1" x14ac:dyDescent="0.2">
      <c r="A464" s="381" t="s">
        <v>1776</v>
      </c>
      <c r="B464" s="381" t="s">
        <v>324</v>
      </c>
      <c r="C464" s="397" t="s">
        <v>1968</v>
      </c>
      <c r="D464" s="381" t="s">
        <v>1969</v>
      </c>
      <c r="E464" s="383" t="s">
        <v>1970</v>
      </c>
      <c r="F464" s="381" t="s">
        <v>1879</v>
      </c>
      <c r="G464" s="384"/>
      <c r="H464" s="24"/>
      <c r="I464" s="24"/>
      <c r="J464" s="25" t="str">
        <f t="shared" si="22"/>
        <v xml:space="preserve"> </v>
      </c>
      <c r="K464" s="385"/>
      <c r="L464" s="385"/>
      <c r="M464" s="386">
        <f t="shared" si="23"/>
        <v>0</v>
      </c>
      <c r="N464" s="496"/>
      <c r="O464" s="333">
        <f t="shared" si="24"/>
        <v>0</v>
      </c>
      <c r="R464" s="23" t="e">
        <f>VLOOKUP(C:C,'Historic Data - working'!A:B,1,FALSE)</f>
        <v>#N/A</v>
      </c>
      <c r="U464" s="323"/>
      <c r="V464" s="323"/>
      <c r="W464" s="323"/>
    </row>
    <row r="465" spans="1:23" s="23" customFormat="1" ht="14.25" hidden="1" x14ac:dyDescent="0.2">
      <c r="A465" s="381" t="s">
        <v>1776</v>
      </c>
      <c r="B465" s="381" t="s">
        <v>324</v>
      </c>
      <c r="C465" s="397" t="s">
        <v>1971</v>
      </c>
      <c r="D465" s="381" t="s">
        <v>1972</v>
      </c>
      <c r="E465" s="383" t="s">
        <v>1973</v>
      </c>
      <c r="F465" s="381" t="s">
        <v>1879</v>
      </c>
      <c r="G465" s="384"/>
      <c r="H465" s="24"/>
      <c r="I465" s="24"/>
      <c r="J465" s="25" t="str">
        <f t="shared" si="22"/>
        <v xml:space="preserve"> </v>
      </c>
      <c r="K465" s="385"/>
      <c r="L465" s="385"/>
      <c r="M465" s="386">
        <f t="shared" si="23"/>
        <v>0</v>
      </c>
      <c r="N465" s="496"/>
      <c r="O465" s="333">
        <f t="shared" si="24"/>
        <v>0</v>
      </c>
      <c r="R465" s="23" t="e">
        <f>VLOOKUP(C:C,'Historic Data - working'!A:B,1,FALSE)</f>
        <v>#N/A</v>
      </c>
      <c r="U465" s="323"/>
      <c r="V465" s="323"/>
      <c r="W465" s="323"/>
    </row>
    <row r="466" spans="1:23" s="23" customFormat="1" ht="14.25" hidden="1" x14ac:dyDescent="0.2">
      <c r="A466" s="381" t="s">
        <v>1776</v>
      </c>
      <c r="B466" s="381" t="s">
        <v>324</v>
      </c>
      <c r="C466" s="397" t="s">
        <v>1974</v>
      </c>
      <c r="D466" s="381" t="s">
        <v>1975</v>
      </c>
      <c r="E466" s="383" t="s">
        <v>1976</v>
      </c>
      <c r="F466" s="381" t="s">
        <v>1977</v>
      </c>
      <c r="G466" s="384" t="s">
        <v>329</v>
      </c>
      <c r="H466" s="24">
        <f>214.9+37.86+372.5+39.75+179.61+87.84</f>
        <v>932.46</v>
      </c>
      <c r="I466" s="24"/>
      <c r="J466" s="25" t="str">
        <f t="shared" si="22"/>
        <v>1</v>
      </c>
      <c r="K466" s="385"/>
      <c r="L466" s="385"/>
      <c r="M466" s="386">
        <f t="shared" si="23"/>
        <v>932.46</v>
      </c>
      <c r="N466" s="496">
        <v>100</v>
      </c>
      <c r="O466" s="333">
        <f t="shared" si="24"/>
        <v>1032.46</v>
      </c>
      <c r="R466" s="23" t="str">
        <f>VLOOKUP(C:C,'Historic Data - working'!A:B,1,FALSE)</f>
        <v>BRE042</v>
      </c>
      <c r="U466" s="323"/>
      <c r="V466" s="323"/>
      <c r="W466" s="323"/>
    </row>
    <row r="467" spans="1:23" s="23" customFormat="1" ht="14.25" hidden="1" x14ac:dyDescent="0.2">
      <c r="A467" s="381" t="s">
        <v>1776</v>
      </c>
      <c r="B467" s="381" t="s">
        <v>324</v>
      </c>
      <c r="C467" s="397" t="s">
        <v>1978</v>
      </c>
      <c r="D467" s="381" t="s">
        <v>1979</v>
      </c>
      <c r="E467" s="383" t="s">
        <v>1980</v>
      </c>
      <c r="F467" s="381" t="s">
        <v>1981</v>
      </c>
      <c r="G467" s="384" t="s">
        <v>329</v>
      </c>
      <c r="H467" s="24"/>
      <c r="I467" s="24">
        <f>387.49+248.52</f>
        <v>636.01</v>
      </c>
      <c r="J467" s="25" t="str">
        <f t="shared" si="22"/>
        <v>1</v>
      </c>
      <c r="K467" s="385"/>
      <c r="L467" s="385"/>
      <c r="M467" s="386">
        <f t="shared" si="23"/>
        <v>0</v>
      </c>
      <c r="N467" s="496">
        <v>736.01</v>
      </c>
      <c r="O467" s="333">
        <f t="shared" si="24"/>
        <v>736.01</v>
      </c>
      <c r="R467" s="23" t="str">
        <f>VLOOKUP(C:C,'Historic Data - working'!A:B,1,FALSE)</f>
        <v>BRE043</v>
      </c>
      <c r="U467" s="323"/>
      <c r="V467" s="323"/>
      <c r="W467" s="323"/>
    </row>
    <row r="468" spans="1:23" s="23" customFormat="1" ht="14.25" hidden="1" x14ac:dyDescent="0.2">
      <c r="A468" s="381" t="s">
        <v>1776</v>
      </c>
      <c r="B468" s="381" t="s">
        <v>324</v>
      </c>
      <c r="C468" s="397" t="s">
        <v>1982</v>
      </c>
      <c r="D468" s="381" t="s">
        <v>1983</v>
      </c>
      <c r="E468" s="383" t="s">
        <v>1984</v>
      </c>
      <c r="F468" s="381" t="s">
        <v>1981</v>
      </c>
      <c r="G468" s="384"/>
      <c r="H468" s="24"/>
      <c r="I468" s="24"/>
      <c r="J468" s="25" t="str">
        <f t="shared" si="22"/>
        <v xml:space="preserve"> </v>
      </c>
      <c r="K468" s="385"/>
      <c r="L468" s="385"/>
      <c r="M468" s="386">
        <f t="shared" si="23"/>
        <v>0</v>
      </c>
      <c r="N468" s="496"/>
      <c r="O468" s="333">
        <f t="shared" si="24"/>
        <v>0</v>
      </c>
      <c r="R468" s="23" t="e">
        <f>VLOOKUP(C:C,'Historic Data - working'!A:B,1,FALSE)</f>
        <v>#N/A</v>
      </c>
      <c r="U468" s="323"/>
      <c r="V468" s="323"/>
      <c r="W468" s="323"/>
    </row>
    <row r="469" spans="1:23" s="23" customFormat="1" ht="28.5" hidden="1" x14ac:dyDescent="0.2">
      <c r="A469" s="381" t="s">
        <v>1776</v>
      </c>
      <c r="B469" s="381" t="s">
        <v>324</v>
      </c>
      <c r="C469" s="397" t="s">
        <v>1985</v>
      </c>
      <c r="D469" s="381" t="s">
        <v>1986</v>
      </c>
      <c r="E469" s="383" t="s">
        <v>1987</v>
      </c>
      <c r="F469" s="381" t="s">
        <v>1988</v>
      </c>
      <c r="G469" s="384"/>
      <c r="H469" s="24"/>
      <c r="I469" s="24"/>
      <c r="J469" s="25" t="str">
        <f t="shared" si="22"/>
        <v xml:space="preserve"> </v>
      </c>
      <c r="K469" s="385"/>
      <c r="L469" s="385"/>
      <c r="M469" s="386">
        <f t="shared" si="23"/>
        <v>0</v>
      </c>
      <c r="N469" s="496">
        <v>100</v>
      </c>
      <c r="O469" s="333">
        <f t="shared" si="24"/>
        <v>100</v>
      </c>
      <c r="R469" s="23" t="str">
        <f>VLOOKUP(C:C,'Historic Data - working'!A:B,1,FALSE)</f>
        <v>BRE044</v>
      </c>
      <c r="U469" s="323"/>
      <c r="V469" s="323"/>
      <c r="W469" s="323"/>
    </row>
    <row r="470" spans="1:23" s="23" customFormat="1" ht="28.5" hidden="1" x14ac:dyDescent="0.2">
      <c r="A470" s="381" t="s">
        <v>1776</v>
      </c>
      <c r="B470" s="381" t="s">
        <v>324</v>
      </c>
      <c r="C470" s="397" t="s">
        <v>1989</v>
      </c>
      <c r="D470" s="381" t="s">
        <v>1990</v>
      </c>
      <c r="E470" s="383" t="s">
        <v>1991</v>
      </c>
      <c r="F470" s="381" t="s">
        <v>1988</v>
      </c>
      <c r="G470" s="384"/>
      <c r="H470" s="24"/>
      <c r="I470" s="24"/>
      <c r="J470" s="25" t="str">
        <f t="shared" si="22"/>
        <v xml:space="preserve"> </v>
      </c>
      <c r="K470" s="385"/>
      <c r="L470" s="385"/>
      <c r="M470" s="386">
        <f t="shared" si="23"/>
        <v>0</v>
      </c>
      <c r="N470" s="496"/>
      <c r="O470" s="333">
        <f t="shared" si="24"/>
        <v>0</v>
      </c>
      <c r="R470" s="23" t="e">
        <f>VLOOKUP(C:C,'Historic Data - working'!A:B,1,FALSE)</f>
        <v>#N/A</v>
      </c>
      <c r="U470" s="323"/>
      <c r="V470" s="323"/>
      <c r="W470" s="323"/>
    </row>
    <row r="471" spans="1:23" s="23" customFormat="1" ht="14.25" hidden="1" x14ac:dyDescent="0.2">
      <c r="A471" s="381" t="s">
        <v>1776</v>
      </c>
      <c r="B471" s="381" t="s">
        <v>324</v>
      </c>
      <c r="C471" s="397" t="s">
        <v>1992</v>
      </c>
      <c r="D471" s="381" t="s">
        <v>1993</v>
      </c>
      <c r="E471" s="383" t="s">
        <v>1994</v>
      </c>
      <c r="F471" s="381" t="s">
        <v>1988</v>
      </c>
      <c r="G471" s="384" t="s">
        <v>329</v>
      </c>
      <c r="H471" s="24">
        <f>29.68+150.92+60.32+82.04+41.34</f>
        <v>364.29999999999995</v>
      </c>
      <c r="I471" s="24"/>
      <c r="J471" s="25" t="str">
        <f t="shared" si="22"/>
        <v>1</v>
      </c>
      <c r="K471" s="385" t="s">
        <v>1995</v>
      </c>
      <c r="L471" s="385">
        <v>-29.68</v>
      </c>
      <c r="M471" s="386">
        <f t="shared" si="23"/>
        <v>334.61999999999995</v>
      </c>
      <c r="N471" s="496"/>
      <c r="O471" s="333">
        <f t="shared" si="24"/>
        <v>334.61999999999995</v>
      </c>
      <c r="R471" s="23" t="str">
        <f>VLOOKUP(C:C,'Historic Data - working'!A:B,1,FALSE)</f>
        <v>BRE045</v>
      </c>
      <c r="U471" s="323"/>
      <c r="V471" s="323"/>
      <c r="W471" s="323"/>
    </row>
    <row r="472" spans="1:23" s="23" customFormat="1" ht="14.25" hidden="1" x14ac:dyDescent="0.2">
      <c r="A472" s="381" t="s">
        <v>1776</v>
      </c>
      <c r="B472" s="381" t="s">
        <v>351</v>
      </c>
      <c r="C472" s="397" t="s">
        <v>1996</v>
      </c>
      <c r="D472" s="381" t="s">
        <v>1997</v>
      </c>
      <c r="E472" s="383" t="s">
        <v>1998</v>
      </c>
      <c r="F472" s="381" t="s">
        <v>1988</v>
      </c>
      <c r="G472" s="384"/>
      <c r="H472" s="24"/>
      <c r="I472" s="24"/>
      <c r="J472" s="25" t="str">
        <f t="shared" si="22"/>
        <v xml:space="preserve"> </v>
      </c>
      <c r="K472" s="385"/>
      <c r="L472" s="385"/>
      <c r="M472" s="386">
        <f t="shared" si="23"/>
        <v>0</v>
      </c>
      <c r="N472" s="496">
        <v>360</v>
      </c>
      <c r="O472" s="333">
        <f t="shared" si="24"/>
        <v>360</v>
      </c>
      <c r="R472" s="23" t="str">
        <f>VLOOKUP(C:C,'Historic Data - working'!A:B,1,FALSE)</f>
        <v>BRE046</v>
      </c>
      <c r="U472" s="323"/>
      <c r="V472" s="323"/>
      <c r="W472" s="323"/>
    </row>
    <row r="473" spans="1:23" s="23" customFormat="1" ht="14.25" hidden="1" x14ac:dyDescent="0.2">
      <c r="A473" s="381" t="s">
        <v>1776</v>
      </c>
      <c r="B473" s="381" t="s">
        <v>351</v>
      </c>
      <c r="C473" s="397" t="s">
        <v>1999</v>
      </c>
      <c r="D473" s="381" t="s">
        <v>2000</v>
      </c>
      <c r="E473" s="383" t="s">
        <v>2001</v>
      </c>
      <c r="F473" s="381" t="s">
        <v>1988</v>
      </c>
      <c r="G473" s="384"/>
      <c r="H473" s="24"/>
      <c r="I473" s="24"/>
      <c r="J473" s="25" t="str">
        <f t="shared" si="22"/>
        <v xml:space="preserve"> </v>
      </c>
      <c r="K473" s="385"/>
      <c r="L473" s="385"/>
      <c r="M473" s="386">
        <f t="shared" si="23"/>
        <v>0</v>
      </c>
      <c r="N473" s="496"/>
      <c r="O473" s="333">
        <f t="shared" si="24"/>
        <v>0</v>
      </c>
      <c r="R473" s="23" t="e">
        <f>VLOOKUP(C:C,'Historic Data - working'!A:B,1,FALSE)</f>
        <v>#N/A</v>
      </c>
      <c r="U473" s="323"/>
      <c r="V473" s="323"/>
      <c r="W473" s="323"/>
    </row>
    <row r="474" spans="1:23" s="23" customFormat="1" ht="14.25" hidden="1" x14ac:dyDescent="0.2">
      <c r="A474" s="381" t="s">
        <v>1776</v>
      </c>
      <c r="B474" s="381" t="s">
        <v>324</v>
      </c>
      <c r="C474" s="397" t="s">
        <v>2002</v>
      </c>
      <c r="D474" s="381" t="s">
        <v>2003</v>
      </c>
      <c r="E474" s="383" t="s">
        <v>2004</v>
      </c>
      <c r="F474" s="381" t="s">
        <v>2005</v>
      </c>
      <c r="G474" s="384"/>
      <c r="H474" s="24"/>
      <c r="I474" s="24"/>
      <c r="J474" s="25" t="str">
        <f t="shared" si="22"/>
        <v xml:space="preserve"> </v>
      </c>
      <c r="K474" s="385"/>
      <c r="L474" s="385"/>
      <c r="M474" s="386">
        <f t="shared" si="23"/>
        <v>0</v>
      </c>
      <c r="N474" s="496">
        <v>20</v>
      </c>
      <c r="O474" s="333">
        <f t="shared" si="24"/>
        <v>20</v>
      </c>
      <c r="R474" s="23" t="str">
        <f>VLOOKUP(C:C,'Historic Data - working'!A:B,1,FALSE)</f>
        <v>BRE049</v>
      </c>
      <c r="U474" s="323"/>
      <c r="V474" s="323"/>
      <c r="W474" s="323"/>
    </row>
    <row r="475" spans="1:23" s="23" customFormat="1" ht="14.25" hidden="1" x14ac:dyDescent="0.2">
      <c r="A475" s="381" t="s">
        <v>1776</v>
      </c>
      <c r="B475" s="381" t="s">
        <v>324</v>
      </c>
      <c r="C475" s="397" t="s">
        <v>2006</v>
      </c>
      <c r="D475" s="381" t="s">
        <v>2007</v>
      </c>
      <c r="E475" s="383" t="s">
        <v>2008</v>
      </c>
      <c r="F475" s="381" t="s">
        <v>1844</v>
      </c>
      <c r="G475" s="384"/>
      <c r="H475" s="24"/>
      <c r="I475" s="24"/>
      <c r="J475" s="25" t="str">
        <f t="shared" si="22"/>
        <v xml:space="preserve"> </v>
      </c>
      <c r="K475" s="385"/>
      <c r="L475" s="385"/>
      <c r="M475" s="386">
        <f t="shared" si="23"/>
        <v>0</v>
      </c>
      <c r="N475" s="496">
        <v>76.5</v>
      </c>
      <c r="O475" s="333">
        <f t="shared" si="24"/>
        <v>76.5</v>
      </c>
      <c r="R475" s="23" t="str">
        <f>VLOOKUP(C:C,'Historic Data - working'!A:B,1,FALSE)</f>
        <v>BRE050</v>
      </c>
      <c r="U475" s="323"/>
      <c r="V475" s="323"/>
      <c r="W475" s="323"/>
    </row>
    <row r="476" spans="1:23" s="23" customFormat="1" ht="14.25" hidden="1" x14ac:dyDescent="0.2">
      <c r="A476" s="381" t="s">
        <v>1776</v>
      </c>
      <c r="B476" s="381" t="s">
        <v>324</v>
      </c>
      <c r="C476" s="397" t="s">
        <v>2009</v>
      </c>
      <c r="D476" s="381" t="s">
        <v>2010</v>
      </c>
      <c r="E476" s="383" t="s">
        <v>2011</v>
      </c>
      <c r="F476" s="381" t="s">
        <v>2012</v>
      </c>
      <c r="G476" s="384" t="s">
        <v>329</v>
      </c>
      <c r="H476" s="24">
        <f>86.8+118+102+262+155+25</f>
        <v>748.8</v>
      </c>
      <c r="I476" s="24"/>
      <c r="J476" s="25" t="str">
        <f t="shared" si="22"/>
        <v>1</v>
      </c>
      <c r="K476" s="385" t="s">
        <v>2013</v>
      </c>
      <c r="L476" s="385"/>
      <c r="M476" s="386">
        <f t="shared" si="23"/>
        <v>748.8</v>
      </c>
      <c r="N476" s="496">
        <v>100</v>
      </c>
      <c r="O476" s="333">
        <f t="shared" si="24"/>
        <v>848.8</v>
      </c>
      <c r="R476" s="23" t="str">
        <f>VLOOKUP(C:C,'Historic Data - working'!A:B,1,FALSE)</f>
        <v>BRE051</v>
      </c>
      <c r="U476" s="323"/>
      <c r="V476" s="323"/>
      <c r="W476" s="323"/>
    </row>
    <row r="477" spans="1:23" s="23" customFormat="1" ht="14.25" hidden="1" x14ac:dyDescent="0.2">
      <c r="A477" s="381" t="s">
        <v>1776</v>
      </c>
      <c r="B477" s="381" t="s">
        <v>324</v>
      </c>
      <c r="C477" s="397" t="s">
        <v>2014</v>
      </c>
      <c r="D477" s="381" t="s">
        <v>2015</v>
      </c>
      <c r="E477" s="383" t="s">
        <v>2016</v>
      </c>
      <c r="F477" s="381" t="s">
        <v>2017</v>
      </c>
      <c r="G477" s="384"/>
      <c r="H477" s="24"/>
      <c r="I477" s="24"/>
      <c r="J477" s="25" t="str">
        <f t="shared" si="22"/>
        <v xml:space="preserve"> </v>
      </c>
      <c r="K477" s="385" t="s">
        <v>337</v>
      </c>
      <c r="L477" s="385">
        <v>539</v>
      </c>
      <c r="M477" s="386">
        <f t="shared" si="23"/>
        <v>539</v>
      </c>
      <c r="N477" s="496">
        <v>170</v>
      </c>
      <c r="O477" s="333">
        <f t="shared" si="24"/>
        <v>709</v>
      </c>
      <c r="R477" s="23" t="str">
        <f>VLOOKUP(C:C,'Historic Data - working'!A:B,1,FALSE)</f>
        <v>BRE052</v>
      </c>
      <c r="U477" s="323"/>
      <c r="V477" s="323"/>
      <c r="W477" s="323"/>
    </row>
    <row r="478" spans="1:23" s="23" customFormat="1" ht="14.25" hidden="1" x14ac:dyDescent="0.2">
      <c r="A478" s="381" t="s">
        <v>1776</v>
      </c>
      <c r="B478" s="381" t="s">
        <v>324</v>
      </c>
      <c r="C478" s="397" t="s">
        <v>2018</v>
      </c>
      <c r="D478" s="381" t="s">
        <v>2019</v>
      </c>
      <c r="E478" s="383" t="s">
        <v>83</v>
      </c>
      <c r="F478" s="381" t="s">
        <v>2017</v>
      </c>
      <c r="G478" s="384" t="s">
        <v>329</v>
      </c>
      <c r="H478" s="24">
        <f>110+80+40+70+100+220+86+53</f>
        <v>759</v>
      </c>
      <c r="I478" s="24"/>
      <c r="J478" s="25" t="str">
        <f t="shared" si="22"/>
        <v>1</v>
      </c>
      <c r="K478" s="385"/>
      <c r="L478" s="385"/>
      <c r="M478" s="386">
        <f t="shared" si="23"/>
        <v>759</v>
      </c>
      <c r="N478" s="496">
        <v>51.97</v>
      </c>
      <c r="O478" s="333">
        <f t="shared" si="24"/>
        <v>810.97</v>
      </c>
      <c r="R478" s="23" t="str">
        <f>VLOOKUP(C:C,'Historic Data - working'!A:B,1,FALSE)</f>
        <v>BRE053</v>
      </c>
      <c r="U478" s="323"/>
      <c r="V478" s="323"/>
      <c r="W478" s="323"/>
    </row>
    <row r="479" spans="1:23" s="23" customFormat="1" ht="14.25" hidden="1" x14ac:dyDescent="0.2">
      <c r="A479" s="381" t="s">
        <v>1776</v>
      </c>
      <c r="B479" s="381" t="s">
        <v>324</v>
      </c>
      <c r="C479" s="397" t="s">
        <v>2020</v>
      </c>
      <c r="D479" s="381" t="s">
        <v>2021</v>
      </c>
      <c r="E479" s="383" t="s">
        <v>1183</v>
      </c>
      <c r="F479" s="381" t="s">
        <v>1780</v>
      </c>
      <c r="G479" s="384" t="s">
        <v>329</v>
      </c>
      <c r="H479" s="24">
        <f>63.37+86.59+185.34+20.83</f>
        <v>356.13</v>
      </c>
      <c r="I479" s="24"/>
      <c r="J479" s="25" t="str">
        <f t="shared" si="22"/>
        <v>1</v>
      </c>
      <c r="K479" s="385"/>
      <c r="L479" s="385"/>
      <c r="M479" s="386">
        <f t="shared" si="23"/>
        <v>356.13</v>
      </c>
      <c r="N479" s="496">
        <v>125</v>
      </c>
      <c r="O479" s="333">
        <f t="shared" si="24"/>
        <v>481.13</v>
      </c>
      <c r="R479" s="23" t="str">
        <f>VLOOKUP(C:C,'Historic Data - working'!A:B,1,FALSE)</f>
        <v>BRE054</v>
      </c>
      <c r="U479" s="323"/>
      <c r="V479" s="323"/>
      <c r="W479" s="323"/>
    </row>
    <row r="480" spans="1:23" s="23" customFormat="1" ht="14.25" hidden="1" x14ac:dyDescent="0.2">
      <c r="A480" s="381" t="s">
        <v>1776</v>
      </c>
      <c r="B480" s="381" t="s">
        <v>324</v>
      </c>
      <c r="C480" s="397" t="s">
        <v>2022</v>
      </c>
      <c r="D480" s="381" t="s">
        <v>2023</v>
      </c>
      <c r="E480" s="383" t="s">
        <v>1731</v>
      </c>
      <c r="F480" s="381" t="s">
        <v>1875</v>
      </c>
      <c r="G480" s="384" t="s">
        <v>329</v>
      </c>
      <c r="H480" s="24"/>
      <c r="I480" s="24">
        <v>799.68</v>
      </c>
      <c r="J480" s="25" t="str">
        <f t="shared" si="22"/>
        <v>1</v>
      </c>
      <c r="K480" s="385"/>
      <c r="L480" s="385"/>
      <c r="M480" s="386">
        <f t="shared" si="23"/>
        <v>0</v>
      </c>
      <c r="N480" s="496">
        <v>1145.6799999999998</v>
      </c>
      <c r="O480" s="333">
        <f t="shared" si="24"/>
        <v>1145.6799999999998</v>
      </c>
      <c r="R480" s="23" t="str">
        <f>VLOOKUP(C:C,'Historic Data - working'!A:B,1,FALSE)</f>
        <v>BRE055</v>
      </c>
      <c r="U480" s="323"/>
      <c r="V480" s="323"/>
      <c r="W480" s="323"/>
    </row>
    <row r="481" spans="1:23" s="23" customFormat="1" ht="14.25" hidden="1" x14ac:dyDescent="0.2">
      <c r="A481" s="381" t="s">
        <v>1776</v>
      </c>
      <c r="B481" s="381" t="s">
        <v>324</v>
      </c>
      <c r="C481" s="397" t="s">
        <v>2024</v>
      </c>
      <c r="D481" s="381" t="s">
        <v>2025</v>
      </c>
      <c r="E481" s="383" t="s">
        <v>2026</v>
      </c>
      <c r="F481" s="381" t="s">
        <v>1875</v>
      </c>
      <c r="G481" s="384"/>
      <c r="H481" s="24"/>
      <c r="I481" s="24"/>
      <c r="J481" s="25" t="str">
        <f t="shared" si="22"/>
        <v xml:space="preserve"> </v>
      </c>
      <c r="K481" s="385"/>
      <c r="L481" s="385"/>
      <c r="M481" s="386">
        <f t="shared" si="23"/>
        <v>0</v>
      </c>
      <c r="N481" s="496">
        <v>20</v>
      </c>
      <c r="O481" s="333">
        <f t="shared" si="24"/>
        <v>20</v>
      </c>
      <c r="R481" s="23" t="str">
        <f>VLOOKUP(C:C,'Historic Data - working'!A:B,1,FALSE)</f>
        <v>BRE056</v>
      </c>
      <c r="U481" s="323"/>
      <c r="V481" s="323"/>
      <c r="W481" s="323"/>
    </row>
    <row r="482" spans="1:23" s="23" customFormat="1" ht="28.5" hidden="1" x14ac:dyDescent="0.2">
      <c r="A482" s="381" t="s">
        <v>1776</v>
      </c>
      <c r="B482" s="381" t="s">
        <v>324</v>
      </c>
      <c r="C482" s="397" t="s">
        <v>2027</v>
      </c>
      <c r="D482" s="381" t="s">
        <v>2028</v>
      </c>
      <c r="E482" s="383" t="s">
        <v>2029</v>
      </c>
      <c r="F482" s="381" t="s">
        <v>1787</v>
      </c>
      <c r="G482" s="384" t="s">
        <v>329</v>
      </c>
      <c r="H482" s="24">
        <f>542.23+514.72</f>
        <v>1056.95</v>
      </c>
      <c r="I482" s="24"/>
      <c r="J482" s="25" t="str">
        <f t="shared" si="22"/>
        <v>1</v>
      </c>
      <c r="K482" s="385"/>
      <c r="L482" s="385"/>
      <c r="M482" s="386">
        <f t="shared" si="23"/>
        <v>1056.95</v>
      </c>
      <c r="N482" s="496">
        <v>140</v>
      </c>
      <c r="O482" s="333">
        <f t="shared" si="24"/>
        <v>1196.95</v>
      </c>
      <c r="R482" s="23" t="str">
        <f>VLOOKUP(C:C,'Historic Data - working'!A:B,1,FALSE)</f>
        <v>BRE057</v>
      </c>
      <c r="U482" s="323"/>
      <c r="V482" s="323"/>
      <c r="W482" s="323"/>
    </row>
    <row r="483" spans="1:23" s="23" customFormat="1" ht="14.25" hidden="1" x14ac:dyDescent="0.2">
      <c r="A483" s="381" t="s">
        <v>1776</v>
      </c>
      <c r="B483" s="381" t="s">
        <v>324</v>
      </c>
      <c r="C483" s="397" t="s">
        <v>2030</v>
      </c>
      <c r="D483" s="381" t="s">
        <v>2031</v>
      </c>
      <c r="E483" s="383" t="s">
        <v>2032</v>
      </c>
      <c r="F483" s="381" t="s">
        <v>2033</v>
      </c>
      <c r="G483" s="384" t="s">
        <v>329</v>
      </c>
      <c r="H483" s="24">
        <v>261.47000000000003</v>
      </c>
      <c r="I483" s="24"/>
      <c r="J483" s="25" t="str">
        <f t="shared" si="22"/>
        <v>1</v>
      </c>
      <c r="K483" s="385"/>
      <c r="L483" s="385"/>
      <c r="M483" s="386">
        <f t="shared" si="23"/>
        <v>261.47000000000003</v>
      </c>
      <c r="N483" s="496"/>
      <c r="O483" s="333">
        <f t="shared" si="24"/>
        <v>261.47000000000003</v>
      </c>
      <c r="R483" s="23" t="str">
        <f>VLOOKUP(C:C,'Historic Data - working'!A:B,1,FALSE)</f>
        <v>BRE058</v>
      </c>
      <c r="U483" s="323"/>
      <c r="V483" s="323"/>
      <c r="W483" s="323"/>
    </row>
    <row r="484" spans="1:23" s="23" customFormat="1" ht="28.5" hidden="1" x14ac:dyDescent="0.2">
      <c r="A484" s="381" t="s">
        <v>1776</v>
      </c>
      <c r="B484" s="381" t="s">
        <v>324</v>
      </c>
      <c r="C484" s="397" t="s">
        <v>2034</v>
      </c>
      <c r="D484" s="381" t="s">
        <v>2035</v>
      </c>
      <c r="E484" s="383" t="s">
        <v>2036</v>
      </c>
      <c r="F484" s="381" t="s">
        <v>1879</v>
      </c>
      <c r="G484" s="384" t="s">
        <v>329</v>
      </c>
      <c r="H484" s="24">
        <f>296.56+65.96</f>
        <v>362.52</v>
      </c>
      <c r="I484" s="24"/>
      <c r="J484" s="25" t="str">
        <f t="shared" si="22"/>
        <v>1</v>
      </c>
      <c r="K484" s="385"/>
      <c r="L484" s="385"/>
      <c r="M484" s="386">
        <f t="shared" si="23"/>
        <v>362.52</v>
      </c>
      <c r="N484" s="496">
        <v>40</v>
      </c>
      <c r="O484" s="333">
        <f t="shared" si="24"/>
        <v>402.52</v>
      </c>
      <c r="R484" s="23" t="str">
        <f>VLOOKUP(C:C,'Historic Data - working'!A:B,1,FALSE)</f>
        <v>BRE059</v>
      </c>
      <c r="U484" s="323"/>
      <c r="V484" s="323"/>
      <c r="W484" s="323"/>
    </row>
    <row r="485" spans="1:23" s="23" customFormat="1" ht="28.5" hidden="1" x14ac:dyDescent="0.2">
      <c r="A485" s="381" t="s">
        <v>1776</v>
      </c>
      <c r="B485" s="381" t="s">
        <v>324</v>
      </c>
      <c r="C485" s="397" t="s">
        <v>2037</v>
      </c>
      <c r="D485" s="381" t="s">
        <v>2038</v>
      </c>
      <c r="E485" s="383" t="s">
        <v>2039</v>
      </c>
      <c r="F485" s="381" t="s">
        <v>1879</v>
      </c>
      <c r="G485" s="384"/>
      <c r="H485" s="24"/>
      <c r="I485" s="24"/>
      <c r="J485" s="25" t="str">
        <f t="shared" si="22"/>
        <v xml:space="preserve"> </v>
      </c>
      <c r="K485" s="385"/>
      <c r="L485" s="385"/>
      <c r="M485" s="386">
        <f t="shared" si="23"/>
        <v>0</v>
      </c>
      <c r="N485" s="496"/>
      <c r="O485" s="333">
        <f t="shared" si="24"/>
        <v>0</v>
      </c>
      <c r="R485" s="23" t="e">
        <f>VLOOKUP(C:C,'Historic Data - working'!A:B,1,FALSE)</f>
        <v>#N/A</v>
      </c>
      <c r="U485" s="323"/>
      <c r="V485" s="323"/>
      <c r="W485" s="323"/>
    </row>
    <row r="486" spans="1:23" s="23" customFormat="1" ht="14.25" hidden="1" x14ac:dyDescent="0.2">
      <c r="A486" s="381" t="s">
        <v>1776</v>
      </c>
      <c r="B486" s="381" t="s">
        <v>351</v>
      </c>
      <c r="C486" s="397" t="s">
        <v>2040</v>
      </c>
      <c r="D486" s="381" t="s">
        <v>2041</v>
      </c>
      <c r="E486" s="383" t="s">
        <v>2042</v>
      </c>
      <c r="F486" s="381" t="s">
        <v>1802</v>
      </c>
      <c r="G486" s="384" t="s">
        <v>329</v>
      </c>
      <c r="H486" s="24">
        <v>1046.7</v>
      </c>
      <c r="I486" s="24"/>
      <c r="J486" s="25" t="str">
        <f t="shared" si="22"/>
        <v>1</v>
      </c>
      <c r="K486" s="385" t="s">
        <v>2043</v>
      </c>
      <c r="L486" s="385">
        <v>0.5</v>
      </c>
      <c r="M486" s="386">
        <f t="shared" si="23"/>
        <v>1047.2</v>
      </c>
      <c r="N486" s="496">
        <v>305</v>
      </c>
      <c r="O486" s="333">
        <f t="shared" si="24"/>
        <v>1352.2</v>
      </c>
      <c r="R486" s="23" t="str">
        <f>VLOOKUP(C:C,'Historic Data - working'!A:B,1,FALSE)</f>
        <v>BRE060</v>
      </c>
      <c r="U486" s="323"/>
      <c r="V486" s="323"/>
      <c r="W486" s="323"/>
    </row>
    <row r="487" spans="1:23" s="23" customFormat="1" ht="14.25" hidden="1" x14ac:dyDescent="0.2">
      <c r="A487" s="381" t="s">
        <v>1776</v>
      </c>
      <c r="B487" s="381" t="s">
        <v>324</v>
      </c>
      <c r="C487" s="397" t="s">
        <v>2044</v>
      </c>
      <c r="D487" s="381" t="s">
        <v>2045</v>
      </c>
      <c r="E487" s="383" t="s">
        <v>2046</v>
      </c>
      <c r="F487" s="381" t="s">
        <v>1929</v>
      </c>
      <c r="G487" s="384" t="s">
        <v>329</v>
      </c>
      <c r="H487" s="24">
        <f>51+48.1+64.4+24.88+41.94+74.75+54.58+16.15+31.95+39.5+33.44+58.26+87.55+17.95+29.7+151.85+26.77+38.43+72.75+81.5+16.3+39.35+71.4+19.6+54.9+54.45+34.85+16.33+31.23+122.1+65.04</f>
        <v>1570.9999999999995</v>
      </c>
      <c r="I487" s="24"/>
      <c r="J487" s="25" t="str">
        <f t="shared" si="22"/>
        <v>1</v>
      </c>
      <c r="K487" s="385" t="s">
        <v>2047</v>
      </c>
      <c r="L487" s="385">
        <v>35.35</v>
      </c>
      <c r="M487" s="386">
        <f t="shared" si="23"/>
        <v>1606.3499999999995</v>
      </c>
      <c r="N487" s="496">
        <v>2533.61</v>
      </c>
      <c r="O487" s="333">
        <f t="shared" si="24"/>
        <v>4139.9599999999991</v>
      </c>
      <c r="R487" s="23" t="str">
        <f>VLOOKUP(C:C,'Historic Data - working'!A:B,1,FALSE)</f>
        <v>BRE061</v>
      </c>
      <c r="U487" s="323"/>
      <c r="V487" s="323"/>
      <c r="W487" s="323"/>
    </row>
    <row r="488" spans="1:23" s="23" customFormat="1" ht="14.25" hidden="1" x14ac:dyDescent="0.2">
      <c r="A488" s="381" t="s">
        <v>1776</v>
      </c>
      <c r="B488" s="381" t="s">
        <v>324</v>
      </c>
      <c r="C488" s="397" t="s">
        <v>2048</v>
      </c>
      <c r="D488" s="381" t="s">
        <v>2049</v>
      </c>
      <c r="E488" s="383" t="s">
        <v>1115</v>
      </c>
      <c r="F488" s="381" t="s">
        <v>1879</v>
      </c>
      <c r="G488" s="384" t="s">
        <v>329</v>
      </c>
      <c r="H488" s="24">
        <v>1855.87</v>
      </c>
      <c r="I488" s="24"/>
      <c r="J488" s="25" t="str">
        <f t="shared" si="22"/>
        <v>1</v>
      </c>
      <c r="K488" s="385"/>
      <c r="L488" s="385"/>
      <c r="M488" s="386">
        <f t="shared" si="23"/>
        <v>1855.87</v>
      </c>
      <c r="N488" s="496">
        <v>3711.9700000000003</v>
      </c>
      <c r="O488" s="333">
        <f t="shared" si="24"/>
        <v>5567.84</v>
      </c>
      <c r="R488" s="23" t="str">
        <f>VLOOKUP(C:C,'Historic Data - working'!A:B,1,FALSE)</f>
        <v>BRE062</v>
      </c>
      <c r="U488" s="323"/>
      <c r="V488" s="323"/>
      <c r="W488" s="323"/>
    </row>
    <row r="489" spans="1:23" s="23" customFormat="1" ht="14.25" hidden="1" x14ac:dyDescent="0.2">
      <c r="A489" s="381" t="s">
        <v>1776</v>
      </c>
      <c r="B489" s="381" t="s">
        <v>324</v>
      </c>
      <c r="C489" s="397" t="s">
        <v>2050</v>
      </c>
      <c r="D489" s="381" t="s">
        <v>2051</v>
      </c>
      <c r="E489" s="383" t="s">
        <v>61</v>
      </c>
      <c r="F489" s="381" t="s">
        <v>1832</v>
      </c>
      <c r="G489" s="384"/>
      <c r="H489" s="24"/>
      <c r="I489" s="24"/>
      <c r="J489" s="25" t="str">
        <f t="shared" si="22"/>
        <v xml:space="preserve"> </v>
      </c>
      <c r="K489" s="385"/>
      <c r="L489" s="385"/>
      <c r="M489" s="386">
        <f t="shared" si="23"/>
        <v>0</v>
      </c>
      <c r="N489" s="496">
        <v>500</v>
      </c>
      <c r="O489" s="333">
        <f t="shared" si="24"/>
        <v>500</v>
      </c>
      <c r="R489" s="23" t="str">
        <f>VLOOKUP(C:C,'Historic Data - working'!A:B,1,FALSE)</f>
        <v>BRE063</v>
      </c>
      <c r="U489" s="323"/>
      <c r="V489" s="323"/>
      <c r="W489" s="323"/>
    </row>
    <row r="490" spans="1:23" s="23" customFormat="1" ht="28.5" hidden="1" x14ac:dyDescent="0.2">
      <c r="A490" s="381" t="s">
        <v>1776</v>
      </c>
      <c r="B490" s="381" t="s">
        <v>324</v>
      </c>
      <c r="C490" s="397" t="s">
        <v>2052</v>
      </c>
      <c r="D490" s="381" t="s">
        <v>2053</v>
      </c>
      <c r="E490" s="383" t="s">
        <v>2054</v>
      </c>
      <c r="F490" s="381" t="s">
        <v>2055</v>
      </c>
      <c r="G490" s="384" t="s">
        <v>329</v>
      </c>
      <c r="H490" s="24">
        <v>1130.3399999999999</v>
      </c>
      <c r="I490" s="24"/>
      <c r="J490" s="25" t="str">
        <f t="shared" si="22"/>
        <v>1</v>
      </c>
      <c r="K490" s="385" t="s">
        <v>337</v>
      </c>
      <c r="L490" s="385"/>
      <c r="M490" s="386">
        <f t="shared" si="23"/>
        <v>1130.3399999999999</v>
      </c>
      <c r="N490" s="496">
        <v>310</v>
      </c>
      <c r="O490" s="333">
        <f t="shared" si="24"/>
        <v>1440.34</v>
      </c>
      <c r="R490" s="23" t="str">
        <f>VLOOKUP(C:C,'Historic Data - working'!A:B,1,FALSE)</f>
        <v>BRE064</v>
      </c>
      <c r="U490" s="323"/>
      <c r="V490" s="323"/>
      <c r="W490" s="323"/>
    </row>
    <row r="491" spans="1:23" s="23" customFormat="1" ht="28.5" hidden="1" x14ac:dyDescent="0.2">
      <c r="A491" s="381" t="s">
        <v>1776</v>
      </c>
      <c r="B491" s="381" t="s">
        <v>324</v>
      </c>
      <c r="C491" s="397" t="s">
        <v>2056</v>
      </c>
      <c r="D491" s="381" t="s">
        <v>2057</v>
      </c>
      <c r="E491" s="383" t="s">
        <v>2058</v>
      </c>
      <c r="F491" s="381" t="s">
        <v>1828</v>
      </c>
      <c r="G491" s="384" t="s">
        <v>329</v>
      </c>
      <c r="H491" s="24"/>
      <c r="I491" s="24">
        <v>570.65</v>
      </c>
      <c r="J491" s="25" t="str">
        <f t="shared" si="22"/>
        <v>1</v>
      </c>
      <c r="K491" s="385"/>
      <c r="L491" s="385"/>
      <c r="M491" s="386">
        <f t="shared" si="23"/>
        <v>0</v>
      </c>
      <c r="N491" s="496">
        <v>864.45</v>
      </c>
      <c r="O491" s="333">
        <f t="shared" si="24"/>
        <v>864.45</v>
      </c>
      <c r="R491" s="23" t="str">
        <f>VLOOKUP(C:C,'Historic Data - working'!A:B,1,FALSE)</f>
        <v>BRE065</v>
      </c>
      <c r="U491" s="323"/>
      <c r="V491" s="323"/>
      <c r="W491" s="323"/>
    </row>
    <row r="492" spans="1:23" s="23" customFormat="1" ht="14.25" hidden="1" x14ac:dyDescent="0.2">
      <c r="A492" s="381" t="s">
        <v>1776</v>
      </c>
      <c r="B492" s="381" t="s">
        <v>324</v>
      </c>
      <c r="C492" s="397" t="s">
        <v>2059</v>
      </c>
      <c r="D492" s="381" t="s">
        <v>2060</v>
      </c>
      <c r="E492" s="383" t="s">
        <v>2061</v>
      </c>
      <c r="F492" s="381" t="s">
        <v>1832</v>
      </c>
      <c r="G492" s="384"/>
      <c r="H492" s="24"/>
      <c r="I492" s="24"/>
      <c r="J492" s="25" t="str">
        <f t="shared" ref="J492:J555" si="25">IF(G492="Y","1"," ")</f>
        <v xml:space="preserve"> </v>
      </c>
      <c r="K492" s="385"/>
      <c r="L492" s="385"/>
      <c r="M492" s="386">
        <f t="shared" si="23"/>
        <v>0</v>
      </c>
      <c r="N492" s="496">
        <v>383.28</v>
      </c>
      <c r="O492" s="333">
        <f t="shared" si="24"/>
        <v>383.28</v>
      </c>
      <c r="R492" s="23" t="str">
        <f>VLOOKUP(C:C,'Historic Data - working'!A:B,1,FALSE)</f>
        <v>BRE066</v>
      </c>
      <c r="U492" s="323"/>
      <c r="V492" s="323"/>
      <c r="W492" s="323"/>
    </row>
    <row r="493" spans="1:23" s="23" customFormat="1" ht="14.25" hidden="1" x14ac:dyDescent="0.2">
      <c r="A493" s="381" t="s">
        <v>1776</v>
      </c>
      <c r="B493" s="381" t="s">
        <v>324</v>
      </c>
      <c r="C493" s="397" t="s">
        <v>2062</v>
      </c>
      <c r="D493" s="381" t="s">
        <v>2063</v>
      </c>
      <c r="E493" s="383" t="s">
        <v>2064</v>
      </c>
      <c r="F493" s="381" t="s">
        <v>1797</v>
      </c>
      <c r="G493" s="384" t="s">
        <v>329</v>
      </c>
      <c r="H493" s="24">
        <f>31.02+100+130</f>
        <v>261.02</v>
      </c>
      <c r="I493" s="24"/>
      <c r="J493" s="25" t="str">
        <f t="shared" si="25"/>
        <v>1</v>
      </c>
      <c r="K493" s="385"/>
      <c r="L493" s="385"/>
      <c r="M493" s="386">
        <f t="shared" si="23"/>
        <v>261.02</v>
      </c>
      <c r="N493" s="496">
        <v>135</v>
      </c>
      <c r="O493" s="333">
        <f t="shared" si="24"/>
        <v>396.02</v>
      </c>
      <c r="R493" s="23" t="str">
        <f>VLOOKUP(C:C,'Historic Data - working'!A:B,1,FALSE)</f>
        <v>BRE068</v>
      </c>
      <c r="U493" s="323"/>
      <c r="V493" s="323"/>
      <c r="W493" s="323"/>
    </row>
    <row r="494" spans="1:23" s="23" customFormat="1" ht="28.5" hidden="1" x14ac:dyDescent="0.2">
      <c r="A494" s="381" t="s">
        <v>1776</v>
      </c>
      <c r="B494" s="381" t="s">
        <v>351</v>
      </c>
      <c r="C494" s="397" t="s">
        <v>2065</v>
      </c>
      <c r="D494" s="381" t="s">
        <v>2066</v>
      </c>
      <c r="E494" s="383" t="s">
        <v>2067</v>
      </c>
      <c r="F494" s="381" t="s">
        <v>2068</v>
      </c>
      <c r="G494" s="384" t="s">
        <v>329</v>
      </c>
      <c r="H494" s="24">
        <v>300</v>
      </c>
      <c r="I494" s="24"/>
      <c r="J494" s="25" t="str">
        <f t="shared" si="25"/>
        <v>1</v>
      </c>
      <c r="K494" s="385"/>
      <c r="L494" s="385"/>
      <c r="M494" s="386">
        <f t="shared" si="23"/>
        <v>300</v>
      </c>
      <c r="N494" s="496">
        <v>337</v>
      </c>
      <c r="O494" s="333">
        <f t="shared" si="24"/>
        <v>637</v>
      </c>
      <c r="R494" s="23" t="str">
        <f>VLOOKUP(C:C,'Historic Data - working'!A:B,1,FALSE)</f>
        <v>BRE069</v>
      </c>
      <c r="U494" s="323"/>
      <c r="V494" s="323"/>
      <c r="W494" s="323"/>
    </row>
    <row r="495" spans="1:23" s="23" customFormat="1" ht="28.5" hidden="1" x14ac:dyDescent="0.2">
      <c r="A495" s="381" t="s">
        <v>1776</v>
      </c>
      <c r="B495" s="381" t="s">
        <v>351</v>
      </c>
      <c r="C495" s="397" t="s">
        <v>2069</v>
      </c>
      <c r="D495" s="381" t="s">
        <v>2070</v>
      </c>
      <c r="E495" s="383" t="s">
        <v>2071</v>
      </c>
      <c r="F495" s="381" t="s">
        <v>2072</v>
      </c>
      <c r="G495" s="384" t="s">
        <v>329</v>
      </c>
      <c r="H495" s="24">
        <f>83.91+62.27</f>
        <v>146.18</v>
      </c>
      <c r="I495" s="24"/>
      <c r="J495" s="25" t="str">
        <f t="shared" si="25"/>
        <v>1</v>
      </c>
      <c r="K495" s="385"/>
      <c r="L495" s="385"/>
      <c r="M495" s="386">
        <f t="shared" si="23"/>
        <v>146.18</v>
      </c>
      <c r="N495" s="496"/>
      <c r="O495" s="333">
        <f t="shared" si="24"/>
        <v>146.18</v>
      </c>
      <c r="R495" s="23" t="str">
        <f>VLOOKUP(C:C,'Historic Data - working'!A:B,1,FALSE)</f>
        <v>BRE070</v>
      </c>
      <c r="U495" s="323"/>
      <c r="V495" s="323"/>
      <c r="W495" s="323"/>
    </row>
    <row r="496" spans="1:23" s="23" customFormat="1" ht="14.25" hidden="1" x14ac:dyDescent="0.2">
      <c r="A496" s="381" t="s">
        <v>1776</v>
      </c>
      <c r="B496" s="381" t="s">
        <v>324</v>
      </c>
      <c r="C496" s="397" t="s">
        <v>2073</v>
      </c>
      <c r="D496" s="381" t="s">
        <v>2074</v>
      </c>
      <c r="E496" s="383" t="s">
        <v>2075</v>
      </c>
      <c r="F496" s="381" t="s">
        <v>2076</v>
      </c>
      <c r="G496" s="384" t="s">
        <v>329</v>
      </c>
      <c r="H496" s="24">
        <f>320+145+90+60+53+30+23</f>
        <v>721</v>
      </c>
      <c r="I496" s="24"/>
      <c r="J496" s="25" t="str">
        <f t="shared" si="25"/>
        <v>1</v>
      </c>
      <c r="K496" s="385" t="s">
        <v>2077</v>
      </c>
      <c r="L496" s="385">
        <v>191</v>
      </c>
      <c r="M496" s="386">
        <f t="shared" si="23"/>
        <v>912</v>
      </c>
      <c r="N496" s="496">
        <v>40</v>
      </c>
      <c r="O496" s="333">
        <f t="shared" si="24"/>
        <v>952</v>
      </c>
      <c r="R496" s="23" t="str">
        <f>VLOOKUP(C:C,'Historic Data - working'!A:B,1,FALSE)</f>
        <v>BRE071</v>
      </c>
      <c r="U496" s="323"/>
      <c r="V496" s="323"/>
      <c r="W496" s="323"/>
    </row>
    <row r="497" spans="1:23" s="23" customFormat="1" ht="14.25" hidden="1" x14ac:dyDescent="0.2">
      <c r="A497" s="381" t="s">
        <v>1776</v>
      </c>
      <c r="B497" s="381" t="s">
        <v>324</v>
      </c>
      <c r="C497" s="397" t="s">
        <v>2078</v>
      </c>
      <c r="D497" s="381" t="s">
        <v>2079</v>
      </c>
      <c r="E497" s="383" t="s">
        <v>472</v>
      </c>
      <c r="F497" s="381" t="s">
        <v>2080</v>
      </c>
      <c r="G497" s="384" t="s">
        <v>329</v>
      </c>
      <c r="H497" s="24">
        <v>2329.9</v>
      </c>
      <c r="I497" s="24"/>
      <c r="J497" s="25" t="str">
        <f t="shared" si="25"/>
        <v>1</v>
      </c>
      <c r="K497" s="385" t="s">
        <v>2081</v>
      </c>
      <c r="L497" s="385">
        <v>7</v>
      </c>
      <c r="M497" s="386">
        <f t="shared" si="23"/>
        <v>2336.9</v>
      </c>
      <c r="N497" s="496">
        <v>311.05</v>
      </c>
      <c r="O497" s="333">
        <f t="shared" si="24"/>
        <v>2647.9500000000003</v>
      </c>
      <c r="R497" s="23" t="str">
        <f>VLOOKUP(C:C,'Historic Data - working'!A:B,1,FALSE)</f>
        <v>BRE072</v>
      </c>
      <c r="U497" s="323"/>
      <c r="V497" s="323"/>
      <c r="W497" s="323"/>
    </row>
    <row r="498" spans="1:23" s="23" customFormat="1" ht="14.25" hidden="1" x14ac:dyDescent="0.2">
      <c r="A498" s="381" t="s">
        <v>1776</v>
      </c>
      <c r="B498" s="381" t="s">
        <v>324</v>
      </c>
      <c r="C498" s="397" t="s">
        <v>2082</v>
      </c>
      <c r="D498" s="381" t="s">
        <v>2083</v>
      </c>
      <c r="E498" s="383" t="s">
        <v>2084</v>
      </c>
      <c r="F498" s="381" t="s">
        <v>2085</v>
      </c>
      <c r="G498" s="384"/>
      <c r="H498" s="24"/>
      <c r="I498" s="24"/>
      <c r="J498" s="25" t="str">
        <f t="shared" si="25"/>
        <v xml:space="preserve"> </v>
      </c>
      <c r="K498" s="385" t="s">
        <v>337</v>
      </c>
      <c r="L498" s="385">
        <v>523.45000000000005</v>
      </c>
      <c r="M498" s="386">
        <f t="shared" si="23"/>
        <v>523.45000000000005</v>
      </c>
      <c r="N498" s="496">
        <v>70</v>
      </c>
      <c r="O498" s="333">
        <f t="shared" si="24"/>
        <v>593.45000000000005</v>
      </c>
      <c r="R498" s="23" t="str">
        <f>VLOOKUP(C:C,'Historic Data - working'!A:B,1,FALSE)</f>
        <v>BRE073</v>
      </c>
      <c r="U498" s="323"/>
      <c r="V498" s="323"/>
      <c r="W498" s="323"/>
    </row>
    <row r="499" spans="1:23" s="23" customFormat="1" ht="14.25" hidden="1" x14ac:dyDescent="0.2">
      <c r="A499" s="381" t="s">
        <v>1776</v>
      </c>
      <c r="B499" s="381" t="s">
        <v>324</v>
      </c>
      <c r="C499" s="397" t="s">
        <v>2086</v>
      </c>
      <c r="D499" s="381" t="s">
        <v>2087</v>
      </c>
      <c r="E499" s="383" t="s">
        <v>2088</v>
      </c>
      <c r="F499" s="381" t="s">
        <v>2085</v>
      </c>
      <c r="G499" s="384"/>
      <c r="H499" s="24"/>
      <c r="I499" s="24"/>
      <c r="J499" s="25" t="str">
        <f t="shared" si="25"/>
        <v xml:space="preserve"> </v>
      </c>
      <c r="K499" s="385"/>
      <c r="L499" s="385"/>
      <c r="M499" s="386">
        <f t="shared" si="23"/>
        <v>0</v>
      </c>
      <c r="N499" s="496">
        <v>169.65</v>
      </c>
      <c r="O499" s="333">
        <f t="shared" si="24"/>
        <v>169.65</v>
      </c>
      <c r="R499" s="23" t="e">
        <f>VLOOKUP(C:C,'Historic Data - working'!A:B,1,FALSE)</f>
        <v>#N/A</v>
      </c>
      <c r="U499" s="323"/>
      <c r="V499" s="323"/>
      <c r="W499" s="323"/>
    </row>
    <row r="500" spans="1:23" s="23" customFormat="1" ht="14.25" hidden="1" x14ac:dyDescent="0.2">
      <c r="A500" s="381" t="s">
        <v>1776</v>
      </c>
      <c r="B500" s="381" t="s">
        <v>324</v>
      </c>
      <c r="C500" s="397" t="s">
        <v>2089</v>
      </c>
      <c r="D500" s="381" t="s">
        <v>2090</v>
      </c>
      <c r="E500" s="383" t="s">
        <v>751</v>
      </c>
      <c r="F500" s="381" t="s">
        <v>1844</v>
      </c>
      <c r="G500" s="384"/>
      <c r="H500" s="24"/>
      <c r="I500" s="24"/>
      <c r="J500" s="25" t="str">
        <f t="shared" si="25"/>
        <v xml:space="preserve"> </v>
      </c>
      <c r="K500" s="385"/>
      <c r="L500" s="385"/>
      <c r="M500" s="386">
        <f t="shared" si="23"/>
        <v>0</v>
      </c>
      <c r="N500" s="496">
        <v>692.69</v>
      </c>
      <c r="O500" s="333">
        <f t="shared" si="24"/>
        <v>692.69</v>
      </c>
      <c r="R500" s="23" t="str">
        <f>VLOOKUP(C:C,'Historic Data - working'!A:B,1,FALSE)</f>
        <v>BRE074</v>
      </c>
      <c r="U500" s="323"/>
      <c r="V500" s="323"/>
      <c r="W500" s="323"/>
    </row>
    <row r="501" spans="1:23" s="23" customFormat="1" ht="14.25" hidden="1" x14ac:dyDescent="0.2">
      <c r="A501" s="381" t="s">
        <v>1776</v>
      </c>
      <c r="B501" s="381" t="s">
        <v>324</v>
      </c>
      <c r="C501" s="397" t="s">
        <v>2091</v>
      </c>
      <c r="D501" s="381" t="s">
        <v>2092</v>
      </c>
      <c r="E501" s="383" t="s">
        <v>2093</v>
      </c>
      <c r="F501" s="381" t="s">
        <v>2094</v>
      </c>
      <c r="G501" s="384" t="s">
        <v>329</v>
      </c>
      <c r="H501" s="24">
        <f>56+108+46</f>
        <v>210</v>
      </c>
      <c r="I501" s="24"/>
      <c r="J501" s="25" t="str">
        <f t="shared" si="25"/>
        <v>1</v>
      </c>
      <c r="K501" s="385"/>
      <c r="L501" s="385"/>
      <c r="M501" s="386">
        <f t="shared" si="23"/>
        <v>210</v>
      </c>
      <c r="N501" s="496">
        <v>351.97</v>
      </c>
      <c r="O501" s="333">
        <f t="shared" si="24"/>
        <v>561.97</v>
      </c>
      <c r="R501" s="23" t="str">
        <f>VLOOKUP(C:C,'Historic Data - working'!A:B,1,FALSE)</f>
        <v>BRE075</v>
      </c>
      <c r="U501" s="323"/>
      <c r="V501" s="323"/>
      <c r="W501" s="323"/>
    </row>
    <row r="502" spans="1:23" s="23" customFormat="1" ht="14.25" hidden="1" x14ac:dyDescent="0.2">
      <c r="A502" s="381" t="s">
        <v>1776</v>
      </c>
      <c r="B502" s="381" t="s">
        <v>324</v>
      </c>
      <c r="C502" s="397" t="s">
        <v>2095</v>
      </c>
      <c r="D502" s="381" t="s">
        <v>2096</v>
      </c>
      <c r="E502" s="383" t="s">
        <v>2097</v>
      </c>
      <c r="F502" s="381" t="s">
        <v>2072</v>
      </c>
      <c r="G502" s="384"/>
      <c r="H502" s="24"/>
      <c r="I502" s="24"/>
      <c r="J502" s="25" t="str">
        <f t="shared" si="25"/>
        <v xml:space="preserve"> </v>
      </c>
      <c r="K502" s="385" t="s">
        <v>337</v>
      </c>
      <c r="L502" s="385">
        <v>3097.86</v>
      </c>
      <c r="M502" s="386">
        <f t="shared" si="23"/>
        <v>3097.86</v>
      </c>
      <c r="N502" s="496">
        <v>278</v>
      </c>
      <c r="O502" s="333">
        <f t="shared" si="24"/>
        <v>3375.86</v>
      </c>
      <c r="R502" s="23" t="str">
        <f>VLOOKUP(C:C,'Historic Data - working'!A:B,1,FALSE)</f>
        <v>BRE076</v>
      </c>
      <c r="U502" s="323"/>
      <c r="V502" s="323"/>
      <c r="W502" s="323"/>
    </row>
    <row r="503" spans="1:23" s="23" customFormat="1" ht="14.25" hidden="1" x14ac:dyDescent="0.2">
      <c r="A503" s="381" t="s">
        <v>1776</v>
      </c>
      <c r="B503" s="381" t="s">
        <v>324</v>
      </c>
      <c r="C503" s="397" t="s">
        <v>2098</v>
      </c>
      <c r="D503" s="381" t="s">
        <v>2099</v>
      </c>
      <c r="E503" s="383" t="s">
        <v>2100</v>
      </c>
      <c r="F503" s="381" t="s">
        <v>2101</v>
      </c>
      <c r="G503" s="384"/>
      <c r="H503" s="24"/>
      <c r="I503" s="24"/>
      <c r="J503" s="25" t="str">
        <f t="shared" si="25"/>
        <v xml:space="preserve"> </v>
      </c>
      <c r="K503" s="385"/>
      <c r="L503" s="385"/>
      <c r="M503" s="386">
        <f t="shared" si="23"/>
        <v>0</v>
      </c>
      <c r="N503" s="496"/>
      <c r="O503" s="333">
        <f t="shared" si="24"/>
        <v>0</v>
      </c>
      <c r="R503" s="23" t="e">
        <f>VLOOKUP(C:C,'Historic Data - working'!A:B,1,FALSE)</f>
        <v>#N/A</v>
      </c>
      <c r="U503" s="323"/>
      <c r="V503" s="323"/>
      <c r="W503" s="323"/>
    </row>
    <row r="504" spans="1:23" s="23" customFormat="1" ht="28.5" hidden="1" x14ac:dyDescent="0.2">
      <c r="A504" s="381" t="s">
        <v>1776</v>
      </c>
      <c r="B504" s="381" t="s">
        <v>351</v>
      </c>
      <c r="C504" s="397" t="s">
        <v>2102</v>
      </c>
      <c r="D504" s="381" t="s">
        <v>2103</v>
      </c>
      <c r="E504" s="383" t="s">
        <v>2104</v>
      </c>
      <c r="F504" s="381" t="s">
        <v>2072</v>
      </c>
      <c r="G504" s="384"/>
      <c r="H504" s="24"/>
      <c r="I504" s="24"/>
      <c r="J504" s="25" t="str">
        <f t="shared" si="25"/>
        <v xml:space="preserve"> </v>
      </c>
      <c r="K504" s="385" t="s">
        <v>337</v>
      </c>
      <c r="L504" s="385">
        <v>118.95</v>
      </c>
      <c r="M504" s="386">
        <f t="shared" si="23"/>
        <v>118.95</v>
      </c>
      <c r="N504" s="496">
        <v>145</v>
      </c>
      <c r="O504" s="333">
        <f t="shared" si="24"/>
        <v>263.95</v>
      </c>
      <c r="R504" s="23" t="str">
        <f>VLOOKUP(C:C,'Historic Data - working'!A:B,1,FALSE)</f>
        <v>BRE078</v>
      </c>
      <c r="U504" s="323"/>
      <c r="V504" s="323"/>
      <c r="W504" s="323"/>
    </row>
    <row r="505" spans="1:23" s="23" customFormat="1" ht="14.25" hidden="1" x14ac:dyDescent="0.2">
      <c r="A505" s="381" t="s">
        <v>1776</v>
      </c>
      <c r="B505" s="381" t="s">
        <v>324</v>
      </c>
      <c r="C505" s="397" t="s">
        <v>2105</v>
      </c>
      <c r="D505" s="381" t="s">
        <v>2106</v>
      </c>
      <c r="E505" s="383" t="s">
        <v>2107</v>
      </c>
      <c r="F505" s="381" t="s">
        <v>1832</v>
      </c>
      <c r="G505" s="384"/>
      <c r="H505" s="24"/>
      <c r="I505" s="24"/>
      <c r="J505" s="25" t="str">
        <f t="shared" si="25"/>
        <v xml:space="preserve"> </v>
      </c>
      <c r="K505" s="385" t="s">
        <v>337</v>
      </c>
      <c r="L505" s="385">
        <v>98.3</v>
      </c>
      <c r="M505" s="386">
        <f t="shared" si="23"/>
        <v>98.3</v>
      </c>
      <c r="N505" s="496">
        <v>100</v>
      </c>
      <c r="O505" s="333">
        <f t="shared" si="24"/>
        <v>198.3</v>
      </c>
      <c r="R505" s="23" t="str">
        <f>VLOOKUP(C:C,'Historic Data - working'!A:B,1,FALSE)</f>
        <v>BRE079</v>
      </c>
      <c r="U505" s="323"/>
      <c r="V505" s="323"/>
      <c r="W505" s="323"/>
    </row>
    <row r="506" spans="1:23" s="23" customFormat="1" ht="14.25" hidden="1" x14ac:dyDescent="0.2">
      <c r="A506" s="381" t="s">
        <v>1776</v>
      </c>
      <c r="B506" s="381" t="s">
        <v>324</v>
      </c>
      <c r="C506" s="397" t="s">
        <v>2108</v>
      </c>
      <c r="D506" s="381" t="s">
        <v>2109</v>
      </c>
      <c r="E506" s="383" t="s">
        <v>173</v>
      </c>
      <c r="F506" s="381" t="s">
        <v>2110</v>
      </c>
      <c r="G506" s="384"/>
      <c r="H506" s="24"/>
      <c r="I506" s="24"/>
      <c r="J506" s="25" t="str">
        <f t="shared" si="25"/>
        <v xml:space="preserve"> </v>
      </c>
      <c r="K506" s="385" t="s">
        <v>337</v>
      </c>
      <c r="L506" s="385">
        <v>70.98</v>
      </c>
      <c r="M506" s="386">
        <f t="shared" si="23"/>
        <v>70.98</v>
      </c>
      <c r="N506" s="496">
        <v>145</v>
      </c>
      <c r="O506" s="333">
        <f t="shared" si="24"/>
        <v>215.98000000000002</v>
      </c>
      <c r="R506" s="23" t="str">
        <f>VLOOKUP(C:C,'Historic Data - working'!A:B,1,FALSE)</f>
        <v>BRE080</v>
      </c>
      <c r="U506" s="323"/>
      <c r="V506" s="323"/>
      <c r="W506" s="323"/>
    </row>
    <row r="507" spans="1:23" s="23" customFormat="1" ht="14.25" hidden="1" x14ac:dyDescent="0.2">
      <c r="A507" s="381" t="s">
        <v>1776</v>
      </c>
      <c r="B507" s="381" t="s">
        <v>324</v>
      </c>
      <c r="C507" s="397" t="s">
        <v>2111</v>
      </c>
      <c r="D507" s="381" t="s">
        <v>2112</v>
      </c>
      <c r="E507" s="383" t="s">
        <v>731</v>
      </c>
      <c r="F507" s="381" t="s">
        <v>2113</v>
      </c>
      <c r="G507" s="384" t="s">
        <v>329</v>
      </c>
      <c r="H507" s="24">
        <f>377.24+35.84</f>
        <v>413.08000000000004</v>
      </c>
      <c r="I507" s="24"/>
      <c r="J507" s="25" t="str">
        <f t="shared" si="25"/>
        <v>1</v>
      </c>
      <c r="K507" s="385"/>
      <c r="L507" s="385"/>
      <c r="M507" s="386">
        <f t="shared" si="23"/>
        <v>413.08000000000004</v>
      </c>
      <c r="N507" s="496">
        <v>175</v>
      </c>
      <c r="O507" s="333">
        <f t="shared" si="24"/>
        <v>588.08000000000004</v>
      </c>
      <c r="R507" s="23" t="str">
        <f>VLOOKUP(C:C,'Historic Data - working'!A:B,1,FALSE)</f>
        <v>BRE081</v>
      </c>
      <c r="U507" s="323"/>
      <c r="V507" s="323"/>
      <c r="W507" s="323"/>
    </row>
    <row r="508" spans="1:23" s="23" customFormat="1" ht="14.25" hidden="1" x14ac:dyDescent="0.2">
      <c r="A508" s="381" t="s">
        <v>1776</v>
      </c>
      <c r="B508" s="381" t="s">
        <v>324</v>
      </c>
      <c r="C508" s="397" t="s">
        <v>2114</v>
      </c>
      <c r="D508" s="381" t="s">
        <v>2115</v>
      </c>
      <c r="E508" s="383" t="s">
        <v>173</v>
      </c>
      <c r="F508" s="381" t="s">
        <v>2033</v>
      </c>
      <c r="G508" s="384"/>
      <c r="H508" s="24"/>
      <c r="I508" s="24"/>
      <c r="J508" s="25" t="str">
        <f t="shared" si="25"/>
        <v xml:space="preserve"> </v>
      </c>
      <c r="K508" s="385" t="s">
        <v>337</v>
      </c>
      <c r="L508" s="385">
        <v>158.21</v>
      </c>
      <c r="M508" s="386">
        <f t="shared" si="23"/>
        <v>158.21</v>
      </c>
      <c r="N508" s="496"/>
      <c r="O508" s="333">
        <f t="shared" si="24"/>
        <v>158.21</v>
      </c>
      <c r="R508" s="23" t="str">
        <f>VLOOKUP(C:C,'Historic Data - working'!A:B,1,FALSE)</f>
        <v>BRE082</v>
      </c>
      <c r="U508" s="323"/>
      <c r="V508" s="323"/>
      <c r="W508" s="323"/>
    </row>
    <row r="509" spans="1:23" s="23" customFormat="1" ht="14.25" hidden="1" x14ac:dyDescent="0.2">
      <c r="A509" s="381" t="s">
        <v>1776</v>
      </c>
      <c r="B509" s="381" t="s">
        <v>324</v>
      </c>
      <c r="C509" s="397" t="s">
        <v>2116</v>
      </c>
      <c r="D509" s="381" t="s">
        <v>2117</v>
      </c>
      <c r="E509" s="383" t="s">
        <v>1980</v>
      </c>
      <c r="F509" s="381" t="s">
        <v>1832</v>
      </c>
      <c r="G509" s="384"/>
      <c r="H509" s="24"/>
      <c r="I509" s="24"/>
      <c r="J509" s="25" t="str">
        <f t="shared" si="25"/>
        <v xml:space="preserve"> </v>
      </c>
      <c r="K509" s="385"/>
      <c r="L509" s="385"/>
      <c r="M509" s="386">
        <f t="shared" si="23"/>
        <v>0</v>
      </c>
      <c r="N509" s="496">
        <v>60</v>
      </c>
      <c r="O509" s="333">
        <f t="shared" si="24"/>
        <v>60</v>
      </c>
      <c r="R509" s="23" t="str">
        <f>VLOOKUP(C:C,'Historic Data - working'!A:B,1,FALSE)</f>
        <v>BRE083</v>
      </c>
      <c r="U509" s="323"/>
      <c r="V509" s="323"/>
      <c r="W509" s="323"/>
    </row>
    <row r="510" spans="1:23" s="23" customFormat="1" ht="14.25" hidden="1" x14ac:dyDescent="0.2">
      <c r="A510" s="381" t="s">
        <v>1776</v>
      </c>
      <c r="B510" s="381" t="s">
        <v>324</v>
      </c>
      <c r="C510" s="397" t="s">
        <v>2118</v>
      </c>
      <c r="D510" s="381" t="s">
        <v>2119</v>
      </c>
      <c r="E510" s="383" t="s">
        <v>2120</v>
      </c>
      <c r="F510" s="381" t="s">
        <v>2121</v>
      </c>
      <c r="G510" s="384" t="s">
        <v>329</v>
      </c>
      <c r="H510" s="24">
        <f>400+340</f>
        <v>740</v>
      </c>
      <c r="I510" s="24"/>
      <c r="J510" s="25" t="str">
        <f t="shared" si="25"/>
        <v>1</v>
      </c>
      <c r="K510" s="385"/>
      <c r="L510" s="385"/>
      <c r="M510" s="386">
        <f t="shared" si="23"/>
        <v>740</v>
      </c>
      <c r="N510" s="496">
        <v>45</v>
      </c>
      <c r="O510" s="333">
        <f t="shared" si="24"/>
        <v>785</v>
      </c>
      <c r="R510" s="23" t="str">
        <f>VLOOKUP(C:C,'Historic Data - working'!A:B,1,FALSE)</f>
        <v>BRE084</v>
      </c>
      <c r="U510" s="323"/>
      <c r="V510" s="323"/>
      <c r="W510" s="323"/>
    </row>
    <row r="511" spans="1:23" s="23" customFormat="1" ht="14.25" hidden="1" x14ac:dyDescent="0.2">
      <c r="A511" s="381" t="s">
        <v>1776</v>
      </c>
      <c r="B511" s="381" t="s">
        <v>324</v>
      </c>
      <c r="C511" s="397" t="s">
        <v>2122</v>
      </c>
      <c r="D511" s="381" t="s">
        <v>2123</v>
      </c>
      <c r="E511" s="383" t="s">
        <v>61</v>
      </c>
      <c r="F511" s="381" t="s">
        <v>2124</v>
      </c>
      <c r="G511" s="384"/>
      <c r="H511" s="24"/>
      <c r="I511" s="24"/>
      <c r="J511" s="25" t="str">
        <f t="shared" si="25"/>
        <v xml:space="preserve"> </v>
      </c>
      <c r="K511" s="385"/>
      <c r="L511" s="385"/>
      <c r="M511" s="386">
        <f t="shared" si="23"/>
        <v>0</v>
      </c>
      <c r="N511" s="496">
        <v>415.88</v>
      </c>
      <c r="O511" s="333">
        <f t="shared" si="24"/>
        <v>415.88</v>
      </c>
      <c r="R511" s="23" t="str">
        <f>VLOOKUP(C:C,'Historic Data - working'!A:B,1,FALSE)</f>
        <v>BRE085</v>
      </c>
      <c r="U511" s="323"/>
      <c r="V511" s="323"/>
      <c r="W511" s="323"/>
    </row>
    <row r="512" spans="1:23" s="23" customFormat="1" ht="14.25" hidden="1" x14ac:dyDescent="0.2">
      <c r="A512" s="381" t="s">
        <v>1776</v>
      </c>
      <c r="B512" s="381" t="s">
        <v>324</v>
      </c>
      <c r="C512" s="397" t="s">
        <v>2125</v>
      </c>
      <c r="D512" s="381" t="s">
        <v>2126</v>
      </c>
      <c r="E512" s="383" t="s">
        <v>2127</v>
      </c>
      <c r="F512" s="381" t="s">
        <v>2124</v>
      </c>
      <c r="G512" s="384"/>
      <c r="H512" s="24"/>
      <c r="I512" s="24"/>
      <c r="J512" s="25" t="str">
        <f t="shared" si="25"/>
        <v xml:space="preserve"> </v>
      </c>
      <c r="K512" s="385"/>
      <c r="L512" s="385"/>
      <c r="M512" s="386">
        <f t="shared" si="23"/>
        <v>0</v>
      </c>
      <c r="N512" s="496"/>
      <c r="O512" s="333">
        <f t="shared" si="24"/>
        <v>0</v>
      </c>
      <c r="R512" s="23" t="e">
        <f>VLOOKUP(C:C,'Historic Data - working'!A:B,1,FALSE)</f>
        <v>#N/A</v>
      </c>
      <c r="U512" s="323"/>
      <c r="V512" s="323"/>
      <c r="W512" s="323"/>
    </row>
    <row r="513" spans="1:23" s="23" customFormat="1" ht="14.25" hidden="1" x14ac:dyDescent="0.2">
      <c r="A513" s="381" t="s">
        <v>1776</v>
      </c>
      <c r="B513" s="381" t="s">
        <v>324</v>
      </c>
      <c r="C513" s="397" t="s">
        <v>2128</v>
      </c>
      <c r="D513" s="381" t="s">
        <v>2129</v>
      </c>
      <c r="E513" s="383" t="s">
        <v>2093</v>
      </c>
      <c r="F513" s="381" t="s">
        <v>1832</v>
      </c>
      <c r="G513" s="384"/>
      <c r="H513" s="24"/>
      <c r="I513" s="24"/>
      <c r="J513" s="25" t="str">
        <f t="shared" si="25"/>
        <v xml:space="preserve"> </v>
      </c>
      <c r="K513" s="385"/>
      <c r="L513" s="385"/>
      <c r="M513" s="386">
        <f t="shared" si="23"/>
        <v>0</v>
      </c>
      <c r="N513" s="496">
        <v>167.59</v>
      </c>
      <c r="O513" s="333">
        <f t="shared" si="24"/>
        <v>167.59</v>
      </c>
      <c r="R513" s="23" t="str">
        <f>VLOOKUP(C:C,'Historic Data - working'!A:B,1,FALSE)</f>
        <v>BRE086</v>
      </c>
      <c r="U513" s="323"/>
      <c r="V513" s="323"/>
      <c r="W513" s="323"/>
    </row>
    <row r="514" spans="1:23" s="23" customFormat="1" ht="14.25" hidden="1" x14ac:dyDescent="0.2">
      <c r="A514" s="381" t="s">
        <v>1776</v>
      </c>
      <c r="B514" s="381" t="s">
        <v>324</v>
      </c>
      <c r="C514" s="397" t="s">
        <v>2130</v>
      </c>
      <c r="D514" s="381" t="s">
        <v>2131</v>
      </c>
      <c r="E514" s="383" t="s">
        <v>2132</v>
      </c>
      <c r="F514" s="381" t="s">
        <v>2133</v>
      </c>
      <c r="G514" s="384"/>
      <c r="H514" s="24"/>
      <c r="I514" s="24"/>
      <c r="J514" s="25" t="str">
        <f t="shared" si="25"/>
        <v xml:space="preserve"> </v>
      </c>
      <c r="K514" s="385"/>
      <c r="L514" s="385"/>
      <c r="M514" s="386">
        <f t="shared" ref="M514:M577" si="26">H514+L514</f>
        <v>0</v>
      </c>
      <c r="N514" s="496">
        <v>166</v>
      </c>
      <c r="O514" s="333">
        <f t="shared" ref="O514:O577" si="27">M514+N514</f>
        <v>166</v>
      </c>
      <c r="R514" s="23" t="str">
        <f>VLOOKUP(C:C,'Historic Data - working'!A:B,1,FALSE)</f>
        <v>BRE087</v>
      </c>
      <c r="U514" s="323"/>
      <c r="V514" s="323"/>
      <c r="W514" s="323"/>
    </row>
    <row r="515" spans="1:23" s="23" customFormat="1" ht="14.25" hidden="1" x14ac:dyDescent="0.2">
      <c r="A515" s="381" t="s">
        <v>1776</v>
      </c>
      <c r="B515" s="381" t="s">
        <v>324</v>
      </c>
      <c r="C515" s="397" t="s">
        <v>2134</v>
      </c>
      <c r="D515" s="381" t="s">
        <v>2135</v>
      </c>
      <c r="E515" s="383" t="s">
        <v>2136</v>
      </c>
      <c r="F515" s="381" t="s">
        <v>2133</v>
      </c>
      <c r="G515" s="384"/>
      <c r="H515" s="24"/>
      <c r="I515" s="24"/>
      <c r="J515" s="25" t="str">
        <f t="shared" si="25"/>
        <v xml:space="preserve"> </v>
      </c>
      <c r="K515" s="385"/>
      <c r="L515" s="385"/>
      <c r="M515" s="386">
        <f t="shared" si="26"/>
        <v>0</v>
      </c>
      <c r="N515" s="496"/>
      <c r="O515" s="333">
        <f t="shared" si="27"/>
        <v>0</v>
      </c>
      <c r="R515" s="23" t="e">
        <f>VLOOKUP(C:C,'Historic Data - working'!A:B,1,FALSE)</f>
        <v>#N/A</v>
      </c>
      <c r="U515" s="323"/>
      <c r="V515" s="323"/>
      <c r="W515" s="323"/>
    </row>
    <row r="516" spans="1:23" s="23" customFormat="1" ht="14.25" hidden="1" x14ac:dyDescent="0.2">
      <c r="A516" s="381" t="s">
        <v>1776</v>
      </c>
      <c r="B516" s="381" t="s">
        <v>324</v>
      </c>
      <c r="C516" s="397" t="s">
        <v>2137</v>
      </c>
      <c r="D516" s="381" t="s">
        <v>2138</v>
      </c>
      <c r="E516" s="383" t="s">
        <v>2139</v>
      </c>
      <c r="F516" s="381" t="s">
        <v>1832</v>
      </c>
      <c r="G516" s="384"/>
      <c r="H516" s="24"/>
      <c r="I516" s="24"/>
      <c r="J516" s="25" t="str">
        <f t="shared" si="25"/>
        <v xml:space="preserve"> </v>
      </c>
      <c r="K516" s="385" t="s">
        <v>337</v>
      </c>
      <c r="L516" s="385">
        <v>75</v>
      </c>
      <c r="M516" s="386">
        <f t="shared" si="26"/>
        <v>75</v>
      </c>
      <c r="N516" s="496">
        <v>407.68</v>
      </c>
      <c r="O516" s="333">
        <f t="shared" si="27"/>
        <v>482.68</v>
      </c>
      <c r="R516" s="23" t="str">
        <f>VLOOKUP(C:C,'Historic Data - working'!A:B,1,FALSE)</f>
        <v>BRE088</v>
      </c>
      <c r="U516" s="323"/>
      <c r="V516" s="323"/>
      <c r="W516" s="323"/>
    </row>
    <row r="517" spans="1:23" s="23" customFormat="1" ht="14.25" hidden="1" x14ac:dyDescent="0.2">
      <c r="A517" s="381" t="s">
        <v>1776</v>
      </c>
      <c r="B517" s="381" t="s">
        <v>324</v>
      </c>
      <c r="C517" s="397" t="s">
        <v>2140</v>
      </c>
      <c r="D517" s="381" t="s">
        <v>2141</v>
      </c>
      <c r="E517" s="383" t="s">
        <v>2142</v>
      </c>
      <c r="F517" s="381" t="s">
        <v>1832</v>
      </c>
      <c r="G517" s="384" t="s">
        <v>329</v>
      </c>
      <c r="H517" s="24">
        <f>160.36+287.29+206.04+19.4</f>
        <v>673.09</v>
      </c>
      <c r="I517" s="24"/>
      <c r="J517" s="25" t="str">
        <f t="shared" si="25"/>
        <v>1</v>
      </c>
      <c r="K517" s="385"/>
      <c r="L517" s="385"/>
      <c r="M517" s="386">
        <f t="shared" si="26"/>
        <v>673.09</v>
      </c>
      <c r="N517" s="496">
        <v>350</v>
      </c>
      <c r="O517" s="333">
        <f t="shared" si="27"/>
        <v>1023.09</v>
      </c>
      <c r="R517" s="23" t="str">
        <f>VLOOKUP(C:C,'Historic Data - working'!A:B,1,FALSE)</f>
        <v>BRE089</v>
      </c>
      <c r="U517" s="323"/>
      <c r="V517" s="323"/>
      <c r="W517" s="323"/>
    </row>
    <row r="518" spans="1:23" s="23" customFormat="1" ht="14.25" hidden="1" x14ac:dyDescent="0.2">
      <c r="A518" s="381" t="s">
        <v>1776</v>
      </c>
      <c r="B518" s="381" t="s">
        <v>324</v>
      </c>
      <c r="C518" s="397" t="s">
        <v>2143</v>
      </c>
      <c r="D518" s="381" t="s">
        <v>2144</v>
      </c>
      <c r="E518" s="383" t="s">
        <v>214</v>
      </c>
      <c r="F518" s="381" t="s">
        <v>1832</v>
      </c>
      <c r="G518" s="384" t="s">
        <v>329</v>
      </c>
      <c r="H518" s="24">
        <f>45+18.92+23.5+40.5+40.4+286+97.3+35.53</f>
        <v>587.15</v>
      </c>
      <c r="I518" s="24"/>
      <c r="J518" s="25" t="str">
        <f t="shared" si="25"/>
        <v>1</v>
      </c>
      <c r="K518" s="385"/>
      <c r="L518" s="385"/>
      <c r="M518" s="386">
        <f t="shared" si="26"/>
        <v>587.15</v>
      </c>
      <c r="N518" s="496">
        <v>648.83999999999992</v>
      </c>
      <c r="O518" s="333">
        <f t="shared" si="27"/>
        <v>1235.9899999999998</v>
      </c>
      <c r="R518" s="23" t="str">
        <f>VLOOKUP(C:C,'Historic Data - working'!A:B,1,FALSE)</f>
        <v>BRE090</v>
      </c>
      <c r="U518" s="323"/>
      <c r="V518" s="323"/>
      <c r="W518" s="323"/>
    </row>
    <row r="519" spans="1:23" s="23" customFormat="1" ht="14.25" hidden="1" x14ac:dyDescent="0.2">
      <c r="A519" s="381" t="s">
        <v>1776</v>
      </c>
      <c r="B519" s="381" t="s">
        <v>324</v>
      </c>
      <c r="C519" s="397" t="s">
        <v>2145</v>
      </c>
      <c r="D519" s="381" t="s">
        <v>2146</v>
      </c>
      <c r="E519" s="383" t="s">
        <v>2147</v>
      </c>
      <c r="F519" s="381" t="s">
        <v>1832</v>
      </c>
      <c r="G519" s="384"/>
      <c r="H519" s="24"/>
      <c r="I519" s="24"/>
      <c r="J519" s="25" t="str">
        <f t="shared" si="25"/>
        <v xml:space="preserve"> </v>
      </c>
      <c r="K519" s="385"/>
      <c r="L519" s="385"/>
      <c r="M519" s="386">
        <f t="shared" si="26"/>
        <v>0</v>
      </c>
      <c r="N519" s="496">
        <v>1184.5999999999999</v>
      </c>
      <c r="O519" s="333">
        <f t="shared" si="27"/>
        <v>1184.5999999999999</v>
      </c>
      <c r="R519" s="23" t="str">
        <f>VLOOKUP(C:C,'Historic Data - working'!A:B,1,FALSE)</f>
        <v>BRE091</v>
      </c>
      <c r="U519" s="323"/>
      <c r="V519" s="323"/>
      <c r="W519" s="323"/>
    </row>
    <row r="520" spans="1:23" s="23" customFormat="1" ht="28.5" hidden="1" x14ac:dyDescent="0.2">
      <c r="A520" s="381" t="s">
        <v>1776</v>
      </c>
      <c r="B520" s="381" t="s">
        <v>324</v>
      </c>
      <c r="C520" s="397" t="s">
        <v>2148</v>
      </c>
      <c r="D520" s="381" t="s">
        <v>2149</v>
      </c>
      <c r="E520" s="383" t="s">
        <v>2150</v>
      </c>
      <c r="F520" s="381" t="s">
        <v>1780</v>
      </c>
      <c r="G520" s="384"/>
      <c r="H520" s="24"/>
      <c r="I520" s="24"/>
      <c r="J520" s="25" t="str">
        <f t="shared" si="25"/>
        <v xml:space="preserve"> </v>
      </c>
      <c r="K520" s="385"/>
      <c r="L520" s="385"/>
      <c r="M520" s="386">
        <f t="shared" si="26"/>
        <v>0</v>
      </c>
      <c r="N520" s="496"/>
      <c r="O520" s="333">
        <f t="shared" si="27"/>
        <v>0</v>
      </c>
      <c r="R520" s="23" t="str">
        <f>VLOOKUP(C:C,'Historic Data - working'!A:B,1,FALSE)</f>
        <v>BRE092</v>
      </c>
      <c r="U520" s="323"/>
      <c r="V520" s="323"/>
      <c r="W520" s="323"/>
    </row>
    <row r="521" spans="1:23" s="23" customFormat="1" ht="14.25" hidden="1" x14ac:dyDescent="0.2">
      <c r="A521" s="381" t="s">
        <v>1776</v>
      </c>
      <c r="B521" s="381" t="s">
        <v>324</v>
      </c>
      <c r="C521" s="397" t="s">
        <v>2151</v>
      </c>
      <c r="D521" s="381" t="s">
        <v>2152</v>
      </c>
      <c r="E521" s="383" t="s">
        <v>2153</v>
      </c>
      <c r="F521" s="381" t="s">
        <v>2154</v>
      </c>
      <c r="G521" s="384"/>
      <c r="H521" s="24"/>
      <c r="I521" s="24"/>
      <c r="J521" s="25" t="str">
        <f t="shared" si="25"/>
        <v xml:space="preserve"> </v>
      </c>
      <c r="K521" s="385" t="s">
        <v>337</v>
      </c>
      <c r="L521" s="385">
        <v>140.61000000000001</v>
      </c>
      <c r="M521" s="386">
        <f t="shared" si="26"/>
        <v>140.61000000000001</v>
      </c>
      <c r="N521" s="496">
        <v>60</v>
      </c>
      <c r="O521" s="333">
        <f t="shared" si="27"/>
        <v>200.61</v>
      </c>
      <c r="R521" s="23" t="str">
        <f>VLOOKUP(C:C,'Historic Data - working'!A:B,1,FALSE)</f>
        <v>BRE093</v>
      </c>
      <c r="U521" s="323"/>
      <c r="V521" s="323"/>
      <c r="W521" s="323"/>
    </row>
    <row r="522" spans="1:23" s="23" customFormat="1" ht="14.25" hidden="1" x14ac:dyDescent="0.2">
      <c r="A522" s="381" t="s">
        <v>1776</v>
      </c>
      <c r="B522" s="381" t="s">
        <v>324</v>
      </c>
      <c r="C522" s="397" t="s">
        <v>2155</v>
      </c>
      <c r="D522" s="381" t="s">
        <v>2156</v>
      </c>
      <c r="E522" s="383" t="s">
        <v>2157</v>
      </c>
      <c r="F522" s="381" t="s">
        <v>2158</v>
      </c>
      <c r="G522" s="384"/>
      <c r="H522" s="24"/>
      <c r="I522" s="24"/>
      <c r="J522" s="25" t="str">
        <f t="shared" si="25"/>
        <v xml:space="preserve"> </v>
      </c>
      <c r="K522" s="385" t="s">
        <v>337</v>
      </c>
      <c r="L522" s="385">
        <v>738.41</v>
      </c>
      <c r="M522" s="386">
        <f t="shared" si="26"/>
        <v>738.41</v>
      </c>
      <c r="N522" s="496">
        <v>310</v>
      </c>
      <c r="O522" s="333">
        <f t="shared" si="27"/>
        <v>1048.4099999999999</v>
      </c>
      <c r="R522" s="23" t="str">
        <f>VLOOKUP(C:C,'Historic Data - working'!A:B,1,FALSE)</f>
        <v>BRE094</v>
      </c>
      <c r="U522" s="323"/>
      <c r="V522" s="323"/>
      <c r="W522" s="323"/>
    </row>
    <row r="523" spans="1:23" s="23" customFormat="1" ht="14.25" hidden="1" x14ac:dyDescent="0.2">
      <c r="A523" s="381" t="s">
        <v>1776</v>
      </c>
      <c r="B523" s="381" t="s">
        <v>324</v>
      </c>
      <c r="C523" s="397" t="s">
        <v>2159</v>
      </c>
      <c r="D523" s="381" t="s">
        <v>2160</v>
      </c>
      <c r="E523" s="383" t="s">
        <v>2161</v>
      </c>
      <c r="F523" s="381" t="s">
        <v>2162</v>
      </c>
      <c r="G523" s="384"/>
      <c r="H523" s="24"/>
      <c r="I523" s="24"/>
      <c r="J523" s="25" t="str">
        <f t="shared" si="25"/>
        <v xml:space="preserve"> </v>
      </c>
      <c r="K523" s="385" t="s">
        <v>337</v>
      </c>
      <c r="L523" s="385">
        <v>270.74</v>
      </c>
      <c r="M523" s="386">
        <f t="shared" si="26"/>
        <v>270.74</v>
      </c>
      <c r="N523" s="496">
        <v>301</v>
      </c>
      <c r="O523" s="333">
        <f t="shared" si="27"/>
        <v>571.74</v>
      </c>
      <c r="R523" s="23" t="str">
        <f>VLOOKUP(C:C,'Historic Data - working'!A:B,1,FALSE)</f>
        <v>BRE095</v>
      </c>
      <c r="U523" s="323"/>
      <c r="V523" s="323"/>
      <c r="W523" s="323"/>
    </row>
    <row r="524" spans="1:23" s="23" customFormat="1" ht="14.25" hidden="1" x14ac:dyDescent="0.2">
      <c r="A524" s="381" t="s">
        <v>1776</v>
      </c>
      <c r="B524" s="381" t="s">
        <v>324</v>
      </c>
      <c r="C524" s="397" t="s">
        <v>2163</v>
      </c>
      <c r="D524" s="381" t="s">
        <v>2164</v>
      </c>
      <c r="E524" s="383" t="s">
        <v>2165</v>
      </c>
      <c r="F524" s="381" t="s">
        <v>2166</v>
      </c>
      <c r="G524" s="384"/>
      <c r="H524" s="24"/>
      <c r="I524" s="24"/>
      <c r="J524" s="25" t="str">
        <f t="shared" si="25"/>
        <v xml:space="preserve"> </v>
      </c>
      <c r="K524" s="385"/>
      <c r="L524" s="385"/>
      <c r="M524" s="386">
        <f t="shared" si="26"/>
        <v>0</v>
      </c>
      <c r="N524" s="496"/>
      <c r="O524" s="333">
        <f t="shared" si="27"/>
        <v>0</v>
      </c>
      <c r="R524" s="23" t="e">
        <f>VLOOKUP(C:C,'Historic Data - working'!A:B,1,FALSE)</f>
        <v>#N/A</v>
      </c>
      <c r="U524" s="323"/>
      <c r="V524" s="323"/>
      <c r="W524" s="323"/>
    </row>
    <row r="525" spans="1:23" s="23" customFormat="1" ht="14.25" hidden="1" x14ac:dyDescent="0.2">
      <c r="A525" s="381" t="s">
        <v>1776</v>
      </c>
      <c r="B525" s="381" t="s">
        <v>324</v>
      </c>
      <c r="C525" s="397" t="s">
        <v>2167</v>
      </c>
      <c r="D525" s="381" t="s">
        <v>2168</v>
      </c>
      <c r="E525" s="383" t="s">
        <v>78</v>
      </c>
      <c r="F525" s="381" t="s">
        <v>2169</v>
      </c>
      <c r="G525" s="384"/>
      <c r="H525" s="24"/>
      <c r="I525" s="24"/>
      <c r="J525" s="25" t="str">
        <f t="shared" si="25"/>
        <v xml:space="preserve"> </v>
      </c>
      <c r="K525" s="385"/>
      <c r="L525" s="385"/>
      <c r="M525" s="386">
        <f t="shared" si="26"/>
        <v>0</v>
      </c>
      <c r="N525" s="496">
        <v>75</v>
      </c>
      <c r="O525" s="333">
        <f t="shared" si="27"/>
        <v>75</v>
      </c>
      <c r="R525" s="23" t="str">
        <f>VLOOKUP(C:C,'Historic Data - working'!A:B,1,FALSE)</f>
        <v>BRE096</v>
      </c>
      <c r="U525" s="323"/>
      <c r="V525" s="323"/>
      <c r="W525" s="323"/>
    </row>
    <row r="526" spans="1:23" s="23" customFormat="1" ht="14.25" hidden="1" x14ac:dyDescent="0.2">
      <c r="A526" s="381" t="s">
        <v>1776</v>
      </c>
      <c r="B526" s="381" t="s">
        <v>351</v>
      </c>
      <c r="C526" s="397" t="s">
        <v>2170</v>
      </c>
      <c r="D526" s="381" t="s">
        <v>2171</v>
      </c>
      <c r="E526" s="383" t="s">
        <v>2172</v>
      </c>
      <c r="F526" s="381" t="s">
        <v>1879</v>
      </c>
      <c r="G526" s="384"/>
      <c r="H526" s="24"/>
      <c r="I526" s="24"/>
      <c r="J526" s="25" t="str">
        <f t="shared" si="25"/>
        <v xml:space="preserve"> </v>
      </c>
      <c r="K526" s="387" t="s">
        <v>2173</v>
      </c>
      <c r="L526" s="385">
        <v>65.739999999999995</v>
      </c>
      <c r="M526" s="386">
        <f t="shared" si="26"/>
        <v>65.739999999999995</v>
      </c>
      <c r="N526" s="496">
        <v>379</v>
      </c>
      <c r="O526" s="334">
        <f t="shared" si="27"/>
        <v>444.74</v>
      </c>
      <c r="P526" s="331" t="s">
        <v>8185</v>
      </c>
      <c r="Q526" s="331"/>
      <c r="R526" s="331" t="e">
        <f>VLOOKUP(C:C,'Historic Data - working'!A:B,1,FALSE)</f>
        <v>#N/A</v>
      </c>
      <c r="U526" s="323"/>
      <c r="V526" s="323"/>
      <c r="W526" s="323"/>
    </row>
    <row r="527" spans="1:23" s="23" customFormat="1" ht="14.25" hidden="1" x14ac:dyDescent="0.2">
      <c r="A527" s="381" t="s">
        <v>1776</v>
      </c>
      <c r="B527" s="381" t="s">
        <v>324</v>
      </c>
      <c r="C527" s="397" t="s">
        <v>2174</v>
      </c>
      <c r="D527" s="381" t="s">
        <v>2175</v>
      </c>
      <c r="E527" s="383" t="s">
        <v>2176</v>
      </c>
      <c r="F527" s="381" t="s">
        <v>1852</v>
      </c>
      <c r="G527" s="384"/>
      <c r="H527" s="24"/>
      <c r="I527" s="24"/>
      <c r="J527" s="25" t="str">
        <f t="shared" si="25"/>
        <v xml:space="preserve"> </v>
      </c>
      <c r="K527" s="385"/>
      <c r="L527" s="385"/>
      <c r="M527" s="386">
        <f t="shared" si="26"/>
        <v>0</v>
      </c>
      <c r="N527" s="496">
        <v>116.56</v>
      </c>
      <c r="O527" s="333">
        <f t="shared" si="27"/>
        <v>116.56</v>
      </c>
      <c r="R527" s="23" t="str">
        <f>VLOOKUP(C:C,'Historic Data - working'!A:B,1,FALSE)</f>
        <v>BRE099</v>
      </c>
      <c r="U527" s="323"/>
      <c r="V527" s="323"/>
      <c r="W527" s="323"/>
    </row>
    <row r="528" spans="1:23" s="23" customFormat="1" ht="14.25" hidden="1" x14ac:dyDescent="0.2">
      <c r="A528" s="381" t="s">
        <v>1776</v>
      </c>
      <c r="B528" s="381" t="s">
        <v>324</v>
      </c>
      <c r="C528" s="397" t="s">
        <v>2177</v>
      </c>
      <c r="D528" s="381" t="s">
        <v>2178</v>
      </c>
      <c r="E528" s="383" t="s">
        <v>2179</v>
      </c>
      <c r="F528" s="381" t="s">
        <v>1852</v>
      </c>
      <c r="G528" s="384"/>
      <c r="H528" s="24"/>
      <c r="I528" s="24"/>
      <c r="J528" s="25" t="str">
        <f t="shared" si="25"/>
        <v xml:space="preserve"> </v>
      </c>
      <c r="K528" s="385"/>
      <c r="L528" s="385"/>
      <c r="M528" s="386">
        <f t="shared" si="26"/>
        <v>0</v>
      </c>
      <c r="N528" s="496"/>
      <c r="O528" s="333">
        <f t="shared" si="27"/>
        <v>0</v>
      </c>
      <c r="R528" s="23" t="e">
        <f>VLOOKUP(C:C,'Historic Data - working'!A:B,1,FALSE)</f>
        <v>#N/A</v>
      </c>
      <c r="U528" s="323"/>
      <c r="V528" s="323"/>
      <c r="W528" s="323"/>
    </row>
    <row r="529" spans="1:23" s="23" customFormat="1" ht="14.25" hidden="1" x14ac:dyDescent="0.2">
      <c r="A529" s="381" t="s">
        <v>1776</v>
      </c>
      <c r="B529" s="381" t="s">
        <v>324</v>
      </c>
      <c r="C529" s="397" t="s">
        <v>2180</v>
      </c>
      <c r="D529" s="381" t="s">
        <v>2181</v>
      </c>
      <c r="E529" s="383" t="s">
        <v>2182</v>
      </c>
      <c r="F529" s="381" t="s">
        <v>2183</v>
      </c>
      <c r="G529" s="384"/>
      <c r="H529" s="24"/>
      <c r="I529" s="24"/>
      <c r="J529" s="25" t="str">
        <f t="shared" si="25"/>
        <v xml:space="preserve"> </v>
      </c>
      <c r="K529" s="385"/>
      <c r="L529" s="385"/>
      <c r="M529" s="386">
        <f t="shared" si="26"/>
        <v>0</v>
      </c>
      <c r="N529" s="496"/>
      <c r="O529" s="333">
        <f t="shared" si="27"/>
        <v>0</v>
      </c>
      <c r="R529" s="23" t="e">
        <f>VLOOKUP(C:C,'Historic Data - working'!A:B,1,FALSE)</f>
        <v>#N/A</v>
      </c>
      <c r="U529" s="323"/>
      <c r="V529" s="323"/>
      <c r="W529" s="323"/>
    </row>
    <row r="530" spans="1:23" s="23" customFormat="1" ht="28.5" hidden="1" x14ac:dyDescent="0.2">
      <c r="A530" s="381" t="s">
        <v>1776</v>
      </c>
      <c r="B530" s="381" t="s">
        <v>351</v>
      </c>
      <c r="C530" s="397" t="s">
        <v>2184</v>
      </c>
      <c r="D530" s="381" t="s">
        <v>2185</v>
      </c>
      <c r="E530" s="383" t="s">
        <v>2186</v>
      </c>
      <c r="F530" s="381" t="s">
        <v>2187</v>
      </c>
      <c r="G530" s="384"/>
      <c r="H530" s="24"/>
      <c r="I530" s="24"/>
      <c r="J530" s="25" t="str">
        <f t="shared" si="25"/>
        <v xml:space="preserve"> </v>
      </c>
      <c r="K530" s="385"/>
      <c r="L530" s="385"/>
      <c r="M530" s="386">
        <f t="shared" si="26"/>
        <v>0</v>
      </c>
      <c r="N530" s="496"/>
      <c r="O530" s="333">
        <f t="shared" si="27"/>
        <v>0</v>
      </c>
      <c r="R530" s="23" t="e">
        <f>VLOOKUP(C:C,'Historic Data - working'!A:B,1,FALSE)</f>
        <v>#N/A</v>
      </c>
      <c r="U530" s="323"/>
      <c r="V530" s="323"/>
      <c r="W530" s="323"/>
    </row>
    <row r="531" spans="1:23" s="23" customFormat="1" ht="14.25" hidden="1" x14ac:dyDescent="0.2">
      <c r="A531" s="381" t="s">
        <v>1776</v>
      </c>
      <c r="B531" s="381" t="s">
        <v>324</v>
      </c>
      <c r="C531" s="397" t="s">
        <v>2188</v>
      </c>
      <c r="D531" s="381" t="s">
        <v>2189</v>
      </c>
      <c r="E531" s="383" t="s">
        <v>2190</v>
      </c>
      <c r="F531" s="385"/>
      <c r="G531" s="384"/>
      <c r="H531" s="24"/>
      <c r="I531" s="24"/>
      <c r="J531" s="25" t="str">
        <f t="shared" si="25"/>
        <v xml:space="preserve"> </v>
      </c>
      <c r="K531" s="385"/>
      <c r="L531" s="385"/>
      <c r="M531" s="386">
        <f t="shared" si="26"/>
        <v>0</v>
      </c>
      <c r="N531" s="496">
        <v>10</v>
      </c>
      <c r="O531" s="333">
        <f t="shared" si="27"/>
        <v>10</v>
      </c>
      <c r="R531" s="23" t="str">
        <f>VLOOKUP(C:C,'Historic Data - working'!A:B,1,FALSE)</f>
        <v>BRE999</v>
      </c>
      <c r="U531" s="323"/>
      <c r="V531" s="323"/>
      <c r="W531" s="323"/>
    </row>
    <row r="532" spans="1:23" s="23" customFormat="1" ht="14.25" hidden="1" x14ac:dyDescent="0.2">
      <c r="A532" s="381" t="s">
        <v>2191</v>
      </c>
      <c r="B532" s="381" t="s">
        <v>324</v>
      </c>
      <c r="C532" s="400" t="s">
        <v>2192</v>
      </c>
      <c r="D532" s="381" t="s">
        <v>2193</v>
      </c>
      <c r="E532" s="383" t="s">
        <v>2194</v>
      </c>
      <c r="F532" s="381" t="s">
        <v>2195</v>
      </c>
      <c r="G532" s="384"/>
      <c r="H532" s="24"/>
      <c r="I532" s="24"/>
      <c r="J532" s="25" t="str">
        <f t="shared" si="25"/>
        <v xml:space="preserve"> </v>
      </c>
      <c r="K532" s="385"/>
      <c r="L532" s="385"/>
      <c r="M532" s="386">
        <f t="shared" si="26"/>
        <v>0</v>
      </c>
      <c r="N532" s="496">
        <v>240</v>
      </c>
      <c r="O532" s="333">
        <f t="shared" si="27"/>
        <v>240</v>
      </c>
      <c r="R532" s="23" t="str">
        <f>VLOOKUP(C:C,'Historic Data - working'!A:B,1,FALSE)</f>
        <v>CAR001</v>
      </c>
      <c r="U532" s="323"/>
      <c r="V532" s="323"/>
      <c r="W532" s="323"/>
    </row>
    <row r="533" spans="1:23" s="23" customFormat="1" ht="14.25" hidden="1" x14ac:dyDescent="0.2">
      <c r="A533" s="381" t="s">
        <v>2191</v>
      </c>
      <c r="B533" s="381" t="s">
        <v>351</v>
      </c>
      <c r="C533" s="400" t="s">
        <v>2196</v>
      </c>
      <c r="D533" s="381" t="s">
        <v>2197</v>
      </c>
      <c r="E533" s="383" t="s">
        <v>2198</v>
      </c>
      <c r="F533" s="381" t="s">
        <v>2195</v>
      </c>
      <c r="G533" s="384" t="s">
        <v>329</v>
      </c>
      <c r="H533" s="24">
        <v>660.06</v>
      </c>
      <c r="I533" s="24"/>
      <c r="J533" s="25" t="str">
        <f t="shared" si="25"/>
        <v>1</v>
      </c>
      <c r="K533" s="385"/>
      <c r="L533" s="385"/>
      <c r="M533" s="386">
        <f t="shared" si="26"/>
        <v>660.06</v>
      </c>
      <c r="N533" s="496">
        <v>730</v>
      </c>
      <c r="O533" s="333">
        <f t="shared" si="27"/>
        <v>1390.06</v>
      </c>
      <c r="R533" s="23" t="str">
        <f>VLOOKUP(C:C,'Historic Data - working'!A:B,1,FALSE)</f>
        <v>CAR002</v>
      </c>
      <c r="U533" s="323"/>
      <c r="V533" s="323"/>
      <c r="W533" s="323"/>
    </row>
    <row r="534" spans="1:23" s="23" customFormat="1" ht="14.25" hidden="1" x14ac:dyDescent="0.2">
      <c r="A534" s="381" t="s">
        <v>2191</v>
      </c>
      <c r="B534" s="381" t="s">
        <v>324</v>
      </c>
      <c r="C534" s="400" t="s">
        <v>2199</v>
      </c>
      <c r="D534" s="381" t="s">
        <v>2200</v>
      </c>
      <c r="E534" s="383" t="s">
        <v>428</v>
      </c>
      <c r="F534" s="381" t="s">
        <v>2195</v>
      </c>
      <c r="G534" s="384"/>
      <c r="H534" s="24"/>
      <c r="I534" s="24"/>
      <c r="J534" s="25" t="str">
        <f t="shared" si="25"/>
        <v xml:space="preserve"> </v>
      </c>
      <c r="K534" s="385"/>
      <c r="L534" s="385"/>
      <c r="M534" s="386">
        <f t="shared" si="26"/>
        <v>0</v>
      </c>
      <c r="N534" s="496"/>
      <c r="O534" s="333">
        <f t="shared" si="27"/>
        <v>0</v>
      </c>
      <c r="R534" s="23" t="str">
        <f>VLOOKUP(C:C,'Historic Data - working'!A:B,1,FALSE)</f>
        <v>CAR003</v>
      </c>
      <c r="U534" s="323"/>
      <c r="V534" s="323"/>
      <c r="W534" s="323"/>
    </row>
    <row r="535" spans="1:23" s="23" customFormat="1" ht="28.5" hidden="1" x14ac:dyDescent="0.2">
      <c r="A535" s="381" t="s">
        <v>2191</v>
      </c>
      <c r="B535" s="381" t="s">
        <v>351</v>
      </c>
      <c r="C535" s="400" t="s">
        <v>2201</v>
      </c>
      <c r="D535" s="381" t="s">
        <v>2202</v>
      </c>
      <c r="E535" s="383" t="s">
        <v>2203</v>
      </c>
      <c r="F535" s="381" t="s">
        <v>2195</v>
      </c>
      <c r="G535" s="384"/>
      <c r="H535" s="24"/>
      <c r="I535" s="24"/>
      <c r="J535" s="25" t="str">
        <f t="shared" si="25"/>
        <v xml:space="preserve"> </v>
      </c>
      <c r="K535" s="385"/>
      <c r="L535" s="385"/>
      <c r="M535" s="386">
        <f t="shared" si="26"/>
        <v>0</v>
      </c>
      <c r="N535" s="496"/>
      <c r="O535" s="333">
        <f t="shared" si="27"/>
        <v>0</v>
      </c>
      <c r="R535" s="23" t="str">
        <f>VLOOKUP(C:C,'Historic Data - working'!A:B,1,FALSE)</f>
        <v>CAR004</v>
      </c>
      <c r="U535" s="323"/>
      <c r="V535" s="323"/>
      <c r="W535" s="323"/>
    </row>
    <row r="536" spans="1:23" s="23" customFormat="1" ht="14.25" hidden="1" x14ac:dyDescent="0.2">
      <c r="A536" s="381" t="s">
        <v>2191</v>
      </c>
      <c r="B536" s="381" t="s">
        <v>351</v>
      </c>
      <c r="C536" s="400" t="s">
        <v>2204</v>
      </c>
      <c r="D536" s="381" t="s">
        <v>2205</v>
      </c>
      <c r="E536" s="383" t="s">
        <v>2206</v>
      </c>
      <c r="F536" s="381" t="s">
        <v>2195</v>
      </c>
      <c r="G536" s="384" t="s">
        <v>329</v>
      </c>
      <c r="H536" s="24">
        <v>4056.55</v>
      </c>
      <c r="I536" s="24"/>
      <c r="J536" s="25" t="str">
        <f t="shared" si="25"/>
        <v>1</v>
      </c>
      <c r="K536" s="387" t="s">
        <v>2207</v>
      </c>
      <c r="L536" s="385">
        <v>-120</v>
      </c>
      <c r="M536" s="386">
        <f t="shared" si="26"/>
        <v>3936.55</v>
      </c>
      <c r="N536" s="496">
        <v>460</v>
      </c>
      <c r="O536" s="333">
        <f t="shared" si="27"/>
        <v>4396.55</v>
      </c>
      <c r="R536" s="23" t="str">
        <f>VLOOKUP(C:C,'Historic Data - working'!A:B,1,FALSE)</f>
        <v>CAR005</v>
      </c>
      <c r="U536" s="323"/>
      <c r="V536" s="323"/>
      <c r="W536" s="323"/>
    </row>
    <row r="537" spans="1:23" s="23" customFormat="1" ht="28.5" hidden="1" x14ac:dyDescent="0.2">
      <c r="A537" s="381" t="s">
        <v>2191</v>
      </c>
      <c r="B537" s="381" t="s">
        <v>351</v>
      </c>
      <c r="C537" s="400" t="s">
        <v>2208</v>
      </c>
      <c r="D537" s="381" t="s">
        <v>2209</v>
      </c>
      <c r="E537" s="383" t="s">
        <v>2210</v>
      </c>
      <c r="F537" s="381" t="s">
        <v>2195</v>
      </c>
      <c r="G537" s="384" t="s">
        <v>329</v>
      </c>
      <c r="H537" s="24">
        <f>70+350+65+265+260</f>
        <v>1010</v>
      </c>
      <c r="I537" s="24"/>
      <c r="J537" s="25" t="str">
        <f t="shared" si="25"/>
        <v>1</v>
      </c>
      <c r="K537" s="385"/>
      <c r="L537" s="385"/>
      <c r="M537" s="386">
        <f t="shared" si="26"/>
        <v>1010</v>
      </c>
      <c r="N537" s="496">
        <v>2055</v>
      </c>
      <c r="O537" s="333">
        <f t="shared" si="27"/>
        <v>3065</v>
      </c>
      <c r="R537" s="23" t="str">
        <f>VLOOKUP(C:C,'Historic Data - working'!A:B,1,FALSE)</f>
        <v>CAR006</v>
      </c>
      <c r="U537" s="323"/>
      <c r="V537" s="323"/>
      <c r="W537" s="323"/>
    </row>
    <row r="538" spans="1:23" s="23" customFormat="1" ht="14.25" hidden="1" x14ac:dyDescent="0.2">
      <c r="A538" s="381" t="s">
        <v>2191</v>
      </c>
      <c r="B538" s="381" t="s">
        <v>351</v>
      </c>
      <c r="C538" s="400" t="s">
        <v>2211</v>
      </c>
      <c r="D538" s="381" t="s">
        <v>2212</v>
      </c>
      <c r="E538" s="383" t="s">
        <v>2213</v>
      </c>
      <c r="F538" s="381" t="s">
        <v>2195</v>
      </c>
      <c r="G538" s="384" t="s">
        <v>329</v>
      </c>
      <c r="H538" s="24">
        <v>1168.3699999999999</v>
      </c>
      <c r="I538" s="24"/>
      <c r="J538" s="25" t="str">
        <f t="shared" si="25"/>
        <v>1</v>
      </c>
      <c r="K538" s="387" t="s">
        <v>2214</v>
      </c>
      <c r="L538" s="385">
        <v>18.52</v>
      </c>
      <c r="M538" s="386">
        <f t="shared" si="26"/>
        <v>1186.8899999999999</v>
      </c>
      <c r="N538" s="496">
        <v>521</v>
      </c>
      <c r="O538" s="333">
        <f t="shared" si="27"/>
        <v>1707.8899999999999</v>
      </c>
      <c r="R538" s="23" t="str">
        <f>VLOOKUP(C:C,'Historic Data - working'!A:B,1,FALSE)</f>
        <v>CAR007</v>
      </c>
      <c r="U538" s="323"/>
      <c r="V538" s="323"/>
      <c r="W538" s="323"/>
    </row>
    <row r="539" spans="1:23" s="23" customFormat="1" ht="14.25" hidden="1" x14ac:dyDescent="0.2">
      <c r="A539" s="381" t="s">
        <v>2191</v>
      </c>
      <c r="B539" s="381" t="s">
        <v>324</v>
      </c>
      <c r="C539" s="400" t="s">
        <v>2215</v>
      </c>
      <c r="D539" s="381" t="s">
        <v>2216</v>
      </c>
      <c r="E539" s="383" t="s">
        <v>2217</v>
      </c>
      <c r="F539" s="381" t="s">
        <v>2195</v>
      </c>
      <c r="G539" s="384" t="s">
        <v>329</v>
      </c>
      <c r="H539" s="24">
        <f>119+290+56+67.5+90+60.5+55+87.5+189.5+109+200.5+20+87.32+64.81</f>
        <v>1496.6299999999999</v>
      </c>
      <c r="I539" s="24"/>
      <c r="J539" s="25" t="str">
        <f t="shared" si="25"/>
        <v>1</v>
      </c>
      <c r="K539" s="385"/>
      <c r="L539" s="385"/>
      <c r="M539" s="386">
        <f t="shared" si="26"/>
        <v>1496.6299999999999</v>
      </c>
      <c r="N539" s="496">
        <v>140</v>
      </c>
      <c r="O539" s="333">
        <f t="shared" si="27"/>
        <v>1636.6299999999999</v>
      </c>
      <c r="R539" s="23" t="str">
        <f>VLOOKUP(C:C,'Historic Data - working'!A:B,1,FALSE)</f>
        <v>CAR008</v>
      </c>
      <c r="U539" s="323"/>
      <c r="V539" s="323"/>
      <c r="W539" s="323"/>
    </row>
    <row r="540" spans="1:23" s="23" customFormat="1" ht="14.25" hidden="1" x14ac:dyDescent="0.2">
      <c r="A540" s="381" t="s">
        <v>2191</v>
      </c>
      <c r="B540" s="381" t="s">
        <v>351</v>
      </c>
      <c r="C540" s="400" t="s">
        <v>2218</v>
      </c>
      <c r="D540" s="381" t="s">
        <v>2219</v>
      </c>
      <c r="E540" s="383" t="s">
        <v>2220</v>
      </c>
      <c r="F540" s="381" t="s">
        <v>2195</v>
      </c>
      <c r="G540" s="384"/>
      <c r="H540" s="24"/>
      <c r="I540" s="24"/>
      <c r="J540" s="25" t="str">
        <f t="shared" si="25"/>
        <v xml:space="preserve"> </v>
      </c>
      <c r="K540" s="385" t="s">
        <v>337</v>
      </c>
      <c r="L540" s="385">
        <v>136.46</v>
      </c>
      <c r="M540" s="386">
        <f t="shared" si="26"/>
        <v>136.46</v>
      </c>
      <c r="N540" s="496">
        <v>824</v>
      </c>
      <c r="O540" s="333">
        <f t="shared" si="27"/>
        <v>960.46</v>
      </c>
      <c r="R540" s="23" t="str">
        <f>VLOOKUP(C:C,'Historic Data - working'!A:B,1,FALSE)</f>
        <v>CAR009</v>
      </c>
      <c r="U540" s="323"/>
      <c r="V540" s="323"/>
      <c r="W540" s="323"/>
    </row>
    <row r="541" spans="1:23" s="23" customFormat="1" ht="14.25" hidden="1" x14ac:dyDescent="0.2">
      <c r="A541" s="381" t="s">
        <v>2191</v>
      </c>
      <c r="B541" s="381" t="s">
        <v>324</v>
      </c>
      <c r="C541" s="400" t="s">
        <v>2221</v>
      </c>
      <c r="D541" s="381" t="s">
        <v>2222</v>
      </c>
      <c r="E541" s="383" t="s">
        <v>2223</v>
      </c>
      <c r="F541" s="381" t="s">
        <v>2195</v>
      </c>
      <c r="G541" s="384"/>
      <c r="H541" s="24"/>
      <c r="I541" s="24"/>
      <c r="J541" s="25" t="str">
        <f t="shared" si="25"/>
        <v xml:space="preserve"> </v>
      </c>
      <c r="K541" s="385"/>
      <c r="L541" s="385"/>
      <c r="M541" s="386">
        <f t="shared" si="26"/>
        <v>0</v>
      </c>
      <c r="N541" s="496"/>
      <c r="O541" s="333">
        <f t="shared" si="27"/>
        <v>0</v>
      </c>
      <c r="R541" s="23" t="e">
        <f>VLOOKUP(C:C,'Historic Data - working'!A:B,1,FALSE)</f>
        <v>#N/A</v>
      </c>
      <c r="U541" s="323"/>
      <c r="V541" s="323"/>
      <c r="W541" s="323"/>
    </row>
    <row r="542" spans="1:23" s="23" customFormat="1" ht="14.25" hidden="1" x14ac:dyDescent="0.2">
      <c r="A542" s="381" t="s">
        <v>2191</v>
      </c>
      <c r="B542" s="381" t="s">
        <v>324</v>
      </c>
      <c r="C542" s="400" t="s">
        <v>2224</v>
      </c>
      <c r="D542" s="381" t="s">
        <v>2225</v>
      </c>
      <c r="E542" s="383" t="s">
        <v>2226</v>
      </c>
      <c r="F542" s="381" t="s">
        <v>2195</v>
      </c>
      <c r="G542" s="384" t="s">
        <v>329</v>
      </c>
      <c r="H542" s="24">
        <f>90+36+75+140+45+360+155+45+34+85+65+19.7+85.35+310+355+270+30+65</f>
        <v>2265.0500000000002</v>
      </c>
      <c r="I542" s="24"/>
      <c r="J542" s="25" t="str">
        <f t="shared" si="25"/>
        <v>1</v>
      </c>
      <c r="K542" s="385"/>
      <c r="L542" s="385"/>
      <c r="M542" s="386">
        <f t="shared" si="26"/>
        <v>2265.0500000000002</v>
      </c>
      <c r="N542" s="496">
        <v>256</v>
      </c>
      <c r="O542" s="333">
        <f t="shared" si="27"/>
        <v>2521.0500000000002</v>
      </c>
      <c r="R542" s="23" t="str">
        <f>VLOOKUP(C:C,'Historic Data - working'!A:B,1,FALSE)</f>
        <v>CAR010</v>
      </c>
      <c r="U542" s="323"/>
      <c r="V542" s="323"/>
      <c r="W542" s="323"/>
    </row>
    <row r="543" spans="1:23" s="23" customFormat="1" ht="14.25" hidden="1" x14ac:dyDescent="0.2">
      <c r="A543" s="381" t="s">
        <v>2191</v>
      </c>
      <c r="B543" s="381" t="s">
        <v>324</v>
      </c>
      <c r="C543" s="400" t="s">
        <v>2227</v>
      </c>
      <c r="D543" s="381" t="s">
        <v>2228</v>
      </c>
      <c r="E543" s="383" t="s">
        <v>2229</v>
      </c>
      <c r="F543" s="381" t="s">
        <v>2195</v>
      </c>
      <c r="G543" s="384"/>
      <c r="H543" s="24"/>
      <c r="I543" s="24"/>
      <c r="J543" s="25" t="str">
        <f t="shared" si="25"/>
        <v xml:space="preserve"> </v>
      </c>
      <c r="K543" s="385"/>
      <c r="L543" s="385"/>
      <c r="M543" s="386">
        <f t="shared" si="26"/>
        <v>0</v>
      </c>
      <c r="N543" s="496">
        <v>35</v>
      </c>
      <c r="O543" s="333">
        <f t="shared" si="27"/>
        <v>35</v>
      </c>
      <c r="R543" s="23" t="str">
        <f>VLOOKUP(C:C,'Historic Data - working'!A:B,1,FALSE)</f>
        <v>CAR011</v>
      </c>
      <c r="U543" s="323"/>
      <c r="V543" s="323"/>
      <c r="W543" s="323"/>
    </row>
    <row r="544" spans="1:23" s="23" customFormat="1" ht="14.25" hidden="1" x14ac:dyDescent="0.2">
      <c r="A544" s="381" t="s">
        <v>2191</v>
      </c>
      <c r="B544" s="381" t="s">
        <v>324</v>
      </c>
      <c r="C544" s="400" t="s">
        <v>2230</v>
      </c>
      <c r="D544" s="381" t="s">
        <v>2231</v>
      </c>
      <c r="E544" s="383" t="s">
        <v>2232</v>
      </c>
      <c r="F544" s="381" t="s">
        <v>2195</v>
      </c>
      <c r="G544" s="384"/>
      <c r="H544" s="24"/>
      <c r="I544" s="24"/>
      <c r="J544" s="25" t="str">
        <f t="shared" si="25"/>
        <v xml:space="preserve"> </v>
      </c>
      <c r="K544" s="385"/>
      <c r="L544" s="385"/>
      <c r="M544" s="386">
        <f t="shared" si="26"/>
        <v>0</v>
      </c>
      <c r="N544" s="496">
        <v>100</v>
      </c>
      <c r="O544" s="333">
        <f t="shared" si="27"/>
        <v>100</v>
      </c>
      <c r="R544" s="23" t="str">
        <f>VLOOKUP(C:C,'Historic Data - working'!A:B,1,FALSE)</f>
        <v>CAR012</v>
      </c>
      <c r="U544" s="323"/>
      <c r="V544" s="323"/>
      <c r="W544" s="323"/>
    </row>
    <row r="545" spans="1:23" s="23" customFormat="1" ht="14.25" hidden="1" x14ac:dyDescent="0.2">
      <c r="A545" s="381" t="s">
        <v>2191</v>
      </c>
      <c r="B545" s="381" t="s">
        <v>324</v>
      </c>
      <c r="C545" s="400" t="s">
        <v>2233</v>
      </c>
      <c r="D545" s="381" t="s">
        <v>2234</v>
      </c>
      <c r="E545" s="383" t="s">
        <v>2235</v>
      </c>
      <c r="F545" s="381" t="s">
        <v>2195</v>
      </c>
      <c r="G545" s="384" t="s">
        <v>329</v>
      </c>
      <c r="H545" s="24">
        <f>211+20+253+114</f>
        <v>598</v>
      </c>
      <c r="I545" s="24"/>
      <c r="J545" s="25" t="str">
        <f t="shared" si="25"/>
        <v>1</v>
      </c>
      <c r="K545" s="385" t="s">
        <v>2236</v>
      </c>
      <c r="L545" s="385"/>
      <c r="M545" s="386">
        <f t="shared" si="26"/>
        <v>598</v>
      </c>
      <c r="N545" s="496">
        <v>590</v>
      </c>
      <c r="O545" s="333">
        <f t="shared" si="27"/>
        <v>1188</v>
      </c>
      <c r="R545" s="23" t="str">
        <f>VLOOKUP(C:C,'Historic Data - working'!A:B,1,FALSE)</f>
        <v>CAR013</v>
      </c>
      <c r="U545" s="323"/>
      <c r="V545" s="323"/>
      <c r="W545" s="323"/>
    </row>
    <row r="546" spans="1:23" s="23" customFormat="1" ht="28.5" hidden="1" x14ac:dyDescent="0.2">
      <c r="A546" s="381" t="s">
        <v>2191</v>
      </c>
      <c r="B546" s="381" t="s">
        <v>351</v>
      </c>
      <c r="C546" s="400" t="s">
        <v>2237</v>
      </c>
      <c r="D546" s="381" t="s">
        <v>2238</v>
      </c>
      <c r="E546" s="383" t="s">
        <v>2239</v>
      </c>
      <c r="F546" s="381" t="s">
        <v>2240</v>
      </c>
      <c r="G546" s="384" t="s">
        <v>329</v>
      </c>
      <c r="H546" s="24">
        <v>305.94</v>
      </c>
      <c r="I546" s="24"/>
      <c r="J546" s="25" t="str">
        <f t="shared" si="25"/>
        <v>1</v>
      </c>
      <c r="K546" s="385"/>
      <c r="L546" s="385"/>
      <c r="M546" s="386">
        <f t="shared" si="26"/>
        <v>305.94</v>
      </c>
      <c r="N546" s="496">
        <v>275</v>
      </c>
      <c r="O546" s="333">
        <f t="shared" si="27"/>
        <v>580.94000000000005</v>
      </c>
      <c r="R546" s="23" t="str">
        <f>VLOOKUP(C:C,'Historic Data - working'!A:B,1,FALSE)</f>
        <v>CAR014</v>
      </c>
      <c r="U546" s="323"/>
      <c r="V546" s="323"/>
      <c r="W546" s="323"/>
    </row>
    <row r="547" spans="1:23" s="23" customFormat="1" ht="14.25" hidden="1" x14ac:dyDescent="0.2">
      <c r="A547" s="381" t="s">
        <v>2191</v>
      </c>
      <c r="B547" s="381" t="s">
        <v>324</v>
      </c>
      <c r="C547" s="400" t="s">
        <v>2241</v>
      </c>
      <c r="D547" s="381" t="s">
        <v>2242</v>
      </c>
      <c r="E547" s="383" t="s">
        <v>61</v>
      </c>
      <c r="F547" s="381" t="s">
        <v>2195</v>
      </c>
      <c r="G547" s="384" t="s">
        <v>329</v>
      </c>
      <c r="H547" s="24">
        <v>817.46</v>
      </c>
      <c r="I547" s="24"/>
      <c r="J547" s="25" t="str">
        <f t="shared" si="25"/>
        <v>1</v>
      </c>
      <c r="K547" s="387" t="s">
        <v>2243</v>
      </c>
      <c r="L547" s="385">
        <v>50.89</v>
      </c>
      <c r="M547" s="386">
        <f t="shared" si="26"/>
        <v>868.35</v>
      </c>
      <c r="N547" s="496">
        <v>320</v>
      </c>
      <c r="O547" s="333">
        <f t="shared" si="27"/>
        <v>1188.3499999999999</v>
      </c>
      <c r="R547" s="23" t="str">
        <f>VLOOKUP(C:C,'Historic Data - working'!A:B,1,FALSE)</f>
        <v>CAR015</v>
      </c>
      <c r="U547" s="323"/>
      <c r="V547" s="323"/>
      <c r="W547" s="323"/>
    </row>
    <row r="548" spans="1:23" s="23" customFormat="1" ht="14.25" hidden="1" x14ac:dyDescent="0.2">
      <c r="A548" s="381" t="s">
        <v>2191</v>
      </c>
      <c r="B548" s="381" t="s">
        <v>324</v>
      </c>
      <c r="C548" s="400" t="s">
        <v>2244</v>
      </c>
      <c r="D548" s="381" t="s">
        <v>2245</v>
      </c>
      <c r="E548" s="383" t="s">
        <v>124</v>
      </c>
      <c r="F548" s="381" t="s">
        <v>2195</v>
      </c>
      <c r="G548" s="384" t="s">
        <v>329</v>
      </c>
      <c r="H548" s="24">
        <f>292.12+92.7+118.68+58.04+193.87+65.56+33.58+237.77+292.56+234.88+114.69+83.14</f>
        <v>1817.5900000000004</v>
      </c>
      <c r="I548" s="24"/>
      <c r="J548" s="25" t="str">
        <f t="shared" si="25"/>
        <v>1</v>
      </c>
      <c r="K548" s="385"/>
      <c r="L548" s="385"/>
      <c r="M548" s="386">
        <f t="shared" si="26"/>
        <v>1817.5900000000004</v>
      </c>
      <c r="N548" s="496">
        <v>160</v>
      </c>
      <c r="O548" s="333">
        <f t="shared" si="27"/>
        <v>1977.5900000000004</v>
      </c>
      <c r="R548" s="23" t="str">
        <f>VLOOKUP(C:C,'Historic Data - working'!A:B,1,FALSE)</f>
        <v>CAR016</v>
      </c>
      <c r="U548" s="323"/>
      <c r="V548" s="323"/>
      <c r="W548" s="323"/>
    </row>
    <row r="549" spans="1:23" s="23" customFormat="1" ht="14.25" hidden="1" x14ac:dyDescent="0.2">
      <c r="A549" s="381" t="s">
        <v>2191</v>
      </c>
      <c r="B549" s="381" t="s">
        <v>324</v>
      </c>
      <c r="C549" s="400" t="s">
        <v>2246</v>
      </c>
      <c r="D549" s="381" t="s">
        <v>2247</v>
      </c>
      <c r="E549" s="383" t="s">
        <v>276</v>
      </c>
      <c r="F549" s="381" t="s">
        <v>2195</v>
      </c>
      <c r="G549" s="384" t="s">
        <v>329</v>
      </c>
      <c r="H549" s="24">
        <v>2025.14</v>
      </c>
      <c r="I549" s="24"/>
      <c r="J549" s="25" t="str">
        <f t="shared" si="25"/>
        <v>1</v>
      </c>
      <c r="K549" s="387" t="s">
        <v>2248</v>
      </c>
      <c r="L549" s="385">
        <v>-71.47</v>
      </c>
      <c r="M549" s="386">
        <f t="shared" si="26"/>
        <v>1953.67</v>
      </c>
      <c r="N549" s="496">
        <v>300</v>
      </c>
      <c r="O549" s="333">
        <f t="shared" si="27"/>
        <v>2253.67</v>
      </c>
      <c r="R549" s="23" t="str">
        <f>VLOOKUP(C:C,'Historic Data - working'!A:B,1,FALSE)</f>
        <v>CAR017</v>
      </c>
      <c r="U549" s="323"/>
      <c r="V549" s="323"/>
      <c r="W549" s="323"/>
    </row>
    <row r="550" spans="1:23" s="23" customFormat="1" ht="14.25" hidden="1" x14ac:dyDescent="0.2">
      <c r="A550" s="381" t="s">
        <v>2191</v>
      </c>
      <c r="B550" s="381" t="s">
        <v>351</v>
      </c>
      <c r="C550" s="400" t="s">
        <v>2249</v>
      </c>
      <c r="D550" s="381" t="s">
        <v>2250</v>
      </c>
      <c r="E550" s="383" t="s">
        <v>2251</v>
      </c>
      <c r="F550" s="381" t="s">
        <v>2195</v>
      </c>
      <c r="G550" s="384" t="s">
        <v>329</v>
      </c>
      <c r="H550" s="24">
        <f>332+347+217.57+350+145+169.8+46.9+8.35+9.99+6.05+0.83+274.24</f>
        <v>1907.7299999999998</v>
      </c>
      <c r="I550" s="24"/>
      <c r="J550" s="25" t="str">
        <f t="shared" si="25"/>
        <v>1</v>
      </c>
      <c r="K550" s="385"/>
      <c r="L550" s="385"/>
      <c r="M550" s="386">
        <f t="shared" si="26"/>
        <v>1907.7299999999998</v>
      </c>
      <c r="N550" s="496">
        <v>935</v>
      </c>
      <c r="O550" s="333">
        <f t="shared" si="27"/>
        <v>2842.7299999999996</v>
      </c>
      <c r="R550" s="23" t="str">
        <f>VLOOKUP(C:C,'Historic Data - working'!A:B,1,FALSE)</f>
        <v>CAR018</v>
      </c>
      <c r="U550" s="323"/>
      <c r="V550" s="323"/>
      <c r="W550" s="323"/>
    </row>
    <row r="551" spans="1:23" s="23" customFormat="1" ht="14.25" hidden="1" x14ac:dyDescent="0.2">
      <c r="A551" s="381" t="s">
        <v>2191</v>
      </c>
      <c r="B551" s="381" t="s">
        <v>324</v>
      </c>
      <c r="C551" s="400" t="s">
        <v>2252</v>
      </c>
      <c r="D551" s="381" t="s">
        <v>2253</v>
      </c>
      <c r="E551" s="383" t="s">
        <v>2254</v>
      </c>
      <c r="F551" s="381" t="s">
        <v>2195</v>
      </c>
      <c r="G551" s="384" t="s">
        <v>329</v>
      </c>
      <c r="H551" s="24">
        <f>326.2+237.68+71.2</f>
        <v>635.08000000000004</v>
      </c>
      <c r="I551" s="24"/>
      <c r="J551" s="25" t="str">
        <f t="shared" si="25"/>
        <v>1</v>
      </c>
      <c r="K551" s="385"/>
      <c r="L551" s="385"/>
      <c r="M551" s="386">
        <f t="shared" si="26"/>
        <v>635.08000000000004</v>
      </c>
      <c r="N551" s="496">
        <v>530</v>
      </c>
      <c r="O551" s="333">
        <f t="shared" si="27"/>
        <v>1165.08</v>
      </c>
      <c r="R551" s="23" t="str">
        <f>VLOOKUP(C:C,'Historic Data - working'!A:B,1,FALSE)</f>
        <v>CAR019</v>
      </c>
      <c r="U551" s="323"/>
      <c r="V551" s="323"/>
      <c r="W551" s="323"/>
    </row>
    <row r="552" spans="1:23" s="23" customFormat="1" ht="14.25" hidden="1" x14ac:dyDescent="0.2">
      <c r="A552" s="381" t="s">
        <v>2191</v>
      </c>
      <c r="B552" s="381" t="s">
        <v>324</v>
      </c>
      <c r="C552" s="400" t="s">
        <v>2255</v>
      </c>
      <c r="D552" s="381" t="s">
        <v>2256</v>
      </c>
      <c r="E552" s="383" t="s">
        <v>2257</v>
      </c>
      <c r="F552" s="381" t="s">
        <v>2258</v>
      </c>
      <c r="G552" s="384" t="s">
        <v>329</v>
      </c>
      <c r="H552" s="24"/>
      <c r="I552" s="24">
        <v>842</v>
      </c>
      <c r="J552" s="25" t="str">
        <f t="shared" si="25"/>
        <v>1</v>
      </c>
      <c r="K552" s="385"/>
      <c r="L552" s="385"/>
      <c r="M552" s="386">
        <f t="shared" si="26"/>
        <v>0</v>
      </c>
      <c r="N552" s="496">
        <v>842</v>
      </c>
      <c r="O552" s="333">
        <f t="shared" si="27"/>
        <v>842</v>
      </c>
      <c r="R552" s="23" t="str">
        <f>VLOOKUP(C:C,'Historic Data - working'!A:B,1,FALSE)</f>
        <v>CAR021</v>
      </c>
      <c r="U552" s="323"/>
      <c r="V552" s="323"/>
      <c r="W552" s="323"/>
    </row>
    <row r="553" spans="1:23" s="23" customFormat="1" ht="14.25" hidden="1" x14ac:dyDescent="0.2">
      <c r="A553" s="381" t="s">
        <v>2191</v>
      </c>
      <c r="B553" s="381" t="s">
        <v>351</v>
      </c>
      <c r="C553" s="400" t="s">
        <v>2259</v>
      </c>
      <c r="D553" s="381" t="s">
        <v>2260</v>
      </c>
      <c r="E553" s="383" t="s">
        <v>2261</v>
      </c>
      <c r="F553" s="381" t="s">
        <v>2262</v>
      </c>
      <c r="G553" s="384"/>
      <c r="H553" s="24"/>
      <c r="I553" s="24"/>
      <c r="J553" s="25" t="str">
        <f t="shared" si="25"/>
        <v xml:space="preserve"> </v>
      </c>
      <c r="K553" s="385"/>
      <c r="L553" s="385"/>
      <c r="M553" s="386">
        <f t="shared" si="26"/>
        <v>0</v>
      </c>
      <c r="N553" s="496"/>
      <c r="O553" s="333">
        <f t="shared" si="27"/>
        <v>0</v>
      </c>
      <c r="R553" s="23" t="e">
        <f>VLOOKUP(C:C,'Historic Data - working'!A:B,1,FALSE)</f>
        <v>#N/A</v>
      </c>
      <c r="U553" s="323"/>
      <c r="V553" s="323"/>
      <c r="W553" s="323"/>
    </row>
    <row r="554" spans="1:23" s="23" customFormat="1" ht="14.25" hidden="1" x14ac:dyDescent="0.2">
      <c r="A554" s="381" t="s">
        <v>2191</v>
      </c>
      <c r="B554" s="381" t="s">
        <v>324</v>
      </c>
      <c r="C554" s="400" t="s">
        <v>2263</v>
      </c>
      <c r="D554" s="401" t="s">
        <v>2264</v>
      </c>
      <c r="E554" s="402" t="s">
        <v>2265</v>
      </c>
      <c r="F554" s="401" t="s">
        <v>2266</v>
      </c>
      <c r="G554" s="403" t="s">
        <v>329</v>
      </c>
      <c r="H554" s="28">
        <f>106.58+6.57+49.85+3.08+11.43+5.36+193.18+31.3+17.46+161.02+653.94</f>
        <v>1239.77</v>
      </c>
      <c r="I554" s="28"/>
      <c r="J554" s="25" t="str">
        <f t="shared" si="25"/>
        <v>1</v>
      </c>
      <c r="K554" s="385" t="s">
        <v>2267</v>
      </c>
      <c r="L554" s="385">
        <v>-0.05</v>
      </c>
      <c r="M554" s="386">
        <f t="shared" si="26"/>
        <v>1239.72</v>
      </c>
      <c r="N554" s="496">
        <v>335</v>
      </c>
      <c r="O554" s="333">
        <f t="shared" si="27"/>
        <v>1574.72</v>
      </c>
      <c r="R554" s="23" t="str">
        <f>VLOOKUP(C:C,'Historic Data - working'!A:B,1,FALSE)</f>
        <v>CAR023</v>
      </c>
      <c r="U554" s="323"/>
      <c r="V554" s="323"/>
      <c r="W554" s="323"/>
    </row>
    <row r="555" spans="1:23" s="23" customFormat="1" ht="14.25" hidden="1" x14ac:dyDescent="0.2">
      <c r="A555" s="381" t="s">
        <v>2191</v>
      </c>
      <c r="B555" s="381" t="s">
        <v>324</v>
      </c>
      <c r="C555" s="400" t="s">
        <v>2268</v>
      </c>
      <c r="D555" s="381" t="s">
        <v>2269</v>
      </c>
      <c r="E555" s="383" t="s">
        <v>2270</v>
      </c>
      <c r="F555" s="381" t="s">
        <v>2271</v>
      </c>
      <c r="G555" s="384"/>
      <c r="H555" s="24"/>
      <c r="I555" s="24"/>
      <c r="J555" s="25" t="str">
        <f t="shared" si="25"/>
        <v xml:space="preserve"> </v>
      </c>
      <c r="K555" s="385"/>
      <c r="L555" s="385"/>
      <c r="M555" s="386">
        <f t="shared" si="26"/>
        <v>0</v>
      </c>
      <c r="N555" s="496"/>
      <c r="O555" s="333">
        <f t="shared" si="27"/>
        <v>0</v>
      </c>
      <c r="R555" s="23" t="e">
        <f>VLOOKUP(C:C,'Historic Data - working'!A:B,1,FALSE)</f>
        <v>#N/A</v>
      </c>
      <c r="U555" s="323"/>
      <c r="V555" s="323"/>
      <c r="W555" s="323"/>
    </row>
    <row r="556" spans="1:23" s="23" customFormat="1" ht="14.25" hidden="1" x14ac:dyDescent="0.2">
      <c r="A556" s="381" t="s">
        <v>2191</v>
      </c>
      <c r="B556" s="381" t="s">
        <v>324</v>
      </c>
      <c r="C556" s="400" t="s">
        <v>2272</v>
      </c>
      <c r="D556" s="381" t="s">
        <v>2273</v>
      </c>
      <c r="E556" s="383" t="s">
        <v>2274</v>
      </c>
      <c r="F556" s="381" t="s">
        <v>2275</v>
      </c>
      <c r="G556" s="384" t="s">
        <v>329</v>
      </c>
      <c r="H556" s="24">
        <v>973.17</v>
      </c>
      <c r="I556" s="24"/>
      <c r="J556" s="25" t="str">
        <f t="shared" ref="J556:J619" si="28">IF(G556="Y","1"," ")</f>
        <v>1</v>
      </c>
      <c r="K556" s="385"/>
      <c r="L556" s="385"/>
      <c r="M556" s="386">
        <f t="shared" si="26"/>
        <v>973.17</v>
      </c>
      <c r="N556" s="496">
        <v>100</v>
      </c>
      <c r="O556" s="333">
        <f t="shared" si="27"/>
        <v>1073.17</v>
      </c>
      <c r="R556" s="23" t="str">
        <f>VLOOKUP(C:C,'Historic Data - working'!A:B,1,FALSE)</f>
        <v>CAR024</v>
      </c>
      <c r="U556" s="323"/>
      <c r="V556" s="323"/>
      <c r="W556" s="323"/>
    </row>
    <row r="557" spans="1:23" s="23" customFormat="1" ht="14.25" hidden="1" x14ac:dyDescent="0.2">
      <c r="A557" s="381" t="s">
        <v>2191</v>
      </c>
      <c r="B557" s="381" t="s">
        <v>351</v>
      </c>
      <c r="C557" s="400" t="s">
        <v>2276</v>
      </c>
      <c r="D557" s="381" t="s">
        <v>2277</v>
      </c>
      <c r="E557" s="383" t="s">
        <v>2278</v>
      </c>
      <c r="F557" s="381" t="s">
        <v>2279</v>
      </c>
      <c r="G557" s="384" t="s">
        <v>329</v>
      </c>
      <c r="H557" s="24"/>
      <c r="I557" s="24">
        <v>701.95</v>
      </c>
      <c r="J557" s="25" t="str">
        <f t="shared" si="28"/>
        <v>1</v>
      </c>
      <c r="K557" s="385"/>
      <c r="L557" s="385"/>
      <c r="M557" s="386">
        <f t="shared" si="26"/>
        <v>0</v>
      </c>
      <c r="N557" s="496">
        <v>851.95</v>
      </c>
      <c r="O557" s="333">
        <f t="shared" si="27"/>
        <v>851.95</v>
      </c>
      <c r="R557" s="23" t="e">
        <f>VLOOKUP(C:C,'Historic Data - working'!A:B,1,FALSE)</f>
        <v>#N/A</v>
      </c>
      <c r="U557" s="323"/>
      <c r="V557" s="323"/>
      <c r="W557" s="323"/>
    </row>
    <row r="558" spans="1:23" s="23" customFormat="1" ht="14.25" hidden="1" x14ac:dyDescent="0.2">
      <c r="A558" s="381" t="s">
        <v>2191</v>
      </c>
      <c r="B558" s="381" t="s">
        <v>324</v>
      </c>
      <c r="C558" s="400" t="s">
        <v>2280</v>
      </c>
      <c r="D558" s="381" t="s">
        <v>2281</v>
      </c>
      <c r="E558" s="383" t="s">
        <v>276</v>
      </c>
      <c r="F558" s="381" t="s">
        <v>2282</v>
      </c>
      <c r="G558" s="384" t="s">
        <v>329</v>
      </c>
      <c r="H558" s="24">
        <f>10+30.92+66.38+17.35+76.67+16.57+135.98</f>
        <v>353.87</v>
      </c>
      <c r="I558" s="24"/>
      <c r="J558" s="25" t="str">
        <f t="shared" si="28"/>
        <v>1</v>
      </c>
      <c r="K558" s="387" t="s">
        <v>2283</v>
      </c>
      <c r="L558" s="385">
        <v>0.06</v>
      </c>
      <c r="M558" s="386">
        <f t="shared" si="26"/>
        <v>353.93</v>
      </c>
      <c r="N558" s="496">
        <v>5</v>
      </c>
      <c r="O558" s="333">
        <f t="shared" si="27"/>
        <v>358.93</v>
      </c>
      <c r="R558" s="23" t="str">
        <f>VLOOKUP(C:C,'Historic Data - working'!A:B,1,FALSE)</f>
        <v>CAR027</v>
      </c>
      <c r="U558" s="323"/>
      <c r="V558" s="323"/>
      <c r="W558" s="323"/>
    </row>
    <row r="559" spans="1:23" s="23" customFormat="1" ht="14.25" hidden="1" x14ac:dyDescent="0.2">
      <c r="A559" s="381" t="s">
        <v>2191</v>
      </c>
      <c r="B559" s="381" t="s">
        <v>324</v>
      </c>
      <c r="C559" s="400" t="s">
        <v>2284</v>
      </c>
      <c r="D559" s="381" t="s">
        <v>2285</v>
      </c>
      <c r="E559" s="383" t="s">
        <v>2286</v>
      </c>
      <c r="F559" s="381" t="s">
        <v>2287</v>
      </c>
      <c r="G559" s="384" t="s">
        <v>329</v>
      </c>
      <c r="H559" s="24">
        <f>385.01+350+316.47+15+792+168.15+80</f>
        <v>2106.63</v>
      </c>
      <c r="I559" s="24"/>
      <c r="J559" s="25" t="str">
        <f t="shared" si="28"/>
        <v>1</v>
      </c>
      <c r="K559" s="385"/>
      <c r="L559" s="385"/>
      <c r="M559" s="386">
        <f t="shared" si="26"/>
        <v>2106.63</v>
      </c>
      <c r="N559" s="496">
        <v>427</v>
      </c>
      <c r="O559" s="333">
        <f t="shared" si="27"/>
        <v>2533.63</v>
      </c>
      <c r="R559" s="23" t="str">
        <f>VLOOKUP(C:C,'Historic Data - working'!A:B,1,FALSE)</f>
        <v>CAR028</v>
      </c>
      <c r="U559" s="323"/>
      <c r="V559" s="323"/>
      <c r="W559" s="323"/>
    </row>
    <row r="560" spans="1:23" s="23" customFormat="1" ht="14.25" hidden="1" x14ac:dyDescent="0.2">
      <c r="A560" s="381" t="s">
        <v>2191</v>
      </c>
      <c r="B560" s="381" t="s">
        <v>324</v>
      </c>
      <c r="C560" s="400" t="s">
        <v>2288</v>
      </c>
      <c r="D560" s="381" t="s">
        <v>2289</v>
      </c>
      <c r="E560" s="383" t="s">
        <v>2290</v>
      </c>
      <c r="F560" s="381" t="s">
        <v>2291</v>
      </c>
      <c r="G560" s="384" t="s">
        <v>329</v>
      </c>
      <c r="H560" s="24">
        <f>72.96+15+225.6+132.55+228.95</f>
        <v>675.06</v>
      </c>
      <c r="I560" s="24"/>
      <c r="J560" s="25" t="str">
        <f t="shared" si="28"/>
        <v>1</v>
      </c>
      <c r="K560" s="385"/>
      <c r="L560" s="385"/>
      <c r="M560" s="386">
        <f t="shared" si="26"/>
        <v>675.06</v>
      </c>
      <c r="N560" s="496">
        <v>108</v>
      </c>
      <c r="O560" s="333">
        <f t="shared" si="27"/>
        <v>783.06</v>
      </c>
      <c r="R560" s="23" t="str">
        <f>VLOOKUP(C:C,'Historic Data - working'!A:B,1,FALSE)</f>
        <v>CAR031</v>
      </c>
      <c r="U560" s="323"/>
      <c r="V560" s="323"/>
      <c r="W560" s="323"/>
    </row>
    <row r="561" spans="1:23" s="23" customFormat="1" ht="14.25" hidden="1" x14ac:dyDescent="0.2">
      <c r="A561" s="381" t="s">
        <v>2191</v>
      </c>
      <c r="B561" s="381" t="s">
        <v>351</v>
      </c>
      <c r="C561" s="400" t="s">
        <v>2292</v>
      </c>
      <c r="D561" s="381" t="s">
        <v>2293</v>
      </c>
      <c r="E561" s="383" t="s">
        <v>31</v>
      </c>
      <c r="F561" s="381" t="s">
        <v>2275</v>
      </c>
      <c r="G561" s="384"/>
      <c r="H561" s="24"/>
      <c r="I561" s="24"/>
      <c r="J561" s="25" t="str">
        <f t="shared" si="28"/>
        <v xml:space="preserve"> </v>
      </c>
      <c r="K561" s="385" t="s">
        <v>337</v>
      </c>
      <c r="L561" s="385">
        <v>431.95</v>
      </c>
      <c r="M561" s="386">
        <f t="shared" si="26"/>
        <v>431.95</v>
      </c>
      <c r="N561" s="496">
        <v>130</v>
      </c>
      <c r="O561" s="333">
        <f t="shared" si="27"/>
        <v>561.95000000000005</v>
      </c>
      <c r="R561" s="23" t="str">
        <f>VLOOKUP(C:C,'Historic Data - working'!A:B,1,FALSE)</f>
        <v>CAR032</v>
      </c>
      <c r="U561" s="323"/>
      <c r="V561" s="323"/>
      <c r="W561" s="323"/>
    </row>
    <row r="562" spans="1:23" s="23" customFormat="1" ht="14.25" hidden="1" x14ac:dyDescent="0.2">
      <c r="A562" s="381" t="s">
        <v>2191</v>
      </c>
      <c r="B562" s="381" t="s">
        <v>324</v>
      </c>
      <c r="C562" s="400" t="s">
        <v>2294</v>
      </c>
      <c r="D562" s="381" t="s">
        <v>2295</v>
      </c>
      <c r="E562" s="383" t="s">
        <v>61</v>
      </c>
      <c r="F562" s="381" t="s">
        <v>2296</v>
      </c>
      <c r="G562" s="384" t="s">
        <v>329</v>
      </c>
      <c r="H562" s="24">
        <f>173+184.3</f>
        <v>357.3</v>
      </c>
      <c r="I562" s="24"/>
      <c r="J562" s="25" t="str">
        <f t="shared" si="28"/>
        <v>1</v>
      </c>
      <c r="K562" s="387" t="s">
        <v>2297</v>
      </c>
      <c r="L562" s="385">
        <v>0.49</v>
      </c>
      <c r="M562" s="386">
        <f t="shared" si="26"/>
        <v>357.79</v>
      </c>
      <c r="N562" s="496">
        <v>100</v>
      </c>
      <c r="O562" s="333">
        <f t="shared" si="27"/>
        <v>457.79</v>
      </c>
      <c r="R562" s="23" t="str">
        <f>VLOOKUP(C:C,'Historic Data - working'!A:B,1,FALSE)</f>
        <v>CAR034</v>
      </c>
      <c r="U562" s="323"/>
      <c r="V562" s="323"/>
      <c r="W562" s="323"/>
    </row>
    <row r="563" spans="1:23" s="23" customFormat="1" ht="14.25" hidden="1" x14ac:dyDescent="0.2">
      <c r="A563" s="381" t="s">
        <v>2191</v>
      </c>
      <c r="B563" s="381" t="s">
        <v>351</v>
      </c>
      <c r="C563" s="400" t="s">
        <v>2298</v>
      </c>
      <c r="D563" s="381" t="s">
        <v>2299</v>
      </c>
      <c r="E563" s="383" t="s">
        <v>2300</v>
      </c>
      <c r="F563" s="381" t="s">
        <v>2301</v>
      </c>
      <c r="G563" s="384"/>
      <c r="H563" s="24"/>
      <c r="I563" s="24"/>
      <c r="J563" s="25" t="str">
        <f t="shared" si="28"/>
        <v xml:space="preserve"> </v>
      </c>
      <c r="K563" s="385"/>
      <c r="L563" s="385"/>
      <c r="M563" s="386">
        <f t="shared" si="26"/>
        <v>0</v>
      </c>
      <c r="N563" s="496">
        <v>90</v>
      </c>
      <c r="O563" s="333">
        <f t="shared" si="27"/>
        <v>90</v>
      </c>
      <c r="R563" s="23" t="e">
        <f>VLOOKUP(C:C,'Historic Data - working'!A:B,1,FALSE)</f>
        <v>#N/A</v>
      </c>
      <c r="U563" s="323"/>
      <c r="V563" s="323"/>
      <c r="W563" s="323"/>
    </row>
    <row r="564" spans="1:23" s="23" customFormat="1" ht="14.25" hidden="1" x14ac:dyDescent="0.2">
      <c r="A564" s="381" t="s">
        <v>2191</v>
      </c>
      <c r="B564" s="381" t="s">
        <v>324</v>
      </c>
      <c r="C564" s="400" t="s">
        <v>2302</v>
      </c>
      <c r="D564" s="381" t="s">
        <v>2303</v>
      </c>
      <c r="E564" s="383" t="s">
        <v>2304</v>
      </c>
      <c r="F564" s="381" t="s">
        <v>195</v>
      </c>
      <c r="G564" s="384" t="s">
        <v>329</v>
      </c>
      <c r="H564" s="24">
        <v>1080.29</v>
      </c>
      <c r="I564" s="24">
        <v>79.760000000000005</v>
      </c>
      <c r="J564" s="25" t="str">
        <f t="shared" si="28"/>
        <v>1</v>
      </c>
      <c r="K564" s="385"/>
      <c r="L564" s="385"/>
      <c r="M564" s="386">
        <f t="shared" si="26"/>
        <v>1080.29</v>
      </c>
      <c r="N564" s="496">
        <v>85</v>
      </c>
      <c r="O564" s="333">
        <f t="shared" si="27"/>
        <v>1165.29</v>
      </c>
      <c r="R564" s="23" t="str">
        <f>VLOOKUP(C:C,'Historic Data - working'!A:B,1,FALSE)</f>
        <v>CAR036</v>
      </c>
      <c r="U564" s="323"/>
      <c r="V564" s="323"/>
      <c r="W564" s="323"/>
    </row>
    <row r="565" spans="1:23" s="23" customFormat="1" ht="14.25" hidden="1" x14ac:dyDescent="0.2">
      <c r="A565" s="381" t="s">
        <v>2191</v>
      </c>
      <c r="B565" s="381" t="s">
        <v>324</v>
      </c>
      <c r="C565" s="400" t="s">
        <v>2305</v>
      </c>
      <c r="D565" s="381" t="s">
        <v>2306</v>
      </c>
      <c r="E565" s="383" t="s">
        <v>2286</v>
      </c>
      <c r="F565" s="381" t="s">
        <v>2307</v>
      </c>
      <c r="G565" s="384"/>
      <c r="H565" s="24"/>
      <c r="I565" s="24"/>
      <c r="J565" s="25" t="str">
        <f t="shared" si="28"/>
        <v xml:space="preserve"> </v>
      </c>
      <c r="K565" s="385" t="s">
        <v>337</v>
      </c>
      <c r="L565" s="385">
        <v>1406.58</v>
      </c>
      <c r="M565" s="386">
        <f t="shared" si="26"/>
        <v>1406.58</v>
      </c>
      <c r="N565" s="496">
        <v>143.5</v>
      </c>
      <c r="O565" s="333">
        <f t="shared" si="27"/>
        <v>1550.08</v>
      </c>
      <c r="R565" s="23" t="str">
        <f>VLOOKUP(C:C,'Historic Data - working'!A:B,1,FALSE)</f>
        <v>CAR037</v>
      </c>
      <c r="U565" s="323"/>
      <c r="V565" s="323"/>
      <c r="W565" s="323"/>
    </row>
    <row r="566" spans="1:23" s="23" customFormat="1" ht="28.5" hidden="1" x14ac:dyDescent="0.2">
      <c r="A566" s="381" t="s">
        <v>2191</v>
      </c>
      <c r="B566" s="381" t="s">
        <v>351</v>
      </c>
      <c r="C566" s="400" t="s">
        <v>2308</v>
      </c>
      <c r="D566" s="381" t="s">
        <v>2309</v>
      </c>
      <c r="E566" s="383" t="s">
        <v>2310</v>
      </c>
      <c r="F566" s="381" t="s">
        <v>2311</v>
      </c>
      <c r="G566" s="384" t="s">
        <v>329</v>
      </c>
      <c r="H566" s="24">
        <f>99.12+40</f>
        <v>139.12</v>
      </c>
      <c r="I566" s="24"/>
      <c r="J566" s="25" t="str">
        <f t="shared" si="28"/>
        <v>1</v>
      </c>
      <c r="K566" s="385"/>
      <c r="L566" s="385"/>
      <c r="M566" s="386">
        <f t="shared" si="26"/>
        <v>139.12</v>
      </c>
      <c r="N566" s="496">
        <v>203</v>
      </c>
      <c r="O566" s="333">
        <f t="shared" si="27"/>
        <v>342.12</v>
      </c>
      <c r="R566" s="23" t="str">
        <f>VLOOKUP(C:C,'Historic Data - working'!A:B,1,FALSE)</f>
        <v>CAR038</v>
      </c>
      <c r="U566" s="323"/>
      <c r="V566" s="323"/>
      <c r="W566" s="323"/>
    </row>
    <row r="567" spans="1:23" s="23" customFormat="1" ht="14.25" hidden="1" x14ac:dyDescent="0.2">
      <c r="A567" s="381" t="s">
        <v>2191</v>
      </c>
      <c r="B567" s="381" t="s">
        <v>351</v>
      </c>
      <c r="C567" s="400" t="s">
        <v>2312</v>
      </c>
      <c r="D567" s="381" t="s">
        <v>2313</v>
      </c>
      <c r="E567" s="383" t="s">
        <v>2314</v>
      </c>
      <c r="F567" s="381" t="s">
        <v>2315</v>
      </c>
      <c r="G567" s="384"/>
      <c r="H567" s="24"/>
      <c r="I567" s="24"/>
      <c r="J567" s="25" t="str">
        <f t="shared" si="28"/>
        <v xml:space="preserve"> </v>
      </c>
      <c r="K567" s="385" t="s">
        <v>337</v>
      </c>
      <c r="L567" s="385">
        <v>490.02</v>
      </c>
      <c r="M567" s="386">
        <f t="shared" si="26"/>
        <v>490.02</v>
      </c>
      <c r="N567" s="496">
        <v>70</v>
      </c>
      <c r="O567" s="333">
        <f t="shared" si="27"/>
        <v>560.02</v>
      </c>
      <c r="R567" s="23" t="str">
        <f>VLOOKUP(C:C,'Historic Data - working'!A:B,1,FALSE)</f>
        <v>CAR038A</v>
      </c>
      <c r="U567" s="323"/>
      <c r="V567" s="323"/>
      <c r="W567" s="323"/>
    </row>
    <row r="568" spans="1:23" s="23" customFormat="1" ht="28.5" hidden="1" x14ac:dyDescent="0.2">
      <c r="A568" s="381" t="s">
        <v>2191</v>
      </c>
      <c r="B568" s="381" t="s">
        <v>351</v>
      </c>
      <c r="C568" s="400" t="s">
        <v>2316</v>
      </c>
      <c r="D568" s="381" t="s">
        <v>2317</v>
      </c>
      <c r="E568" s="383" t="s">
        <v>2318</v>
      </c>
      <c r="F568" s="381" t="s">
        <v>2319</v>
      </c>
      <c r="G568" s="384" t="s">
        <v>329</v>
      </c>
      <c r="H568" s="24">
        <f>1335+1305.8</f>
        <v>2640.8</v>
      </c>
      <c r="I568" s="24"/>
      <c r="J568" s="25" t="str">
        <f t="shared" si="28"/>
        <v>1</v>
      </c>
      <c r="K568" s="385"/>
      <c r="L568" s="385"/>
      <c r="M568" s="386">
        <f t="shared" si="26"/>
        <v>2640.8</v>
      </c>
      <c r="N568" s="496">
        <v>266</v>
      </c>
      <c r="O568" s="333">
        <f t="shared" si="27"/>
        <v>2906.8</v>
      </c>
      <c r="R568" s="23" t="str">
        <f>VLOOKUP(C:C,'Historic Data - working'!A:B,1,FALSE)</f>
        <v>CAR041</v>
      </c>
      <c r="U568" s="323"/>
      <c r="V568" s="323"/>
      <c r="W568" s="323"/>
    </row>
    <row r="569" spans="1:23" s="23" customFormat="1" ht="14.25" hidden="1" x14ac:dyDescent="0.2">
      <c r="A569" s="381" t="s">
        <v>2191</v>
      </c>
      <c r="B569" s="381" t="s">
        <v>351</v>
      </c>
      <c r="C569" s="400" t="s">
        <v>2320</v>
      </c>
      <c r="D569" s="381" t="s">
        <v>2321</v>
      </c>
      <c r="E569" s="383" t="s">
        <v>2322</v>
      </c>
      <c r="F569" s="381" t="s">
        <v>2319</v>
      </c>
      <c r="G569" s="384" t="s">
        <v>329</v>
      </c>
      <c r="H569" s="24">
        <f>777.82+383.32</f>
        <v>1161.1400000000001</v>
      </c>
      <c r="I569" s="24"/>
      <c r="J569" s="25" t="str">
        <f t="shared" si="28"/>
        <v>1</v>
      </c>
      <c r="K569" s="385"/>
      <c r="L569" s="385"/>
      <c r="M569" s="386">
        <f t="shared" si="26"/>
        <v>1161.1400000000001</v>
      </c>
      <c r="N569" s="496">
        <v>120</v>
      </c>
      <c r="O569" s="333">
        <f t="shared" si="27"/>
        <v>1281.1400000000001</v>
      </c>
      <c r="R569" s="23" t="str">
        <f>VLOOKUP(C:C,'Historic Data - working'!A:B,1,FALSE)</f>
        <v>CAR043</v>
      </c>
      <c r="U569" s="323"/>
      <c r="V569" s="323"/>
      <c r="W569" s="323"/>
    </row>
    <row r="570" spans="1:23" s="23" customFormat="1" ht="14.25" hidden="1" x14ac:dyDescent="0.2">
      <c r="A570" s="381" t="s">
        <v>2191</v>
      </c>
      <c r="B570" s="381" t="s">
        <v>351</v>
      </c>
      <c r="C570" s="400" t="s">
        <v>2323</v>
      </c>
      <c r="D570" s="381" t="s">
        <v>2324</v>
      </c>
      <c r="E570" s="383" t="s">
        <v>2325</v>
      </c>
      <c r="F570" s="381" t="s">
        <v>2326</v>
      </c>
      <c r="G570" s="384" t="s">
        <v>329</v>
      </c>
      <c r="H570" s="24">
        <v>0</v>
      </c>
      <c r="I570" s="24">
        <v>0</v>
      </c>
      <c r="J570" s="25" t="str">
        <f t="shared" si="28"/>
        <v>1</v>
      </c>
      <c r="K570" s="385" t="s">
        <v>2327</v>
      </c>
      <c r="L570" s="385"/>
      <c r="M570" s="386">
        <f t="shared" si="26"/>
        <v>0</v>
      </c>
      <c r="N570" s="496">
        <v>25</v>
      </c>
      <c r="O570" s="333">
        <f t="shared" si="27"/>
        <v>25</v>
      </c>
      <c r="R570" s="23" t="str">
        <f>VLOOKUP(C:C,'Historic Data - working'!A:B,1,FALSE)</f>
        <v>CAR044</v>
      </c>
      <c r="U570" s="323"/>
      <c r="V570" s="323"/>
      <c r="W570" s="323"/>
    </row>
    <row r="571" spans="1:23" s="23" customFormat="1" ht="14.25" hidden="1" x14ac:dyDescent="0.2">
      <c r="A571" s="381" t="s">
        <v>2191</v>
      </c>
      <c r="B571" s="381" t="s">
        <v>351</v>
      </c>
      <c r="C571" s="400" t="s">
        <v>2328</v>
      </c>
      <c r="D571" s="381" t="s">
        <v>2329</v>
      </c>
      <c r="E571" s="383" t="s">
        <v>2330</v>
      </c>
      <c r="F571" s="381" t="s">
        <v>2331</v>
      </c>
      <c r="G571" s="384"/>
      <c r="H571" s="24"/>
      <c r="I571" s="24"/>
      <c r="J571" s="25" t="str">
        <f t="shared" si="28"/>
        <v xml:space="preserve"> </v>
      </c>
      <c r="K571" s="385" t="s">
        <v>337</v>
      </c>
      <c r="L571" s="385">
        <v>1220.5</v>
      </c>
      <c r="M571" s="386">
        <f t="shared" si="26"/>
        <v>1220.5</v>
      </c>
      <c r="N571" s="496">
        <v>15</v>
      </c>
      <c r="O571" s="333">
        <f t="shared" si="27"/>
        <v>1235.5</v>
      </c>
      <c r="R571" s="23" t="str">
        <f>VLOOKUP(C:C,'Historic Data - working'!A:B,1,FALSE)</f>
        <v>CAR045</v>
      </c>
      <c r="U571" s="323"/>
      <c r="V571" s="323"/>
      <c r="W571" s="323"/>
    </row>
    <row r="572" spans="1:23" s="23" customFormat="1" ht="14.25" hidden="1" x14ac:dyDescent="0.2">
      <c r="A572" s="381" t="s">
        <v>2191</v>
      </c>
      <c r="B572" s="381" t="s">
        <v>351</v>
      </c>
      <c r="C572" s="400" t="s">
        <v>2332</v>
      </c>
      <c r="D572" s="381" t="s">
        <v>2333</v>
      </c>
      <c r="E572" s="383" t="s">
        <v>579</v>
      </c>
      <c r="F572" s="381" t="s">
        <v>2334</v>
      </c>
      <c r="G572" s="384" t="s">
        <v>329</v>
      </c>
      <c r="H572" s="24">
        <f>340+350</f>
        <v>690</v>
      </c>
      <c r="I572" s="24"/>
      <c r="J572" s="25" t="str">
        <f t="shared" si="28"/>
        <v>1</v>
      </c>
      <c r="K572" s="385"/>
      <c r="L572" s="385"/>
      <c r="M572" s="386">
        <f t="shared" si="26"/>
        <v>690</v>
      </c>
      <c r="N572" s="496">
        <v>135</v>
      </c>
      <c r="O572" s="333">
        <f t="shared" si="27"/>
        <v>825</v>
      </c>
      <c r="R572" s="23" t="str">
        <f>VLOOKUP(C:C,'Historic Data - working'!A:B,1,FALSE)</f>
        <v>CAR046</v>
      </c>
      <c r="U572" s="323"/>
      <c r="V572" s="323"/>
      <c r="W572" s="323"/>
    </row>
    <row r="573" spans="1:23" s="23" customFormat="1" ht="14.25" hidden="1" x14ac:dyDescent="0.2">
      <c r="A573" s="381" t="s">
        <v>2191</v>
      </c>
      <c r="B573" s="381" t="s">
        <v>324</v>
      </c>
      <c r="C573" s="400" t="s">
        <v>2335</v>
      </c>
      <c r="D573" s="381" t="s">
        <v>2336</v>
      </c>
      <c r="E573" s="383" t="s">
        <v>1386</v>
      </c>
      <c r="F573" s="381" t="s">
        <v>2291</v>
      </c>
      <c r="G573" s="384" t="s">
        <v>329</v>
      </c>
      <c r="H573" s="24">
        <f>193.33+126.27+269.03+264.92</f>
        <v>853.55</v>
      </c>
      <c r="I573" s="24"/>
      <c r="J573" s="25" t="str">
        <f t="shared" si="28"/>
        <v>1</v>
      </c>
      <c r="K573" s="385"/>
      <c r="L573" s="385"/>
      <c r="M573" s="386">
        <f t="shared" si="26"/>
        <v>853.55</v>
      </c>
      <c r="N573" s="496">
        <v>605</v>
      </c>
      <c r="O573" s="333">
        <f t="shared" si="27"/>
        <v>1458.55</v>
      </c>
      <c r="R573" s="23" t="str">
        <f>VLOOKUP(C:C,'Historic Data - working'!A:B,1,FALSE)</f>
        <v>CAR050</v>
      </c>
      <c r="U573" s="323"/>
      <c r="V573" s="323"/>
      <c r="W573" s="323"/>
    </row>
    <row r="574" spans="1:23" s="23" customFormat="1" ht="14.25" hidden="1" x14ac:dyDescent="0.2">
      <c r="A574" s="381" t="s">
        <v>2191</v>
      </c>
      <c r="B574" s="381" t="s">
        <v>324</v>
      </c>
      <c r="C574" s="400" t="s">
        <v>2337</v>
      </c>
      <c r="D574" s="381" t="s">
        <v>2338</v>
      </c>
      <c r="E574" s="383" t="s">
        <v>2339</v>
      </c>
      <c r="F574" s="381" t="s">
        <v>2291</v>
      </c>
      <c r="G574" s="384" t="s">
        <v>329</v>
      </c>
      <c r="H574" s="24">
        <f>67.12+129.41+107.97+92.96+108.78+105.27</f>
        <v>611.51</v>
      </c>
      <c r="I574" s="24"/>
      <c r="J574" s="25" t="str">
        <f t="shared" si="28"/>
        <v>1</v>
      </c>
      <c r="K574" s="387" t="s">
        <v>2340</v>
      </c>
      <c r="L574" s="385">
        <v>113.63</v>
      </c>
      <c r="M574" s="386">
        <f t="shared" si="26"/>
        <v>725.14</v>
      </c>
      <c r="N574" s="496">
        <v>110</v>
      </c>
      <c r="O574" s="333">
        <f t="shared" si="27"/>
        <v>835.14</v>
      </c>
      <c r="R574" s="23" t="str">
        <f>VLOOKUP(C:C,'Historic Data - working'!A:B,1,FALSE)</f>
        <v>CAR051</v>
      </c>
      <c r="U574" s="323"/>
      <c r="V574" s="323"/>
      <c r="W574" s="323"/>
    </row>
    <row r="575" spans="1:23" s="23" customFormat="1" ht="14.25" hidden="1" x14ac:dyDescent="0.2">
      <c r="A575" s="381" t="s">
        <v>2191</v>
      </c>
      <c r="B575" s="381" t="s">
        <v>351</v>
      </c>
      <c r="C575" s="400" t="s">
        <v>2341</v>
      </c>
      <c r="D575" s="381" t="s">
        <v>2342</v>
      </c>
      <c r="E575" s="383" t="s">
        <v>2343</v>
      </c>
      <c r="F575" s="381" t="s">
        <v>2344</v>
      </c>
      <c r="G575" s="384"/>
      <c r="H575" s="24"/>
      <c r="I575" s="24"/>
      <c r="J575" s="25" t="str">
        <f t="shared" si="28"/>
        <v xml:space="preserve"> </v>
      </c>
      <c r="K575" s="385"/>
      <c r="L575" s="385"/>
      <c r="M575" s="386">
        <f t="shared" si="26"/>
        <v>0</v>
      </c>
      <c r="N575" s="496"/>
      <c r="O575" s="333">
        <f t="shared" si="27"/>
        <v>0</v>
      </c>
      <c r="R575" s="23" t="e">
        <f>VLOOKUP(C:C,'Historic Data - working'!A:B,1,FALSE)</f>
        <v>#N/A</v>
      </c>
      <c r="U575" s="323"/>
      <c r="V575" s="323"/>
      <c r="W575" s="323"/>
    </row>
    <row r="576" spans="1:23" s="23" customFormat="1" ht="14.25" hidden="1" x14ac:dyDescent="0.2">
      <c r="A576" s="381" t="s">
        <v>2191</v>
      </c>
      <c r="B576" s="381" t="s">
        <v>324</v>
      </c>
      <c r="C576" s="400" t="s">
        <v>2345</v>
      </c>
      <c r="D576" s="381" t="s">
        <v>2346</v>
      </c>
      <c r="E576" s="383" t="s">
        <v>2347</v>
      </c>
      <c r="F576" s="381" t="s">
        <v>2348</v>
      </c>
      <c r="G576" s="384"/>
      <c r="H576" s="24"/>
      <c r="I576" s="24"/>
      <c r="J576" s="25" t="str">
        <f t="shared" si="28"/>
        <v xml:space="preserve"> </v>
      </c>
      <c r="K576" s="385" t="s">
        <v>337</v>
      </c>
      <c r="L576" s="385">
        <v>553.26</v>
      </c>
      <c r="M576" s="386">
        <f t="shared" si="26"/>
        <v>553.26</v>
      </c>
      <c r="N576" s="496">
        <v>100</v>
      </c>
      <c r="O576" s="333">
        <f t="shared" si="27"/>
        <v>653.26</v>
      </c>
      <c r="R576" s="23" t="str">
        <f>VLOOKUP(C:C,'Historic Data - working'!A:B,1,FALSE)</f>
        <v>CAR053</v>
      </c>
      <c r="U576" s="323"/>
      <c r="V576" s="323"/>
      <c r="W576" s="323"/>
    </row>
    <row r="577" spans="1:23" s="23" customFormat="1" ht="14.25" hidden="1" x14ac:dyDescent="0.2">
      <c r="A577" s="381" t="s">
        <v>2191</v>
      </c>
      <c r="B577" s="381" t="s">
        <v>324</v>
      </c>
      <c r="C577" s="400" t="s">
        <v>2349</v>
      </c>
      <c r="D577" s="381" t="s">
        <v>2350</v>
      </c>
      <c r="E577" s="383" t="s">
        <v>2351</v>
      </c>
      <c r="F577" s="381" t="s">
        <v>2352</v>
      </c>
      <c r="G577" s="384" t="s">
        <v>329</v>
      </c>
      <c r="H577" s="24">
        <f>656+623.85</f>
        <v>1279.8499999999999</v>
      </c>
      <c r="I577" s="24"/>
      <c r="J577" s="25" t="str">
        <f t="shared" si="28"/>
        <v>1</v>
      </c>
      <c r="K577" s="385"/>
      <c r="L577" s="385"/>
      <c r="M577" s="386">
        <f t="shared" si="26"/>
        <v>1279.8499999999999</v>
      </c>
      <c r="N577" s="496">
        <v>895</v>
      </c>
      <c r="O577" s="333">
        <f t="shared" si="27"/>
        <v>2174.85</v>
      </c>
      <c r="R577" s="23" t="str">
        <f>VLOOKUP(C:C,'Historic Data - working'!A:B,1,FALSE)</f>
        <v>CAR054</v>
      </c>
      <c r="U577" s="323"/>
      <c r="V577" s="323"/>
      <c r="W577" s="323"/>
    </row>
    <row r="578" spans="1:23" s="23" customFormat="1" ht="14.25" hidden="1" x14ac:dyDescent="0.2">
      <c r="A578" s="381" t="s">
        <v>2191</v>
      </c>
      <c r="B578" s="381" t="s">
        <v>324</v>
      </c>
      <c r="C578" s="400" t="s">
        <v>2353</v>
      </c>
      <c r="D578" s="381" t="s">
        <v>2354</v>
      </c>
      <c r="E578" s="383" t="s">
        <v>2355</v>
      </c>
      <c r="F578" s="381" t="s">
        <v>2356</v>
      </c>
      <c r="G578" s="384" t="s">
        <v>329</v>
      </c>
      <c r="H578" s="24"/>
      <c r="I578" s="24">
        <f>257.55+486.98</f>
        <v>744.53</v>
      </c>
      <c r="J578" s="25" t="str">
        <f t="shared" si="28"/>
        <v>1</v>
      </c>
      <c r="K578" s="385"/>
      <c r="L578" s="385"/>
      <c r="M578" s="386">
        <f t="shared" ref="M578:M641" si="29">H578+L578</f>
        <v>0</v>
      </c>
      <c r="N578" s="496">
        <v>4071.5299999999997</v>
      </c>
      <c r="O578" s="333">
        <f t="shared" ref="O578:O641" si="30">M578+N578</f>
        <v>4071.5299999999997</v>
      </c>
      <c r="R578" s="23" t="str">
        <f>VLOOKUP(C:C,'Historic Data - working'!A:B,1,FALSE)</f>
        <v>CAR056</v>
      </c>
      <c r="U578" s="323"/>
      <c r="V578" s="323"/>
      <c r="W578" s="323"/>
    </row>
    <row r="579" spans="1:23" s="23" customFormat="1" ht="28.5" hidden="1" x14ac:dyDescent="0.2">
      <c r="A579" s="381" t="s">
        <v>2191</v>
      </c>
      <c r="B579" s="381" t="s">
        <v>324</v>
      </c>
      <c r="C579" s="400" t="s">
        <v>2357</v>
      </c>
      <c r="D579" s="381" t="s">
        <v>2358</v>
      </c>
      <c r="E579" s="383" t="s">
        <v>2359</v>
      </c>
      <c r="F579" s="381" t="s">
        <v>2360</v>
      </c>
      <c r="G579" s="384" t="s">
        <v>329</v>
      </c>
      <c r="H579" s="24">
        <v>2731.96</v>
      </c>
      <c r="I579" s="24"/>
      <c r="J579" s="25" t="str">
        <f t="shared" si="28"/>
        <v>1</v>
      </c>
      <c r="K579" s="385" t="s">
        <v>2361</v>
      </c>
      <c r="L579" s="385">
        <v>-0.2</v>
      </c>
      <c r="M579" s="386">
        <f t="shared" si="29"/>
        <v>2731.76</v>
      </c>
      <c r="N579" s="496">
        <v>135</v>
      </c>
      <c r="O579" s="333">
        <f t="shared" si="30"/>
        <v>2866.76</v>
      </c>
      <c r="R579" s="23" t="str">
        <f>VLOOKUP(C:C,'Historic Data - working'!A:B,1,FALSE)</f>
        <v>CAR057</v>
      </c>
      <c r="U579" s="323"/>
      <c r="V579" s="323"/>
      <c r="W579" s="323"/>
    </row>
    <row r="580" spans="1:23" s="23" customFormat="1" ht="14.25" hidden="1" x14ac:dyDescent="0.2">
      <c r="A580" s="381" t="s">
        <v>2191</v>
      </c>
      <c r="B580" s="381" t="s">
        <v>324</v>
      </c>
      <c r="C580" s="400" t="s">
        <v>2362</v>
      </c>
      <c r="D580" s="381" t="s">
        <v>2363</v>
      </c>
      <c r="E580" s="383" t="s">
        <v>2364</v>
      </c>
      <c r="F580" s="381" t="s">
        <v>2365</v>
      </c>
      <c r="G580" s="384"/>
      <c r="H580" s="24"/>
      <c r="I580" s="24"/>
      <c r="J580" s="25" t="str">
        <f t="shared" si="28"/>
        <v xml:space="preserve"> </v>
      </c>
      <c r="K580" s="385"/>
      <c r="L580" s="385"/>
      <c r="M580" s="386">
        <f t="shared" si="29"/>
        <v>0</v>
      </c>
      <c r="N580" s="496"/>
      <c r="O580" s="333">
        <f t="shared" si="30"/>
        <v>0</v>
      </c>
      <c r="R580" s="23" t="e">
        <f>VLOOKUP(C:C,'Historic Data - working'!A:B,1,FALSE)</f>
        <v>#N/A</v>
      </c>
      <c r="U580" s="323"/>
      <c r="V580" s="323"/>
      <c r="W580" s="323"/>
    </row>
    <row r="581" spans="1:23" s="23" customFormat="1" ht="14.25" hidden="1" x14ac:dyDescent="0.2">
      <c r="A581" s="381" t="s">
        <v>2191</v>
      </c>
      <c r="B581" s="381" t="s">
        <v>324</v>
      </c>
      <c r="C581" s="400" t="s">
        <v>2366</v>
      </c>
      <c r="D581" s="381" t="s">
        <v>2367</v>
      </c>
      <c r="E581" s="383" t="s">
        <v>2368</v>
      </c>
      <c r="F581" s="381" t="s">
        <v>2369</v>
      </c>
      <c r="G581" s="384" t="s">
        <v>329</v>
      </c>
      <c r="H581" s="24">
        <f>151.85+107+62+130+15+26+449+90+65+45+115+111+55+602+50</f>
        <v>2073.85</v>
      </c>
      <c r="I581" s="24"/>
      <c r="J581" s="25" t="str">
        <f t="shared" si="28"/>
        <v>1</v>
      </c>
      <c r="K581" s="387" t="s">
        <v>2370</v>
      </c>
      <c r="L581" s="385">
        <v>-61</v>
      </c>
      <c r="M581" s="386">
        <f t="shared" si="29"/>
        <v>2012.85</v>
      </c>
      <c r="N581" s="496"/>
      <c r="O581" s="333">
        <f t="shared" si="30"/>
        <v>2012.85</v>
      </c>
      <c r="R581" s="23" t="str">
        <f>VLOOKUP(C:C,'Historic Data - working'!A:B,1,FALSE)</f>
        <v>CAR059</v>
      </c>
      <c r="U581" s="323"/>
      <c r="V581" s="323"/>
      <c r="W581" s="323"/>
    </row>
    <row r="582" spans="1:23" s="23" customFormat="1" ht="14.25" hidden="1" x14ac:dyDescent="0.2">
      <c r="A582" s="381" t="s">
        <v>2191</v>
      </c>
      <c r="B582" s="381" t="s">
        <v>351</v>
      </c>
      <c r="C582" s="400" t="s">
        <v>2371</v>
      </c>
      <c r="D582" s="381" t="s">
        <v>2372</v>
      </c>
      <c r="E582" s="383" t="s">
        <v>2373</v>
      </c>
      <c r="F582" s="381" t="s">
        <v>2331</v>
      </c>
      <c r="G582" s="384"/>
      <c r="H582" s="24"/>
      <c r="I582" s="24"/>
      <c r="J582" s="25" t="str">
        <f t="shared" si="28"/>
        <v xml:space="preserve"> </v>
      </c>
      <c r="K582" s="385" t="s">
        <v>337</v>
      </c>
      <c r="L582" s="385">
        <v>1290.05</v>
      </c>
      <c r="M582" s="386">
        <f t="shared" si="29"/>
        <v>1290.05</v>
      </c>
      <c r="N582" s="496">
        <v>200</v>
      </c>
      <c r="O582" s="333">
        <f t="shared" si="30"/>
        <v>1490.05</v>
      </c>
      <c r="R582" s="23" t="str">
        <f>VLOOKUP(C:C,'Historic Data - working'!A:B,1,FALSE)</f>
        <v>CAR060</v>
      </c>
      <c r="U582" s="323"/>
      <c r="V582" s="323"/>
      <c r="W582" s="323"/>
    </row>
    <row r="583" spans="1:23" s="23" customFormat="1" ht="14.25" hidden="1" x14ac:dyDescent="0.2">
      <c r="A583" s="381" t="s">
        <v>2191</v>
      </c>
      <c r="B583" s="381" t="s">
        <v>351</v>
      </c>
      <c r="C583" s="400" t="s">
        <v>2374</v>
      </c>
      <c r="D583" s="381" t="s">
        <v>2375</v>
      </c>
      <c r="E583" s="383" t="s">
        <v>2376</v>
      </c>
      <c r="F583" s="381" t="s">
        <v>2331</v>
      </c>
      <c r="G583" s="384" t="s">
        <v>329</v>
      </c>
      <c r="H583" s="24">
        <f>60.42+335.57+76.05+334.42+54.61+76.85</f>
        <v>937.92000000000007</v>
      </c>
      <c r="I583" s="24"/>
      <c r="J583" s="25" t="str">
        <f t="shared" si="28"/>
        <v>1</v>
      </c>
      <c r="K583" s="385"/>
      <c r="L583" s="385"/>
      <c r="M583" s="386">
        <f t="shared" si="29"/>
        <v>937.92000000000007</v>
      </c>
      <c r="N583" s="496">
        <v>9</v>
      </c>
      <c r="O583" s="333">
        <f t="shared" si="30"/>
        <v>946.92000000000007</v>
      </c>
      <c r="R583" s="23" t="str">
        <f>VLOOKUP(C:C,'Historic Data - working'!A:B,1,FALSE)</f>
        <v>CAR061</v>
      </c>
      <c r="U583" s="323"/>
      <c r="V583" s="323"/>
      <c r="W583" s="323"/>
    </row>
    <row r="584" spans="1:23" s="23" customFormat="1" ht="14.25" hidden="1" x14ac:dyDescent="0.2">
      <c r="A584" s="381" t="s">
        <v>2191</v>
      </c>
      <c r="B584" s="381" t="s">
        <v>351</v>
      </c>
      <c r="C584" s="400" t="s">
        <v>2377</v>
      </c>
      <c r="D584" s="381" t="s">
        <v>2378</v>
      </c>
      <c r="E584" s="383" t="s">
        <v>2379</v>
      </c>
      <c r="F584" s="381" t="s">
        <v>2331</v>
      </c>
      <c r="G584" s="384"/>
      <c r="H584" s="24"/>
      <c r="I584" s="24"/>
      <c r="J584" s="25" t="str">
        <f t="shared" si="28"/>
        <v xml:space="preserve"> </v>
      </c>
      <c r="K584" s="385" t="s">
        <v>337</v>
      </c>
      <c r="L584" s="385">
        <v>575.57000000000005</v>
      </c>
      <c r="M584" s="386">
        <f t="shared" si="29"/>
        <v>575.57000000000005</v>
      </c>
      <c r="N584" s="496">
        <v>601.66999999999996</v>
      </c>
      <c r="O584" s="333">
        <f t="shared" si="30"/>
        <v>1177.24</v>
      </c>
      <c r="R584" s="23" t="str">
        <f>VLOOKUP(C:C,'Historic Data - working'!A:B,1,FALSE)</f>
        <v>CAR062</v>
      </c>
      <c r="U584" s="323"/>
      <c r="V584" s="323"/>
      <c r="W584" s="323"/>
    </row>
    <row r="585" spans="1:23" s="23" customFormat="1" ht="28.5" hidden="1" x14ac:dyDescent="0.2">
      <c r="A585" s="381" t="s">
        <v>2191</v>
      </c>
      <c r="B585" s="381" t="s">
        <v>351</v>
      </c>
      <c r="C585" s="400" t="s">
        <v>2380</v>
      </c>
      <c r="D585" s="381" t="s">
        <v>2381</v>
      </c>
      <c r="E585" s="383" t="s">
        <v>2382</v>
      </c>
      <c r="F585" s="381" t="s">
        <v>2383</v>
      </c>
      <c r="G585" s="384" t="s">
        <v>329</v>
      </c>
      <c r="H585" s="24">
        <f>508.18+347.06</f>
        <v>855.24</v>
      </c>
      <c r="I585" s="24"/>
      <c r="J585" s="25" t="str">
        <f t="shared" si="28"/>
        <v>1</v>
      </c>
      <c r="K585" s="385" t="s">
        <v>2384</v>
      </c>
      <c r="L585" s="385">
        <v>-0.03</v>
      </c>
      <c r="M585" s="386">
        <f t="shared" si="29"/>
        <v>855.21</v>
      </c>
      <c r="N585" s="496">
        <v>115</v>
      </c>
      <c r="O585" s="333">
        <f t="shared" si="30"/>
        <v>970.21</v>
      </c>
      <c r="R585" s="23" t="str">
        <f>VLOOKUP(C:C,'Historic Data - working'!A:B,1,FALSE)</f>
        <v>CAR063</v>
      </c>
      <c r="U585" s="323"/>
      <c r="V585" s="323"/>
      <c r="W585" s="323"/>
    </row>
    <row r="586" spans="1:23" s="23" customFormat="1" ht="14.25" hidden="1" x14ac:dyDescent="0.2">
      <c r="A586" s="381" t="s">
        <v>2191</v>
      </c>
      <c r="B586" s="381" t="s">
        <v>351</v>
      </c>
      <c r="C586" s="400" t="s">
        <v>2385</v>
      </c>
      <c r="D586" s="381" t="s">
        <v>2386</v>
      </c>
      <c r="E586" s="383" t="s">
        <v>2387</v>
      </c>
      <c r="F586" s="381" t="s">
        <v>2258</v>
      </c>
      <c r="G586" s="384" t="s">
        <v>394</v>
      </c>
      <c r="H586" s="24">
        <v>1421.91</v>
      </c>
      <c r="I586" s="24"/>
      <c r="J586" s="25" t="str">
        <f t="shared" si="28"/>
        <v>1</v>
      </c>
      <c r="K586" s="385"/>
      <c r="L586" s="385"/>
      <c r="M586" s="386">
        <f t="shared" si="29"/>
        <v>1421.91</v>
      </c>
      <c r="N586" s="496">
        <v>25</v>
      </c>
      <c r="O586" s="334">
        <f t="shared" si="30"/>
        <v>1446.91</v>
      </c>
      <c r="P586" s="351"/>
      <c r="Q586" s="331"/>
      <c r="R586" s="331" t="e">
        <f>VLOOKUP(C:C,'Historic Data - working'!A:B,1,FALSE)</f>
        <v>#N/A</v>
      </c>
      <c r="U586" s="323"/>
      <c r="V586" s="323"/>
      <c r="W586" s="323"/>
    </row>
    <row r="587" spans="1:23" s="23" customFormat="1" ht="14.25" hidden="1" x14ac:dyDescent="0.2">
      <c r="A587" s="381" t="s">
        <v>2191</v>
      </c>
      <c r="B587" s="381" t="s">
        <v>351</v>
      </c>
      <c r="C587" s="400" t="s">
        <v>2388</v>
      </c>
      <c r="D587" s="381" t="s">
        <v>2389</v>
      </c>
      <c r="E587" s="383" t="s">
        <v>2390</v>
      </c>
      <c r="F587" s="381" t="s">
        <v>2391</v>
      </c>
      <c r="G587" s="384" t="s">
        <v>329</v>
      </c>
      <c r="H587" s="24"/>
      <c r="I587" s="24">
        <v>650.09</v>
      </c>
      <c r="J587" s="25" t="str">
        <f t="shared" si="28"/>
        <v>1</v>
      </c>
      <c r="K587" s="385" t="s">
        <v>2392</v>
      </c>
      <c r="L587" s="385"/>
      <c r="M587" s="386">
        <f t="shared" si="29"/>
        <v>0</v>
      </c>
      <c r="N587" s="496">
        <v>850.09</v>
      </c>
      <c r="O587" s="333">
        <f t="shared" si="30"/>
        <v>850.09</v>
      </c>
      <c r="R587" s="23" t="e">
        <f>VLOOKUP(C:C,'Historic Data - working'!A:B,1,FALSE)</f>
        <v>#N/A</v>
      </c>
      <c r="U587" s="323"/>
      <c r="V587" s="323"/>
      <c r="W587" s="323"/>
    </row>
    <row r="588" spans="1:23" s="23" customFormat="1" ht="14.25" hidden="1" x14ac:dyDescent="0.2">
      <c r="A588" s="381" t="s">
        <v>2191</v>
      </c>
      <c r="B588" s="381" t="s">
        <v>324</v>
      </c>
      <c r="C588" s="400" t="s">
        <v>2393</v>
      </c>
      <c r="D588" s="381" t="s">
        <v>2394</v>
      </c>
      <c r="E588" s="383" t="s">
        <v>2395</v>
      </c>
      <c r="F588" s="381" t="s">
        <v>195</v>
      </c>
      <c r="G588" s="384"/>
      <c r="H588" s="24"/>
      <c r="I588" s="24"/>
      <c r="J588" s="25" t="str">
        <f t="shared" si="28"/>
        <v xml:space="preserve"> </v>
      </c>
      <c r="K588" s="385"/>
      <c r="L588" s="385"/>
      <c r="M588" s="386">
        <f t="shared" si="29"/>
        <v>0</v>
      </c>
      <c r="N588" s="496">
        <v>216</v>
      </c>
      <c r="O588" s="333">
        <f t="shared" si="30"/>
        <v>216</v>
      </c>
      <c r="R588" s="23" t="str">
        <f>VLOOKUP(C:C,'Historic Data - working'!A:B,1,FALSE)</f>
        <v>CAR067</v>
      </c>
      <c r="U588" s="323"/>
      <c r="V588" s="323"/>
      <c r="W588" s="323"/>
    </row>
    <row r="589" spans="1:23" s="23" customFormat="1" ht="14.25" hidden="1" x14ac:dyDescent="0.2">
      <c r="A589" s="381" t="s">
        <v>2191</v>
      </c>
      <c r="B589" s="381" t="s">
        <v>324</v>
      </c>
      <c r="C589" s="400" t="s">
        <v>2396</v>
      </c>
      <c r="D589" s="381" t="s">
        <v>2397</v>
      </c>
      <c r="E589" s="383" t="s">
        <v>2398</v>
      </c>
      <c r="F589" s="381" t="s">
        <v>195</v>
      </c>
      <c r="G589" s="384" t="s">
        <v>329</v>
      </c>
      <c r="H589" s="24"/>
      <c r="I589" s="24">
        <v>688.95</v>
      </c>
      <c r="J589" s="25" t="str">
        <f t="shared" si="28"/>
        <v>1</v>
      </c>
      <c r="K589" s="385"/>
      <c r="L589" s="385"/>
      <c r="M589" s="386">
        <f t="shared" si="29"/>
        <v>0</v>
      </c>
      <c r="N589" s="496">
        <v>748.95</v>
      </c>
      <c r="O589" s="333">
        <f t="shared" si="30"/>
        <v>748.95</v>
      </c>
      <c r="R589" s="23" t="str">
        <f>VLOOKUP(C:C,'Historic Data - working'!A:B,1,FALSE)</f>
        <v>CAR068</v>
      </c>
      <c r="U589" s="323"/>
      <c r="V589" s="323"/>
      <c r="W589" s="323"/>
    </row>
    <row r="590" spans="1:23" s="23" customFormat="1" ht="14.25" hidden="1" x14ac:dyDescent="0.2">
      <c r="A590" s="381" t="s">
        <v>2191</v>
      </c>
      <c r="B590" s="381" t="s">
        <v>324</v>
      </c>
      <c r="C590" s="400" t="s">
        <v>2399</v>
      </c>
      <c r="D590" s="381" t="s">
        <v>2400</v>
      </c>
      <c r="E590" s="383" t="s">
        <v>2401</v>
      </c>
      <c r="F590" s="381" t="s">
        <v>195</v>
      </c>
      <c r="G590" s="384"/>
      <c r="H590" s="24"/>
      <c r="I590" s="24"/>
      <c r="J590" s="25" t="str">
        <f t="shared" si="28"/>
        <v xml:space="preserve"> </v>
      </c>
      <c r="K590" s="385" t="s">
        <v>337</v>
      </c>
      <c r="L590" s="385">
        <v>448.62</v>
      </c>
      <c r="M590" s="386">
        <f t="shared" si="29"/>
        <v>448.62</v>
      </c>
      <c r="N590" s="496">
        <v>15</v>
      </c>
      <c r="O590" s="333">
        <f t="shared" si="30"/>
        <v>463.62</v>
      </c>
      <c r="R590" s="23" t="str">
        <f>VLOOKUP(C:C,'Historic Data - working'!A:B,1,FALSE)</f>
        <v>CAR069</v>
      </c>
      <c r="U590" s="323"/>
      <c r="V590" s="323"/>
      <c r="W590" s="323"/>
    </row>
    <row r="591" spans="1:23" s="23" customFormat="1" ht="14.25" hidden="1" x14ac:dyDescent="0.2">
      <c r="A591" s="381" t="s">
        <v>2191</v>
      </c>
      <c r="B591" s="381" t="s">
        <v>324</v>
      </c>
      <c r="C591" s="400" t="s">
        <v>2402</v>
      </c>
      <c r="D591" s="381" t="s">
        <v>2403</v>
      </c>
      <c r="E591" s="383" t="s">
        <v>2404</v>
      </c>
      <c r="F591" s="381" t="s">
        <v>195</v>
      </c>
      <c r="G591" s="384" t="s">
        <v>329</v>
      </c>
      <c r="H591" s="24">
        <v>895.56</v>
      </c>
      <c r="I591" s="24"/>
      <c r="J591" s="25" t="str">
        <f t="shared" si="28"/>
        <v>1</v>
      </c>
      <c r="K591" s="385" t="s">
        <v>2405</v>
      </c>
      <c r="L591" s="385">
        <v>60</v>
      </c>
      <c r="M591" s="386">
        <f t="shared" si="29"/>
        <v>955.56</v>
      </c>
      <c r="N591" s="496">
        <v>391</v>
      </c>
      <c r="O591" s="333">
        <f t="shared" si="30"/>
        <v>1346.56</v>
      </c>
      <c r="R591" s="23" t="str">
        <f>VLOOKUP(C:C,'Historic Data - working'!A:B,1,FALSE)</f>
        <v>CAR070</v>
      </c>
      <c r="U591" s="323"/>
      <c r="V591" s="323"/>
      <c r="W591" s="323"/>
    </row>
    <row r="592" spans="1:23" s="23" customFormat="1" ht="14.25" hidden="1" x14ac:dyDescent="0.2">
      <c r="A592" s="381" t="s">
        <v>2191</v>
      </c>
      <c r="B592" s="381" t="s">
        <v>324</v>
      </c>
      <c r="C592" s="400" t="s">
        <v>2406</v>
      </c>
      <c r="D592" s="381" t="s">
        <v>2407</v>
      </c>
      <c r="E592" s="383" t="s">
        <v>2408</v>
      </c>
      <c r="F592" s="381" t="s">
        <v>195</v>
      </c>
      <c r="G592" s="384" t="s">
        <v>329</v>
      </c>
      <c r="H592" s="24">
        <v>612.09</v>
      </c>
      <c r="I592" s="24"/>
      <c r="J592" s="25" t="str">
        <f t="shared" si="28"/>
        <v>1</v>
      </c>
      <c r="K592" s="385"/>
      <c r="L592" s="385"/>
      <c r="M592" s="386">
        <f t="shared" si="29"/>
        <v>612.09</v>
      </c>
      <c r="N592" s="496">
        <v>25</v>
      </c>
      <c r="O592" s="333">
        <f t="shared" si="30"/>
        <v>637.09</v>
      </c>
      <c r="R592" s="23" t="str">
        <f>VLOOKUP(C:C,'Historic Data - working'!A:B,1,FALSE)</f>
        <v>CAR071</v>
      </c>
      <c r="U592" s="323"/>
      <c r="V592" s="323"/>
      <c r="W592" s="323"/>
    </row>
    <row r="593" spans="1:23" s="23" customFormat="1" ht="14.25" hidden="1" x14ac:dyDescent="0.2">
      <c r="A593" s="381" t="s">
        <v>2191</v>
      </c>
      <c r="B593" s="381" t="s">
        <v>324</v>
      </c>
      <c r="C593" s="400" t="s">
        <v>2409</v>
      </c>
      <c r="D593" s="381" t="s">
        <v>2410</v>
      </c>
      <c r="E593" s="383" t="s">
        <v>2411</v>
      </c>
      <c r="F593" s="381" t="s">
        <v>195</v>
      </c>
      <c r="G593" s="384"/>
      <c r="H593" s="24"/>
      <c r="I593" s="24"/>
      <c r="J593" s="25" t="str">
        <f t="shared" si="28"/>
        <v xml:space="preserve"> </v>
      </c>
      <c r="K593" s="385"/>
      <c r="L593" s="385"/>
      <c r="M593" s="386">
        <f t="shared" si="29"/>
        <v>0</v>
      </c>
      <c r="N593" s="496"/>
      <c r="O593" s="333">
        <f t="shared" si="30"/>
        <v>0</v>
      </c>
      <c r="R593" s="23" t="e">
        <f>VLOOKUP(C:C,'Historic Data - working'!A:B,1,FALSE)</f>
        <v>#N/A</v>
      </c>
      <c r="U593" s="323"/>
      <c r="V593" s="323"/>
      <c r="W593" s="323"/>
    </row>
    <row r="594" spans="1:23" s="23" customFormat="1" ht="14.25" hidden="1" x14ac:dyDescent="0.2">
      <c r="A594" s="381" t="s">
        <v>2191</v>
      </c>
      <c r="B594" s="381" t="s">
        <v>324</v>
      </c>
      <c r="C594" s="400" t="s">
        <v>2412</v>
      </c>
      <c r="D594" s="381" t="s">
        <v>2413</v>
      </c>
      <c r="E594" s="383" t="s">
        <v>2414</v>
      </c>
      <c r="F594" s="381" t="s">
        <v>195</v>
      </c>
      <c r="G594" s="384"/>
      <c r="H594" s="24"/>
      <c r="I594" s="24"/>
      <c r="J594" s="25" t="str">
        <f t="shared" si="28"/>
        <v xml:space="preserve"> </v>
      </c>
      <c r="K594" s="385"/>
      <c r="L594" s="385"/>
      <c r="M594" s="386">
        <f t="shared" si="29"/>
        <v>0</v>
      </c>
      <c r="N594" s="496">
        <v>149</v>
      </c>
      <c r="O594" s="333">
        <f t="shared" si="30"/>
        <v>149</v>
      </c>
      <c r="R594" s="23" t="str">
        <f>VLOOKUP(C:C,'Historic Data - working'!A:B,1,FALSE)</f>
        <v>CAR072</v>
      </c>
      <c r="U594" s="323"/>
      <c r="V594" s="323"/>
      <c r="W594" s="323"/>
    </row>
    <row r="595" spans="1:23" s="23" customFormat="1" ht="14.25" hidden="1" x14ac:dyDescent="0.2">
      <c r="A595" s="381" t="s">
        <v>2191</v>
      </c>
      <c r="B595" s="381" t="s">
        <v>324</v>
      </c>
      <c r="C595" s="400" t="s">
        <v>2415</v>
      </c>
      <c r="D595" s="381" t="s">
        <v>2416</v>
      </c>
      <c r="E595" s="383" t="s">
        <v>124</v>
      </c>
      <c r="F595" s="381" t="s">
        <v>195</v>
      </c>
      <c r="G595" s="384" t="s">
        <v>329</v>
      </c>
      <c r="H595" s="24">
        <v>1591.5</v>
      </c>
      <c r="I595" s="24"/>
      <c r="J595" s="25" t="str">
        <f t="shared" si="28"/>
        <v>1</v>
      </c>
      <c r="K595" s="385"/>
      <c r="L595" s="385"/>
      <c r="M595" s="386">
        <f t="shared" si="29"/>
        <v>1591.5</v>
      </c>
      <c r="N595" s="496">
        <v>85</v>
      </c>
      <c r="O595" s="333">
        <f t="shared" si="30"/>
        <v>1676.5</v>
      </c>
      <c r="R595" s="23" t="str">
        <f>VLOOKUP(C:C,'Historic Data - working'!A:B,1,FALSE)</f>
        <v>CAR073</v>
      </c>
      <c r="U595" s="323"/>
      <c r="V595" s="323"/>
      <c r="W595" s="323"/>
    </row>
    <row r="596" spans="1:23" s="23" customFormat="1" ht="14.25" hidden="1" x14ac:dyDescent="0.2">
      <c r="A596" s="381" t="s">
        <v>2191</v>
      </c>
      <c r="B596" s="381" t="s">
        <v>351</v>
      </c>
      <c r="C596" s="400" t="s">
        <v>2417</v>
      </c>
      <c r="D596" s="381" t="s">
        <v>2418</v>
      </c>
      <c r="E596" s="383" t="s">
        <v>2419</v>
      </c>
      <c r="F596" s="381" t="s">
        <v>2420</v>
      </c>
      <c r="G596" s="384" t="s">
        <v>329</v>
      </c>
      <c r="H596" s="24">
        <f>870.73+135.61+20+647.01+70.41</f>
        <v>1743.7600000000002</v>
      </c>
      <c r="I596" s="24"/>
      <c r="J596" s="25" t="str">
        <f t="shared" si="28"/>
        <v>1</v>
      </c>
      <c r="K596" s="385"/>
      <c r="L596" s="385"/>
      <c r="M596" s="386">
        <f t="shared" si="29"/>
        <v>1743.7600000000002</v>
      </c>
      <c r="N596" s="496">
        <v>584</v>
      </c>
      <c r="O596" s="334">
        <f t="shared" si="30"/>
        <v>2327.7600000000002</v>
      </c>
      <c r="P596" s="351"/>
      <c r="Q596" s="331"/>
      <c r="R596" s="331" t="e">
        <f>VLOOKUP(C:C,'Historic Data - working'!A:B,1,FALSE)</f>
        <v>#N/A</v>
      </c>
      <c r="U596" s="323"/>
      <c r="V596" s="323"/>
      <c r="W596" s="323"/>
    </row>
    <row r="597" spans="1:23" s="23" customFormat="1" ht="14.25" hidden="1" x14ac:dyDescent="0.2">
      <c r="A597" s="381" t="s">
        <v>2191</v>
      </c>
      <c r="B597" s="381" t="s">
        <v>351</v>
      </c>
      <c r="C597" s="400" t="s">
        <v>2421</v>
      </c>
      <c r="D597" s="381" t="s">
        <v>2422</v>
      </c>
      <c r="E597" s="383" t="s">
        <v>2423</v>
      </c>
      <c r="F597" s="381" t="s">
        <v>2424</v>
      </c>
      <c r="G597" s="384" t="s">
        <v>329</v>
      </c>
      <c r="H597" s="24">
        <v>0</v>
      </c>
      <c r="I597" s="24">
        <v>0</v>
      </c>
      <c r="J597" s="25" t="str">
        <f t="shared" si="28"/>
        <v>1</v>
      </c>
      <c r="K597" s="385" t="s">
        <v>2425</v>
      </c>
      <c r="L597" s="385"/>
      <c r="M597" s="386">
        <f t="shared" si="29"/>
        <v>0</v>
      </c>
      <c r="N597" s="496">
        <v>196</v>
      </c>
      <c r="O597" s="333">
        <f t="shared" si="30"/>
        <v>196</v>
      </c>
      <c r="R597" s="23" t="e">
        <f>VLOOKUP(C:C,'Historic Data - working'!A:B,1,FALSE)</f>
        <v>#N/A</v>
      </c>
      <c r="U597" s="323"/>
      <c r="V597" s="323"/>
      <c r="W597" s="323"/>
    </row>
    <row r="598" spans="1:23" s="23" customFormat="1" ht="14.25" hidden="1" x14ac:dyDescent="0.2">
      <c r="A598" s="381" t="s">
        <v>2191</v>
      </c>
      <c r="B598" s="381" t="s">
        <v>324</v>
      </c>
      <c r="C598" s="400" t="s">
        <v>2426</v>
      </c>
      <c r="D598" s="381" t="s">
        <v>2427</v>
      </c>
      <c r="E598" s="383" t="s">
        <v>1932</v>
      </c>
      <c r="F598" s="381" t="s">
        <v>2428</v>
      </c>
      <c r="G598" s="384" t="s">
        <v>329</v>
      </c>
      <c r="H598" s="24">
        <f>142.54+29.2+67.66+80.52+447.34+118.39+16.95</f>
        <v>902.6</v>
      </c>
      <c r="I598" s="24"/>
      <c r="J598" s="25" t="str">
        <f t="shared" si="28"/>
        <v>1</v>
      </c>
      <c r="K598" s="385"/>
      <c r="L598" s="385"/>
      <c r="M598" s="386">
        <f t="shared" si="29"/>
        <v>902.6</v>
      </c>
      <c r="N598" s="496">
        <v>65</v>
      </c>
      <c r="O598" s="333">
        <f t="shared" si="30"/>
        <v>967.6</v>
      </c>
      <c r="R598" s="23" t="str">
        <f>VLOOKUP(C:C,'Historic Data - working'!A:B,1,FALSE)</f>
        <v>CAR077</v>
      </c>
      <c r="U598" s="323"/>
      <c r="V598" s="323"/>
      <c r="W598" s="323"/>
    </row>
    <row r="599" spans="1:23" s="23" customFormat="1" ht="14.25" hidden="1" x14ac:dyDescent="0.2">
      <c r="A599" s="381" t="s">
        <v>2191</v>
      </c>
      <c r="B599" s="381" t="s">
        <v>324</v>
      </c>
      <c r="C599" s="400" t="s">
        <v>2429</v>
      </c>
      <c r="D599" s="381" t="s">
        <v>2430</v>
      </c>
      <c r="E599" s="383" t="s">
        <v>2431</v>
      </c>
      <c r="F599" s="381" t="s">
        <v>2428</v>
      </c>
      <c r="G599" s="384"/>
      <c r="H599" s="24"/>
      <c r="I599" s="24"/>
      <c r="J599" s="25" t="str">
        <f t="shared" si="28"/>
        <v xml:space="preserve"> </v>
      </c>
      <c r="K599" s="385"/>
      <c r="L599" s="385"/>
      <c r="M599" s="386">
        <f t="shared" si="29"/>
        <v>0</v>
      </c>
      <c r="N599" s="496"/>
      <c r="O599" s="333">
        <f t="shared" si="30"/>
        <v>0</v>
      </c>
      <c r="R599" s="23" t="e">
        <f>VLOOKUP(C:C,'Historic Data - working'!A:B,1,FALSE)</f>
        <v>#N/A</v>
      </c>
      <c r="U599" s="323"/>
      <c r="V599" s="323"/>
      <c r="W599" s="323"/>
    </row>
    <row r="600" spans="1:23" s="23" customFormat="1" ht="14.25" hidden="1" x14ac:dyDescent="0.2">
      <c r="A600" s="381" t="s">
        <v>2191</v>
      </c>
      <c r="B600" s="381" t="s">
        <v>351</v>
      </c>
      <c r="C600" s="400" t="s">
        <v>2432</v>
      </c>
      <c r="D600" s="381" t="s">
        <v>2433</v>
      </c>
      <c r="E600" s="383" t="s">
        <v>119</v>
      </c>
      <c r="F600" s="381" t="s">
        <v>2434</v>
      </c>
      <c r="G600" s="384"/>
      <c r="H600" s="24"/>
      <c r="I600" s="24"/>
      <c r="J600" s="25" t="str">
        <f t="shared" si="28"/>
        <v xml:space="preserve"> </v>
      </c>
      <c r="K600" s="385"/>
      <c r="L600" s="385"/>
      <c r="M600" s="386">
        <f t="shared" si="29"/>
        <v>0</v>
      </c>
      <c r="N600" s="496">
        <v>1167.5</v>
      </c>
      <c r="O600" s="333">
        <f t="shared" si="30"/>
        <v>1167.5</v>
      </c>
      <c r="R600" s="23" t="str">
        <f>VLOOKUP(C:C,'Historic Data - working'!A:B,1,FALSE)</f>
        <v>CAR078</v>
      </c>
      <c r="U600" s="323"/>
      <c r="V600" s="323"/>
      <c r="W600" s="323"/>
    </row>
    <row r="601" spans="1:23" s="23" customFormat="1" ht="14.25" hidden="1" x14ac:dyDescent="0.2">
      <c r="A601" s="381" t="s">
        <v>2191</v>
      </c>
      <c r="B601" s="381" t="s">
        <v>324</v>
      </c>
      <c r="C601" s="400" t="s">
        <v>2435</v>
      </c>
      <c r="D601" s="381" t="s">
        <v>2436</v>
      </c>
      <c r="E601" s="383" t="s">
        <v>2437</v>
      </c>
      <c r="F601" s="381" t="s">
        <v>2438</v>
      </c>
      <c r="G601" s="384"/>
      <c r="H601" s="24"/>
      <c r="I601" s="24"/>
      <c r="J601" s="25" t="str">
        <f t="shared" si="28"/>
        <v xml:space="preserve"> </v>
      </c>
      <c r="K601" s="385"/>
      <c r="L601" s="385"/>
      <c r="M601" s="386">
        <f t="shared" si="29"/>
        <v>0</v>
      </c>
      <c r="N601" s="496">
        <v>10</v>
      </c>
      <c r="O601" s="333">
        <f t="shared" si="30"/>
        <v>10</v>
      </c>
      <c r="R601" s="23" t="str">
        <f>VLOOKUP(C:C,'Historic Data - working'!A:B,1,FALSE)</f>
        <v>CAR082</v>
      </c>
      <c r="U601" s="323"/>
      <c r="V601" s="323"/>
      <c r="W601" s="323"/>
    </row>
    <row r="602" spans="1:23" s="23" customFormat="1" ht="14.25" hidden="1" x14ac:dyDescent="0.2">
      <c r="A602" s="381" t="s">
        <v>2191</v>
      </c>
      <c r="B602" s="381" t="s">
        <v>351</v>
      </c>
      <c r="C602" s="400" t="s">
        <v>2439</v>
      </c>
      <c r="D602" s="381" t="s">
        <v>2440</v>
      </c>
      <c r="E602" s="383" t="s">
        <v>1325</v>
      </c>
      <c r="F602" s="381" t="s">
        <v>2441</v>
      </c>
      <c r="G602" s="384"/>
      <c r="H602" s="24"/>
      <c r="I602" s="24"/>
      <c r="J602" s="25" t="str">
        <f t="shared" si="28"/>
        <v xml:space="preserve"> </v>
      </c>
      <c r="K602" s="385"/>
      <c r="L602" s="385"/>
      <c r="M602" s="386">
        <f t="shared" si="29"/>
        <v>0</v>
      </c>
      <c r="N602" s="496">
        <v>10</v>
      </c>
      <c r="O602" s="333">
        <f t="shared" si="30"/>
        <v>10</v>
      </c>
      <c r="R602" s="23" t="str">
        <f>VLOOKUP(C:C,'Historic Data - working'!A:B,1,FALSE)</f>
        <v>CAR083</v>
      </c>
      <c r="U602" s="323"/>
      <c r="V602" s="323"/>
      <c r="W602" s="323"/>
    </row>
    <row r="603" spans="1:23" s="23" customFormat="1" ht="14.25" hidden="1" x14ac:dyDescent="0.2">
      <c r="A603" s="381" t="s">
        <v>2191</v>
      </c>
      <c r="B603" s="381" t="s">
        <v>351</v>
      </c>
      <c r="C603" s="400" t="s">
        <v>2442</v>
      </c>
      <c r="D603" s="381" t="s">
        <v>2443</v>
      </c>
      <c r="E603" s="383" t="s">
        <v>2444</v>
      </c>
      <c r="F603" s="381" t="s">
        <v>195</v>
      </c>
      <c r="G603" s="384" t="s">
        <v>329</v>
      </c>
      <c r="H603" s="24">
        <f>100+115+189.98</f>
        <v>404.98</v>
      </c>
      <c r="I603" s="24"/>
      <c r="J603" s="25" t="str">
        <f t="shared" si="28"/>
        <v>1</v>
      </c>
      <c r="K603" s="385"/>
      <c r="L603" s="385"/>
      <c r="M603" s="386">
        <f t="shared" si="29"/>
        <v>404.98</v>
      </c>
      <c r="N603" s="496"/>
      <c r="O603" s="333">
        <f t="shared" si="30"/>
        <v>404.98</v>
      </c>
      <c r="R603" s="23" t="str">
        <f>VLOOKUP(C:C,'Historic Data - working'!A:B,1,FALSE)</f>
        <v>CAR084</v>
      </c>
      <c r="U603" s="323"/>
      <c r="V603" s="323"/>
      <c r="W603" s="323"/>
    </row>
    <row r="604" spans="1:23" s="23" customFormat="1" ht="14.25" hidden="1" x14ac:dyDescent="0.2">
      <c r="A604" s="381" t="s">
        <v>2191</v>
      </c>
      <c r="B604" s="381" t="s">
        <v>324</v>
      </c>
      <c r="C604" s="400" t="s">
        <v>2445</v>
      </c>
      <c r="D604" s="381" t="s">
        <v>2446</v>
      </c>
      <c r="E604" s="383" t="s">
        <v>2447</v>
      </c>
      <c r="F604" s="381" t="s">
        <v>195</v>
      </c>
      <c r="G604" s="384" t="s">
        <v>329</v>
      </c>
      <c r="H604" s="24">
        <f>61+220.3+124.88+2.93+124.43+389.1+91.86+61.45</f>
        <v>1075.95</v>
      </c>
      <c r="I604" s="24"/>
      <c r="J604" s="25" t="str">
        <f t="shared" si="28"/>
        <v>1</v>
      </c>
      <c r="K604" s="385" t="s">
        <v>2448</v>
      </c>
      <c r="L604" s="385">
        <v>18.059999999999999</v>
      </c>
      <c r="M604" s="386">
        <f t="shared" si="29"/>
        <v>1094.01</v>
      </c>
      <c r="N604" s="496">
        <v>5433</v>
      </c>
      <c r="O604" s="333">
        <f t="shared" si="30"/>
        <v>6527.01</v>
      </c>
      <c r="R604" s="23" t="str">
        <f>VLOOKUP(C:C,'Historic Data - working'!A:B,1,FALSE)</f>
        <v>CAR085</v>
      </c>
      <c r="U604" s="323"/>
      <c r="V604" s="323"/>
      <c r="W604" s="323"/>
    </row>
    <row r="605" spans="1:23" s="23" customFormat="1" ht="28.5" hidden="1" x14ac:dyDescent="0.2">
      <c r="A605" s="381" t="s">
        <v>2191</v>
      </c>
      <c r="B605" s="381" t="s">
        <v>351</v>
      </c>
      <c r="C605" s="400" t="s">
        <v>2449</v>
      </c>
      <c r="D605" s="381" t="s">
        <v>2450</v>
      </c>
      <c r="E605" s="383" t="s">
        <v>2451</v>
      </c>
      <c r="F605" s="381" t="s">
        <v>2452</v>
      </c>
      <c r="G605" s="384" t="s">
        <v>329</v>
      </c>
      <c r="H605" s="24">
        <f>107+102+205.13+233.75+58.41+176+274.24</f>
        <v>1156.53</v>
      </c>
      <c r="I605" s="24"/>
      <c r="J605" s="25" t="str">
        <f t="shared" si="28"/>
        <v>1</v>
      </c>
      <c r="K605" s="385"/>
      <c r="L605" s="385"/>
      <c r="M605" s="386">
        <f t="shared" si="29"/>
        <v>1156.53</v>
      </c>
      <c r="N605" s="496">
        <v>140</v>
      </c>
      <c r="O605" s="333">
        <f t="shared" si="30"/>
        <v>1296.53</v>
      </c>
      <c r="R605" s="23" t="str">
        <f>VLOOKUP(C:C,'Historic Data - working'!A:B,1,FALSE)</f>
        <v>CAR086</v>
      </c>
      <c r="U605" s="323"/>
      <c r="V605" s="323"/>
      <c r="W605" s="323"/>
    </row>
    <row r="606" spans="1:23" s="23" customFormat="1" ht="14.25" hidden="1" x14ac:dyDescent="0.2">
      <c r="A606" s="381" t="s">
        <v>2191</v>
      </c>
      <c r="B606" s="381" t="s">
        <v>324</v>
      </c>
      <c r="C606" s="400" t="s">
        <v>2453</v>
      </c>
      <c r="D606" s="381" t="s">
        <v>2454</v>
      </c>
      <c r="E606" s="383" t="s">
        <v>2455</v>
      </c>
      <c r="F606" s="381" t="s">
        <v>2456</v>
      </c>
      <c r="G606" s="384" t="s">
        <v>329</v>
      </c>
      <c r="H606" s="24">
        <v>610.23</v>
      </c>
      <c r="I606" s="24"/>
      <c r="J606" s="25" t="str">
        <f t="shared" si="28"/>
        <v>1</v>
      </c>
      <c r="K606" s="388"/>
      <c r="L606" s="385"/>
      <c r="M606" s="386">
        <f t="shared" si="29"/>
        <v>610.23</v>
      </c>
      <c r="N606" s="496">
        <v>157</v>
      </c>
      <c r="O606" s="333">
        <f t="shared" si="30"/>
        <v>767.23</v>
      </c>
      <c r="R606" s="23" t="str">
        <f>VLOOKUP(C:C,'Historic Data - working'!A:B,1,FALSE)</f>
        <v>CAR098</v>
      </c>
      <c r="U606" s="323"/>
      <c r="V606" s="323"/>
      <c r="W606" s="323"/>
    </row>
    <row r="607" spans="1:23" s="23" customFormat="1" ht="14.25" hidden="1" x14ac:dyDescent="0.2">
      <c r="A607" s="381" t="s">
        <v>2191</v>
      </c>
      <c r="B607" s="381" t="s">
        <v>351</v>
      </c>
      <c r="C607" s="400" t="s">
        <v>2457</v>
      </c>
      <c r="D607" s="381" t="s">
        <v>2458</v>
      </c>
      <c r="E607" s="383" t="s">
        <v>297</v>
      </c>
      <c r="F607" s="381" t="s">
        <v>2459</v>
      </c>
      <c r="G607" s="384" t="s">
        <v>329</v>
      </c>
      <c r="H607" s="24">
        <f>100.7+28</f>
        <v>128.69999999999999</v>
      </c>
      <c r="I607" s="24"/>
      <c r="J607" s="25" t="str">
        <f t="shared" si="28"/>
        <v>1</v>
      </c>
      <c r="K607" s="385"/>
      <c r="L607" s="385"/>
      <c r="M607" s="386">
        <f t="shared" si="29"/>
        <v>128.69999999999999</v>
      </c>
      <c r="N607" s="496">
        <v>130</v>
      </c>
      <c r="O607" s="333">
        <f t="shared" si="30"/>
        <v>258.7</v>
      </c>
      <c r="R607" s="23" t="str">
        <f>VLOOKUP(C:C,'Historic Data - working'!A:B,1,FALSE)</f>
        <v>CAR099</v>
      </c>
      <c r="U607" s="323"/>
      <c r="V607" s="323"/>
      <c r="W607" s="323"/>
    </row>
    <row r="608" spans="1:23" s="23" customFormat="1" ht="14.25" hidden="1" x14ac:dyDescent="0.2">
      <c r="A608" s="381" t="s">
        <v>2191</v>
      </c>
      <c r="B608" s="381" t="s">
        <v>324</v>
      </c>
      <c r="C608" s="400" t="s">
        <v>2460</v>
      </c>
      <c r="D608" s="381" t="s">
        <v>2461</v>
      </c>
      <c r="E608" s="383" t="s">
        <v>2462</v>
      </c>
      <c r="F608" s="381" t="s">
        <v>2463</v>
      </c>
      <c r="G608" s="384" t="s">
        <v>329</v>
      </c>
      <c r="H608" s="24">
        <f>384.9+212.5+291+272</f>
        <v>1160.4000000000001</v>
      </c>
      <c r="I608" s="24"/>
      <c r="J608" s="25" t="str">
        <f t="shared" si="28"/>
        <v>1</v>
      </c>
      <c r="K608" s="385" t="s">
        <v>2464</v>
      </c>
      <c r="L608" s="385">
        <v>60.93</v>
      </c>
      <c r="M608" s="386">
        <f t="shared" si="29"/>
        <v>1221.3300000000002</v>
      </c>
      <c r="N608" s="496">
        <v>94.740000000000009</v>
      </c>
      <c r="O608" s="333">
        <f t="shared" si="30"/>
        <v>1316.0700000000002</v>
      </c>
      <c r="R608" s="23" t="str">
        <f>VLOOKUP(C:C,'Historic Data - working'!A:B,1,FALSE)</f>
        <v>CAR100</v>
      </c>
      <c r="U608" s="323"/>
      <c r="V608" s="323"/>
      <c r="W608" s="323"/>
    </row>
    <row r="609" spans="1:23" s="23" customFormat="1" ht="14.25" hidden="1" x14ac:dyDescent="0.2">
      <c r="A609" s="381" t="s">
        <v>2191</v>
      </c>
      <c r="B609" s="381" t="s">
        <v>324</v>
      </c>
      <c r="C609" s="400" t="s">
        <v>2465</v>
      </c>
      <c r="D609" s="381" t="s">
        <v>2466</v>
      </c>
      <c r="E609" s="383" t="s">
        <v>2467</v>
      </c>
      <c r="F609" s="381" t="s">
        <v>2271</v>
      </c>
      <c r="G609" s="384" t="s">
        <v>329</v>
      </c>
      <c r="H609" s="24">
        <v>218.2</v>
      </c>
      <c r="I609" s="24"/>
      <c r="J609" s="25" t="str">
        <f t="shared" si="28"/>
        <v>1</v>
      </c>
      <c r="K609" s="385" t="s">
        <v>2468</v>
      </c>
      <c r="L609" s="385">
        <v>0.57999999999999996</v>
      </c>
      <c r="M609" s="386">
        <f t="shared" si="29"/>
        <v>218.78</v>
      </c>
      <c r="N609" s="496">
        <v>450</v>
      </c>
      <c r="O609" s="333">
        <f t="shared" si="30"/>
        <v>668.78</v>
      </c>
      <c r="R609" s="23" t="str">
        <f>VLOOKUP(C:C,'Historic Data - working'!A:B,1,FALSE)</f>
        <v>CAR102</v>
      </c>
      <c r="U609" s="323"/>
      <c r="V609" s="323"/>
      <c r="W609" s="323"/>
    </row>
    <row r="610" spans="1:23" s="23" customFormat="1" ht="14.25" hidden="1" x14ac:dyDescent="0.2">
      <c r="A610" s="381" t="s">
        <v>2191</v>
      </c>
      <c r="B610" s="381" t="s">
        <v>351</v>
      </c>
      <c r="C610" s="400" t="s">
        <v>2469</v>
      </c>
      <c r="D610" s="381" t="s">
        <v>2470</v>
      </c>
      <c r="E610" s="383" t="s">
        <v>2471</v>
      </c>
      <c r="F610" s="381" t="s">
        <v>2472</v>
      </c>
      <c r="G610" s="384" t="s">
        <v>329</v>
      </c>
      <c r="H610" s="24">
        <f>42.65+115.16+100.89+94.64+77.24</f>
        <v>430.58</v>
      </c>
      <c r="I610" s="24"/>
      <c r="J610" s="25" t="str">
        <f t="shared" si="28"/>
        <v>1</v>
      </c>
      <c r="K610" s="385" t="s">
        <v>2473</v>
      </c>
      <c r="L610" s="385">
        <v>0.05</v>
      </c>
      <c r="M610" s="386">
        <f t="shared" si="29"/>
        <v>430.63</v>
      </c>
      <c r="N610" s="496">
        <v>110</v>
      </c>
      <c r="O610" s="333">
        <f t="shared" si="30"/>
        <v>540.63</v>
      </c>
      <c r="R610" s="23" t="str">
        <f>VLOOKUP(C:C,'Historic Data - working'!A:B,1,FALSE)</f>
        <v>CAR103</v>
      </c>
      <c r="U610" s="323"/>
      <c r="V610" s="323"/>
      <c r="W610" s="323"/>
    </row>
    <row r="611" spans="1:23" s="23" customFormat="1" ht="14.25" hidden="1" x14ac:dyDescent="0.2">
      <c r="A611" s="381" t="s">
        <v>2191</v>
      </c>
      <c r="B611" s="381" t="s">
        <v>351</v>
      </c>
      <c r="C611" s="400" t="s">
        <v>2474</v>
      </c>
      <c r="D611" s="381" t="s">
        <v>2475</v>
      </c>
      <c r="E611" s="383" t="s">
        <v>2476</v>
      </c>
      <c r="F611" s="381" t="s">
        <v>2477</v>
      </c>
      <c r="G611" s="384"/>
      <c r="H611" s="24"/>
      <c r="I611" s="24"/>
      <c r="J611" s="25" t="str">
        <f t="shared" si="28"/>
        <v xml:space="preserve"> </v>
      </c>
      <c r="K611" s="385"/>
      <c r="L611" s="385"/>
      <c r="M611" s="386">
        <f t="shared" si="29"/>
        <v>0</v>
      </c>
      <c r="N611" s="496"/>
      <c r="O611" s="333">
        <f t="shared" si="30"/>
        <v>0</v>
      </c>
      <c r="R611" s="23" t="e">
        <f>VLOOKUP(C:C,'Historic Data - working'!A:B,1,FALSE)</f>
        <v>#N/A</v>
      </c>
      <c r="U611" s="323"/>
      <c r="V611" s="323"/>
      <c r="W611" s="323"/>
    </row>
    <row r="612" spans="1:23" s="23" customFormat="1" ht="14.25" hidden="1" x14ac:dyDescent="0.2">
      <c r="A612" s="381" t="s">
        <v>2191</v>
      </c>
      <c r="B612" s="381" t="s">
        <v>324</v>
      </c>
      <c r="C612" s="400" t="s">
        <v>2478</v>
      </c>
      <c r="D612" s="381" t="s">
        <v>2479</v>
      </c>
      <c r="E612" s="383" t="s">
        <v>2480</v>
      </c>
      <c r="F612" s="381" t="s">
        <v>2481</v>
      </c>
      <c r="G612" s="384" t="s">
        <v>329</v>
      </c>
      <c r="H612" s="24">
        <v>218.95</v>
      </c>
      <c r="I612" s="24"/>
      <c r="J612" s="25" t="str">
        <f t="shared" si="28"/>
        <v>1</v>
      </c>
      <c r="K612" s="385"/>
      <c r="L612" s="385"/>
      <c r="M612" s="386">
        <f t="shared" si="29"/>
        <v>218.95</v>
      </c>
      <c r="N612" s="496"/>
      <c r="O612" s="333">
        <f t="shared" si="30"/>
        <v>218.95</v>
      </c>
      <c r="R612" s="23" t="str">
        <f>VLOOKUP(C:C,'Historic Data - working'!A:B,1,FALSE)</f>
        <v>CAR104</v>
      </c>
      <c r="U612" s="323"/>
      <c r="V612" s="323"/>
      <c r="W612" s="323"/>
    </row>
    <row r="613" spans="1:23" s="23" customFormat="1" ht="14.25" hidden="1" x14ac:dyDescent="0.2">
      <c r="A613" s="381" t="s">
        <v>2191</v>
      </c>
      <c r="B613" s="381" t="s">
        <v>324</v>
      </c>
      <c r="C613" s="400" t="s">
        <v>2482</v>
      </c>
      <c r="D613" s="381" t="s">
        <v>2483</v>
      </c>
      <c r="E613" s="383" t="s">
        <v>2484</v>
      </c>
      <c r="F613" s="381" t="s">
        <v>2485</v>
      </c>
      <c r="G613" s="384"/>
      <c r="H613" s="24"/>
      <c r="I613" s="24"/>
      <c r="J613" s="25" t="str">
        <f t="shared" si="28"/>
        <v xml:space="preserve"> </v>
      </c>
      <c r="K613" s="385"/>
      <c r="L613" s="385"/>
      <c r="M613" s="386">
        <f t="shared" si="29"/>
        <v>0</v>
      </c>
      <c r="N613" s="496"/>
      <c r="O613" s="333">
        <f t="shared" si="30"/>
        <v>0</v>
      </c>
      <c r="R613" s="23" t="e">
        <f>VLOOKUP(C:C,'Historic Data - working'!A:B,1,FALSE)</f>
        <v>#N/A</v>
      </c>
      <c r="U613" s="323"/>
      <c r="V613" s="323"/>
      <c r="W613" s="323"/>
    </row>
    <row r="614" spans="1:23" s="23" customFormat="1" ht="14.25" hidden="1" x14ac:dyDescent="0.2">
      <c r="A614" s="381" t="s">
        <v>2191</v>
      </c>
      <c r="B614" s="381" t="s">
        <v>324</v>
      </c>
      <c r="C614" s="400" t="s">
        <v>2486</v>
      </c>
      <c r="D614" s="381" t="s">
        <v>2487</v>
      </c>
      <c r="E614" s="383" t="s">
        <v>2488</v>
      </c>
      <c r="F614" s="381" t="s">
        <v>2489</v>
      </c>
      <c r="G614" s="384"/>
      <c r="H614" s="24"/>
      <c r="I614" s="24"/>
      <c r="J614" s="25" t="str">
        <f t="shared" si="28"/>
        <v xml:space="preserve"> </v>
      </c>
      <c r="K614" s="385"/>
      <c r="L614" s="385"/>
      <c r="M614" s="386">
        <f t="shared" si="29"/>
        <v>0</v>
      </c>
      <c r="N614" s="496"/>
      <c r="O614" s="333">
        <f t="shared" si="30"/>
        <v>0</v>
      </c>
      <c r="R614" s="23" t="e">
        <f>VLOOKUP(C:C,'Historic Data - working'!A:B,1,FALSE)</f>
        <v>#N/A</v>
      </c>
      <c r="U614" s="323"/>
      <c r="V614" s="323"/>
      <c r="W614" s="323"/>
    </row>
    <row r="615" spans="1:23" s="23" customFormat="1" ht="14.25" hidden="1" x14ac:dyDescent="0.2">
      <c r="A615" s="381" t="s">
        <v>2191</v>
      </c>
      <c r="B615" s="381" t="s">
        <v>324</v>
      </c>
      <c r="C615" s="400" t="s">
        <v>2490</v>
      </c>
      <c r="D615" s="381" t="s">
        <v>2491</v>
      </c>
      <c r="E615" s="383" t="s">
        <v>2492</v>
      </c>
      <c r="F615" s="381" t="s">
        <v>2195</v>
      </c>
      <c r="G615" s="384"/>
      <c r="H615" s="24"/>
      <c r="I615" s="24"/>
      <c r="J615" s="25" t="str">
        <f t="shared" si="28"/>
        <v xml:space="preserve"> </v>
      </c>
      <c r="K615" s="385"/>
      <c r="L615" s="385"/>
      <c r="M615" s="386">
        <f t="shared" si="29"/>
        <v>0</v>
      </c>
      <c r="N615" s="496"/>
      <c r="O615" s="333">
        <f t="shared" si="30"/>
        <v>0</v>
      </c>
      <c r="R615" s="23" t="e">
        <f>VLOOKUP(C:C,'Historic Data - working'!A:B,1,FALSE)</f>
        <v>#N/A</v>
      </c>
      <c r="U615" s="323"/>
      <c r="V615" s="323"/>
      <c r="W615" s="323"/>
    </row>
    <row r="616" spans="1:23" s="23" customFormat="1" ht="14.25" hidden="1" x14ac:dyDescent="0.2">
      <c r="A616" s="381" t="s">
        <v>2191</v>
      </c>
      <c r="B616" s="381" t="s">
        <v>324</v>
      </c>
      <c r="C616" s="400" t="s">
        <v>2493</v>
      </c>
      <c r="D616" s="381" t="s">
        <v>2494</v>
      </c>
      <c r="E616" s="383" t="s">
        <v>2495</v>
      </c>
      <c r="F616" s="381" t="s">
        <v>2463</v>
      </c>
      <c r="G616" s="384"/>
      <c r="H616" s="24"/>
      <c r="I616" s="24"/>
      <c r="J616" s="25" t="str">
        <f t="shared" si="28"/>
        <v xml:space="preserve"> </v>
      </c>
      <c r="K616" s="385"/>
      <c r="L616" s="385"/>
      <c r="M616" s="386">
        <f t="shared" si="29"/>
        <v>0</v>
      </c>
      <c r="N616" s="496"/>
      <c r="O616" s="333">
        <f t="shared" si="30"/>
        <v>0</v>
      </c>
      <c r="R616" s="23" t="e">
        <f>VLOOKUP(C:C,'Historic Data - working'!A:B,1,FALSE)</f>
        <v>#N/A</v>
      </c>
      <c r="U616" s="323"/>
      <c r="V616" s="323"/>
      <c r="W616" s="323"/>
    </row>
    <row r="617" spans="1:23" s="23" customFormat="1" ht="14.25" hidden="1" x14ac:dyDescent="0.2">
      <c r="A617" s="381" t="s">
        <v>2191</v>
      </c>
      <c r="B617" s="381" t="s">
        <v>324</v>
      </c>
      <c r="C617" s="400" t="s">
        <v>2496</v>
      </c>
      <c r="D617" s="381" t="s">
        <v>2497</v>
      </c>
      <c r="E617" s="383" t="s">
        <v>2498</v>
      </c>
      <c r="F617" s="381" t="s">
        <v>2195</v>
      </c>
      <c r="G617" s="384"/>
      <c r="H617" s="24"/>
      <c r="I617" s="24"/>
      <c r="J617" s="25" t="str">
        <f t="shared" si="28"/>
        <v xml:space="preserve"> </v>
      </c>
      <c r="K617" s="385"/>
      <c r="L617" s="385"/>
      <c r="M617" s="386">
        <f t="shared" si="29"/>
        <v>0</v>
      </c>
      <c r="N617" s="496"/>
      <c r="O617" s="333">
        <f t="shared" si="30"/>
        <v>0</v>
      </c>
      <c r="R617" s="23" t="e">
        <f>VLOOKUP(C:C,'Historic Data - working'!A:B,1,FALSE)</f>
        <v>#N/A</v>
      </c>
      <c r="U617" s="323"/>
      <c r="V617" s="323"/>
      <c r="W617" s="323"/>
    </row>
    <row r="618" spans="1:23" s="23" customFormat="1" ht="14.25" hidden="1" x14ac:dyDescent="0.2">
      <c r="A618" s="381" t="s">
        <v>2191</v>
      </c>
      <c r="B618" s="381" t="s">
        <v>324</v>
      </c>
      <c r="C618" s="400" t="s">
        <v>2499</v>
      </c>
      <c r="D618" s="381" t="s">
        <v>2500</v>
      </c>
      <c r="E618" s="383" t="s">
        <v>2501</v>
      </c>
      <c r="F618" s="385"/>
      <c r="G618" s="384"/>
      <c r="H618" s="24"/>
      <c r="I618" s="24"/>
      <c r="J618" s="25" t="str">
        <f t="shared" si="28"/>
        <v xml:space="preserve"> </v>
      </c>
      <c r="K618" s="385" t="s">
        <v>337</v>
      </c>
      <c r="L618" s="396">
        <f>1237-779.63</f>
        <v>457.37</v>
      </c>
      <c r="M618" s="386">
        <f t="shared" si="29"/>
        <v>457.37</v>
      </c>
      <c r="N618" s="496">
        <v>70</v>
      </c>
      <c r="O618" s="334">
        <f t="shared" si="30"/>
        <v>527.37</v>
      </c>
      <c r="P618" s="351"/>
      <c r="Q618" s="331"/>
      <c r="R618" s="331" t="e">
        <f>VLOOKUP(C:C,'Historic Data - working'!A:B,1,FALSE)</f>
        <v>#N/A</v>
      </c>
      <c r="U618" s="323"/>
      <c r="V618" s="323"/>
      <c r="W618" s="323"/>
    </row>
    <row r="619" spans="1:23" s="23" customFormat="1" ht="14.25" hidden="1" x14ac:dyDescent="0.2">
      <c r="A619" s="381" t="s">
        <v>2502</v>
      </c>
      <c r="B619" s="381" t="s">
        <v>324</v>
      </c>
      <c r="C619" s="404" t="s">
        <v>2503</v>
      </c>
      <c r="D619" s="381" t="s">
        <v>2504</v>
      </c>
      <c r="E619" s="383" t="s">
        <v>2505</v>
      </c>
      <c r="F619" s="381" t="s">
        <v>2506</v>
      </c>
      <c r="G619" s="384"/>
      <c r="H619" s="24"/>
      <c r="I619" s="24"/>
      <c r="J619" s="25" t="str">
        <f t="shared" si="28"/>
        <v xml:space="preserve"> </v>
      </c>
      <c r="K619" s="385" t="s">
        <v>337</v>
      </c>
      <c r="L619" s="385">
        <v>1171</v>
      </c>
      <c r="M619" s="386">
        <f t="shared" si="29"/>
        <v>1171</v>
      </c>
      <c r="N619" s="496">
        <v>959</v>
      </c>
      <c r="O619" s="333">
        <f t="shared" si="30"/>
        <v>2130</v>
      </c>
      <c r="R619" s="23" t="str">
        <f>VLOOKUP(C:C,'Historic Data - working'!A:B,1,FALSE)</f>
        <v>CLF001</v>
      </c>
      <c r="U619" s="323"/>
      <c r="V619" s="323"/>
      <c r="W619" s="323"/>
    </row>
    <row r="620" spans="1:23" s="23" customFormat="1" ht="14.25" hidden="1" x14ac:dyDescent="0.2">
      <c r="A620" s="381" t="s">
        <v>2502</v>
      </c>
      <c r="B620" s="381" t="s">
        <v>324</v>
      </c>
      <c r="C620" s="404" t="s">
        <v>2507</v>
      </c>
      <c r="D620" s="381" t="s">
        <v>2508</v>
      </c>
      <c r="E620" s="383" t="s">
        <v>214</v>
      </c>
      <c r="F620" s="381" t="s">
        <v>2509</v>
      </c>
      <c r="G620" s="384" t="s">
        <v>329</v>
      </c>
      <c r="H620" s="24">
        <v>748.09</v>
      </c>
      <c r="I620" s="24"/>
      <c r="J620" s="25" t="str">
        <f t="shared" ref="J620:J683" si="31">IF(G620="Y","1"," ")</f>
        <v>1</v>
      </c>
      <c r="K620" s="385" t="s">
        <v>1117</v>
      </c>
      <c r="L620" s="385"/>
      <c r="M620" s="386">
        <f t="shared" si="29"/>
        <v>748.09</v>
      </c>
      <c r="N620" s="496">
        <v>255</v>
      </c>
      <c r="O620" s="333">
        <f t="shared" si="30"/>
        <v>1003.09</v>
      </c>
      <c r="R620" s="23" t="str">
        <f>VLOOKUP(C:C,'Historic Data - working'!A:B,1,FALSE)</f>
        <v>CLF002</v>
      </c>
      <c r="U620" s="323"/>
      <c r="V620" s="323"/>
      <c r="W620" s="323"/>
    </row>
    <row r="621" spans="1:23" s="23" customFormat="1" ht="14.25" hidden="1" x14ac:dyDescent="0.2">
      <c r="A621" s="381" t="s">
        <v>2502</v>
      </c>
      <c r="B621" s="381" t="s">
        <v>324</v>
      </c>
      <c r="C621" s="404" t="s">
        <v>2510</v>
      </c>
      <c r="D621" s="381" t="s">
        <v>2511</v>
      </c>
      <c r="E621" s="383" t="s">
        <v>31</v>
      </c>
      <c r="F621" s="381" t="s">
        <v>2512</v>
      </c>
      <c r="G621" s="384" t="s">
        <v>329</v>
      </c>
      <c r="H621" s="24">
        <v>990.55</v>
      </c>
      <c r="I621" s="24"/>
      <c r="J621" s="25" t="str">
        <f t="shared" si="31"/>
        <v>1</v>
      </c>
      <c r="K621" s="385"/>
      <c r="L621" s="385"/>
      <c r="M621" s="386">
        <f t="shared" si="29"/>
        <v>990.55</v>
      </c>
      <c r="N621" s="496">
        <v>280</v>
      </c>
      <c r="O621" s="333">
        <f t="shared" si="30"/>
        <v>1270.55</v>
      </c>
      <c r="R621" s="23" t="str">
        <f>VLOOKUP(C:C,'Historic Data - working'!A:B,1,FALSE)</f>
        <v>CLF004</v>
      </c>
      <c r="U621" s="323"/>
      <c r="V621" s="323"/>
      <c r="W621" s="323"/>
    </row>
    <row r="622" spans="1:23" s="23" customFormat="1" ht="14.25" hidden="1" x14ac:dyDescent="0.2">
      <c r="A622" s="381" t="s">
        <v>2502</v>
      </c>
      <c r="B622" s="381" t="s">
        <v>324</v>
      </c>
      <c r="C622" s="404" t="s">
        <v>2513</v>
      </c>
      <c r="D622" s="381" t="s">
        <v>2514</v>
      </c>
      <c r="E622" s="383" t="s">
        <v>2515</v>
      </c>
      <c r="F622" s="381" t="s">
        <v>2512</v>
      </c>
      <c r="G622" s="384" t="s">
        <v>329</v>
      </c>
      <c r="H622" s="24">
        <f>32.63+53.69+25.47+23.73+123.79+283.87+52+22+26.45+142.8+96.34+280.31+30.04+64.7+7.1</f>
        <v>1264.92</v>
      </c>
      <c r="I622" s="24"/>
      <c r="J622" s="25" t="str">
        <f t="shared" si="31"/>
        <v>1</v>
      </c>
      <c r="K622" s="385" t="s">
        <v>2516</v>
      </c>
      <c r="L622" s="385">
        <v>-32.53</v>
      </c>
      <c r="M622" s="386">
        <f t="shared" si="29"/>
        <v>1232.3900000000001</v>
      </c>
      <c r="N622" s="496">
        <v>595</v>
      </c>
      <c r="O622" s="333">
        <f t="shared" si="30"/>
        <v>1827.39</v>
      </c>
      <c r="R622" s="23" t="str">
        <f>VLOOKUP(C:C,'Historic Data - working'!A:B,1,FALSE)</f>
        <v>CLF005</v>
      </c>
      <c r="U622" s="323"/>
      <c r="V622" s="323"/>
      <c r="W622" s="323"/>
    </row>
    <row r="623" spans="1:23" s="23" customFormat="1" ht="14.25" hidden="1" x14ac:dyDescent="0.2">
      <c r="A623" s="381" t="s">
        <v>2502</v>
      </c>
      <c r="B623" s="381" t="s">
        <v>324</v>
      </c>
      <c r="C623" s="404" t="s">
        <v>2517</v>
      </c>
      <c r="D623" s="381" t="s">
        <v>2518</v>
      </c>
      <c r="E623" s="383" t="s">
        <v>2519</v>
      </c>
      <c r="F623" s="381" t="s">
        <v>2512</v>
      </c>
      <c r="G623" s="384"/>
      <c r="H623" s="24"/>
      <c r="I623" s="24"/>
      <c r="J623" s="25" t="str">
        <f t="shared" si="31"/>
        <v xml:space="preserve"> </v>
      </c>
      <c r="K623" s="385"/>
      <c r="L623" s="385"/>
      <c r="M623" s="386">
        <f t="shared" si="29"/>
        <v>0</v>
      </c>
      <c r="N623" s="496"/>
      <c r="O623" s="333">
        <f t="shared" si="30"/>
        <v>0</v>
      </c>
      <c r="R623" s="23" t="e">
        <f>VLOOKUP(C:C,'Historic Data - working'!A:B,1,FALSE)</f>
        <v>#N/A</v>
      </c>
      <c r="U623" s="323"/>
      <c r="V623" s="323"/>
      <c r="W623" s="323"/>
    </row>
    <row r="624" spans="1:23" s="23" customFormat="1" ht="14.25" hidden="1" x14ac:dyDescent="0.2">
      <c r="A624" s="381" t="s">
        <v>2502</v>
      </c>
      <c r="B624" s="381" t="s">
        <v>324</v>
      </c>
      <c r="C624" s="404" t="s">
        <v>2520</v>
      </c>
      <c r="D624" s="381" t="s">
        <v>2521</v>
      </c>
      <c r="E624" s="383" t="s">
        <v>1312</v>
      </c>
      <c r="F624" s="381" t="s">
        <v>2512</v>
      </c>
      <c r="G624" s="384" t="s">
        <v>329</v>
      </c>
      <c r="H624" s="24">
        <v>487.6</v>
      </c>
      <c r="I624" s="24"/>
      <c r="J624" s="25" t="str">
        <f t="shared" si="31"/>
        <v>1</v>
      </c>
      <c r="K624" s="385" t="s">
        <v>2522</v>
      </c>
      <c r="L624" s="385">
        <v>62.54</v>
      </c>
      <c r="M624" s="386">
        <f t="shared" si="29"/>
        <v>550.14</v>
      </c>
      <c r="N624" s="496">
        <v>110</v>
      </c>
      <c r="O624" s="333">
        <f t="shared" si="30"/>
        <v>660.14</v>
      </c>
      <c r="R624" s="23" t="str">
        <f>VLOOKUP(C:C,'Historic Data - working'!A:B,1,FALSE)</f>
        <v>CLF006</v>
      </c>
      <c r="U624" s="323"/>
      <c r="V624" s="323"/>
      <c r="W624" s="323"/>
    </row>
    <row r="625" spans="1:23" s="23" customFormat="1" ht="14.25" hidden="1" x14ac:dyDescent="0.2">
      <c r="A625" s="381" t="s">
        <v>2502</v>
      </c>
      <c r="B625" s="381" t="s">
        <v>324</v>
      </c>
      <c r="C625" s="404" t="s">
        <v>2523</v>
      </c>
      <c r="D625" s="381" t="s">
        <v>2524</v>
      </c>
      <c r="E625" s="383" t="s">
        <v>1731</v>
      </c>
      <c r="F625" s="381" t="s">
        <v>2512</v>
      </c>
      <c r="G625" s="384"/>
      <c r="H625" s="24"/>
      <c r="I625" s="24"/>
      <c r="J625" s="25" t="str">
        <f t="shared" si="31"/>
        <v xml:space="preserve"> </v>
      </c>
      <c r="K625" s="385" t="s">
        <v>337</v>
      </c>
      <c r="L625" s="385">
        <v>617.54999999999995</v>
      </c>
      <c r="M625" s="386">
        <f t="shared" si="29"/>
        <v>617.54999999999995</v>
      </c>
      <c r="N625" s="496">
        <v>320</v>
      </c>
      <c r="O625" s="333">
        <f t="shared" si="30"/>
        <v>937.55</v>
      </c>
      <c r="R625" s="23" t="str">
        <f>VLOOKUP(C:C,'Historic Data - working'!A:B,1,FALSE)</f>
        <v>CLF007</v>
      </c>
      <c r="U625" s="323"/>
      <c r="V625" s="323"/>
      <c r="W625" s="323"/>
    </row>
    <row r="626" spans="1:23" s="23" customFormat="1" ht="14.25" hidden="1" x14ac:dyDescent="0.2">
      <c r="A626" s="381" t="s">
        <v>2502</v>
      </c>
      <c r="B626" s="381" t="s">
        <v>324</v>
      </c>
      <c r="C626" s="404" t="s">
        <v>2525</v>
      </c>
      <c r="D626" s="381" t="s">
        <v>2526</v>
      </c>
      <c r="E626" s="383" t="s">
        <v>2527</v>
      </c>
      <c r="F626" s="381" t="s">
        <v>2512</v>
      </c>
      <c r="G626" s="384"/>
      <c r="H626" s="24"/>
      <c r="I626" s="24"/>
      <c r="J626" s="25" t="str">
        <f t="shared" si="31"/>
        <v xml:space="preserve"> </v>
      </c>
      <c r="K626" s="385"/>
      <c r="L626" s="385"/>
      <c r="M626" s="386">
        <f t="shared" si="29"/>
        <v>0</v>
      </c>
      <c r="N626" s="496"/>
      <c r="O626" s="333">
        <f t="shared" si="30"/>
        <v>0</v>
      </c>
      <c r="R626" s="23" t="e">
        <f>VLOOKUP(C:C,'Historic Data - working'!A:B,1,FALSE)</f>
        <v>#N/A</v>
      </c>
      <c r="U626" s="323"/>
      <c r="V626" s="323"/>
      <c r="W626" s="323"/>
    </row>
    <row r="627" spans="1:23" s="23" customFormat="1" ht="14.25" hidden="1" x14ac:dyDescent="0.2">
      <c r="A627" s="381" t="s">
        <v>2502</v>
      </c>
      <c r="B627" s="381" t="s">
        <v>324</v>
      </c>
      <c r="C627" s="404" t="s">
        <v>2528</v>
      </c>
      <c r="D627" s="381" t="s">
        <v>2529</v>
      </c>
      <c r="E627" s="383" t="s">
        <v>2530</v>
      </c>
      <c r="F627" s="381" t="s">
        <v>2531</v>
      </c>
      <c r="G627" s="384"/>
      <c r="H627" s="24"/>
      <c r="I627" s="24"/>
      <c r="J627" s="25" t="str">
        <f t="shared" si="31"/>
        <v xml:space="preserve"> </v>
      </c>
      <c r="K627" s="385"/>
      <c r="L627" s="385"/>
      <c r="M627" s="386">
        <f t="shared" si="29"/>
        <v>0</v>
      </c>
      <c r="N627" s="496">
        <v>10</v>
      </c>
      <c r="O627" s="333">
        <f t="shared" si="30"/>
        <v>10</v>
      </c>
      <c r="R627" s="23" t="str">
        <f>VLOOKUP(C:C,'Historic Data - working'!A:B,1,FALSE)</f>
        <v>CLF009</v>
      </c>
      <c r="U627" s="323"/>
      <c r="V627" s="323"/>
      <c r="W627" s="323"/>
    </row>
    <row r="628" spans="1:23" s="23" customFormat="1" ht="14.25" hidden="1" x14ac:dyDescent="0.2">
      <c r="A628" s="381" t="s">
        <v>2502</v>
      </c>
      <c r="B628" s="381" t="s">
        <v>324</v>
      </c>
      <c r="C628" s="404" t="s">
        <v>2532</v>
      </c>
      <c r="D628" s="381" t="s">
        <v>2533</v>
      </c>
      <c r="E628" s="383" t="s">
        <v>252</v>
      </c>
      <c r="F628" s="381" t="s">
        <v>2534</v>
      </c>
      <c r="G628" s="384"/>
      <c r="H628" s="24"/>
      <c r="I628" s="24"/>
      <c r="J628" s="25" t="str">
        <f t="shared" si="31"/>
        <v xml:space="preserve"> </v>
      </c>
      <c r="K628" s="385"/>
      <c r="L628" s="385"/>
      <c r="M628" s="386">
        <f t="shared" si="29"/>
        <v>0</v>
      </c>
      <c r="N628" s="496">
        <v>30</v>
      </c>
      <c r="O628" s="333">
        <f t="shared" si="30"/>
        <v>30</v>
      </c>
      <c r="R628" s="23" t="str">
        <f>VLOOKUP(C:C,'Historic Data - working'!A:B,1,FALSE)</f>
        <v>CLF010</v>
      </c>
      <c r="U628" s="323"/>
      <c r="V628" s="323"/>
      <c r="W628" s="323"/>
    </row>
    <row r="629" spans="1:23" s="23" customFormat="1" ht="14.25" hidden="1" x14ac:dyDescent="0.2">
      <c r="A629" s="381" t="s">
        <v>2502</v>
      </c>
      <c r="B629" s="381" t="s">
        <v>324</v>
      </c>
      <c r="C629" s="404" t="s">
        <v>2535</v>
      </c>
      <c r="D629" s="381" t="s">
        <v>2536</v>
      </c>
      <c r="E629" s="383" t="s">
        <v>2537</v>
      </c>
      <c r="F629" s="381" t="s">
        <v>2538</v>
      </c>
      <c r="G629" s="384" t="s">
        <v>329</v>
      </c>
      <c r="H629" s="24">
        <v>565.36</v>
      </c>
      <c r="I629" s="24"/>
      <c r="J629" s="25" t="str">
        <f t="shared" si="31"/>
        <v>1</v>
      </c>
      <c r="K629" s="385"/>
      <c r="L629" s="385"/>
      <c r="M629" s="386">
        <f t="shared" si="29"/>
        <v>565.36</v>
      </c>
      <c r="N629" s="496">
        <v>265</v>
      </c>
      <c r="O629" s="333">
        <f t="shared" si="30"/>
        <v>830.36</v>
      </c>
      <c r="R629" s="23" t="str">
        <f>VLOOKUP(C:C,'Historic Data - working'!A:B,1,FALSE)</f>
        <v>CLF010P</v>
      </c>
      <c r="U629" s="323"/>
      <c r="V629" s="323"/>
      <c r="W629" s="323"/>
    </row>
    <row r="630" spans="1:23" s="23" customFormat="1" ht="14.25" hidden="1" x14ac:dyDescent="0.2">
      <c r="A630" s="381" t="s">
        <v>2502</v>
      </c>
      <c r="B630" s="381" t="s">
        <v>324</v>
      </c>
      <c r="C630" s="404" t="s">
        <v>2539</v>
      </c>
      <c r="D630" s="381" t="s">
        <v>2540</v>
      </c>
      <c r="E630" s="383" t="s">
        <v>2541</v>
      </c>
      <c r="F630" s="381" t="s">
        <v>2542</v>
      </c>
      <c r="G630" s="384" t="s">
        <v>329</v>
      </c>
      <c r="H630" s="24">
        <f>309.15+131.18+119.5+617.09+44</f>
        <v>1220.92</v>
      </c>
      <c r="I630" s="24"/>
      <c r="J630" s="25" t="str">
        <f t="shared" si="31"/>
        <v>1</v>
      </c>
      <c r="K630" s="385" t="s">
        <v>2543</v>
      </c>
      <c r="L630" s="385">
        <v>50</v>
      </c>
      <c r="M630" s="386">
        <f t="shared" si="29"/>
        <v>1270.92</v>
      </c>
      <c r="N630" s="496">
        <v>790</v>
      </c>
      <c r="O630" s="333">
        <f t="shared" si="30"/>
        <v>2060.92</v>
      </c>
      <c r="R630" s="23" t="str">
        <f>VLOOKUP(C:C,'Historic Data - working'!A:B,1,FALSE)</f>
        <v>CLF011</v>
      </c>
      <c r="U630" s="323"/>
      <c r="V630" s="323"/>
      <c r="W630" s="323"/>
    </row>
    <row r="631" spans="1:23" s="23" customFormat="1" ht="14.25" hidden="1" x14ac:dyDescent="0.2">
      <c r="A631" s="381" t="s">
        <v>2502</v>
      </c>
      <c r="B631" s="381" t="s">
        <v>324</v>
      </c>
      <c r="C631" s="404" t="s">
        <v>2544</v>
      </c>
      <c r="D631" s="381" t="s">
        <v>2545</v>
      </c>
      <c r="E631" s="383" t="s">
        <v>1366</v>
      </c>
      <c r="F631" s="381" t="s">
        <v>2546</v>
      </c>
      <c r="G631" s="384"/>
      <c r="H631" s="24"/>
      <c r="I631" s="24"/>
      <c r="J631" s="25" t="str">
        <f t="shared" si="31"/>
        <v xml:space="preserve"> </v>
      </c>
      <c r="K631" s="385"/>
      <c r="L631" s="385"/>
      <c r="M631" s="386">
        <f t="shared" si="29"/>
        <v>0</v>
      </c>
      <c r="N631" s="496">
        <v>512.67999999999995</v>
      </c>
      <c r="O631" s="333">
        <f t="shared" si="30"/>
        <v>512.67999999999995</v>
      </c>
      <c r="R631" s="23" t="str">
        <f>VLOOKUP(C:C,'Historic Data - working'!A:B,1,FALSE)</f>
        <v>CLF012</v>
      </c>
      <c r="U631" s="323"/>
      <c r="V631" s="323"/>
      <c r="W631" s="323"/>
    </row>
    <row r="632" spans="1:23" s="23" customFormat="1" ht="14.25" hidden="1" x14ac:dyDescent="0.2">
      <c r="A632" s="381" t="s">
        <v>2502</v>
      </c>
      <c r="B632" s="381" t="s">
        <v>324</v>
      </c>
      <c r="C632" s="404" t="s">
        <v>2547</v>
      </c>
      <c r="D632" s="381" t="s">
        <v>2548</v>
      </c>
      <c r="E632" s="383" t="s">
        <v>214</v>
      </c>
      <c r="F632" s="381" t="s">
        <v>2506</v>
      </c>
      <c r="G632" s="384"/>
      <c r="H632" s="24"/>
      <c r="I632" s="24"/>
      <c r="J632" s="25" t="str">
        <f t="shared" si="31"/>
        <v xml:space="preserve"> </v>
      </c>
      <c r="K632" s="385" t="s">
        <v>337</v>
      </c>
      <c r="L632" s="385">
        <v>730.64</v>
      </c>
      <c r="M632" s="386">
        <f t="shared" si="29"/>
        <v>730.64</v>
      </c>
      <c r="N632" s="496">
        <v>39</v>
      </c>
      <c r="O632" s="333">
        <f t="shared" si="30"/>
        <v>769.64</v>
      </c>
      <c r="R632" s="23" t="str">
        <f>VLOOKUP(C:C,'Historic Data - working'!A:B,1,FALSE)</f>
        <v>CLF013</v>
      </c>
      <c r="U632" s="323"/>
      <c r="V632" s="323"/>
      <c r="W632" s="323"/>
    </row>
    <row r="633" spans="1:23" s="23" customFormat="1" ht="14.25" hidden="1" x14ac:dyDescent="0.2">
      <c r="A633" s="381" t="s">
        <v>2502</v>
      </c>
      <c r="B633" s="381" t="s">
        <v>324</v>
      </c>
      <c r="C633" s="404" t="s">
        <v>2549</v>
      </c>
      <c r="D633" s="381" t="s">
        <v>2550</v>
      </c>
      <c r="E633" s="383" t="s">
        <v>428</v>
      </c>
      <c r="F633" s="381" t="s">
        <v>2506</v>
      </c>
      <c r="G633" s="384" t="s">
        <v>329</v>
      </c>
      <c r="H633" s="24">
        <v>2858.85</v>
      </c>
      <c r="I633" s="24"/>
      <c r="J633" s="25" t="str">
        <f t="shared" si="31"/>
        <v>1</v>
      </c>
      <c r="K633" s="385" t="s">
        <v>2551</v>
      </c>
      <c r="L633" s="385">
        <v>500.9</v>
      </c>
      <c r="M633" s="386">
        <f t="shared" si="29"/>
        <v>3359.75</v>
      </c>
      <c r="N633" s="496">
        <v>460</v>
      </c>
      <c r="O633" s="333">
        <f t="shared" si="30"/>
        <v>3819.75</v>
      </c>
      <c r="R633" s="23" t="str">
        <f>VLOOKUP(C:C,'Historic Data - working'!A:B,1,FALSE)</f>
        <v>CLF014</v>
      </c>
      <c r="U633" s="323"/>
      <c r="V633" s="323"/>
      <c r="W633" s="323"/>
    </row>
    <row r="634" spans="1:23" s="23" customFormat="1" ht="14.25" hidden="1" x14ac:dyDescent="0.2">
      <c r="A634" s="381" t="s">
        <v>2502</v>
      </c>
      <c r="B634" s="381" t="s">
        <v>324</v>
      </c>
      <c r="C634" s="404" t="s">
        <v>2552</v>
      </c>
      <c r="D634" s="381" t="s">
        <v>2553</v>
      </c>
      <c r="E634" s="383" t="s">
        <v>2554</v>
      </c>
      <c r="F634" s="381" t="s">
        <v>2506</v>
      </c>
      <c r="G634" s="384"/>
      <c r="H634" s="24"/>
      <c r="I634" s="24"/>
      <c r="J634" s="25" t="str">
        <f t="shared" si="31"/>
        <v xml:space="preserve"> </v>
      </c>
      <c r="K634" s="385"/>
      <c r="L634" s="385"/>
      <c r="M634" s="386">
        <f t="shared" si="29"/>
        <v>0</v>
      </c>
      <c r="N634" s="496"/>
      <c r="O634" s="333">
        <f t="shared" si="30"/>
        <v>0</v>
      </c>
      <c r="R634" s="23" t="str">
        <f>VLOOKUP(C:C,'Historic Data - working'!A:B,1,FALSE)</f>
        <v>CLF015</v>
      </c>
      <c r="U634" s="323"/>
      <c r="V634" s="323"/>
      <c r="W634" s="323"/>
    </row>
    <row r="635" spans="1:23" s="23" customFormat="1" ht="14.25" hidden="1" x14ac:dyDescent="0.2">
      <c r="A635" s="381" t="s">
        <v>2502</v>
      </c>
      <c r="B635" s="381" t="s">
        <v>324</v>
      </c>
      <c r="C635" s="404" t="s">
        <v>2555</v>
      </c>
      <c r="D635" s="381" t="s">
        <v>2556</v>
      </c>
      <c r="E635" s="383" t="s">
        <v>2557</v>
      </c>
      <c r="F635" s="381" t="s">
        <v>2506</v>
      </c>
      <c r="G635" s="384" t="s">
        <v>329</v>
      </c>
      <c r="H635" s="24">
        <v>639.97</v>
      </c>
      <c r="I635" s="24"/>
      <c r="J635" s="25" t="str">
        <f t="shared" si="31"/>
        <v>1</v>
      </c>
      <c r="K635" s="385" t="s">
        <v>2558</v>
      </c>
      <c r="L635" s="385">
        <v>25.38</v>
      </c>
      <c r="M635" s="386">
        <f t="shared" si="29"/>
        <v>665.35</v>
      </c>
      <c r="N635" s="496">
        <v>240</v>
      </c>
      <c r="O635" s="333">
        <f t="shared" si="30"/>
        <v>905.35</v>
      </c>
      <c r="R635" s="23" t="str">
        <f>VLOOKUP(C:C,'Historic Data - working'!A:B,1,FALSE)</f>
        <v>CLF016</v>
      </c>
      <c r="U635" s="323"/>
      <c r="V635" s="323"/>
      <c r="W635" s="323"/>
    </row>
    <row r="636" spans="1:23" s="23" customFormat="1" ht="14.25" hidden="1" x14ac:dyDescent="0.2">
      <c r="A636" s="381" t="s">
        <v>2502</v>
      </c>
      <c r="B636" s="381" t="s">
        <v>324</v>
      </c>
      <c r="C636" s="404" t="s">
        <v>2559</v>
      </c>
      <c r="D636" s="381" t="s">
        <v>2560</v>
      </c>
      <c r="E636" s="383" t="s">
        <v>94</v>
      </c>
      <c r="F636" s="381" t="s">
        <v>2506</v>
      </c>
      <c r="G636" s="384"/>
      <c r="H636" s="24"/>
      <c r="I636" s="24"/>
      <c r="J636" s="25" t="str">
        <f t="shared" si="31"/>
        <v xml:space="preserve"> </v>
      </c>
      <c r="K636" s="385"/>
      <c r="L636" s="385"/>
      <c r="M636" s="386">
        <f t="shared" si="29"/>
        <v>0</v>
      </c>
      <c r="N636" s="496"/>
      <c r="O636" s="333">
        <f t="shared" si="30"/>
        <v>0</v>
      </c>
      <c r="R636" s="23" t="e">
        <f>VLOOKUP(C:C,'Historic Data - working'!A:B,1,FALSE)</f>
        <v>#N/A</v>
      </c>
      <c r="U636" s="323"/>
      <c r="V636" s="323"/>
      <c r="W636" s="323"/>
    </row>
    <row r="637" spans="1:23" s="23" customFormat="1" ht="14.25" hidden="1" x14ac:dyDescent="0.2">
      <c r="A637" s="381" t="s">
        <v>2502</v>
      </c>
      <c r="B637" s="381" t="s">
        <v>324</v>
      </c>
      <c r="C637" s="404" t="s">
        <v>2561</v>
      </c>
      <c r="D637" s="381" t="s">
        <v>2562</v>
      </c>
      <c r="E637" s="383" t="s">
        <v>2563</v>
      </c>
      <c r="F637" s="381" t="s">
        <v>2506</v>
      </c>
      <c r="G637" s="384"/>
      <c r="H637" s="24"/>
      <c r="I637" s="24"/>
      <c r="J637" s="25" t="str">
        <f t="shared" si="31"/>
        <v xml:space="preserve"> </v>
      </c>
      <c r="K637" s="385" t="s">
        <v>337</v>
      </c>
      <c r="L637" s="385">
        <v>625.21</v>
      </c>
      <c r="M637" s="386">
        <f t="shared" si="29"/>
        <v>625.21</v>
      </c>
      <c r="N637" s="496"/>
      <c r="O637" s="333">
        <f t="shared" si="30"/>
        <v>625.21</v>
      </c>
      <c r="R637" s="23" t="str">
        <f>VLOOKUP(C:C,'Historic Data - working'!A:B,1,FALSE)</f>
        <v>CLF018</v>
      </c>
      <c r="U637" s="323"/>
      <c r="V637" s="323"/>
      <c r="W637" s="323"/>
    </row>
    <row r="638" spans="1:23" s="23" customFormat="1" ht="14.25" hidden="1" x14ac:dyDescent="0.2">
      <c r="A638" s="381" t="s">
        <v>2502</v>
      </c>
      <c r="B638" s="381" t="s">
        <v>324</v>
      </c>
      <c r="C638" s="404" t="s">
        <v>2564</v>
      </c>
      <c r="D638" s="381" t="s">
        <v>2565</v>
      </c>
      <c r="E638" s="383" t="s">
        <v>822</v>
      </c>
      <c r="F638" s="381" t="s">
        <v>2506</v>
      </c>
      <c r="G638" s="384" t="s">
        <v>329</v>
      </c>
      <c r="H638" s="24">
        <v>1429.6</v>
      </c>
      <c r="I638" s="24"/>
      <c r="J638" s="25" t="str">
        <f t="shared" si="31"/>
        <v>1</v>
      </c>
      <c r="K638" s="385" t="s">
        <v>2566</v>
      </c>
      <c r="L638" s="385">
        <v>-0.03</v>
      </c>
      <c r="M638" s="386">
        <f t="shared" si="29"/>
        <v>1429.57</v>
      </c>
      <c r="N638" s="496">
        <v>485</v>
      </c>
      <c r="O638" s="333">
        <f t="shared" si="30"/>
        <v>1914.57</v>
      </c>
      <c r="R638" s="23" t="str">
        <f>VLOOKUP(C:C,'Historic Data - working'!A:B,1,FALSE)</f>
        <v>CLF019</v>
      </c>
      <c r="U638" s="323"/>
      <c r="V638" s="323"/>
      <c r="W638" s="323"/>
    </row>
    <row r="639" spans="1:23" s="23" customFormat="1" ht="14.25" hidden="1" x14ac:dyDescent="0.2">
      <c r="A639" s="381" t="s">
        <v>2502</v>
      </c>
      <c r="B639" s="381" t="s">
        <v>324</v>
      </c>
      <c r="C639" s="404" t="s">
        <v>2567</v>
      </c>
      <c r="D639" s="381" t="s">
        <v>2568</v>
      </c>
      <c r="E639" s="383" t="s">
        <v>630</v>
      </c>
      <c r="F639" s="381" t="s">
        <v>2506</v>
      </c>
      <c r="G639" s="384" t="s">
        <v>329</v>
      </c>
      <c r="H639" s="24">
        <f>191.25+121.29+40+78+36.42+60+352.37</f>
        <v>879.33</v>
      </c>
      <c r="I639" s="24"/>
      <c r="J639" s="25" t="str">
        <f t="shared" si="31"/>
        <v>1</v>
      </c>
      <c r="K639" s="385" t="s">
        <v>2569</v>
      </c>
      <c r="L639" s="385">
        <v>-191.05</v>
      </c>
      <c r="M639" s="386">
        <f t="shared" si="29"/>
        <v>688.28</v>
      </c>
      <c r="N639" s="496">
        <v>80</v>
      </c>
      <c r="O639" s="333">
        <f t="shared" si="30"/>
        <v>768.28</v>
      </c>
      <c r="R639" s="23" t="str">
        <f>VLOOKUP(C:C,'Historic Data - working'!A:B,1,FALSE)</f>
        <v>CLF020</v>
      </c>
      <c r="U639" s="323"/>
      <c r="V639" s="323"/>
      <c r="W639" s="323"/>
    </row>
    <row r="640" spans="1:23" s="23" customFormat="1" ht="14.25" hidden="1" x14ac:dyDescent="0.2">
      <c r="A640" s="381" t="s">
        <v>2502</v>
      </c>
      <c r="B640" s="381" t="s">
        <v>324</v>
      </c>
      <c r="C640" s="404" t="s">
        <v>2570</v>
      </c>
      <c r="D640" s="381" t="s">
        <v>2571</v>
      </c>
      <c r="E640" s="383" t="s">
        <v>2572</v>
      </c>
      <c r="F640" s="381" t="s">
        <v>2506</v>
      </c>
      <c r="G640" s="384" t="s">
        <v>329</v>
      </c>
      <c r="H640" s="24">
        <v>486.78</v>
      </c>
      <c r="I640" s="24"/>
      <c r="J640" s="25" t="str">
        <f t="shared" si="31"/>
        <v>1</v>
      </c>
      <c r="K640" s="385"/>
      <c r="L640" s="385"/>
      <c r="M640" s="386">
        <f t="shared" si="29"/>
        <v>486.78</v>
      </c>
      <c r="N640" s="496">
        <v>455</v>
      </c>
      <c r="O640" s="333">
        <f t="shared" si="30"/>
        <v>941.78</v>
      </c>
      <c r="R640" s="23" t="str">
        <f>VLOOKUP(C:C,'Historic Data - working'!A:B,1,FALSE)</f>
        <v>CLF021</v>
      </c>
      <c r="U640" s="323"/>
      <c r="V640" s="323"/>
      <c r="W640" s="323"/>
    </row>
    <row r="641" spans="1:23" s="23" customFormat="1" ht="14.25" hidden="1" x14ac:dyDescent="0.2">
      <c r="A641" s="381" t="s">
        <v>2502</v>
      </c>
      <c r="B641" s="381" t="s">
        <v>324</v>
      </c>
      <c r="C641" s="404" t="s">
        <v>2573</v>
      </c>
      <c r="D641" s="381" t="s">
        <v>2574</v>
      </c>
      <c r="E641" s="383" t="s">
        <v>2575</v>
      </c>
      <c r="F641" s="381" t="s">
        <v>2506</v>
      </c>
      <c r="G641" s="384"/>
      <c r="H641" s="24"/>
      <c r="I641" s="24"/>
      <c r="J641" s="25" t="str">
        <f t="shared" si="31"/>
        <v xml:space="preserve"> </v>
      </c>
      <c r="K641" s="385" t="s">
        <v>337</v>
      </c>
      <c r="L641" s="385">
        <v>650.53</v>
      </c>
      <c r="M641" s="386">
        <f t="shared" si="29"/>
        <v>650.53</v>
      </c>
      <c r="N641" s="496">
        <v>5</v>
      </c>
      <c r="O641" s="333">
        <f t="shared" si="30"/>
        <v>655.53</v>
      </c>
      <c r="R641" s="23" t="str">
        <f>VLOOKUP(C:C,'Historic Data - working'!A:B,1,FALSE)</f>
        <v>CLF022</v>
      </c>
      <c r="U641" s="323"/>
      <c r="V641" s="323"/>
      <c r="W641" s="323"/>
    </row>
    <row r="642" spans="1:23" s="23" customFormat="1" ht="14.25" hidden="1" x14ac:dyDescent="0.2">
      <c r="A642" s="381" t="s">
        <v>2502</v>
      </c>
      <c r="B642" s="381" t="s">
        <v>324</v>
      </c>
      <c r="C642" s="404" t="s">
        <v>2576</v>
      </c>
      <c r="D642" s="381" t="s">
        <v>2577</v>
      </c>
      <c r="E642" s="383" t="s">
        <v>2578</v>
      </c>
      <c r="F642" s="381" t="s">
        <v>2506</v>
      </c>
      <c r="G642" s="384"/>
      <c r="H642" s="24"/>
      <c r="I642" s="24"/>
      <c r="J642" s="25" t="str">
        <f t="shared" si="31"/>
        <v xml:space="preserve"> </v>
      </c>
      <c r="K642" s="385"/>
      <c r="L642" s="385"/>
      <c r="M642" s="386">
        <f t="shared" ref="M642:M705" si="32">H642+L642</f>
        <v>0</v>
      </c>
      <c r="N642" s="496"/>
      <c r="O642" s="333">
        <f t="shared" ref="O642:O705" si="33">M642+N642</f>
        <v>0</v>
      </c>
      <c r="R642" s="23" t="e">
        <f>VLOOKUP(C:C,'Historic Data - working'!A:B,1,FALSE)</f>
        <v>#N/A</v>
      </c>
      <c r="U642" s="323"/>
      <c r="V642" s="323"/>
      <c r="W642" s="323"/>
    </row>
    <row r="643" spans="1:23" s="23" customFormat="1" ht="14.25" hidden="1" x14ac:dyDescent="0.2">
      <c r="A643" s="381" t="s">
        <v>2502</v>
      </c>
      <c r="B643" s="381" t="s">
        <v>324</v>
      </c>
      <c r="C643" s="404" t="s">
        <v>2579</v>
      </c>
      <c r="D643" s="381" t="s">
        <v>2580</v>
      </c>
      <c r="E643" s="383" t="s">
        <v>61</v>
      </c>
      <c r="F643" s="381" t="s">
        <v>2506</v>
      </c>
      <c r="G643" s="384" t="s">
        <v>329</v>
      </c>
      <c r="H643" s="24">
        <v>785.05</v>
      </c>
      <c r="I643" s="24"/>
      <c r="J643" s="25" t="str">
        <f t="shared" si="31"/>
        <v>1</v>
      </c>
      <c r="K643" s="385"/>
      <c r="L643" s="385"/>
      <c r="M643" s="386">
        <f t="shared" si="32"/>
        <v>785.05</v>
      </c>
      <c r="N643" s="496">
        <v>90</v>
      </c>
      <c r="O643" s="333">
        <f t="shared" si="33"/>
        <v>875.05</v>
      </c>
      <c r="R643" s="23" t="str">
        <f>VLOOKUP(C:C,'Historic Data - working'!A:B,1,FALSE)</f>
        <v>CLF024</v>
      </c>
      <c r="U643" s="323"/>
      <c r="V643" s="323"/>
      <c r="W643" s="323"/>
    </row>
    <row r="644" spans="1:23" s="23" customFormat="1" ht="14.25" hidden="1" x14ac:dyDescent="0.2">
      <c r="A644" s="381" t="s">
        <v>2502</v>
      </c>
      <c r="B644" s="381" t="s">
        <v>324</v>
      </c>
      <c r="C644" s="404" t="s">
        <v>2581</v>
      </c>
      <c r="D644" s="381" t="s">
        <v>2582</v>
      </c>
      <c r="E644" s="383" t="s">
        <v>2583</v>
      </c>
      <c r="F644" s="381" t="s">
        <v>2506</v>
      </c>
      <c r="G644" s="384"/>
      <c r="H644" s="24"/>
      <c r="I644" s="24"/>
      <c r="J644" s="25" t="str">
        <f t="shared" si="31"/>
        <v xml:space="preserve"> </v>
      </c>
      <c r="K644" s="385"/>
      <c r="L644" s="385"/>
      <c r="M644" s="386">
        <f t="shared" si="32"/>
        <v>0</v>
      </c>
      <c r="N644" s="496">
        <v>715.34</v>
      </c>
      <c r="O644" s="333">
        <f t="shared" si="33"/>
        <v>715.34</v>
      </c>
      <c r="R644" s="23" t="str">
        <f>VLOOKUP(C:C,'Historic Data - working'!A:B,1,FALSE)</f>
        <v>CLF025</v>
      </c>
      <c r="U644" s="323"/>
      <c r="V644" s="323"/>
      <c r="W644" s="323"/>
    </row>
    <row r="645" spans="1:23" s="23" customFormat="1" ht="28.5" hidden="1" x14ac:dyDescent="0.2">
      <c r="A645" s="381" t="s">
        <v>2502</v>
      </c>
      <c r="B645" s="381" t="s">
        <v>324</v>
      </c>
      <c r="C645" s="404" t="s">
        <v>2584</v>
      </c>
      <c r="D645" s="381" t="s">
        <v>2585</v>
      </c>
      <c r="E645" s="383" t="s">
        <v>2586</v>
      </c>
      <c r="F645" s="381" t="s">
        <v>2506</v>
      </c>
      <c r="G645" s="384"/>
      <c r="H645" s="24"/>
      <c r="I645" s="24"/>
      <c r="J645" s="25" t="str">
        <f t="shared" si="31"/>
        <v xml:space="preserve"> </v>
      </c>
      <c r="K645" s="385"/>
      <c r="L645" s="385"/>
      <c r="M645" s="386">
        <f t="shared" si="32"/>
        <v>0</v>
      </c>
      <c r="N645" s="496"/>
      <c r="O645" s="333">
        <f t="shared" si="33"/>
        <v>0</v>
      </c>
      <c r="R645" s="23" t="e">
        <f>VLOOKUP(C:C,'Historic Data - working'!A:B,1,FALSE)</f>
        <v>#N/A</v>
      </c>
      <c r="U645" s="323"/>
      <c r="V645" s="323"/>
      <c r="W645" s="323"/>
    </row>
    <row r="646" spans="1:23" s="23" customFormat="1" ht="14.25" hidden="1" x14ac:dyDescent="0.2">
      <c r="A646" s="381" t="s">
        <v>2502</v>
      </c>
      <c r="B646" s="381" t="s">
        <v>324</v>
      </c>
      <c r="C646" s="404" t="s">
        <v>2587</v>
      </c>
      <c r="D646" s="381" t="s">
        <v>2588</v>
      </c>
      <c r="E646" s="383" t="s">
        <v>124</v>
      </c>
      <c r="F646" s="381" t="s">
        <v>2506</v>
      </c>
      <c r="G646" s="384" t="s">
        <v>329</v>
      </c>
      <c r="H646" s="24">
        <f>1672.22+41.8</f>
        <v>1714.02</v>
      </c>
      <c r="I646" s="24"/>
      <c r="J646" s="25" t="str">
        <f t="shared" si="31"/>
        <v>1</v>
      </c>
      <c r="K646" s="385" t="s">
        <v>2589</v>
      </c>
      <c r="L646" s="385">
        <v>388.84</v>
      </c>
      <c r="M646" s="386">
        <f t="shared" si="32"/>
        <v>2102.86</v>
      </c>
      <c r="N646" s="496">
        <v>80</v>
      </c>
      <c r="O646" s="333">
        <f t="shared" si="33"/>
        <v>2182.86</v>
      </c>
      <c r="R646" s="23" t="str">
        <f>VLOOKUP(C:C,'Historic Data - working'!A:B,1,FALSE)</f>
        <v>CLF026</v>
      </c>
      <c r="U646" s="323"/>
      <c r="V646" s="323"/>
      <c r="W646" s="323"/>
    </row>
    <row r="647" spans="1:23" s="23" customFormat="1" ht="14.25" hidden="1" x14ac:dyDescent="0.2">
      <c r="A647" s="381" t="s">
        <v>2502</v>
      </c>
      <c r="B647" s="381" t="s">
        <v>324</v>
      </c>
      <c r="C647" s="404" t="s">
        <v>2590</v>
      </c>
      <c r="D647" s="381" t="s">
        <v>2591</v>
      </c>
      <c r="E647" s="383" t="s">
        <v>640</v>
      </c>
      <c r="F647" s="381" t="s">
        <v>2506</v>
      </c>
      <c r="G647" s="384" t="s">
        <v>329</v>
      </c>
      <c r="H647" s="24">
        <f>338.71+351.88</f>
        <v>690.58999999999992</v>
      </c>
      <c r="I647" s="24"/>
      <c r="J647" s="25" t="str">
        <f t="shared" si="31"/>
        <v>1</v>
      </c>
      <c r="K647" s="387" t="s">
        <v>2592</v>
      </c>
      <c r="L647" s="385">
        <v>-351.88</v>
      </c>
      <c r="M647" s="386">
        <f t="shared" si="32"/>
        <v>338.70999999999992</v>
      </c>
      <c r="N647" s="496">
        <v>356.88</v>
      </c>
      <c r="O647" s="333">
        <f t="shared" si="33"/>
        <v>695.58999999999992</v>
      </c>
      <c r="R647" s="23" t="str">
        <f>VLOOKUP(C:C,'Historic Data - working'!A:B,1,FALSE)</f>
        <v>CLF027</v>
      </c>
      <c r="U647" s="323"/>
      <c r="V647" s="323"/>
      <c r="W647" s="323"/>
    </row>
    <row r="648" spans="1:23" s="23" customFormat="1" ht="14.25" hidden="1" x14ac:dyDescent="0.2">
      <c r="A648" s="381" t="s">
        <v>2502</v>
      </c>
      <c r="B648" s="381" t="s">
        <v>324</v>
      </c>
      <c r="C648" s="404" t="s">
        <v>2593</v>
      </c>
      <c r="D648" s="381" t="s">
        <v>2594</v>
      </c>
      <c r="E648" s="383" t="s">
        <v>934</v>
      </c>
      <c r="F648" s="381" t="s">
        <v>2506</v>
      </c>
      <c r="G648" s="384"/>
      <c r="H648" s="24"/>
      <c r="I648" s="24"/>
      <c r="J648" s="25" t="str">
        <f t="shared" si="31"/>
        <v xml:space="preserve"> </v>
      </c>
      <c r="K648" s="385"/>
      <c r="L648" s="385"/>
      <c r="M648" s="386">
        <f t="shared" si="32"/>
        <v>0</v>
      </c>
      <c r="N648" s="496">
        <v>230</v>
      </c>
      <c r="O648" s="333">
        <f t="shared" si="33"/>
        <v>230</v>
      </c>
      <c r="R648" s="23" t="str">
        <f>VLOOKUP(C:C,'Historic Data - working'!A:B,1,FALSE)</f>
        <v>CLF028</v>
      </c>
      <c r="U648" s="323"/>
      <c r="V648" s="323"/>
      <c r="W648" s="323"/>
    </row>
    <row r="649" spans="1:23" s="23" customFormat="1" ht="14.25" hidden="1" x14ac:dyDescent="0.2">
      <c r="A649" s="381" t="s">
        <v>2502</v>
      </c>
      <c r="B649" s="381" t="s">
        <v>324</v>
      </c>
      <c r="C649" s="404" t="s">
        <v>2595</v>
      </c>
      <c r="D649" s="381" t="s">
        <v>2596</v>
      </c>
      <c r="E649" s="383" t="s">
        <v>2597</v>
      </c>
      <c r="F649" s="381" t="s">
        <v>2506</v>
      </c>
      <c r="G649" s="384"/>
      <c r="H649" s="24"/>
      <c r="I649" s="24"/>
      <c r="J649" s="25" t="str">
        <f t="shared" si="31"/>
        <v xml:space="preserve"> </v>
      </c>
      <c r="K649" s="385"/>
      <c r="L649" s="385"/>
      <c r="M649" s="386">
        <f t="shared" si="32"/>
        <v>0</v>
      </c>
      <c r="N649" s="496">
        <v>160</v>
      </c>
      <c r="O649" s="333">
        <f t="shared" si="33"/>
        <v>160</v>
      </c>
      <c r="R649" s="23" t="str">
        <f>VLOOKUP(C:C,'Historic Data - working'!A:B,1,FALSE)</f>
        <v>CLF029</v>
      </c>
      <c r="U649" s="323"/>
      <c r="V649" s="323"/>
      <c r="W649" s="323"/>
    </row>
    <row r="650" spans="1:23" s="23" customFormat="1" ht="14.25" hidden="1" x14ac:dyDescent="0.2">
      <c r="A650" s="381" t="s">
        <v>2502</v>
      </c>
      <c r="B650" s="381" t="s">
        <v>324</v>
      </c>
      <c r="C650" s="404" t="s">
        <v>2598</v>
      </c>
      <c r="D650" s="381" t="s">
        <v>2599</v>
      </c>
      <c r="E650" s="383" t="s">
        <v>2600</v>
      </c>
      <c r="F650" s="381" t="s">
        <v>2506</v>
      </c>
      <c r="G650" s="384"/>
      <c r="H650" s="24"/>
      <c r="I650" s="24"/>
      <c r="J650" s="25" t="str">
        <f t="shared" si="31"/>
        <v xml:space="preserve"> </v>
      </c>
      <c r="K650" s="385"/>
      <c r="L650" s="385"/>
      <c r="M650" s="386">
        <f t="shared" si="32"/>
        <v>0</v>
      </c>
      <c r="N650" s="496"/>
      <c r="O650" s="333">
        <f t="shared" si="33"/>
        <v>0</v>
      </c>
      <c r="R650" s="23" t="e">
        <f>VLOOKUP(C:C,'Historic Data - working'!A:B,1,FALSE)</f>
        <v>#N/A</v>
      </c>
      <c r="U650" s="323"/>
      <c r="V650" s="323"/>
      <c r="W650" s="323"/>
    </row>
    <row r="651" spans="1:23" s="23" customFormat="1" ht="14.25" hidden="1" x14ac:dyDescent="0.2">
      <c r="A651" s="381" t="s">
        <v>2502</v>
      </c>
      <c r="B651" s="381" t="s">
        <v>324</v>
      </c>
      <c r="C651" s="404" t="s">
        <v>2601</v>
      </c>
      <c r="D651" s="381" t="s">
        <v>2602</v>
      </c>
      <c r="E651" s="383" t="s">
        <v>2603</v>
      </c>
      <c r="F651" s="381" t="s">
        <v>2506</v>
      </c>
      <c r="G651" s="384"/>
      <c r="H651" s="24"/>
      <c r="I651" s="24"/>
      <c r="J651" s="25" t="str">
        <f t="shared" si="31"/>
        <v xml:space="preserve"> </v>
      </c>
      <c r="K651" s="385"/>
      <c r="L651" s="385"/>
      <c r="M651" s="386">
        <f t="shared" si="32"/>
        <v>0</v>
      </c>
      <c r="N651" s="496">
        <v>90</v>
      </c>
      <c r="O651" s="333">
        <f t="shared" si="33"/>
        <v>90</v>
      </c>
      <c r="R651" s="23" t="str">
        <f>VLOOKUP(C:C,'Historic Data - working'!A:B,1,FALSE)</f>
        <v>CLF031</v>
      </c>
      <c r="U651" s="323"/>
      <c r="V651" s="323"/>
      <c r="W651" s="323"/>
    </row>
    <row r="652" spans="1:23" s="23" customFormat="1" ht="14.25" hidden="1" x14ac:dyDescent="0.2">
      <c r="A652" s="381" t="s">
        <v>2502</v>
      </c>
      <c r="B652" s="381" t="s">
        <v>324</v>
      </c>
      <c r="C652" s="404" t="s">
        <v>2604</v>
      </c>
      <c r="D652" s="381" t="s">
        <v>2605</v>
      </c>
      <c r="E652" s="383" t="s">
        <v>244</v>
      </c>
      <c r="F652" s="381" t="s">
        <v>2606</v>
      </c>
      <c r="G652" s="384" t="s">
        <v>329</v>
      </c>
      <c r="H652" s="24">
        <f>215.65+158.68</f>
        <v>374.33000000000004</v>
      </c>
      <c r="I652" s="24"/>
      <c r="J652" s="25" t="str">
        <f t="shared" si="31"/>
        <v>1</v>
      </c>
      <c r="K652" s="385"/>
      <c r="L652" s="385"/>
      <c r="M652" s="386">
        <f t="shared" si="32"/>
        <v>374.33000000000004</v>
      </c>
      <c r="N652" s="496">
        <v>180</v>
      </c>
      <c r="O652" s="333">
        <f t="shared" si="33"/>
        <v>554.33000000000004</v>
      </c>
      <c r="R652" s="23" t="str">
        <f>VLOOKUP(C:C,'Historic Data - working'!A:B,1,FALSE)</f>
        <v>CLF032</v>
      </c>
      <c r="U652" s="323"/>
      <c r="V652" s="323"/>
      <c r="W652" s="323"/>
    </row>
    <row r="653" spans="1:23" s="23" customFormat="1" ht="14.25" hidden="1" x14ac:dyDescent="0.2">
      <c r="A653" s="381" t="s">
        <v>2502</v>
      </c>
      <c r="B653" s="381" t="s">
        <v>324</v>
      </c>
      <c r="C653" s="404" t="s">
        <v>2607</v>
      </c>
      <c r="D653" s="381" t="s">
        <v>2608</v>
      </c>
      <c r="E653" s="383" t="s">
        <v>2609</v>
      </c>
      <c r="F653" s="381" t="s">
        <v>2506</v>
      </c>
      <c r="G653" s="384"/>
      <c r="H653" s="24"/>
      <c r="I653" s="24"/>
      <c r="J653" s="25" t="str">
        <f t="shared" si="31"/>
        <v xml:space="preserve"> </v>
      </c>
      <c r="K653" s="385"/>
      <c r="L653" s="385"/>
      <c r="M653" s="386">
        <f t="shared" si="32"/>
        <v>0</v>
      </c>
      <c r="N653" s="496">
        <v>215</v>
      </c>
      <c r="O653" s="333">
        <f t="shared" si="33"/>
        <v>215</v>
      </c>
      <c r="R653" s="23" t="str">
        <f>VLOOKUP(C:C,'Historic Data - working'!A:B,1,FALSE)</f>
        <v>CLF033</v>
      </c>
      <c r="U653" s="323"/>
      <c r="V653" s="323"/>
      <c r="W653" s="323"/>
    </row>
    <row r="654" spans="1:23" s="23" customFormat="1" ht="14.25" hidden="1" x14ac:dyDescent="0.2">
      <c r="A654" s="381" t="s">
        <v>2502</v>
      </c>
      <c r="B654" s="381" t="s">
        <v>324</v>
      </c>
      <c r="C654" s="404" t="s">
        <v>2610</v>
      </c>
      <c r="D654" s="381" t="s">
        <v>2611</v>
      </c>
      <c r="E654" s="383" t="s">
        <v>2612</v>
      </c>
      <c r="F654" s="381" t="s">
        <v>2506</v>
      </c>
      <c r="G654" s="384"/>
      <c r="H654" s="24"/>
      <c r="I654" s="24"/>
      <c r="J654" s="25" t="str">
        <f t="shared" si="31"/>
        <v xml:space="preserve"> </v>
      </c>
      <c r="K654" s="385"/>
      <c r="L654" s="385"/>
      <c r="M654" s="386">
        <f t="shared" si="32"/>
        <v>0</v>
      </c>
      <c r="N654" s="496"/>
      <c r="O654" s="333">
        <f t="shared" si="33"/>
        <v>0</v>
      </c>
      <c r="R654" s="23" t="e">
        <f>VLOOKUP(C:C,'Historic Data - working'!A:B,1,FALSE)</f>
        <v>#N/A</v>
      </c>
      <c r="U654" s="323"/>
      <c r="V654" s="323"/>
      <c r="W654" s="323"/>
    </row>
    <row r="655" spans="1:23" s="23" customFormat="1" ht="14.25" hidden="1" x14ac:dyDescent="0.2">
      <c r="A655" s="381" t="s">
        <v>2502</v>
      </c>
      <c r="B655" s="381" t="s">
        <v>324</v>
      </c>
      <c r="C655" s="404" t="s">
        <v>2613</v>
      </c>
      <c r="D655" s="381" t="s">
        <v>2614</v>
      </c>
      <c r="E655" s="383" t="s">
        <v>2615</v>
      </c>
      <c r="F655" s="381" t="s">
        <v>2616</v>
      </c>
      <c r="G655" s="384" t="s">
        <v>329</v>
      </c>
      <c r="H655" s="24">
        <f>150+50+15</f>
        <v>215</v>
      </c>
      <c r="I655" s="24"/>
      <c r="J655" s="25" t="str">
        <f t="shared" si="31"/>
        <v>1</v>
      </c>
      <c r="K655" s="385"/>
      <c r="L655" s="385"/>
      <c r="M655" s="386">
        <f t="shared" si="32"/>
        <v>215</v>
      </c>
      <c r="N655" s="496">
        <v>65</v>
      </c>
      <c r="O655" s="333">
        <f t="shared" si="33"/>
        <v>280</v>
      </c>
      <c r="R655" s="23" t="str">
        <f>VLOOKUP(C:C,'Historic Data - working'!A:B,1,FALSE)</f>
        <v>CLF034</v>
      </c>
      <c r="U655" s="323"/>
      <c r="V655" s="323"/>
      <c r="W655" s="323"/>
    </row>
    <row r="656" spans="1:23" s="23" customFormat="1" ht="14.25" hidden="1" x14ac:dyDescent="0.2">
      <c r="A656" s="381" t="s">
        <v>2502</v>
      </c>
      <c r="B656" s="381" t="s">
        <v>324</v>
      </c>
      <c r="C656" s="404" t="s">
        <v>2617</v>
      </c>
      <c r="D656" s="381" t="s">
        <v>2618</v>
      </c>
      <c r="E656" s="383" t="s">
        <v>2619</v>
      </c>
      <c r="F656" s="381" t="s">
        <v>2620</v>
      </c>
      <c r="G656" s="384" t="s">
        <v>329</v>
      </c>
      <c r="H656" s="24">
        <v>644.45000000000005</v>
      </c>
      <c r="I656" s="24"/>
      <c r="J656" s="25" t="str">
        <f t="shared" si="31"/>
        <v>1</v>
      </c>
      <c r="K656" s="385"/>
      <c r="L656" s="385"/>
      <c r="M656" s="386">
        <f t="shared" si="32"/>
        <v>644.45000000000005</v>
      </c>
      <c r="N656" s="496">
        <v>72</v>
      </c>
      <c r="O656" s="333">
        <f t="shared" si="33"/>
        <v>716.45</v>
      </c>
      <c r="R656" s="23" t="str">
        <f>VLOOKUP(C:C,'Historic Data - working'!A:B,1,FALSE)</f>
        <v>CLF035</v>
      </c>
      <c r="U656" s="323"/>
      <c r="V656" s="323"/>
      <c r="W656" s="323"/>
    </row>
    <row r="657" spans="1:23" s="23" customFormat="1" ht="14.25" hidden="1" x14ac:dyDescent="0.2">
      <c r="A657" s="381" t="s">
        <v>2502</v>
      </c>
      <c r="B657" s="381" t="s">
        <v>324</v>
      </c>
      <c r="C657" s="404" t="s">
        <v>2621</v>
      </c>
      <c r="D657" s="381" t="s">
        <v>2622</v>
      </c>
      <c r="E657" s="383" t="s">
        <v>83</v>
      </c>
      <c r="F657" s="381" t="s">
        <v>2623</v>
      </c>
      <c r="G657" s="384" t="s">
        <v>329</v>
      </c>
      <c r="H657" s="24">
        <v>2251.65</v>
      </c>
      <c r="I657" s="24"/>
      <c r="J657" s="25" t="str">
        <f t="shared" si="31"/>
        <v>1</v>
      </c>
      <c r="K657" s="387" t="s">
        <v>2624</v>
      </c>
      <c r="L657" s="385">
        <v>-0.3</v>
      </c>
      <c r="M657" s="386">
        <f t="shared" si="32"/>
        <v>2251.35</v>
      </c>
      <c r="N657" s="496">
        <v>185</v>
      </c>
      <c r="O657" s="333">
        <f t="shared" si="33"/>
        <v>2436.35</v>
      </c>
      <c r="R657" s="23" t="str">
        <f>VLOOKUP(C:C,'Historic Data - working'!A:B,1,FALSE)</f>
        <v>CLF036</v>
      </c>
      <c r="U657" s="323"/>
      <c r="V657" s="323"/>
      <c r="W657" s="323"/>
    </row>
    <row r="658" spans="1:23" s="23" customFormat="1" ht="14.25" hidden="1" x14ac:dyDescent="0.2">
      <c r="A658" s="381" t="s">
        <v>2502</v>
      </c>
      <c r="B658" s="381" t="s">
        <v>324</v>
      </c>
      <c r="C658" s="404" t="s">
        <v>2625</v>
      </c>
      <c r="D658" s="381" t="s">
        <v>2626</v>
      </c>
      <c r="E658" s="383" t="s">
        <v>2627</v>
      </c>
      <c r="F658" s="381" t="s">
        <v>2628</v>
      </c>
      <c r="G658" s="384"/>
      <c r="H658" s="24"/>
      <c r="I658" s="24"/>
      <c r="J658" s="25" t="str">
        <f t="shared" si="31"/>
        <v xml:space="preserve"> </v>
      </c>
      <c r="K658" s="385"/>
      <c r="L658" s="385"/>
      <c r="M658" s="386">
        <f t="shared" si="32"/>
        <v>0</v>
      </c>
      <c r="N658" s="496"/>
      <c r="O658" s="333">
        <f t="shared" si="33"/>
        <v>0</v>
      </c>
      <c r="R658" s="23" t="e">
        <f>VLOOKUP(C:C,'Historic Data - working'!A:B,1,FALSE)</f>
        <v>#N/A</v>
      </c>
      <c r="U658" s="323"/>
      <c r="V658" s="323"/>
      <c r="W658" s="323"/>
    </row>
    <row r="659" spans="1:23" s="23" customFormat="1" ht="14.25" hidden="1" x14ac:dyDescent="0.2">
      <c r="A659" s="381" t="s">
        <v>2502</v>
      </c>
      <c r="B659" s="381" t="s">
        <v>324</v>
      </c>
      <c r="C659" s="404" t="s">
        <v>2629</v>
      </c>
      <c r="D659" s="381" t="s">
        <v>2630</v>
      </c>
      <c r="E659" s="383" t="s">
        <v>532</v>
      </c>
      <c r="F659" s="381" t="s">
        <v>2631</v>
      </c>
      <c r="G659" s="384"/>
      <c r="H659" s="24"/>
      <c r="I659" s="24"/>
      <c r="J659" s="25" t="str">
        <f t="shared" si="31"/>
        <v xml:space="preserve"> </v>
      </c>
      <c r="K659" s="385"/>
      <c r="L659" s="385"/>
      <c r="M659" s="386">
        <f t="shared" si="32"/>
        <v>0</v>
      </c>
      <c r="N659" s="496"/>
      <c r="O659" s="333">
        <f t="shared" si="33"/>
        <v>0</v>
      </c>
      <c r="R659" s="23" t="e">
        <f>VLOOKUP(C:C,'Historic Data - working'!A:B,1,FALSE)</f>
        <v>#N/A</v>
      </c>
      <c r="U659" s="323"/>
      <c r="V659" s="323"/>
      <c r="W659" s="323"/>
    </row>
    <row r="660" spans="1:23" s="23" customFormat="1" ht="14.25" hidden="1" x14ac:dyDescent="0.2">
      <c r="A660" s="381" t="s">
        <v>2502</v>
      </c>
      <c r="B660" s="381" t="s">
        <v>324</v>
      </c>
      <c r="C660" s="404" t="s">
        <v>2632</v>
      </c>
      <c r="D660" s="381" t="s">
        <v>2633</v>
      </c>
      <c r="E660" s="383" t="s">
        <v>2634</v>
      </c>
      <c r="F660" s="381" t="s">
        <v>2635</v>
      </c>
      <c r="G660" s="384" t="s">
        <v>329</v>
      </c>
      <c r="H660" s="24">
        <f>235.78+82.5+227.5+233.86</f>
        <v>779.64</v>
      </c>
      <c r="I660" s="24"/>
      <c r="J660" s="25" t="str">
        <f t="shared" si="31"/>
        <v>1</v>
      </c>
      <c r="K660" s="385"/>
      <c r="L660" s="385"/>
      <c r="M660" s="386">
        <f t="shared" si="32"/>
        <v>779.64</v>
      </c>
      <c r="N660" s="496">
        <v>160</v>
      </c>
      <c r="O660" s="333">
        <f t="shared" si="33"/>
        <v>939.64</v>
      </c>
      <c r="R660" s="23" t="str">
        <f>VLOOKUP(C:C,'Historic Data - working'!A:B,1,FALSE)</f>
        <v>CLF037</v>
      </c>
      <c r="U660" s="323"/>
      <c r="V660" s="323"/>
      <c r="W660" s="323"/>
    </row>
    <row r="661" spans="1:23" s="23" customFormat="1" ht="14.25" hidden="1" x14ac:dyDescent="0.2">
      <c r="A661" s="381" t="s">
        <v>2502</v>
      </c>
      <c r="B661" s="381" t="s">
        <v>324</v>
      </c>
      <c r="C661" s="404" t="s">
        <v>2636</v>
      </c>
      <c r="D661" s="381" t="s">
        <v>2637</v>
      </c>
      <c r="E661" s="383" t="s">
        <v>1588</v>
      </c>
      <c r="F661" s="381" t="s">
        <v>2638</v>
      </c>
      <c r="G661" s="384" t="s">
        <v>329</v>
      </c>
      <c r="H661" s="24">
        <f>733.82+280.6+705.79</f>
        <v>1720.21</v>
      </c>
      <c r="I661" s="24"/>
      <c r="J661" s="25" t="str">
        <f t="shared" si="31"/>
        <v>1</v>
      </c>
      <c r="K661" s="385" t="s">
        <v>2639</v>
      </c>
      <c r="L661" s="385">
        <v>0.02</v>
      </c>
      <c r="M661" s="386">
        <f t="shared" si="32"/>
        <v>1720.23</v>
      </c>
      <c r="N661" s="496">
        <v>1098</v>
      </c>
      <c r="O661" s="333">
        <f t="shared" si="33"/>
        <v>2818.23</v>
      </c>
      <c r="R661" s="23" t="str">
        <f>VLOOKUP(C:C,'Historic Data - working'!A:B,1,FALSE)</f>
        <v>CLF038</v>
      </c>
      <c r="U661" s="323"/>
      <c r="V661" s="323"/>
      <c r="W661" s="323"/>
    </row>
    <row r="662" spans="1:23" s="23" customFormat="1" ht="14.25" hidden="1" x14ac:dyDescent="0.2">
      <c r="A662" s="381" t="s">
        <v>2502</v>
      </c>
      <c r="B662" s="381" t="s">
        <v>324</v>
      </c>
      <c r="C662" s="404" t="s">
        <v>2640</v>
      </c>
      <c r="D662" s="381" t="s">
        <v>2641</v>
      </c>
      <c r="E662" s="383" t="s">
        <v>2642</v>
      </c>
      <c r="F662" s="381" t="s">
        <v>2638</v>
      </c>
      <c r="G662" s="384" t="s">
        <v>329</v>
      </c>
      <c r="H662" s="24">
        <f>918.09+651.27+21.81+1474.34+194.24+91.28+115.66+150.06+38.09+34.54</f>
        <v>3689.38</v>
      </c>
      <c r="I662" s="24"/>
      <c r="J662" s="25" t="str">
        <f t="shared" si="31"/>
        <v>1</v>
      </c>
      <c r="K662" s="385"/>
      <c r="L662" s="385"/>
      <c r="M662" s="386">
        <f t="shared" si="32"/>
        <v>3689.38</v>
      </c>
      <c r="N662" s="496">
        <v>774</v>
      </c>
      <c r="O662" s="333">
        <f t="shared" si="33"/>
        <v>4463.38</v>
      </c>
      <c r="R662" s="23" t="str">
        <f>VLOOKUP(C:C,'Historic Data - working'!A:B,1,FALSE)</f>
        <v>CLF039</v>
      </c>
      <c r="U662" s="323"/>
      <c r="V662" s="323"/>
      <c r="W662" s="323"/>
    </row>
    <row r="663" spans="1:23" s="23" customFormat="1" ht="14.25" hidden="1" x14ac:dyDescent="0.2">
      <c r="A663" s="381" t="s">
        <v>2502</v>
      </c>
      <c r="B663" s="381" t="s">
        <v>324</v>
      </c>
      <c r="C663" s="404" t="s">
        <v>2643</v>
      </c>
      <c r="D663" s="381" t="s">
        <v>2644</v>
      </c>
      <c r="E663" s="383" t="s">
        <v>453</v>
      </c>
      <c r="F663" s="381" t="s">
        <v>2638</v>
      </c>
      <c r="G663" s="384" t="s">
        <v>329</v>
      </c>
      <c r="H663" s="24">
        <f>74.43+155.27+96.39</f>
        <v>326.09000000000003</v>
      </c>
      <c r="I663" s="24"/>
      <c r="J663" s="25" t="str">
        <f t="shared" si="31"/>
        <v>1</v>
      </c>
      <c r="K663" s="385" t="s">
        <v>2645</v>
      </c>
      <c r="L663" s="385"/>
      <c r="M663" s="386">
        <f t="shared" si="32"/>
        <v>326.09000000000003</v>
      </c>
      <c r="N663" s="496">
        <v>255</v>
      </c>
      <c r="O663" s="333">
        <f t="shared" si="33"/>
        <v>581.09</v>
      </c>
      <c r="R663" s="23" t="str">
        <f>VLOOKUP(C:C,'Historic Data - working'!A:B,1,FALSE)</f>
        <v>CLF040</v>
      </c>
      <c r="U663" s="323"/>
      <c r="V663" s="323"/>
      <c r="W663" s="323"/>
    </row>
    <row r="664" spans="1:23" s="23" customFormat="1" ht="14.25" hidden="1" x14ac:dyDescent="0.2">
      <c r="A664" s="381" t="s">
        <v>2502</v>
      </c>
      <c r="B664" s="381" t="s">
        <v>324</v>
      </c>
      <c r="C664" s="404" t="s">
        <v>2646</v>
      </c>
      <c r="D664" s="381" t="s">
        <v>2647</v>
      </c>
      <c r="E664" s="383" t="s">
        <v>428</v>
      </c>
      <c r="F664" s="381" t="s">
        <v>2648</v>
      </c>
      <c r="G664" s="384"/>
      <c r="H664" s="24"/>
      <c r="I664" s="24"/>
      <c r="J664" s="25" t="str">
        <f t="shared" si="31"/>
        <v xml:space="preserve"> </v>
      </c>
      <c r="K664" s="385"/>
      <c r="L664" s="385"/>
      <c r="M664" s="386">
        <f t="shared" si="32"/>
        <v>0</v>
      </c>
      <c r="N664" s="496">
        <v>40.730000000000004</v>
      </c>
      <c r="O664" s="333">
        <f t="shared" si="33"/>
        <v>40.730000000000004</v>
      </c>
      <c r="R664" s="23" t="str">
        <f>VLOOKUP(C:C,'Historic Data - working'!A:B,1,FALSE)</f>
        <v>CLF041</v>
      </c>
      <c r="U664" s="323"/>
      <c r="V664" s="323"/>
      <c r="W664" s="323"/>
    </row>
    <row r="665" spans="1:23" s="23" customFormat="1" ht="14.25" hidden="1" x14ac:dyDescent="0.2">
      <c r="A665" s="381" t="s">
        <v>2502</v>
      </c>
      <c r="B665" s="381" t="s">
        <v>324</v>
      </c>
      <c r="C665" s="404" t="s">
        <v>2649</v>
      </c>
      <c r="D665" s="381" t="s">
        <v>2650</v>
      </c>
      <c r="E665" s="383" t="s">
        <v>2651</v>
      </c>
      <c r="F665" s="381" t="s">
        <v>2652</v>
      </c>
      <c r="G665" s="384"/>
      <c r="H665" s="24"/>
      <c r="I665" s="24"/>
      <c r="J665" s="25" t="str">
        <f t="shared" si="31"/>
        <v xml:space="preserve"> </v>
      </c>
      <c r="K665" s="385"/>
      <c r="L665" s="385"/>
      <c r="M665" s="386">
        <f t="shared" si="32"/>
        <v>0</v>
      </c>
      <c r="N665" s="496">
        <v>25</v>
      </c>
      <c r="O665" s="333">
        <f t="shared" si="33"/>
        <v>25</v>
      </c>
      <c r="R665" s="23" t="e">
        <f>VLOOKUP(C:C,'Historic Data - working'!A:B,1,FALSE)</f>
        <v>#N/A</v>
      </c>
      <c r="U665" s="323"/>
      <c r="V665" s="323"/>
      <c r="W665" s="323"/>
    </row>
    <row r="666" spans="1:23" s="23" customFormat="1" ht="14.25" hidden="1" x14ac:dyDescent="0.2">
      <c r="A666" s="381" t="s">
        <v>2502</v>
      </c>
      <c r="B666" s="381" t="s">
        <v>324</v>
      </c>
      <c r="C666" s="404" t="s">
        <v>2653</v>
      </c>
      <c r="D666" s="381" t="s">
        <v>2654</v>
      </c>
      <c r="E666" s="383" t="s">
        <v>2655</v>
      </c>
      <c r="F666" s="381" t="s">
        <v>2656</v>
      </c>
      <c r="G666" s="384" t="s">
        <v>329</v>
      </c>
      <c r="H666" s="24">
        <f>127.46+10+330+19.88+356.8+254.71+122.51+77+530.63+95+335.33+304.29</f>
        <v>2563.6099999999997</v>
      </c>
      <c r="I666" s="24"/>
      <c r="J666" s="25" t="str">
        <f t="shared" si="31"/>
        <v>1</v>
      </c>
      <c r="K666" s="385"/>
      <c r="L666" s="385"/>
      <c r="M666" s="386">
        <f t="shared" si="32"/>
        <v>2563.6099999999997</v>
      </c>
      <c r="N666" s="496">
        <v>377</v>
      </c>
      <c r="O666" s="333">
        <f t="shared" si="33"/>
        <v>2940.6099999999997</v>
      </c>
      <c r="R666" s="23" t="str">
        <f>VLOOKUP(C:C,'Historic Data - working'!A:B,1,FALSE)</f>
        <v>CLF043</v>
      </c>
      <c r="U666" s="323"/>
      <c r="V666" s="323"/>
      <c r="W666" s="323"/>
    </row>
    <row r="667" spans="1:23" s="23" customFormat="1" ht="14.25" hidden="1" x14ac:dyDescent="0.2">
      <c r="A667" s="381" t="s">
        <v>2502</v>
      </c>
      <c r="B667" s="381" t="s">
        <v>324</v>
      </c>
      <c r="C667" s="404" t="s">
        <v>2657</v>
      </c>
      <c r="D667" s="381" t="s">
        <v>2658</v>
      </c>
      <c r="E667" s="383" t="s">
        <v>2659</v>
      </c>
      <c r="F667" s="381" t="s">
        <v>2660</v>
      </c>
      <c r="G667" s="384"/>
      <c r="H667" s="24"/>
      <c r="I667" s="24"/>
      <c r="J667" s="25" t="str">
        <f t="shared" si="31"/>
        <v xml:space="preserve"> </v>
      </c>
      <c r="K667" s="385" t="s">
        <v>337</v>
      </c>
      <c r="L667" s="385">
        <v>402.31</v>
      </c>
      <c r="M667" s="386">
        <f t="shared" si="32"/>
        <v>402.31</v>
      </c>
      <c r="N667" s="496">
        <v>707.39</v>
      </c>
      <c r="O667" s="333">
        <f t="shared" si="33"/>
        <v>1109.7</v>
      </c>
      <c r="R667" s="23" t="str">
        <f>VLOOKUP(C:C,'Historic Data - working'!A:B,1,FALSE)</f>
        <v>CLF044</v>
      </c>
      <c r="U667" s="323"/>
      <c r="V667" s="323"/>
      <c r="W667" s="323"/>
    </row>
    <row r="668" spans="1:23" s="23" customFormat="1" ht="14.25" hidden="1" x14ac:dyDescent="0.2">
      <c r="A668" s="381" t="s">
        <v>2502</v>
      </c>
      <c r="B668" s="381" t="s">
        <v>324</v>
      </c>
      <c r="C668" s="404" t="s">
        <v>2661</v>
      </c>
      <c r="D668" s="381" t="s">
        <v>2662</v>
      </c>
      <c r="E668" s="383" t="s">
        <v>2663</v>
      </c>
      <c r="F668" s="381" t="s">
        <v>2664</v>
      </c>
      <c r="G668" s="384"/>
      <c r="H668" s="24"/>
      <c r="I668" s="24"/>
      <c r="J668" s="25" t="str">
        <f t="shared" si="31"/>
        <v xml:space="preserve"> </v>
      </c>
      <c r="K668" s="385"/>
      <c r="L668" s="385"/>
      <c r="M668" s="386">
        <f t="shared" si="32"/>
        <v>0</v>
      </c>
      <c r="N668" s="496">
        <v>90</v>
      </c>
      <c r="O668" s="333">
        <f t="shared" si="33"/>
        <v>90</v>
      </c>
      <c r="R668" s="23" t="str">
        <f>VLOOKUP(C:C,'Historic Data - working'!A:B,1,FALSE)</f>
        <v>CLF045</v>
      </c>
      <c r="U668" s="323"/>
      <c r="V668" s="323"/>
      <c r="W668" s="323"/>
    </row>
    <row r="669" spans="1:23" s="23" customFormat="1" ht="14.25" hidden="1" x14ac:dyDescent="0.2">
      <c r="A669" s="381" t="s">
        <v>2502</v>
      </c>
      <c r="B669" s="381" t="s">
        <v>324</v>
      </c>
      <c r="C669" s="404" t="s">
        <v>2665</v>
      </c>
      <c r="D669" s="381" t="s">
        <v>2666</v>
      </c>
      <c r="E669" s="383" t="s">
        <v>2667</v>
      </c>
      <c r="F669" s="381" t="s">
        <v>2668</v>
      </c>
      <c r="G669" s="384"/>
      <c r="H669" s="24"/>
      <c r="I669" s="24"/>
      <c r="J669" s="25" t="str">
        <f t="shared" si="31"/>
        <v xml:space="preserve"> </v>
      </c>
      <c r="K669" s="385"/>
      <c r="L669" s="385"/>
      <c r="M669" s="386">
        <f t="shared" si="32"/>
        <v>0</v>
      </c>
      <c r="N669" s="496"/>
      <c r="O669" s="333">
        <f t="shared" si="33"/>
        <v>0</v>
      </c>
      <c r="R669" s="23" t="e">
        <f>VLOOKUP(C:C,'Historic Data - working'!A:B,1,FALSE)</f>
        <v>#N/A</v>
      </c>
      <c r="U669" s="323"/>
      <c r="V669" s="323"/>
      <c r="W669" s="323"/>
    </row>
    <row r="670" spans="1:23" s="23" customFormat="1" ht="14.25" hidden="1" x14ac:dyDescent="0.2">
      <c r="A670" s="381" t="s">
        <v>2502</v>
      </c>
      <c r="B670" s="381" t="s">
        <v>324</v>
      </c>
      <c r="C670" s="404" t="s">
        <v>2669</v>
      </c>
      <c r="D670" s="381" t="s">
        <v>2670</v>
      </c>
      <c r="E670" s="383" t="s">
        <v>1032</v>
      </c>
      <c r="F670" s="381" t="s">
        <v>2671</v>
      </c>
      <c r="G670" s="384"/>
      <c r="H670" s="24"/>
      <c r="I670" s="24"/>
      <c r="J670" s="25" t="str">
        <f t="shared" si="31"/>
        <v xml:space="preserve"> </v>
      </c>
      <c r="K670" s="385"/>
      <c r="L670" s="385"/>
      <c r="M670" s="386">
        <f t="shared" si="32"/>
        <v>0</v>
      </c>
      <c r="N670" s="496">
        <v>335</v>
      </c>
      <c r="O670" s="333">
        <f t="shared" si="33"/>
        <v>335</v>
      </c>
      <c r="R670" s="23" t="str">
        <f>VLOOKUP(C:C,'Historic Data - working'!A:B,1,FALSE)</f>
        <v>CLF046</v>
      </c>
      <c r="U670" s="323"/>
      <c r="V670" s="323"/>
      <c r="W670" s="323"/>
    </row>
    <row r="671" spans="1:23" s="23" customFormat="1" ht="14.25" hidden="1" x14ac:dyDescent="0.2">
      <c r="A671" s="381" t="s">
        <v>2502</v>
      </c>
      <c r="B671" s="381" t="s">
        <v>324</v>
      </c>
      <c r="C671" s="404" t="s">
        <v>2672</v>
      </c>
      <c r="D671" s="381" t="s">
        <v>2673</v>
      </c>
      <c r="E671" s="383" t="s">
        <v>2674</v>
      </c>
      <c r="F671" s="381" t="s">
        <v>2675</v>
      </c>
      <c r="G671" s="384" t="s">
        <v>329</v>
      </c>
      <c r="H671" s="24">
        <f>36.42+82+101.58+8.73</f>
        <v>228.73</v>
      </c>
      <c r="I671" s="24"/>
      <c r="J671" s="25" t="str">
        <f t="shared" si="31"/>
        <v>1</v>
      </c>
      <c r="K671" s="385"/>
      <c r="L671" s="385"/>
      <c r="M671" s="386">
        <f t="shared" si="32"/>
        <v>228.73</v>
      </c>
      <c r="N671" s="496">
        <v>140</v>
      </c>
      <c r="O671" s="333">
        <f t="shared" si="33"/>
        <v>368.73</v>
      </c>
      <c r="R671" s="23" t="str">
        <f>VLOOKUP(C:C,'Historic Data - working'!A:B,1,FALSE)</f>
        <v>CLF047</v>
      </c>
      <c r="U671" s="323"/>
      <c r="V671" s="323"/>
      <c r="W671" s="323"/>
    </row>
    <row r="672" spans="1:23" s="23" customFormat="1" ht="14.25" hidden="1" x14ac:dyDescent="0.2">
      <c r="A672" s="381" t="s">
        <v>2502</v>
      </c>
      <c r="B672" s="381" t="s">
        <v>324</v>
      </c>
      <c r="C672" s="404" t="s">
        <v>2676</v>
      </c>
      <c r="D672" s="381" t="s">
        <v>2677</v>
      </c>
      <c r="E672" s="383" t="s">
        <v>276</v>
      </c>
      <c r="F672" s="381" t="s">
        <v>2678</v>
      </c>
      <c r="G672" s="384" t="s">
        <v>329</v>
      </c>
      <c r="H672" s="24">
        <v>1336.68</v>
      </c>
      <c r="I672" s="24"/>
      <c r="J672" s="25" t="str">
        <f t="shared" si="31"/>
        <v>1</v>
      </c>
      <c r="K672" s="385"/>
      <c r="L672" s="385"/>
      <c r="M672" s="386">
        <f t="shared" si="32"/>
        <v>1336.68</v>
      </c>
      <c r="N672" s="496">
        <v>127</v>
      </c>
      <c r="O672" s="333">
        <f t="shared" si="33"/>
        <v>1463.68</v>
      </c>
      <c r="R672" s="23" t="str">
        <f>VLOOKUP(C:C,'Historic Data - working'!A:B,1,FALSE)</f>
        <v>CLF048</v>
      </c>
      <c r="U672" s="323"/>
      <c r="V672" s="323"/>
      <c r="W672" s="323"/>
    </row>
    <row r="673" spans="1:23" s="23" customFormat="1" ht="14.25" hidden="1" x14ac:dyDescent="0.2">
      <c r="A673" s="381" t="s">
        <v>2502</v>
      </c>
      <c r="B673" s="381" t="s">
        <v>324</v>
      </c>
      <c r="C673" s="404" t="s">
        <v>2679</v>
      </c>
      <c r="D673" s="381" t="s">
        <v>2680</v>
      </c>
      <c r="E673" s="383" t="s">
        <v>2681</v>
      </c>
      <c r="F673" s="381" t="s">
        <v>2682</v>
      </c>
      <c r="G673" s="384"/>
      <c r="H673" s="24"/>
      <c r="I673" s="24"/>
      <c r="J673" s="25" t="str">
        <f t="shared" si="31"/>
        <v xml:space="preserve"> </v>
      </c>
      <c r="K673" s="385" t="s">
        <v>337</v>
      </c>
      <c r="L673" s="385">
        <v>469.8</v>
      </c>
      <c r="M673" s="386">
        <f t="shared" si="32"/>
        <v>469.8</v>
      </c>
      <c r="N673" s="496">
        <v>353</v>
      </c>
      <c r="O673" s="333">
        <f t="shared" si="33"/>
        <v>822.8</v>
      </c>
      <c r="R673" s="23" t="str">
        <f>VLOOKUP(C:C,'Historic Data - working'!A:B,1,FALSE)</f>
        <v>CLF049</v>
      </c>
      <c r="U673" s="323"/>
      <c r="V673" s="323"/>
      <c r="W673" s="323"/>
    </row>
    <row r="674" spans="1:23" s="23" customFormat="1" ht="14.25" hidden="1" x14ac:dyDescent="0.2">
      <c r="A674" s="381" t="s">
        <v>2502</v>
      </c>
      <c r="B674" s="381" t="s">
        <v>324</v>
      </c>
      <c r="C674" s="404" t="s">
        <v>2683</v>
      </c>
      <c r="D674" s="381" t="s">
        <v>2684</v>
      </c>
      <c r="E674" s="383" t="s">
        <v>2685</v>
      </c>
      <c r="F674" s="381" t="s">
        <v>2686</v>
      </c>
      <c r="G674" s="384"/>
      <c r="H674" s="24"/>
      <c r="I674" s="24"/>
      <c r="J674" s="25" t="str">
        <f t="shared" si="31"/>
        <v xml:space="preserve"> </v>
      </c>
      <c r="K674" s="385"/>
      <c r="L674" s="385"/>
      <c r="M674" s="386">
        <f t="shared" si="32"/>
        <v>0</v>
      </c>
      <c r="N674" s="496"/>
      <c r="O674" s="333">
        <f t="shared" si="33"/>
        <v>0</v>
      </c>
      <c r="R674" s="23" t="e">
        <f>VLOOKUP(C:C,'Historic Data - working'!A:B,1,FALSE)</f>
        <v>#N/A</v>
      </c>
      <c r="U674" s="323"/>
      <c r="V674" s="323"/>
      <c r="W674" s="323"/>
    </row>
    <row r="675" spans="1:23" s="23" customFormat="1" ht="14.25" hidden="1" x14ac:dyDescent="0.2">
      <c r="A675" s="381" t="s">
        <v>2502</v>
      </c>
      <c r="B675" s="381" t="s">
        <v>324</v>
      </c>
      <c r="C675" s="404" t="s">
        <v>2687</v>
      </c>
      <c r="D675" s="381" t="s">
        <v>2688</v>
      </c>
      <c r="E675" s="383" t="s">
        <v>938</v>
      </c>
      <c r="F675" s="381" t="s">
        <v>2689</v>
      </c>
      <c r="G675" s="384" t="s">
        <v>329</v>
      </c>
      <c r="H675" s="24">
        <f>125.29+157.71+108.49+122.86</f>
        <v>514.35</v>
      </c>
      <c r="I675" s="24"/>
      <c r="J675" s="25" t="str">
        <f t="shared" si="31"/>
        <v>1</v>
      </c>
      <c r="K675" s="385"/>
      <c r="L675" s="385"/>
      <c r="M675" s="386">
        <f t="shared" si="32"/>
        <v>514.35</v>
      </c>
      <c r="N675" s="496">
        <v>55</v>
      </c>
      <c r="O675" s="333">
        <f t="shared" si="33"/>
        <v>569.35</v>
      </c>
      <c r="R675" s="23" t="str">
        <f>VLOOKUP(C:C,'Historic Data - working'!A:B,1,FALSE)</f>
        <v>CLF050</v>
      </c>
      <c r="U675" s="323"/>
      <c r="V675" s="323"/>
      <c r="W675" s="323"/>
    </row>
    <row r="676" spans="1:23" s="23" customFormat="1" ht="14.25" hidden="1" x14ac:dyDescent="0.2">
      <c r="A676" s="381" t="s">
        <v>2502</v>
      </c>
      <c r="B676" s="381" t="s">
        <v>324</v>
      </c>
      <c r="C676" s="404" t="s">
        <v>2690</v>
      </c>
      <c r="D676" s="381" t="s">
        <v>2691</v>
      </c>
      <c r="E676" s="383" t="s">
        <v>2692</v>
      </c>
      <c r="F676" s="381" t="s">
        <v>2693</v>
      </c>
      <c r="G676" s="384"/>
      <c r="H676" s="24"/>
      <c r="I676" s="24"/>
      <c r="J676" s="25" t="str">
        <f t="shared" si="31"/>
        <v xml:space="preserve"> </v>
      </c>
      <c r="K676" s="385"/>
      <c r="L676" s="385"/>
      <c r="M676" s="386">
        <f t="shared" si="32"/>
        <v>0</v>
      </c>
      <c r="N676" s="496"/>
      <c r="O676" s="333">
        <f t="shared" si="33"/>
        <v>0</v>
      </c>
      <c r="R676" s="23" t="str">
        <f>VLOOKUP(C:C,'Historic Data - working'!A:B,1,FALSE)</f>
        <v>CLF050P</v>
      </c>
      <c r="U676" s="323"/>
      <c r="V676" s="323"/>
      <c r="W676" s="323"/>
    </row>
    <row r="677" spans="1:23" s="23" customFormat="1" ht="14.25" hidden="1" x14ac:dyDescent="0.2">
      <c r="A677" s="381" t="s">
        <v>2502</v>
      </c>
      <c r="B677" s="381" t="s">
        <v>324</v>
      </c>
      <c r="C677" s="404" t="s">
        <v>2694</v>
      </c>
      <c r="D677" s="381" t="s">
        <v>2695</v>
      </c>
      <c r="E677" s="383" t="s">
        <v>532</v>
      </c>
      <c r="F677" s="381" t="s">
        <v>2696</v>
      </c>
      <c r="G677" s="384"/>
      <c r="H677" s="24"/>
      <c r="I677" s="24"/>
      <c r="J677" s="25" t="str">
        <f t="shared" si="31"/>
        <v xml:space="preserve"> </v>
      </c>
      <c r="K677" s="385"/>
      <c r="L677" s="385"/>
      <c r="M677" s="386">
        <f t="shared" si="32"/>
        <v>0</v>
      </c>
      <c r="N677" s="496"/>
      <c r="O677" s="333">
        <f t="shared" si="33"/>
        <v>0</v>
      </c>
      <c r="R677" s="23" t="e">
        <f>VLOOKUP(C:C,'Historic Data - working'!A:B,1,FALSE)</f>
        <v>#N/A</v>
      </c>
      <c r="U677" s="323"/>
      <c r="V677" s="323"/>
      <c r="W677" s="323"/>
    </row>
    <row r="678" spans="1:23" s="23" customFormat="1" ht="14.25" hidden="1" x14ac:dyDescent="0.2">
      <c r="A678" s="381" t="s">
        <v>2502</v>
      </c>
      <c r="B678" s="381" t="s">
        <v>324</v>
      </c>
      <c r="C678" s="404" t="s">
        <v>2697</v>
      </c>
      <c r="D678" s="381" t="s">
        <v>2698</v>
      </c>
      <c r="E678" s="383" t="s">
        <v>124</v>
      </c>
      <c r="F678" s="381" t="s">
        <v>2699</v>
      </c>
      <c r="G678" s="384" t="s">
        <v>329</v>
      </c>
      <c r="H678" s="24">
        <f>19.97+28.4+47.86+91.63</f>
        <v>187.85999999999999</v>
      </c>
      <c r="I678" s="24"/>
      <c r="J678" s="25" t="str">
        <f t="shared" si="31"/>
        <v>1</v>
      </c>
      <c r="K678" s="385" t="s">
        <v>2700</v>
      </c>
      <c r="L678" s="385">
        <v>131.4</v>
      </c>
      <c r="M678" s="386">
        <f t="shared" si="32"/>
        <v>319.26</v>
      </c>
      <c r="N678" s="496">
        <v>345</v>
      </c>
      <c r="O678" s="333">
        <f t="shared" si="33"/>
        <v>664.26</v>
      </c>
      <c r="R678" s="23" t="str">
        <f>VLOOKUP(C:C,'Historic Data - working'!A:B,1,FALSE)</f>
        <v>CLF051</v>
      </c>
      <c r="U678" s="323"/>
      <c r="V678" s="323"/>
      <c r="W678" s="323"/>
    </row>
    <row r="679" spans="1:23" s="23" customFormat="1" ht="14.25" hidden="1" x14ac:dyDescent="0.2">
      <c r="A679" s="381" t="s">
        <v>2502</v>
      </c>
      <c r="B679" s="381" t="s">
        <v>324</v>
      </c>
      <c r="C679" s="404" t="s">
        <v>2701</v>
      </c>
      <c r="D679" s="381" t="s">
        <v>2702</v>
      </c>
      <c r="E679" s="383" t="s">
        <v>2703</v>
      </c>
      <c r="F679" s="381" t="s">
        <v>2704</v>
      </c>
      <c r="G679" s="384"/>
      <c r="H679" s="24"/>
      <c r="I679" s="24"/>
      <c r="J679" s="25" t="str">
        <f t="shared" si="31"/>
        <v xml:space="preserve"> </v>
      </c>
      <c r="K679" s="385" t="s">
        <v>337</v>
      </c>
      <c r="L679" s="385">
        <v>297.74</v>
      </c>
      <c r="M679" s="386">
        <f t="shared" si="32"/>
        <v>297.74</v>
      </c>
      <c r="N679" s="496">
        <v>260</v>
      </c>
      <c r="O679" s="333">
        <f t="shared" si="33"/>
        <v>557.74</v>
      </c>
      <c r="R679" s="23" t="str">
        <f>VLOOKUP(C:C,'Historic Data - working'!A:B,1,FALSE)</f>
        <v>CLF052</v>
      </c>
      <c r="U679" s="323"/>
      <c r="V679" s="323"/>
      <c r="W679" s="323"/>
    </row>
    <row r="680" spans="1:23" s="23" customFormat="1" ht="14.25" hidden="1" x14ac:dyDescent="0.2">
      <c r="A680" s="381" t="s">
        <v>2502</v>
      </c>
      <c r="B680" s="381" t="s">
        <v>324</v>
      </c>
      <c r="C680" s="404" t="s">
        <v>2705</v>
      </c>
      <c r="D680" s="381" t="s">
        <v>2706</v>
      </c>
      <c r="E680" s="383" t="s">
        <v>532</v>
      </c>
      <c r="F680" s="381" t="s">
        <v>2707</v>
      </c>
      <c r="G680" s="384"/>
      <c r="H680" s="24"/>
      <c r="I680" s="24"/>
      <c r="J680" s="25" t="str">
        <f t="shared" si="31"/>
        <v xml:space="preserve"> </v>
      </c>
      <c r="K680" s="385"/>
      <c r="L680" s="385"/>
      <c r="M680" s="386">
        <f t="shared" si="32"/>
        <v>0</v>
      </c>
      <c r="N680" s="496"/>
      <c r="O680" s="333">
        <f t="shared" si="33"/>
        <v>0</v>
      </c>
      <c r="R680" s="23" t="e">
        <f>VLOOKUP(C:C,'Historic Data - working'!A:B,1,FALSE)</f>
        <v>#N/A</v>
      </c>
      <c r="U680" s="323"/>
      <c r="V680" s="323"/>
      <c r="W680" s="323"/>
    </row>
    <row r="681" spans="1:23" s="23" customFormat="1" ht="14.25" hidden="1" x14ac:dyDescent="0.2">
      <c r="A681" s="381" t="s">
        <v>2502</v>
      </c>
      <c r="B681" s="381" t="s">
        <v>324</v>
      </c>
      <c r="C681" s="404" t="s">
        <v>2708</v>
      </c>
      <c r="D681" s="381" t="s">
        <v>2709</v>
      </c>
      <c r="E681" s="383" t="s">
        <v>1546</v>
      </c>
      <c r="F681" s="381" t="s">
        <v>2506</v>
      </c>
      <c r="G681" s="384" t="s">
        <v>329</v>
      </c>
      <c r="H681" s="24">
        <v>1262</v>
      </c>
      <c r="I681" s="24"/>
      <c r="J681" s="25" t="str">
        <f t="shared" si="31"/>
        <v>1</v>
      </c>
      <c r="K681" s="385"/>
      <c r="L681" s="385"/>
      <c r="M681" s="386">
        <f t="shared" si="32"/>
        <v>1262</v>
      </c>
      <c r="N681" s="496">
        <v>427</v>
      </c>
      <c r="O681" s="334">
        <f t="shared" si="33"/>
        <v>1689</v>
      </c>
      <c r="P681" s="351"/>
      <c r="Q681" s="331"/>
      <c r="R681" s="331" t="e">
        <f>VLOOKUP(C:C,'Historic Data - working'!A:B,1,FALSE)</f>
        <v>#N/A</v>
      </c>
      <c r="U681" s="323"/>
      <c r="V681" s="323"/>
      <c r="W681" s="323"/>
    </row>
    <row r="682" spans="1:23" s="23" customFormat="1" ht="14.25" hidden="1" x14ac:dyDescent="0.2">
      <c r="A682" s="381" t="s">
        <v>2502</v>
      </c>
      <c r="B682" s="381" t="s">
        <v>324</v>
      </c>
      <c r="C682" s="404" t="s">
        <v>2710</v>
      </c>
      <c r="D682" s="381" t="s">
        <v>2711</v>
      </c>
      <c r="E682" s="383" t="s">
        <v>2712</v>
      </c>
      <c r="F682" s="381" t="s">
        <v>2713</v>
      </c>
      <c r="G682" s="384"/>
      <c r="H682" s="24"/>
      <c r="I682" s="24"/>
      <c r="J682" s="25" t="str">
        <f t="shared" si="31"/>
        <v xml:space="preserve"> </v>
      </c>
      <c r="K682" s="385"/>
      <c r="L682" s="385"/>
      <c r="M682" s="386">
        <f t="shared" si="32"/>
        <v>0</v>
      </c>
      <c r="N682" s="496"/>
      <c r="O682" s="333">
        <f t="shared" si="33"/>
        <v>0</v>
      </c>
      <c r="R682" s="23" t="e">
        <f>VLOOKUP(C:C,'Historic Data - working'!A:B,1,FALSE)</f>
        <v>#N/A</v>
      </c>
      <c r="U682" s="323"/>
      <c r="V682" s="323"/>
      <c r="W682" s="323"/>
    </row>
    <row r="683" spans="1:23" s="23" customFormat="1" ht="14.25" hidden="1" x14ac:dyDescent="0.2">
      <c r="A683" s="381" t="s">
        <v>2502</v>
      </c>
      <c r="B683" s="381" t="s">
        <v>324</v>
      </c>
      <c r="C683" s="404" t="s">
        <v>2714</v>
      </c>
      <c r="D683" s="381" t="s">
        <v>2715</v>
      </c>
      <c r="E683" s="383" t="s">
        <v>2716</v>
      </c>
      <c r="F683" s="381" t="s">
        <v>2717</v>
      </c>
      <c r="G683" s="384"/>
      <c r="H683" s="24"/>
      <c r="I683" s="24"/>
      <c r="J683" s="25" t="str">
        <f t="shared" si="31"/>
        <v xml:space="preserve"> </v>
      </c>
      <c r="K683" s="385"/>
      <c r="L683" s="385"/>
      <c r="M683" s="386">
        <f t="shared" si="32"/>
        <v>0</v>
      </c>
      <c r="N683" s="496">
        <v>280</v>
      </c>
      <c r="O683" s="333">
        <f t="shared" si="33"/>
        <v>280</v>
      </c>
      <c r="R683" s="23" t="str">
        <f>VLOOKUP(C:C,'Historic Data - working'!A:B,1,FALSE)</f>
        <v>CLF055</v>
      </c>
      <c r="U683" s="323"/>
      <c r="V683" s="323"/>
      <c r="W683" s="323"/>
    </row>
    <row r="684" spans="1:23" s="23" customFormat="1" ht="14.25" hidden="1" x14ac:dyDescent="0.2">
      <c r="A684" s="381" t="s">
        <v>2502</v>
      </c>
      <c r="B684" s="381" t="s">
        <v>324</v>
      </c>
      <c r="C684" s="404" t="s">
        <v>2718</v>
      </c>
      <c r="D684" s="381" t="s">
        <v>2719</v>
      </c>
      <c r="E684" s="383" t="s">
        <v>2720</v>
      </c>
      <c r="F684" s="381" t="s">
        <v>2721</v>
      </c>
      <c r="G684" s="384" t="s">
        <v>329</v>
      </c>
      <c r="H684" s="24">
        <v>689.33</v>
      </c>
      <c r="I684" s="24"/>
      <c r="J684" s="25" t="str">
        <f t="shared" ref="J684:J747" si="34">IF(G684="Y","1"," ")</f>
        <v>1</v>
      </c>
      <c r="K684" s="385" t="s">
        <v>2722</v>
      </c>
      <c r="L684" s="385">
        <v>-0.1</v>
      </c>
      <c r="M684" s="386">
        <f t="shared" si="32"/>
        <v>689.23</v>
      </c>
      <c r="N684" s="496">
        <v>50</v>
      </c>
      <c r="O684" s="333">
        <f t="shared" si="33"/>
        <v>739.23</v>
      </c>
      <c r="R684" s="23" t="str">
        <f>VLOOKUP(C:C,'Historic Data - working'!A:B,1,FALSE)</f>
        <v>CLF056</v>
      </c>
      <c r="U684" s="323"/>
      <c r="V684" s="323"/>
      <c r="W684" s="323"/>
    </row>
    <row r="685" spans="1:23" s="23" customFormat="1" ht="14.25" hidden="1" x14ac:dyDescent="0.2">
      <c r="A685" s="381" t="s">
        <v>2502</v>
      </c>
      <c r="B685" s="381" t="s">
        <v>324</v>
      </c>
      <c r="C685" s="404" t="s">
        <v>2723</v>
      </c>
      <c r="D685" s="381" t="s">
        <v>2724</v>
      </c>
      <c r="E685" s="383" t="s">
        <v>78</v>
      </c>
      <c r="F685" s="381" t="s">
        <v>2725</v>
      </c>
      <c r="G685" s="384" t="s">
        <v>329</v>
      </c>
      <c r="H685" s="24">
        <v>1230.54</v>
      </c>
      <c r="I685" s="24"/>
      <c r="J685" s="25" t="str">
        <f t="shared" si="34"/>
        <v>1</v>
      </c>
      <c r="K685" s="385"/>
      <c r="L685" s="385"/>
      <c r="M685" s="386">
        <f t="shared" si="32"/>
        <v>1230.54</v>
      </c>
      <c r="N685" s="496">
        <v>50</v>
      </c>
      <c r="O685" s="333">
        <f t="shared" si="33"/>
        <v>1280.54</v>
      </c>
      <c r="R685" s="23" t="str">
        <f>VLOOKUP(C:C,'Historic Data - working'!A:B,1,FALSE)</f>
        <v>CLF057</v>
      </c>
      <c r="U685" s="323"/>
      <c r="V685" s="323"/>
      <c r="W685" s="323"/>
    </row>
    <row r="686" spans="1:23" s="23" customFormat="1" ht="14.25" hidden="1" x14ac:dyDescent="0.2">
      <c r="A686" s="381" t="s">
        <v>2502</v>
      </c>
      <c r="B686" s="381" t="s">
        <v>324</v>
      </c>
      <c r="C686" s="404" t="s">
        <v>2726</v>
      </c>
      <c r="D686" s="381" t="s">
        <v>2727</v>
      </c>
      <c r="E686" s="383" t="s">
        <v>226</v>
      </c>
      <c r="F686" s="381" t="s">
        <v>2728</v>
      </c>
      <c r="G686" s="384"/>
      <c r="H686" s="24"/>
      <c r="I686" s="24"/>
      <c r="J686" s="25" t="str">
        <f t="shared" si="34"/>
        <v xml:space="preserve"> </v>
      </c>
      <c r="K686" s="385"/>
      <c r="L686" s="385"/>
      <c r="M686" s="386">
        <f t="shared" si="32"/>
        <v>0</v>
      </c>
      <c r="N686" s="496"/>
      <c r="O686" s="333">
        <f t="shared" si="33"/>
        <v>0</v>
      </c>
      <c r="R686" s="23" t="e">
        <f>VLOOKUP(C:C,'Historic Data - working'!A:B,1,FALSE)</f>
        <v>#N/A</v>
      </c>
      <c r="U686" s="323"/>
      <c r="V686" s="323"/>
      <c r="W686" s="323"/>
    </row>
    <row r="687" spans="1:23" s="23" customFormat="1" ht="14.25" hidden="1" x14ac:dyDescent="0.2">
      <c r="A687" s="381" t="s">
        <v>2502</v>
      </c>
      <c r="B687" s="381" t="s">
        <v>324</v>
      </c>
      <c r="C687" s="404" t="s">
        <v>2729</v>
      </c>
      <c r="D687" s="381" t="s">
        <v>2730</v>
      </c>
      <c r="E687" s="383" t="s">
        <v>2731</v>
      </c>
      <c r="F687" s="381" t="s">
        <v>2732</v>
      </c>
      <c r="G687" s="384" t="s">
        <v>329</v>
      </c>
      <c r="H687" s="24">
        <f>277.83+35.43</f>
        <v>313.26</v>
      </c>
      <c r="I687" s="24"/>
      <c r="J687" s="25" t="str">
        <f t="shared" si="34"/>
        <v>1</v>
      </c>
      <c r="K687" s="385"/>
      <c r="L687" s="385"/>
      <c r="M687" s="386">
        <f t="shared" si="32"/>
        <v>313.26</v>
      </c>
      <c r="N687" s="496">
        <v>205</v>
      </c>
      <c r="O687" s="333">
        <f t="shared" si="33"/>
        <v>518.26</v>
      </c>
      <c r="R687" s="23" t="str">
        <f>VLOOKUP(C:C,'Historic Data - working'!A:B,1,FALSE)</f>
        <v>CLF058</v>
      </c>
      <c r="U687" s="323"/>
      <c r="V687" s="323"/>
      <c r="W687" s="323"/>
    </row>
    <row r="688" spans="1:23" s="23" customFormat="1" ht="14.25" hidden="1" x14ac:dyDescent="0.2">
      <c r="A688" s="381" t="s">
        <v>2502</v>
      </c>
      <c r="B688" s="381" t="s">
        <v>324</v>
      </c>
      <c r="C688" s="404" t="s">
        <v>2733</v>
      </c>
      <c r="D688" s="381" t="s">
        <v>2734</v>
      </c>
      <c r="E688" s="383" t="s">
        <v>2735</v>
      </c>
      <c r="F688" s="381" t="s">
        <v>2736</v>
      </c>
      <c r="G688" s="384"/>
      <c r="H688" s="24"/>
      <c r="I688" s="24"/>
      <c r="J688" s="25" t="str">
        <f t="shared" si="34"/>
        <v xml:space="preserve"> </v>
      </c>
      <c r="K688" s="385"/>
      <c r="L688" s="385"/>
      <c r="M688" s="386">
        <f t="shared" si="32"/>
        <v>0</v>
      </c>
      <c r="N688" s="496"/>
      <c r="O688" s="333">
        <f t="shared" si="33"/>
        <v>0</v>
      </c>
      <c r="R688" s="23" t="e">
        <f>VLOOKUP(C:C,'Historic Data - working'!A:B,1,FALSE)</f>
        <v>#N/A</v>
      </c>
      <c r="U688" s="323"/>
      <c r="V688" s="323"/>
      <c r="W688" s="323"/>
    </row>
    <row r="689" spans="1:23" s="23" customFormat="1" ht="14.25" hidden="1" x14ac:dyDescent="0.2">
      <c r="A689" s="381" t="s">
        <v>2502</v>
      </c>
      <c r="B689" s="381" t="s">
        <v>324</v>
      </c>
      <c r="C689" s="404" t="s">
        <v>2737</v>
      </c>
      <c r="D689" s="381" t="s">
        <v>2738</v>
      </c>
      <c r="E689" s="383" t="s">
        <v>2739</v>
      </c>
      <c r="F689" s="381" t="s">
        <v>2740</v>
      </c>
      <c r="G689" s="384" t="s">
        <v>329</v>
      </c>
      <c r="H689" s="24">
        <v>421.19</v>
      </c>
      <c r="I689" s="24"/>
      <c r="J689" s="25" t="str">
        <f t="shared" si="34"/>
        <v>1</v>
      </c>
      <c r="K689" s="385"/>
      <c r="L689" s="385"/>
      <c r="M689" s="386">
        <f t="shared" si="32"/>
        <v>421.19</v>
      </c>
      <c r="N689" s="496">
        <v>384</v>
      </c>
      <c r="O689" s="333">
        <f t="shared" si="33"/>
        <v>805.19</v>
      </c>
      <c r="R689" s="23" t="str">
        <f>VLOOKUP(C:C,'Historic Data - working'!A:B,1,FALSE)</f>
        <v>CLF059</v>
      </c>
      <c r="U689" s="323"/>
      <c r="V689" s="323"/>
      <c r="W689" s="323"/>
    </row>
    <row r="690" spans="1:23" s="23" customFormat="1" ht="14.25" hidden="1" x14ac:dyDescent="0.2">
      <c r="A690" s="381" t="s">
        <v>2502</v>
      </c>
      <c r="B690" s="381" t="s">
        <v>324</v>
      </c>
      <c r="C690" s="404" t="s">
        <v>2741</v>
      </c>
      <c r="D690" s="381" t="s">
        <v>2742</v>
      </c>
      <c r="E690" s="383" t="s">
        <v>1065</v>
      </c>
      <c r="F690" s="381" t="s">
        <v>2743</v>
      </c>
      <c r="G690" s="384" t="s">
        <v>329</v>
      </c>
      <c r="H690" s="24">
        <f>57.13+506.7+229.03</f>
        <v>792.86</v>
      </c>
      <c r="I690" s="24"/>
      <c r="J690" s="25" t="str">
        <f t="shared" si="34"/>
        <v>1</v>
      </c>
      <c r="K690" s="385"/>
      <c r="L690" s="385"/>
      <c r="M690" s="386">
        <f t="shared" si="32"/>
        <v>792.86</v>
      </c>
      <c r="N690" s="496">
        <v>346</v>
      </c>
      <c r="O690" s="333">
        <f t="shared" si="33"/>
        <v>1138.8600000000001</v>
      </c>
      <c r="R690" s="23" t="str">
        <f>VLOOKUP(C:C,'Historic Data - working'!A:B,1,FALSE)</f>
        <v>CLF060</v>
      </c>
      <c r="U690" s="323"/>
      <c r="V690" s="323"/>
      <c r="W690" s="323"/>
    </row>
    <row r="691" spans="1:23" s="23" customFormat="1" ht="14.25" hidden="1" x14ac:dyDescent="0.2">
      <c r="A691" s="381" t="s">
        <v>2502</v>
      </c>
      <c r="B691" s="381" t="s">
        <v>324</v>
      </c>
      <c r="C691" s="404" t="s">
        <v>2744</v>
      </c>
      <c r="D691" s="381" t="s">
        <v>2745</v>
      </c>
      <c r="E691" s="383" t="s">
        <v>83</v>
      </c>
      <c r="F691" s="381" t="s">
        <v>2746</v>
      </c>
      <c r="G691" s="384"/>
      <c r="H691" s="24"/>
      <c r="I691" s="24"/>
      <c r="J691" s="25" t="str">
        <f t="shared" si="34"/>
        <v xml:space="preserve"> </v>
      </c>
      <c r="K691" s="385" t="s">
        <v>337</v>
      </c>
      <c r="L691" s="385">
        <v>781</v>
      </c>
      <c r="M691" s="386">
        <f t="shared" si="32"/>
        <v>781</v>
      </c>
      <c r="N691" s="496">
        <v>361.8</v>
      </c>
      <c r="O691" s="333">
        <f t="shared" si="33"/>
        <v>1142.8</v>
      </c>
      <c r="R691" s="23" t="str">
        <f>VLOOKUP(C:C,'Historic Data - working'!A:B,1,FALSE)</f>
        <v>CLF060X</v>
      </c>
      <c r="U691" s="323"/>
      <c r="V691" s="323"/>
      <c r="W691" s="323"/>
    </row>
    <row r="692" spans="1:23" s="23" customFormat="1" ht="14.25" hidden="1" x14ac:dyDescent="0.2">
      <c r="A692" s="381" t="s">
        <v>2502</v>
      </c>
      <c r="B692" s="381" t="s">
        <v>324</v>
      </c>
      <c r="C692" s="404" t="s">
        <v>2747</v>
      </c>
      <c r="D692" s="381" t="s">
        <v>2748</v>
      </c>
      <c r="E692" s="383" t="s">
        <v>2749</v>
      </c>
      <c r="F692" s="381" t="s">
        <v>2750</v>
      </c>
      <c r="G692" s="384" t="s">
        <v>329</v>
      </c>
      <c r="H692" s="24">
        <v>100</v>
      </c>
      <c r="I692" s="24"/>
      <c r="J692" s="25" t="str">
        <f t="shared" si="34"/>
        <v>1</v>
      </c>
      <c r="K692" s="385" t="s">
        <v>2751</v>
      </c>
      <c r="L692" s="385">
        <v>-100</v>
      </c>
      <c r="M692" s="386">
        <f t="shared" si="32"/>
        <v>0</v>
      </c>
      <c r="N692" s="496">
        <v>170</v>
      </c>
      <c r="O692" s="333">
        <f t="shared" si="33"/>
        <v>170</v>
      </c>
      <c r="R692" s="23" t="e">
        <f>VLOOKUP(C:C,'Historic Data - working'!A:B,1,FALSE)</f>
        <v>#N/A</v>
      </c>
      <c r="U692" s="323"/>
      <c r="V692" s="323"/>
      <c r="W692" s="323"/>
    </row>
    <row r="693" spans="1:23" s="23" customFormat="1" ht="14.25" hidden="1" x14ac:dyDescent="0.2">
      <c r="A693" s="381" t="s">
        <v>2502</v>
      </c>
      <c r="B693" s="381" t="s">
        <v>324</v>
      </c>
      <c r="C693" s="404" t="s">
        <v>2752</v>
      </c>
      <c r="D693" s="381" t="s">
        <v>2753</v>
      </c>
      <c r="E693" s="383" t="s">
        <v>2754</v>
      </c>
      <c r="F693" s="381" t="s">
        <v>2755</v>
      </c>
      <c r="G693" s="384" t="s">
        <v>329</v>
      </c>
      <c r="H693" s="24"/>
      <c r="I693" s="24"/>
      <c r="J693" s="25" t="str">
        <f t="shared" si="34"/>
        <v>1</v>
      </c>
      <c r="K693" s="388" t="s">
        <v>2756</v>
      </c>
      <c r="L693" s="385"/>
      <c r="M693" s="386">
        <f t="shared" si="32"/>
        <v>0</v>
      </c>
      <c r="N693" s="496">
        <v>90</v>
      </c>
      <c r="O693" s="333">
        <f t="shared" si="33"/>
        <v>90</v>
      </c>
      <c r="R693" s="23" t="str">
        <f>VLOOKUP(C:C,'Historic Data - working'!A:B,1,FALSE)</f>
        <v>CLF062</v>
      </c>
      <c r="U693" s="323"/>
      <c r="V693" s="323"/>
      <c r="W693" s="323"/>
    </row>
    <row r="694" spans="1:23" s="23" customFormat="1" ht="14.25" hidden="1" x14ac:dyDescent="0.2">
      <c r="A694" s="381" t="s">
        <v>2502</v>
      </c>
      <c r="B694" s="381" t="s">
        <v>324</v>
      </c>
      <c r="C694" s="404" t="s">
        <v>2757</v>
      </c>
      <c r="D694" s="381" t="s">
        <v>2758</v>
      </c>
      <c r="E694" s="383" t="s">
        <v>2759</v>
      </c>
      <c r="F694" s="381" t="s">
        <v>2760</v>
      </c>
      <c r="G694" s="384"/>
      <c r="H694" s="24"/>
      <c r="I694" s="24"/>
      <c r="J694" s="25" t="str">
        <f t="shared" si="34"/>
        <v xml:space="preserve"> </v>
      </c>
      <c r="K694" s="385" t="s">
        <v>337</v>
      </c>
      <c r="L694" s="385">
        <v>401.86</v>
      </c>
      <c r="M694" s="386">
        <f t="shared" si="32"/>
        <v>401.86</v>
      </c>
      <c r="N694" s="496">
        <v>10</v>
      </c>
      <c r="O694" s="333">
        <f t="shared" si="33"/>
        <v>411.86</v>
      </c>
      <c r="R694" s="23" t="str">
        <f>VLOOKUP(C:C,'Historic Data - working'!A:B,1,FALSE)</f>
        <v>CLF063</v>
      </c>
      <c r="U694" s="323"/>
      <c r="V694" s="323"/>
      <c r="W694" s="323"/>
    </row>
    <row r="695" spans="1:23" s="23" customFormat="1" ht="14.25" hidden="1" x14ac:dyDescent="0.2">
      <c r="A695" s="381" t="s">
        <v>2502</v>
      </c>
      <c r="B695" s="381" t="s">
        <v>324</v>
      </c>
      <c r="C695" s="404" t="s">
        <v>2761</v>
      </c>
      <c r="D695" s="381" t="s">
        <v>2762</v>
      </c>
      <c r="E695" s="383" t="s">
        <v>796</v>
      </c>
      <c r="F695" s="381" t="s">
        <v>2763</v>
      </c>
      <c r="G695" s="384" t="s">
        <v>329</v>
      </c>
      <c r="H695" s="24">
        <f>421.86+292.89+457.27</f>
        <v>1172.02</v>
      </c>
      <c r="I695" s="24"/>
      <c r="J695" s="25" t="str">
        <f t="shared" si="34"/>
        <v>1</v>
      </c>
      <c r="K695" s="385"/>
      <c r="L695" s="385"/>
      <c r="M695" s="386">
        <f t="shared" si="32"/>
        <v>1172.02</v>
      </c>
      <c r="N695" s="496"/>
      <c r="O695" s="333">
        <f t="shared" si="33"/>
        <v>1172.02</v>
      </c>
      <c r="R695" s="23" t="str">
        <f>VLOOKUP(C:C,'Historic Data - working'!A:B,1,FALSE)</f>
        <v>CLF064</v>
      </c>
      <c r="U695" s="323"/>
      <c r="V695" s="323"/>
      <c r="W695" s="323"/>
    </row>
    <row r="696" spans="1:23" s="23" customFormat="1" ht="14.25" hidden="1" x14ac:dyDescent="0.2">
      <c r="A696" s="381" t="s">
        <v>2502</v>
      </c>
      <c r="B696" s="381" t="s">
        <v>324</v>
      </c>
      <c r="C696" s="404" t="s">
        <v>2764</v>
      </c>
      <c r="D696" s="381" t="s">
        <v>2765</v>
      </c>
      <c r="E696" s="383" t="s">
        <v>2766</v>
      </c>
      <c r="F696" s="381" t="s">
        <v>2767</v>
      </c>
      <c r="G696" s="384"/>
      <c r="H696" s="24"/>
      <c r="I696" s="24"/>
      <c r="J696" s="25" t="str">
        <f t="shared" si="34"/>
        <v xml:space="preserve"> </v>
      </c>
      <c r="K696" s="385"/>
      <c r="L696" s="385"/>
      <c r="M696" s="386">
        <f t="shared" si="32"/>
        <v>0</v>
      </c>
      <c r="N696" s="496"/>
      <c r="O696" s="333">
        <f t="shared" si="33"/>
        <v>0</v>
      </c>
      <c r="R696" s="23" t="e">
        <f>VLOOKUP(C:C,'Historic Data - working'!A:B,1,FALSE)</f>
        <v>#N/A</v>
      </c>
      <c r="U696" s="323"/>
      <c r="V696" s="323"/>
      <c r="W696" s="323"/>
    </row>
    <row r="697" spans="1:23" s="23" customFormat="1" ht="14.25" hidden="1" x14ac:dyDescent="0.2">
      <c r="A697" s="381" t="s">
        <v>2502</v>
      </c>
      <c r="B697" s="381" t="s">
        <v>324</v>
      </c>
      <c r="C697" s="404" t="s">
        <v>2768</v>
      </c>
      <c r="D697" s="381" t="s">
        <v>2769</v>
      </c>
      <c r="E697" s="383" t="s">
        <v>2770</v>
      </c>
      <c r="F697" s="381" t="s">
        <v>2771</v>
      </c>
      <c r="G697" s="384" t="s">
        <v>329</v>
      </c>
      <c r="H697" s="24">
        <v>414.7</v>
      </c>
      <c r="I697" s="24"/>
      <c r="J697" s="25" t="str">
        <f t="shared" si="34"/>
        <v>1</v>
      </c>
      <c r="K697" s="385" t="s">
        <v>2772</v>
      </c>
      <c r="L697" s="385">
        <v>-148.69</v>
      </c>
      <c r="M697" s="386">
        <f t="shared" si="32"/>
        <v>266.01</v>
      </c>
      <c r="N697" s="496">
        <v>55</v>
      </c>
      <c r="O697" s="333">
        <f t="shared" si="33"/>
        <v>321.01</v>
      </c>
      <c r="R697" s="23" t="str">
        <f>VLOOKUP(C:C,'Historic Data - working'!A:B,1,FALSE)</f>
        <v>CLF066</v>
      </c>
      <c r="U697" s="323"/>
      <c r="V697" s="323"/>
      <c r="W697" s="323"/>
    </row>
    <row r="698" spans="1:23" s="23" customFormat="1" ht="14.25" hidden="1" x14ac:dyDescent="0.2">
      <c r="A698" s="381" t="s">
        <v>2502</v>
      </c>
      <c r="B698" s="381" t="s">
        <v>324</v>
      </c>
      <c r="C698" s="404" t="s">
        <v>2773</v>
      </c>
      <c r="D698" s="381" t="s">
        <v>2774</v>
      </c>
      <c r="E698" s="383" t="s">
        <v>56</v>
      </c>
      <c r="F698" s="381" t="s">
        <v>2775</v>
      </c>
      <c r="G698" s="384"/>
      <c r="H698" s="24"/>
      <c r="I698" s="24"/>
      <c r="J698" s="25" t="str">
        <f t="shared" si="34"/>
        <v xml:space="preserve"> </v>
      </c>
      <c r="K698" s="385" t="s">
        <v>337</v>
      </c>
      <c r="L698" s="385">
        <v>218.52</v>
      </c>
      <c r="M698" s="386">
        <f t="shared" si="32"/>
        <v>218.52</v>
      </c>
      <c r="N698" s="496">
        <v>153</v>
      </c>
      <c r="O698" s="333">
        <f t="shared" si="33"/>
        <v>371.52</v>
      </c>
      <c r="R698" s="23" t="str">
        <f>VLOOKUP(C:C,'Historic Data - working'!A:B,1,FALSE)</f>
        <v>CLF067</v>
      </c>
      <c r="U698" s="323"/>
      <c r="V698" s="323"/>
      <c r="W698" s="323"/>
    </row>
    <row r="699" spans="1:23" s="23" customFormat="1" ht="14.25" hidden="1" x14ac:dyDescent="0.2">
      <c r="A699" s="381" t="s">
        <v>2502</v>
      </c>
      <c r="B699" s="381" t="s">
        <v>324</v>
      </c>
      <c r="C699" s="404" t="s">
        <v>2776</v>
      </c>
      <c r="D699" s="381" t="s">
        <v>2777</v>
      </c>
      <c r="E699" s="383" t="s">
        <v>1165</v>
      </c>
      <c r="F699" s="381" t="s">
        <v>2778</v>
      </c>
      <c r="G699" s="384"/>
      <c r="H699" s="24"/>
      <c r="I699" s="24"/>
      <c r="J699" s="25" t="str">
        <f t="shared" si="34"/>
        <v xml:space="preserve"> </v>
      </c>
      <c r="K699" s="385"/>
      <c r="L699" s="385"/>
      <c r="M699" s="386">
        <f t="shared" si="32"/>
        <v>0</v>
      </c>
      <c r="N699" s="496"/>
      <c r="O699" s="333">
        <f t="shared" si="33"/>
        <v>0</v>
      </c>
      <c r="R699" s="23" t="e">
        <f>VLOOKUP(C:C,'Historic Data - working'!A:B,1,FALSE)</f>
        <v>#N/A</v>
      </c>
      <c r="U699" s="323"/>
      <c r="V699" s="323"/>
      <c r="W699" s="323"/>
    </row>
    <row r="700" spans="1:23" s="23" customFormat="1" ht="14.25" hidden="1" x14ac:dyDescent="0.2">
      <c r="A700" s="381" t="s">
        <v>2502</v>
      </c>
      <c r="B700" s="381" t="s">
        <v>324</v>
      </c>
      <c r="C700" s="404" t="s">
        <v>2779</v>
      </c>
      <c r="D700" s="381" t="s">
        <v>2780</v>
      </c>
      <c r="E700" s="383" t="s">
        <v>2781</v>
      </c>
      <c r="F700" s="381" t="s">
        <v>2782</v>
      </c>
      <c r="G700" s="384" t="s">
        <v>329</v>
      </c>
      <c r="H700" s="24">
        <v>1224.23</v>
      </c>
      <c r="I700" s="24"/>
      <c r="J700" s="25" t="str">
        <f t="shared" si="34"/>
        <v>1</v>
      </c>
      <c r="K700" s="385"/>
      <c r="L700" s="385"/>
      <c r="M700" s="386">
        <f t="shared" si="32"/>
        <v>1224.23</v>
      </c>
      <c r="N700" s="496">
        <v>518</v>
      </c>
      <c r="O700" s="333">
        <f t="shared" si="33"/>
        <v>1742.23</v>
      </c>
      <c r="R700" s="23" t="str">
        <f>VLOOKUP(C:C,'Historic Data - working'!A:B,1,FALSE)</f>
        <v>CLF069</v>
      </c>
      <c r="U700" s="323"/>
      <c r="V700" s="323"/>
      <c r="W700" s="323"/>
    </row>
    <row r="701" spans="1:23" s="23" customFormat="1" ht="14.25" hidden="1" x14ac:dyDescent="0.2">
      <c r="A701" s="381" t="s">
        <v>2502</v>
      </c>
      <c r="B701" s="381" t="s">
        <v>324</v>
      </c>
      <c r="C701" s="404" t="s">
        <v>2783</v>
      </c>
      <c r="D701" s="381" t="s">
        <v>2784</v>
      </c>
      <c r="E701" s="383" t="s">
        <v>709</v>
      </c>
      <c r="F701" s="381" t="s">
        <v>2785</v>
      </c>
      <c r="G701" s="384"/>
      <c r="H701" s="24"/>
      <c r="I701" s="24"/>
      <c r="J701" s="25" t="str">
        <f t="shared" si="34"/>
        <v xml:space="preserve"> </v>
      </c>
      <c r="K701" s="385"/>
      <c r="L701" s="385"/>
      <c r="M701" s="386">
        <f t="shared" si="32"/>
        <v>0</v>
      </c>
      <c r="N701" s="496">
        <v>324.44</v>
      </c>
      <c r="O701" s="333">
        <f t="shared" si="33"/>
        <v>324.44</v>
      </c>
      <c r="R701" s="23" t="str">
        <f>VLOOKUP(C:C,'Historic Data - working'!A:B,1,FALSE)</f>
        <v>CLF070</v>
      </c>
      <c r="U701" s="323"/>
      <c r="V701" s="323"/>
      <c r="W701" s="323"/>
    </row>
    <row r="702" spans="1:23" s="23" customFormat="1" ht="14.25" hidden="1" x14ac:dyDescent="0.2">
      <c r="A702" s="381" t="s">
        <v>2502</v>
      </c>
      <c r="B702" s="381" t="s">
        <v>324</v>
      </c>
      <c r="C702" s="404" t="s">
        <v>2786</v>
      </c>
      <c r="D702" s="381" t="s">
        <v>2787</v>
      </c>
      <c r="E702" s="383" t="s">
        <v>2788</v>
      </c>
      <c r="F702" s="381" t="s">
        <v>2789</v>
      </c>
      <c r="G702" s="384"/>
      <c r="H702" s="24"/>
      <c r="I702" s="24"/>
      <c r="J702" s="25" t="str">
        <f t="shared" si="34"/>
        <v xml:space="preserve"> </v>
      </c>
      <c r="K702" s="385" t="s">
        <v>337</v>
      </c>
      <c r="L702" s="385">
        <v>33.58</v>
      </c>
      <c r="M702" s="386">
        <f t="shared" si="32"/>
        <v>33.58</v>
      </c>
      <c r="N702" s="496"/>
      <c r="O702" s="334">
        <f t="shared" si="33"/>
        <v>33.58</v>
      </c>
      <c r="P702" s="351"/>
      <c r="Q702" s="331"/>
      <c r="R702" s="331" t="e">
        <f>VLOOKUP(C:C,'Historic Data - working'!A:B,1,FALSE)</f>
        <v>#N/A</v>
      </c>
      <c r="U702" s="323"/>
      <c r="V702" s="323"/>
      <c r="W702" s="323"/>
    </row>
    <row r="703" spans="1:23" s="23" customFormat="1" ht="14.25" hidden="1" x14ac:dyDescent="0.2">
      <c r="A703" s="381" t="s">
        <v>2502</v>
      </c>
      <c r="B703" s="381" t="s">
        <v>324</v>
      </c>
      <c r="C703" s="404" t="s">
        <v>2790</v>
      </c>
      <c r="D703" s="381" t="s">
        <v>2791</v>
      </c>
      <c r="E703" s="383" t="s">
        <v>428</v>
      </c>
      <c r="F703" s="381" t="s">
        <v>2792</v>
      </c>
      <c r="G703" s="384" t="s">
        <v>329</v>
      </c>
      <c r="H703" s="24">
        <v>633</v>
      </c>
      <c r="I703" s="24"/>
      <c r="J703" s="25" t="str">
        <f t="shared" si="34"/>
        <v>1</v>
      </c>
      <c r="K703" s="385"/>
      <c r="L703" s="385"/>
      <c r="M703" s="386">
        <f t="shared" si="32"/>
        <v>633</v>
      </c>
      <c r="N703" s="496">
        <v>10</v>
      </c>
      <c r="O703" s="333">
        <f t="shared" si="33"/>
        <v>643</v>
      </c>
      <c r="R703" s="23" t="str">
        <f>VLOOKUP(C:C,'Historic Data - working'!A:B,1,FALSE)</f>
        <v>CLF072</v>
      </c>
      <c r="U703" s="323"/>
      <c r="V703" s="323"/>
      <c r="W703" s="323"/>
    </row>
    <row r="704" spans="1:23" s="23" customFormat="1" ht="14.25" hidden="1" x14ac:dyDescent="0.2">
      <c r="A704" s="381" t="s">
        <v>2502</v>
      </c>
      <c r="B704" s="381" t="s">
        <v>324</v>
      </c>
      <c r="C704" s="404" t="s">
        <v>2793</v>
      </c>
      <c r="D704" s="381" t="s">
        <v>2794</v>
      </c>
      <c r="E704" s="383" t="s">
        <v>2795</v>
      </c>
      <c r="F704" s="381" t="s">
        <v>2796</v>
      </c>
      <c r="G704" s="384"/>
      <c r="H704" s="24"/>
      <c r="I704" s="24"/>
      <c r="J704" s="25" t="str">
        <f t="shared" si="34"/>
        <v xml:space="preserve"> </v>
      </c>
      <c r="K704" s="385"/>
      <c r="L704" s="385"/>
      <c r="M704" s="386">
        <f t="shared" si="32"/>
        <v>0</v>
      </c>
      <c r="N704" s="496"/>
      <c r="O704" s="333">
        <f t="shared" si="33"/>
        <v>0</v>
      </c>
      <c r="R704" s="23" t="e">
        <f>VLOOKUP(C:C,'Historic Data - working'!A:B,1,FALSE)</f>
        <v>#N/A</v>
      </c>
      <c r="U704" s="323"/>
      <c r="V704" s="323"/>
      <c r="W704" s="323"/>
    </row>
    <row r="705" spans="1:23" s="23" customFormat="1" ht="14.25" hidden="1" x14ac:dyDescent="0.2">
      <c r="A705" s="381" t="s">
        <v>2502</v>
      </c>
      <c r="B705" s="381" t="s">
        <v>324</v>
      </c>
      <c r="C705" s="404" t="s">
        <v>2797</v>
      </c>
      <c r="D705" s="381" t="s">
        <v>2798</v>
      </c>
      <c r="E705" s="383" t="s">
        <v>2799</v>
      </c>
      <c r="F705" s="381" t="s">
        <v>2800</v>
      </c>
      <c r="G705" s="384"/>
      <c r="H705" s="24"/>
      <c r="I705" s="24"/>
      <c r="J705" s="25" t="str">
        <f t="shared" si="34"/>
        <v xml:space="preserve"> </v>
      </c>
      <c r="K705" s="385"/>
      <c r="L705" s="385"/>
      <c r="M705" s="386">
        <f t="shared" si="32"/>
        <v>0</v>
      </c>
      <c r="N705" s="496"/>
      <c r="O705" s="333">
        <f t="shared" si="33"/>
        <v>0</v>
      </c>
      <c r="R705" s="23" t="e">
        <f>VLOOKUP(C:C,'Historic Data - working'!A:B,1,FALSE)</f>
        <v>#N/A</v>
      </c>
      <c r="U705" s="323"/>
      <c r="V705" s="323"/>
      <c r="W705" s="323"/>
    </row>
    <row r="706" spans="1:23" s="23" customFormat="1" ht="14.25" hidden="1" x14ac:dyDescent="0.2">
      <c r="A706" s="381" t="s">
        <v>2502</v>
      </c>
      <c r="B706" s="381" t="s">
        <v>324</v>
      </c>
      <c r="C706" s="404" t="s">
        <v>2801</v>
      </c>
      <c r="D706" s="381" t="s">
        <v>2802</v>
      </c>
      <c r="E706" s="383" t="s">
        <v>61</v>
      </c>
      <c r="F706" s="381" t="s">
        <v>2803</v>
      </c>
      <c r="G706" s="384" t="s">
        <v>329</v>
      </c>
      <c r="H706" s="24">
        <f>15.13+25.69+19.69+51.6+4.08+26.74+18.15</f>
        <v>161.08000000000001</v>
      </c>
      <c r="I706" s="24"/>
      <c r="J706" s="25" t="str">
        <f t="shared" si="34"/>
        <v>1</v>
      </c>
      <c r="K706" s="385" t="s">
        <v>2804</v>
      </c>
      <c r="L706" s="385">
        <v>22.68</v>
      </c>
      <c r="M706" s="386">
        <f t="shared" ref="M706:M769" si="35">H706+L706</f>
        <v>183.76000000000002</v>
      </c>
      <c r="N706" s="496"/>
      <c r="O706" s="333">
        <f t="shared" ref="O706:O769" si="36">M706+N706</f>
        <v>183.76000000000002</v>
      </c>
      <c r="R706" s="23" t="str">
        <f>VLOOKUP(C:C,'Historic Data - working'!A:B,1,FALSE)</f>
        <v>CLF074</v>
      </c>
      <c r="U706" s="323"/>
      <c r="V706" s="323"/>
      <c r="W706" s="323"/>
    </row>
    <row r="707" spans="1:23" s="23" customFormat="1" ht="14.25" hidden="1" x14ac:dyDescent="0.2">
      <c r="A707" s="381" t="s">
        <v>2502</v>
      </c>
      <c r="B707" s="381" t="s">
        <v>324</v>
      </c>
      <c r="C707" s="404" t="s">
        <v>2805</v>
      </c>
      <c r="D707" s="381" t="s">
        <v>2806</v>
      </c>
      <c r="E707" s="383" t="s">
        <v>238</v>
      </c>
      <c r="F707" s="381" t="s">
        <v>2506</v>
      </c>
      <c r="G707" s="384" t="s">
        <v>329</v>
      </c>
      <c r="H707" s="24">
        <v>925.36</v>
      </c>
      <c r="I707" s="24"/>
      <c r="J707" s="25" t="str">
        <f t="shared" si="34"/>
        <v>1</v>
      </c>
      <c r="K707" s="385"/>
      <c r="L707" s="385"/>
      <c r="M707" s="386">
        <f t="shared" si="35"/>
        <v>925.36</v>
      </c>
      <c r="N707" s="496">
        <v>60</v>
      </c>
      <c r="O707" s="333">
        <f t="shared" si="36"/>
        <v>985.36</v>
      </c>
      <c r="R707" s="23" t="str">
        <f>VLOOKUP(C:C,'Historic Data - working'!A:B,1,FALSE)</f>
        <v>CLF075</v>
      </c>
      <c r="U707" s="323"/>
      <c r="V707" s="323"/>
      <c r="W707" s="323"/>
    </row>
    <row r="708" spans="1:23" s="23" customFormat="1" ht="14.25" hidden="1" x14ac:dyDescent="0.2">
      <c r="A708" s="381" t="s">
        <v>2502</v>
      </c>
      <c r="B708" s="381" t="s">
        <v>324</v>
      </c>
      <c r="C708" s="404" t="s">
        <v>2807</v>
      </c>
      <c r="D708" s="381" t="s">
        <v>2808</v>
      </c>
      <c r="E708" s="383" t="s">
        <v>61</v>
      </c>
      <c r="F708" s="381" t="s">
        <v>2809</v>
      </c>
      <c r="G708" s="384" t="s">
        <v>329</v>
      </c>
      <c r="H708" s="24">
        <f>176.21+337.86+302.12+269.25</f>
        <v>1085.44</v>
      </c>
      <c r="I708" s="29">
        <v>177.27</v>
      </c>
      <c r="J708" s="25" t="str">
        <f t="shared" si="34"/>
        <v>1</v>
      </c>
      <c r="K708" s="385" t="s">
        <v>2810</v>
      </c>
      <c r="L708" s="385">
        <v>-176.21</v>
      </c>
      <c r="M708" s="386">
        <f t="shared" si="35"/>
        <v>909.23</v>
      </c>
      <c r="N708" s="496">
        <v>125</v>
      </c>
      <c r="O708" s="333">
        <f t="shared" si="36"/>
        <v>1034.23</v>
      </c>
      <c r="R708" s="23" t="str">
        <f>VLOOKUP(C:C,'Historic Data - working'!A:B,1,FALSE)</f>
        <v>CLF076</v>
      </c>
      <c r="U708" s="323"/>
      <c r="V708" s="323"/>
      <c r="W708" s="323"/>
    </row>
    <row r="709" spans="1:23" s="23" customFormat="1" ht="14.25" hidden="1" x14ac:dyDescent="0.2">
      <c r="A709" s="381" t="s">
        <v>2502</v>
      </c>
      <c r="B709" s="381" t="s">
        <v>324</v>
      </c>
      <c r="C709" s="404" t="s">
        <v>2811</v>
      </c>
      <c r="D709" s="381" t="s">
        <v>2812</v>
      </c>
      <c r="E709" s="383" t="s">
        <v>15</v>
      </c>
      <c r="F709" s="381" t="s">
        <v>2813</v>
      </c>
      <c r="G709" s="384" t="s">
        <v>329</v>
      </c>
      <c r="H709" s="24">
        <f>409.2+428.2+389.1+452</f>
        <v>1678.5</v>
      </c>
      <c r="I709" s="24"/>
      <c r="J709" s="25" t="str">
        <f t="shared" si="34"/>
        <v>1</v>
      </c>
      <c r="K709" s="385"/>
      <c r="L709" s="385"/>
      <c r="M709" s="386">
        <f t="shared" si="35"/>
        <v>1678.5</v>
      </c>
      <c r="N709" s="496">
        <v>565</v>
      </c>
      <c r="O709" s="333">
        <f t="shared" si="36"/>
        <v>2243.5</v>
      </c>
      <c r="R709" s="23" t="str">
        <f>VLOOKUP(C:C,'Historic Data - working'!A:B,1,FALSE)</f>
        <v>CLF077</v>
      </c>
      <c r="U709" s="323"/>
      <c r="V709" s="323"/>
      <c r="W709" s="323"/>
    </row>
    <row r="710" spans="1:23" s="23" customFormat="1" ht="14.25" hidden="1" x14ac:dyDescent="0.2">
      <c r="A710" s="381" t="s">
        <v>2502</v>
      </c>
      <c r="B710" s="381" t="s">
        <v>324</v>
      </c>
      <c r="C710" s="404" t="s">
        <v>2814</v>
      </c>
      <c r="D710" s="381" t="s">
        <v>2815</v>
      </c>
      <c r="E710" s="383" t="s">
        <v>2816</v>
      </c>
      <c r="F710" s="381" t="s">
        <v>2817</v>
      </c>
      <c r="G710" s="384"/>
      <c r="H710" s="24"/>
      <c r="I710" s="24"/>
      <c r="J710" s="25" t="str">
        <f t="shared" si="34"/>
        <v xml:space="preserve"> </v>
      </c>
      <c r="K710" s="385"/>
      <c r="L710" s="385"/>
      <c r="M710" s="386">
        <f t="shared" si="35"/>
        <v>0</v>
      </c>
      <c r="N710" s="496"/>
      <c r="O710" s="333">
        <f t="shared" si="36"/>
        <v>0</v>
      </c>
      <c r="R710" s="23" t="e">
        <f>VLOOKUP(C:C,'Historic Data - working'!A:B,1,FALSE)</f>
        <v>#N/A</v>
      </c>
      <c r="U710" s="323"/>
      <c r="V710" s="323"/>
      <c r="W710" s="323"/>
    </row>
    <row r="711" spans="1:23" s="23" customFormat="1" ht="14.25" hidden="1" x14ac:dyDescent="0.2">
      <c r="A711" s="381" t="s">
        <v>2502</v>
      </c>
      <c r="B711" s="381" t="s">
        <v>324</v>
      </c>
      <c r="C711" s="404" t="s">
        <v>2818</v>
      </c>
      <c r="D711" s="381" t="s">
        <v>2819</v>
      </c>
      <c r="E711" s="383" t="s">
        <v>2820</v>
      </c>
      <c r="F711" s="381" t="s">
        <v>2821</v>
      </c>
      <c r="G711" s="384"/>
      <c r="H711" s="24"/>
      <c r="I711" s="24"/>
      <c r="J711" s="25" t="str">
        <f t="shared" si="34"/>
        <v xml:space="preserve"> </v>
      </c>
      <c r="K711" s="385" t="s">
        <v>337</v>
      </c>
      <c r="L711" s="385">
        <v>282.11</v>
      </c>
      <c r="M711" s="386">
        <f t="shared" si="35"/>
        <v>282.11</v>
      </c>
      <c r="N711" s="496">
        <v>310</v>
      </c>
      <c r="O711" s="334">
        <f t="shared" si="36"/>
        <v>592.11</v>
      </c>
      <c r="P711" s="351"/>
      <c r="Q711" s="331"/>
      <c r="R711" s="331" t="e">
        <f>VLOOKUP(C:C,'Historic Data - working'!A:B,1,FALSE)</f>
        <v>#N/A</v>
      </c>
      <c r="U711" s="323"/>
      <c r="V711" s="323"/>
      <c r="W711" s="323"/>
    </row>
    <row r="712" spans="1:23" s="23" customFormat="1" ht="14.25" hidden="1" x14ac:dyDescent="0.2">
      <c r="A712" s="381" t="s">
        <v>2502</v>
      </c>
      <c r="B712" s="381" t="s">
        <v>324</v>
      </c>
      <c r="C712" s="404" t="s">
        <v>2822</v>
      </c>
      <c r="D712" s="381" t="s">
        <v>2823</v>
      </c>
      <c r="E712" s="383" t="s">
        <v>2824</v>
      </c>
      <c r="F712" s="381" t="s">
        <v>2825</v>
      </c>
      <c r="G712" s="384" t="s">
        <v>329</v>
      </c>
      <c r="H712" s="24">
        <v>2329.09</v>
      </c>
      <c r="I712" s="24"/>
      <c r="J712" s="25" t="str">
        <f t="shared" si="34"/>
        <v>1</v>
      </c>
      <c r="K712" s="388" t="s">
        <v>8283</v>
      </c>
      <c r="L712" s="385"/>
      <c r="M712" s="386">
        <f t="shared" si="35"/>
        <v>2329.09</v>
      </c>
      <c r="N712" s="496">
        <v>709.69</v>
      </c>
      <c r="O712" s="334">
        <f t="shared" si="36"/>
        <v>3038.78</v>
      </c>
      <c r="P712" s="351"/>
      <c r="Q712" s="331"/>
      <c r="R712" s="331" t="e">
        <f>VLOOKUP(C:C,'Historic Data - working'!A:B,1,FALSE)</f>
        <v>#N/A</v>
      </c>
      <c r="U712" s="323"/>
      <c r="V712" s="323"/>
      <c r="W712" s="323"/>
    </row>
    <row r="713" spans="1:23" s="23" customFormat="1" ht="14.25" hidden="1" x14ac:dyDescent="0.2">
      <c r="A713" s="381" t="s">
        <v>2502</v>
      </c>
      <c r="B713" s="381" t="s">
        <v>324</v>
      </c>
      <c r="C713" s="404" t="s">
        <v>2826</v>
      </c>
      <c r="D713" s="381" t="s">
        <v>2827</v>
      </c>
      <c r="E713" s="383" t="s">
        <v>2828</v>
      </c>
      <c r="F713" s="381" t="s">
        <v>2825</v>
      </c>
      <c r="G713" s="384" t="s">
        <v>329</v>
      </c>
      <c r="H713" s="24"/>
      <c r="I713" s="24"/>
      <c r="J713" s="25" t="str">
        <f t="shared" si="34"/>
        <v>1</v>
      </c>
      <c r="K713" s="385" t="s">
        <v>8283</v>
      </c>
      <c r="L713" s="385"/>
      <c r="M713" s="386">
        <f t="shared" si="35"/>
        <v>0</v>
      </c>
      <c r="N713" s="496">
        <v>100</v>
      </c>
      <c r="O713" s="333">
        <f t="shared" si="36"/>
        <v>100</v>
      </c>
      <c r="R713" s="23" t="e">
        <f>VLOOKUP(C:C,'Historic Data - working'!A:B,1,FALSE)</f>
        <v>#N/A</v>
      </c>
      <c r="U713" s="323"/>
      <c r="V713" s="323"/>
      <c r="W713" s="323"/>
    </row>
    <row r="714" spans="1:23" s="23" customFormat="1" ht="14.25" hidden="1" x14ac:dyDescent="0.2">
      <c r="A714" s="381" t="s">
        <v>2502</v>
      </c>
      <c r="B714" s="381" t="s">
        <v>324</v>
      </c>
      <c r="C714" s="404" t="s">
        <v>2829</v>
      </c>
      <c r="D714" s="381" t="s">
        <v>2830</v>
      </c>
      <c r="E714" s="383" t="s">
        <v>2831</v>
      </c>
      <c r="F714" s="381" t="s">
        <v>2825</v>
      </c>
      <c r="G714" s="384" t="s">
        <v>329</v>
      </c>
      <c r="H714" s="24">
        <v>796.59</v>
      </c>
      <c r="I714" s="24"/>
      <c r="J714" s="25" t="str">
        <f t="shared" si="34"/>
        <v>1</v>
      </c>
      <c r="K714" s="385" t="s">
        <v>8283</v>
      </c>
      <c r="L714" s="385"/>
      <c r="M714" s="386">
        <f t="shared" si="35"/>
        <v>796.59</v>
      </c>
      <c r="N714" s="496"/>
      <c r="O714" s="333">
        <f t="shared" si="36"/>
        <v>796.59</v>
      </c>
      <c r="R714" s="23" t="str">
        <f>VLOOKUP(C:C,'Historic Data - working'!A:B,1,FALSE)</f>
        <v>CLF082</v>
      </c>
      <c r="U714" s="323"/>
      <c r="V714" s="323"/>
      <c r="W714" s="323"/>
    </row>
    <row r="715" spans="1:23" s="23" customFormat="1" ht="14.25" hidden="1" x14ac:dyDescent="0.2">
      <c r="A715" s="381" t="s">
        <v>2502</v>
      </c>
      <c r="B715" s="381" t="s">
        <v>324</v>
      </c>
      <c r="C715" s="404" t="s">
        <v>2832</v>
      </c>
      <c r="D715" s="381" t="s">
        <v>2833</v>
      </c>
      <c r="E715" s="383" t="s">
        <v>2834</v>
      </c>
      <c r="F715" s="381" t="s">
        <v>2835</v>
      </c>
      <c r="G715" s="384" t="s">
        <v>329</v>
      </c>
      <c r="H715" s="24">
        <f>194.28+345.7</f>
        <v>539.98</v>
      </c>
      <c r="I715" s="24"/>
      <c r="J715" s="25" t="str">
        <f t="shared" si="34"/>
        <v>1</v>
      </c>
      <c r="K715" s="385"/>
      <c r="L715" s="385"/>
      <c r="M715" s="386">
        <f t="shared" si="35"/>
        <v>539.98</v>
      </c>
      <c r="N715" s="496">
        <v>36</v>
      </c>
      <c r="O715" s="333">
        <f t="shared" si="36"/>
        <v>575.98</v>
      </c>
      <c r="R715" s="23" t="str">
        <f>VLOOKUP(C:C,'Historic Data - working'!A:B,1,FALSE)</f>
        <v>CLF083</v>
      </c>
      <c r="U715" s="323"/>
      <c r="V715" s="323"/>
      <c r="W715" s="323"/>
    </row>
    <row r="716" spans="1:23" s="23" customFormat="1" ht="14.25" hidden="1" x14ac:dyDescent="0.2">
      <c r="A716" s="381" t="s">
        <v>2502</v>
      </c>
      <c r="B716" s="381" t="s">
        <v>324</v>
      </c>
      <c r="C716" s="404" t="s">
        <v>2836</v>
      </c>
      <c r="D716" s="381" t="s">
        <v>2837</v>
      </c>
      <c r="E716" s="383" t="s">
        <v>61</v>
      </c>
      <c r="F716" s="381" t="s">
        <v>2838</v>
      </c>
      <c r="G716" s="384" t="s">
        <v>329</v>
      </c>
      <c r="H716" s="24">
        <v>763.2</v>
      </c>
      <c r="I716" s="24"/>
      <c r="J716" s="25" t="str">
        <f t="shared" si="34"/>
        <v>1</v>
      </c>
      <c r="K716" s="385"/>
      <c r="L716" s="385"/>
      <c r="M716" s="386">
        <f t="shared" si="35"/>
        <v>763.2</v>
      </c>
      <c r="N716" s="496"/>
      <c r="O716" s="333">
        <f t="shared" si="36"/>
        <v>763.2</v>
      </c>
      <c r="R716" s="23" t="str">
        <f>VLOOKUP(C:C,'Historic Data - working'!A:B,1,FALSE)</f>
        <v>CLF084</v>
      </c>
      <c r="U716" s="323"/>
      <c r="V716" s="323"/>
      <c r="W716" s="323"/>
    </row>
    <row r="717" spans="1:23" s="23" customFormat="1" ht="14.25" hidden="1" x14ac:dyDescent="0.2">
      <c r="A717" s="381" t="s">
        <v>2502</v>
      </c>
      <c r="B717" s="381" t="s">
        <v>324</v>
      </c>
      <c r="C717" s="404" t="s">
        <v>2839</v>
      </c>
      <c r="D717" s="381" t="s">
        <v>2840</v>
      </c>
      <c r="E717" s="383" t="s">
        <v>2841</v>
      </c>
      <c r="F717" s="381" t="s">
        <v>2842</v>
      </c>
      <c r="G717" s="384"/>
      <c r="H717" s="24"/>
      <c r="I717" s="24"/>
      <c r="J717" s="25" t="str">
        <f t="shared" si="34"/>
        <v xml:space="preserve"> </v>
      </c>
      <c r="K717" s="385" t="s">
        <v>337</v>
      </c>
      <c r="L717" s="385">
        <v>371.01</v>
      </c>
      <c r="M717" s="386">
        <f t="shared" si="35"/>
        <v>371.01</v>
      </c>
      <c r="N717" s="496">
        <v>130</v>
      </c>
      <c r="O717" s="333">
        <f t="shared" si="36"/>
        <v>501.01</v>
      </c>
      <c r="R717" s="23" t="str">
        <f>VLOOKUP(C:C,'Historic Data - working'!A:B,1,FALSE)</f>
        <v>CLF085</v>
      </c>
      <c r="U717" s="323"/>
      <c r="V717" s="323"/>
      <c r="W717" s="323"/>
    </row>
    <row r="718" spans="1:23" s="23" customFormat="1" ht="14.25" hidden="1" x14ac:dyDescent="0.2">
      <c r="A718" s="381" t="s">
        <v>2502</v>
      </c>
      <c r="B718" s="381" t="s">
        <v>324</v>
      </c>
      <c r="C718" s="404" t="s">
        <v>2843</v>
      </c>
      <c r="D718" s="381" t="s">
        <v>2844</v>
      </c>
      <c r="E718" s="383" t="s">
        <v>783</v>
      </c>
      <c r="F718" s="381" t="s">
        <v>2638</v>
      </c>
      <c r="G718" s="384"/>
      <c r="H718" s="24"/>
      <c r="I718" s="24"/>
      <c r="J718" s="25" t="str">
        <f t="shared" si="34"/>
        <v xml:space="preserve"> </v>
      </c>
      <c r="K718" s="385"/>
      <c r="L718" s="385"/>
      <c r="M718" s="386">
        <f t="shared" si="35"/>
        <v>0</v>
      </c>
      <c r="N718" s="496"/>
      <c r="O718" s="333">
        <f t="shared" si="36"/>
        <v>0</v>
      </c>
      <c r="R718" s="23" t="e">
        <f>VLOOKUP(C:C,'Historic Data - working'!A:B,1,FALSE)</f>
        <v>#N/A</v>
      </c>
      <c r="U718" s="323"/>
      <c r="V718" s="323"/>
      <c r="W718" s="323"/>
    </row>
    <row r="719" spans="1:23" s="23" customFormat="1" ht="14.25" hidden="1" x14ac:dyDescent="0.2">
      <c r="A719" s="381" t="s">
        <v>2502</v>
      </c>
      <c r="B719" s="381" t="s">
        <v>324</v>
      </c>
      <c r="C719" s="404" t="s">
        <v>2845</v>
      </c>
      <c r="D719" s="381" t="s">
        <v>2846</v>
      </c>
      <c r="E719" s="383" t="s">
        <v>1015</v>
      </c>
      <c r="F719" s="381" t="s">
        <v>2847</v>
      </c>
      <c r="G719" s="384" t="s">
        <v>329</v>
      </c>
      <c r="H719" s="24">
        <v>351.46</v>
      </c>
      <c r="I719" s="24"/>
      <c r="J719" s="25" t="str">
        <f t="shared" si="34"/>
        <v>1</v>
      </c>
      <c r="K719" s="385"/>
      <c r="L719" s="385"/>
      <c r="M719" s="386">
        <f t="shared" si="35"/>
        <v>351.46</v>
      </c>
      <c r="N719" s="496"/>
      <c r="O719" s="334">
        <f t="shared" si="36"/>
        <v>351.46</v>
      </c>
      <c r="P719" s="351"/>
      <c r="Q719" s="331"/>
      <c r="R719" s="331" t="e">
        <f>VLOOKUP(C:C,'Historic Data - working'!A:B,1,FALSE)</f>
        <v>#N/A</v>
      </c>
      <c r="U719" s="323"/>
      <c r="V719" s="323"/>
      <c r="W719" s="323"/>
    </row>
    <row r="720" spans="1:23" s="23" customFormat="1" ht="14.25" hidden="1" x14ac:dyDescent="0.2">
      <c r="A720" s="381" t="s">
        <v>2502</v>
      </c>
      <c r="B720" s="381" t="s">
        <v>324</v>
      </c>
      <c r="C720" s="404" t="s">
        <v>2848</v>
      </c>
      <c r="D720" s="381" t="s">
        <v>2849</v>
      </c>
      <c r="E720" s="383" t="s">
        <v>297</v>
      </c>
      <c r="F720" s="381" t="s">
        <v>2850</v>
      </c>
      <c r="G720" s="384" t="s">
        <v>329</v>
      </c>
      <c r="H720" s="24">
        <v>2233.62</v>
      </c>
      <c r="I720" s="24"/>
      <c r="J720" s="25" t="str">
        <f t="shared" si="34"/>
        <v>1</v>
      </c>
      <c r="K720" s="385"/>
      <c r="L720" s="385"/>
      <c r="M720" s="386">
        <f t="shared" si="35"/>
        <v>2233.62</v>
      </c>
      <c r="N720" s="496">
        <v>500</v>
      </c>
      <c r="O720" s="333">
        <f t="shared" si="36"/>
        <v>2733.62</v>
      </c>
      <c r="R720" s="23" t="str">
        <f>VLOOKUP(C:C,'Historic Data - working'!A:B,1,FALSE)</f>
        <v>CLF087</v>
      </c>
      <c r="U720" s="323"/>
      <c r="V720" s="323"/>
      <c r="W720" s="323"/>
    </row>
    <row r="721" spans="1:23" s="23" customFormat="1" ht="14.25" hidden="1" x14ac:dyDescent="0.2">
      <c r="A721" s="381" t="s">
        <v>2502</v>
      </c>
      <c r="B721" s="381" t="s">
        <v>324</v>
      </c>
      <c r="C721" s="404" t="s">
        <v>2851</v>
      </c>
      <c r="D721" s="381" t="s">
        <v>2852</v>
      </c>
      <c r="E721" s="383" t="s">
        <v>2853</v>
      </c>
      <c r="F721" s="381" t="s">
        <v>2854</v>
      </c>
      <c r="G721" s="384"/>
      <c r="H721" s="24"/>
      <c r="I721" s="24"/>
      <c r="J721" s="25" t="str">
        <f t="shared" si="34"/>
        <v xml:space="preserve"> </v>
      </c>
      <c r="K721" s="385"/>
      <c r="L721" s="385"/>
      <c r="M721" s="386">
        <f t="shared" si="35"/>
        <v>0</v>
      </c>
      <c r="N721" s="496"/>
      <c r="O721" s="333">
        <f t="shared" si="36"/>
        <v>0</v>
      </c>
      <c r="R721" s="23" t="e">
        <f>VLOOKUP(C:C,'Historic Data - working'!A:B,1,FALSE)</f>
        <v>#N/A</v>
      </c>
      <c r="U721" s="323"/>
      <c r="V721" s="323"/>
      <c r="W721" s="323"/>
    </row>
    <row r="722" spans="1:23" s="23" customFormat="1" ht="14.25" hidden="1" x14ac:dyDescent="0.2">
      <c r="A722" s="381" t="s">
        <v>2502</v>
      </c>
      <c r="B722" s="381" t="s">
        <v>324</v>
      </c>
      <c r="C722" s="404" t="s">
        <v>2855</v>
      </c>
      <c r="D722" s="381" t="s">
        <v>2856</v>
      </c>
      <c r="E722" s="383" t="s">
        <v>2857</v>
      </c>
      <c r="F722" s="381" t="s">
        <v>2858</v>
      </c>
      <c r="G722" s="384"/>
      <c r="H722" s="24"/>
      <c r="I722" s="24"/>
      <c r="J722" s="25" t="str">
        <f t="shared" si="34"/>
        <v xml:space="preserve"> </v>
      </c>
      <c r="K722" s="385"/>
      <c r="L722" s="385"/>
      <c r="M722" s="386">
        <f t="shared" si="35"/>
        <v>0</v>
      </c>
      <c r="N722" s="496"/>
      <c r="O722" s="333">
        <f t="shared" si="36"/>
        <v>0</v>
      </c>
      <c r="R722" s="23" t="e">
        <f>VLOOKUP(C:C,'Historic Data - working'!A:B,1,FALSE)</f>
        <v>#N/A</v>
      </c>
      <c r="U722" s="323"/>
      <c r="V722" s="323"/>
      <c r="W722" s="323"/>
    </row>
    <row r="723" spans="1:23" s="23" customFormat="1" ht="14.25" hidden="1" x14ac:dyDescent="0.2">
      <c r="A723" s="381" t="s">
        <v>2502</v>
      </c>
      <c r="B723" s="381" t="s">
        <v>324</v>
      </c>
      <c r="C723" s="404" t="s">
        <v>2859</v>
      </c>
      <c r="D723" s="381" t="s">
        <v>2860</v>
      </c>
      <c r="E723" s="383" t="s">
        <v>37</v>
      </c>
      <c r="F723" s="381" t="s">
        <v>2861</v>
      </c>
      <c r="G723" s="384" t="s">
        <v>329</v>
      </c>
      <c r="H723" s="24">
        <f>509.76+97.99+89.54+490.32+10+110.64</f>
        <v>1308.25</v>
      </c>
      <c r="I723" s="24"/>
      <c r="J723" s="25" t="str">
        <f t="shared" si="34"/>
        <v>1</v>
      </c>
      <c r="K723" s="385"/>
      <c r="L723" s="385"/>
      <c r="M723" s="386">
        <f t="shared" si="35"/>
        <v>1308.25</v>
      </c>
      <c r="N723" s="496">
        <v>285</v>
      </c>
      <c r="O723" s="333">
        <f t="shared" si="36"/>
        <v>1593.25</v>
      </c>
      <c r="R723" s="23" t="str">
        <f>VLOOKUP(C:C,'Historic Data - working'!A:B,1,FALSE)</f>
        <v>CLF087Z</v>
      </c>
      <c r="U723" s="323"/>
      <c r="V723" s="323"/>
      <c r="W723" s="323"/>
    </row>
    <row r="724" spans="1:23" s="23" customFormat="1" ht="14.25" hidden="1" x14ac:dyDescent="0.2">
      <c r="A724" s="381" t="s">
        <v>2502</v>
      </c>
      <c r="B724" s="381" t="s">
        <v>324</v>
      </c>
      <c r="C724" s="404" t="s">
        <v>2862</v>
      </c>
      <c r="D724" s="381" t="s">
        <v>2863</v>
      </c>
      <c r="E724" s="383" t="s">
        <v>2864</v>
      </c>
      <c r="F724" s="381" t="s">
        <v>2865</v>
      </c>
      <c r="G724" s="384" t="s">
        <v>329</v>
      </c>
      <c r="H724" s="24">
        <f>1226.08+1312.93+1032.18+1395.74+87.15+98.13+147.07+117.08+59.84+89.71+89.44+52.57+12.9</f>
        <v>5720.8199999999988</v>
      </c>
      <c r="I724" s="24"/>
      <c r="J724" s="25" t="str">
        <f t="shared" si="34"/>
        <v>1</v>
      </c>
      <c r="K724" s="385"/>
      <c r="L724" s="385"/>
      <c r="M724" s="386">
        <f t="shared" si="35"/>
        <v>5720.8199999999988</v>
      </c>
      <c r="N724" s="496">
        <v>993</v>
      </c>
      <c r="O724" s="333">
        <f t="shared" si="36"/>
        <v>6713.8199999999988</v>
      </c>
      <c r="R724" s="23" t="str">
        <f>VLOOKUP(C:C,'Historic Data - working'!A:B,1,FALSE)</f>
        <v>CLF088</v>
      </c>
      <c r="U724" s="323"/>
      <c r="V724" s="323"/>
      <c r="W724" s="323"/>
    </row>
    <row r="725" spans="1:23" s="23" customFormat="1" ht="14.25" hidden="1" x14ac:dyDescent="0.2">
      <c r="A725" s="381" t="s">
        <v>2502</v>
      </c>
      <c r="B725" s="381" t="s">
        <v>324</v>
      </c>
      <c r="C725" s="404" t="s">
        <v>2866</v>
      </c>
      <c r="D725" s="381" t="s">
        <v>2867</v>
      </c>
      <c r="E725" s="383" t="s">
        <v>31</v>
      </c>
      <c r="F725" s="381" t="s">
        <v>2865</v>
      </c>
      <c r="G725" s="384" t="s">
        <v>329</v>
      </c>
      <c r="H725" s="24">
        <v>1306.17</v>
      </c>
      <c r="I725" s="24"/>
      <c r="J725" s="25" t="str">
        <f t="shared" si="34"/>
        <v>1</v>
      </c>
      <c r="K725" s="385" t="s">
        <v>2868</v>
      </c>
      <c r="L725" s="385">
        <v>0.9</v>
      </c>
      <c r="M725" s="386">
        <f t="shared" si="35"/>
        <v>1307.0700000000002</v>
      </c>
      <c r="N725" s="496">
        <v>132</v>
      </c>
      <c r="O725" s="333">
        <f t="shared" si="36"/>
        <v>1439.0700000000002</v>
      </c>
      <c r="R725" s="23" t="str">
        <f>VLOOKUP(C:C,'Historic Data - working'!A:B,1,FALSE)</f>
        <v>CLF089</v>
      </c>
      <c r="U725" s="323"/>
      <c r="V725" s="323"/>
      <c r="W725" s="323"/>
    </row>
    <row r="726" spans="1:23" s="23" customFormat="1" ht="14.25" hidden="1" x14ac:dyDescent="0.2">
      <c r="A726" s="381" t="s">
        <v>2502</v>
      </c>
      <c r="B726" s="381" t="s">
        <v>324</v>
      </c>
      <c r="C726" s="404" t="s">
        <v>2869</v>
      </c>
      <c r="D726" s="381" t="s">
        <v>2870</v>
      </c>
      <c r="E726" s="383" t="s">
        <v>238</v>
      </c>
      <c r="F726" s="381" t="s">
        <v>2865</v>
      </c>
      <c r="G726" s="384"/>
      <c r="H726" s="24"/>
      <c r="I726" s="24"/>
      <c r="J726" s="25" t="str">
        <f t="shared" si="34"/>
        <v xml:space="preserve"> </v>
      </c>
      <c r="K726" s="385" t="s">
        <v>337</v>
      </c>
      <c r="L726" s="385">
        <v>1548.7</v>
      </c>
      <c r="M726" s="386">
        <f t="shared" si="35"/>
        <v>1548.7</v>
      </c>
      <c r="N726" s="496">
        <v>210</v>
      </c>
      <c r="O726" s="333">
        <f t="shared" si="36"/>
        <v>1758.7</v>
      </c>
      <c r="R726" s="23" t="str">
        <f>VLOOKUP(C:C,'Historic Data - working'!A:B,1,FALSE)</f>
        <v>CLF090</v>
      </c>
      <c r="U726" s="323"/>
      <c r="V726" s="323"/>
      <c r="W726" s="323"/>
    </row>
    <row r="727" spans="1:23" s="23" customFormat="1" ht="14.25" hidden="1" x14ac:dyDescent="0.2">
      <c r="A727" s="381" t="s">
        <v>2502</v>
      </c>
      <c r="B727" s="381" t="s">
        <v>324</v>
      </c>
      <c r="C727" s="404" t="s">
        <v>2871</v>
      </c>
      <c r="D727" s="381" t="s">
        <v>2872</v>
      </c>
      <c r="E727" s="383" t="s">
        <v>69</v>
      </c>
      <c r="F727" s="381" t="s">
        <v>2873</v>
      </c>
      <c r="G727" s="384" t="s">
        <v>329</v>
      </c>
      <c r="H727" s="24">
        <f>240+193.25+171.69+51.06+464.13+40.81+151.15+88.03+513.71+17.85+275+797.85</f>
        <v>3004.53</v>
      </c>
      <c r="I727" s="24"/>
      <c r="J727" s="25" t="str">
        <f t="shared" si="34"/>
        <v>1</v>
      </c>
      <c r="K727" s="385"/>
      <c r="L727" s="385"/>
      <c r="M727" s="386">
        <f t="shared" si="35"/>
        <v>3004.53</v>
      </c>
      <c r="N727" s="496">
        <v>642.04999999999995</v>
      </c>
      <c r="O727" s="333">
        <f t="shared" si="36"/>
        <v>3646.58</v>
      </c>
      <c r="R727" s="23" t="str">
        <f>VLOOKUP(C:C,'Historic Data - working'!A:B,1,FALSE)</f>
        <v>CLF091</v>
      </c>
      <c r="U727" s="323"/>
      <c r="V727" s="323"/>
      <c r="W727" s="323"/>
    </row>
    <row r="728" spans="1:23" s="23" customFormat="1" ht="14.25" hidden="1" x14ac:dyDescent="0.2">
      <c r="A728" s="381" t="s">
        <v>2502</v>
      </c>
      <c r="B728" s="381" t="s">
        <v>324</v>
      </c>
      <c r="C728" s="404" t="s">
        <v>2874</v>
      </c>
      <c r="D728" s="381" t="s">
        <v>2875</v>
      </c>
      <c r="E728" s="383" t="s">
        <v>659</v>
      </c>
      <c r="F728" s="381" t="s">
        <v>2873</v>
      </c>
      <c r="G728" s="384" t="s">
        <v>329</v>
      </c>
      <c r="H728" s="24">
        <v>761.18</v>
      </c>
      <c r="I728" s="24"/>
      <c r="J728" s="25" t="str">
        <f t="shared" si="34"/>
        <v>1</v>
      </c>
      <c r="K728" s="385"/>
      <c r="L728" s="385"/>
      <c r="M728" s="386">
        <f t="shared" si="35"/>
        <v>761.18</v>
      </c>
      <c r="N728" s="496">
        <v>260</v>
      </c>
      <c r="O728" s="333">
        <f t="shared" si="36"/>
        <v>1021.18</v>
      </c>
      <c r="R728" s="23" t="str">
        <f>VLOOKUP(C:C,'Historic Data - working'!A:B,1,FALSE)</f>
        <v>CLF092</v>
      </c>
      <c r="U728" s="323"/>
      <c r="V728" s="323"/>
      <c r="W728" s="323"/>
    </row>
    <row r="729" spans="1:23" s="23" customFormat="1" ht="14.25" hidden="1" x14ac:dyDescent="0.2">
      <c r="A729" s="381" t="s">
        <v>2502</v>
      </c>
      <c r="B729" s="381" t="s">
        <v>324</v>
      </c>
      <c r="C729" s="404" t="s">
        <v>2876</v>
      </c>
      <c r="D729" s="381" t="s">
        <v>2877</v>
      </c>
      <c r="E729" s="383" t="s">
        <v>252</v>
      </c>
      <c r="F729" s="381" t="s">
        <v>2878</v>
      </c>
      <c r="G729" s="384"/>
      <c r="H729" s="24"/>
      <c r="I729" s="24"/>
      <c r="J729" s="25" t="str">
        <f t="shared" si="34"/>
        <v xml:space="preserve"> </v>
      </c>
      <c r="K729" s="385" t="s">
        <v>337</v>
      </c>
      <c r="L729" s="385">
        <v>125.68</v>
      </c>
      <c r="M729" s="386">
        <f t="shared" si="35"/>
        <v>125.68</v>
      </c>
      <c r="N729" s="496">
        <v>240</v>
      </c>
      <c r="O729" s="333">
        <f t="shared" si="36"/>
        <v>365.68</v>
      </c>
      <c r="R729" s="23" t="str">
        <f>VLOOKUP(C:C,'Historic Data - working'!A:B,1,FALSE)</f>
        <v>CLF093</v>
      </c>
      <c r="U729" s="323"/>
      <c r="V729" s="323"/>
      <c r="W729" s="323"/>
    </row>
    <row r="730" spans="1:23" s="23" customFormat="1" ht="14.25" hidden="1" x14ac:dyDescent="0.2">
      <c r="A730" s="381" t="s">
        <v>2502</v>
      </c>
      <c r="B730" s="381" t="s">
        <v>324</v>
      </c>
      <c r="C730" s="404" t="s">
        <v>2879</v>
      </c>
      <c r="D730" s="381" t="s">
        <v>2880</v>
      </c>
      <c r="E730" s="383" t="s">
        <v>1366</v>
      </c>
      <c r="F730" s="381" t="s">
        <v>2881</v>
      </c>
      <c r="G730" s="384" t="s">
        <v>329</v>
      </c>
      <c r="H730" s="24">
        <f>226.56+243.48</f>
        <v>470.03999999999996</v>
      </c>
      <c r="I730" s="24"/>
      <c r="J730" s="25" t="str">
        <f t="shared" si="34"/>
        <v>1</v>
      </c>
      <c r="K730" s="385" t="s">
        <v>2751</v>
      </c>
      <c r="L730" s="385">
        <v>-470.04</v>
      </c>
      <c r="M730" s="386">
        <f t="shared" si="35"/>
        <v>0</v>
      </c>
      <c r="N730" s="496">
        <v>258.48</v>
      </c>
      <c r="O730" s="333">
        <f t="shared" si="36"/>
        <v>258.48</v>
      </c>
      <c r="R730" s="23" t="str">
        <f>VLOOKUP(C:C,'Historic Data - working'!A:B,1,FALSE)</f>
        <v>CLF094</v>
      </c>
      <c r="U730" s="323"/>
      <c r="V730" s="323"/>
      <c r="W730" s="323"/>
    </row>
    <row r="731" spans="1:23" s="23" customFormat="1" ht="14.25" hidden="1" x14ac:dyDescent="0.2">
      <c r="A731" s="381" t="s">
        <v>2502</v>
      </c>
      <c r="B731" s="381" t="s">
        <v>324</v>
      </c>
      <c r="C731" s="404" t="s">
        <v>2882</v>
      </c>
      <c r="D731" s="381" t="s">
        <v>2883</v>
      </c>
      <c r="E731" s="383" t="s">
        <v>214</v>
      </c>
      <c r="F731" s="381" t="s">
        <v>2506</v>
      </c>
      <c r="G731" s="384" t="s">
        <v>329</v>
      </c>
      <c r="H731" s="24">
        <f>125.97+386.53+442.82</f>
        <v>955.31999999999994</v>
      </c>
      <c r="I731" s="24"/>
      <c r="J731" s="25" t="str">
        <f t="shared" si="34"/>
        <v>1</v>
      </c>
      <c r="K731" s="385"/>
      <c r="L731" s="385"/>
      <c r="M731" s="386">
        <f t="shared" si="35"/>
        <v>955.31999999999994</v>
      </c>
      <c r="N731" s="496">
        <v>75</v>
      </c>
      <c r="O731" s="333">
        <f t="shared" si="36"/>
        <v>1030.32</v>
      </c>
      <c r="R731" s="23" t="str">
        <f>VLOOKUP(C:C,'Historic Data - working'!A:B,1,FALSE)</f>
        <v>CLF095</v>
      </c>
      <c r="U731" s="323"/>
      <c r="V731" s="323"/>
      <c r="W731" s="323"/>
    </row>
    <row r="732" spans="1:23" s="23" customFormat="1" ht="14.25" hidden="1" x14ac:dyDescent="0.2">
      <c r="A732" s="381" t="s">
        <v>2502</v>
      </c>
      <c r="B732" s="381" t="s">
        <v>324</v>
      </c>
      <c r="C732" s="404" t="s">
        <v>2884</v>
      </c>
      <c r="D732" s="381" t="s">
        <v>2885</v>
      </c>
      <c r="E732" s="383" t="s">
        <v>1284</v>
      </c>
      <c r="F732" s="381" t="s">
        <v>2886</v>
      </c>
      <c r="G732" s="384" t="s">
        <v>329</v>
      </c>
      <c r="H732" s="24">
        <f>118.87+75.71+19.63+52.42+155.32+49.09+21.56+14.29</f>
        <v>506.89</v>
      </c>
      <c r="I732" s="24"/>
      <c r="J732" s="25" t="str">
        <f t="shared" si="34"/>
        <v>1</v>
      </c>
      <c r="K732" s="385" t="s">
        <v>2887</v>
      </c>
      <c r="L732" s="385">
        <v>27.32</v>
      </c>
      <c r="M732" s="386">
        <f t="shared" si="35"/>
        <v>534.21</v>
      </c>
      <c r="N732" s="496">
        <v>75</v>
      </c>
      <c r="O732" s="333">
        <f t="shared" si="36"/>
        <v>609.21</v>
      </c>
      <c r="R732" s="23" t="str">
        <f>VLOOKUP(C:C,'Historic Data - working'!A:B,1,FALSE)</f>
        <v>CLF096</v>
      </c>
      <c r="U732" s="323"/>
      <c r="V732" s="323"/>
      <c r="W732" s="323"/>
    </row>
    <row r="733" spans="1:23" s="23" customFormat="1" ht="14.25" hidden="1" x14ac:dyDescent="0.2">
      <c r="A733" s="381" t="s">
        <v>2502</v>
      </c>
      <c r="B733" s="381" t="s">
        <v>324</v>
      </c>
      <c r="C733" s="404" t="s">
        <v>2888</v>
      </c>
      <c r="D733" s="381" t="s">
        <v>2889</v>
      </c>
      <c r="E733" s="383" t="s">
        <v>1871</v>
      </c>
      <c r="F733" s="381" t="s">
        <v>2890</v>
      </c>
      <c r="G733" s="384"/>
      <c r="H733" s="24"/>
      <c r="I733" s="24"/>
      <c r="J733" s="25" t="str">
        <f t="shared" si="34"/>
        <v xml:space="preserve"> </v>
      </c>
      <c r="K733" s="385"/>
      <c r="L733" s="385"/>
      <c r="M733" s="386">
        <f t="shared" si="35"/>
        <v>0</v>
      </c>
      <c r="N733" s="496"/>
      <c r="O733" s="333">
        <f t="shared" si="36"/>
        <v>0</v>
      </c>
      <c r="R733" s="23" t="e">
        <f>VLOOKUP(C:C,'Historic Data - working'!A:B,1,FALSE)</f>
        <v>#N/A</v>
      </c>
      <c r="U733" s="323"/>
      <c r="V733" s="323"/>
      <c r="W733" s="323"/>
    </row>
    <row r="734" spans="1:23" s="23" customFormat="1" ht="14.25" hidden="1" x14ac:dyDescent="0.2">
      <c r="A734" s="381" t="s">
        <v>2502</v>
      </c>
      <c r="B734" s="381" t="s">
        <v>324</v>
      </c>
      <c r="C734" s="404" t="s">
        <v>2891</v>
      </c>
      <c r="D734" s="381" t="s">
        <v>2892</v>
      </c>
      <c r="E734" s="383" t="s">
        <v>1008</v>
      </c>
      <c r="F734" s="381" t="s">
        <v>2240</v>
      </c>
      <c r="G734" s="384" t="s">
        <v>329</v>
      </c>
      <c r="H734" s="24">
        <v>2508.23</v>
      </c>
      <c r="I734" s="24"/>
      <c r="J734" s="25" t="str">
        <f t="shared" si="34"/>
        <v>1</v>
      </c>
      <c r="K734" s="385" t="s">
        <v>2893</v>
      </c>
      <c r="L734" s="385">
        <v>-10.09</v>
      </c>
      <c r="M734" s="386">
        <f t="shared" si="35"/>
        <v>2498.14</v>
      </c>
      <c r="N734" s="496">
        <v>600</v>
      </c>
      <c r="O734" s="333">
        <f t="shared" si="36"/>
        <v>3098.14</v>
      </c>
      <c r="R734" s="23" t="str">
        <f>VLOOKUP(C:C,'Historic Data - working'!A:B,1,FALSE)</f>
        <v>CLF097</v>
      </c>
      <c r="U734" s="323"/>
      <c r="V734" s="323"/>
      <c r="W734" s="323"/>
    </row>
    <row r="735" spans="1:23" s="23" customFormat="1" ht="14.25" hidden="1" x14ac:dyDescent="0.2">
      <c r="A735" s="381" t="s">
        <v>2502</v>
      </c>
      <c r="B735" s="381" t="s">
        <v>324</v>
      </c>
      <c r="C735" s="404" t="s">
        <v>2894</v>
      </c>
      <c r="D735" s="381" t="s">
        <v>2895</v>
      </c>
      <c r="E735" s="383" t="s">
        <v>2896</v>
      </c>
      <c r="F735" s="381" t="s">
        <v>2897</v>
      </c>
      <c r="G735" s="384"/>
      <c r="H735" s="24"/>
      <c r="I735" s="24"/>
      <c r="J735" s="25" t="str">
        <f t="shared" si="34"/>
        <v xml:space="preserve"> </v>
      </c>
      <c r="K735" s="385"/>
      <c r="L735" s="385"/>
      <c r="M735" s="386">
        <f t="shared" si="35"/>
        <v>0</v>
      </c>
      <c r="N735" s="496"/>
      <c r="O735" s="333">
        <f t="shared" si="36"/>
        <v>0</v>
      </c>
      <c r="R735" s="23" t="e">
        <f>VLOOKUP(C:C,'Historic Data - working'!A:B,1,FALSE)</f>
        <v>#N/A</v>
      </c>
      <c r="U735" s="323"/>
      <c r="V735" s="323"/>
      <c r="W735" s="323"/>
    </row>
    <row r="736" spans="1:23" s="23" customFormat="1" ht="14.25" hidden="1" x14ac:dyDescent="0.2">
      <c r="A736" s="381" t="s">
        <v>2502</v>
      </c>
      <c r="B736" s="381" t="s">
        <v>324</v>
      </c>
      <c r="C736" s="404" t="s">
        <v>2898</v>
      </c>
      <c r="D736" s="381" t="s">
        <v>2899</v>
      </c>
      <c r="E736" s="383" t="s">
        <v>2900</v>
      </c>
      <c r="F736" s="381" t="s">
        <v>2901</v>
      </c>
      <c r="G736" s="384" t="s">
        <v>329</v>
      </c>
      <c r="H736" s="24">
        <v>1140.1400000000001</v>
      </c>
      <c r="I736" s="24"/>
      <c r="J736" s="25" t="str">
        <f t="shared" si="34"/>
        <v>1</v>
      </c>
      <c r="K736" s="385"/>
      <c r="L736" s="385"/>
      <c r="M736" s="386">
        <f t="shared" si="35"/>
        <v>1140.1400000000001</v>
      </c>
      <c r="N736" s="496">
        <v>245</v>
      </c>
      <c r="O736" s="333">
        <f t="shared" si="36"/>
        <v>1385.14</v>
      </c>
      <c r="R736" s="23" t="str">
        <f>VLOOKUP(C:C,'Historic Data - working'!A:B,1,FALSE)</f>
        <v>CLF098</v>
      </c>
      <c r="U736" s="323"/>
      <c r="V736" s="323"/>
      <c r="W736" s="323"/>
    </row>
    <row r="737" spans="1:23" s="23" customFormat="1" ht="14.25" hidden="1" x14ac:dyDescent="0.2">
      <c r="A737" s="381" t="s">
        <v>2502</v>
      </c>
      <c r="B737" s="381" t="s">
        <v>324</v>
      </c>
      <c r="C737" s="404" t="s">
        <v>2902</v>
      </c>
      <c r="D737" s="381" t="s">
        <v>2903</v>
      </c>
      <c r="E737" s="383" t="s">
        <v>989</v>
      </c>
      <c r="F737" s="381" t="s">
        <v>2904</v>
      </c>
      <c r="G737" s="384" t="s">
        <v>329</v>
      </c>
      <c r="H737" s="24">
        <v>530.09</v>
      </c>
      <c r="I737" s="24"/>
      <c r="J737" s="25" t="str">
        <f t="shared" si="34"/>
        <v>1</v>
      </c>
      <c r="K737" s="385"/>
      <c r="L737" s="385"/>
      <c r="M737" s="386">
        <f t="shared" si="35"/>
        <v>530.09</v>
      </c>
      <c r="N737" s="496">
        <v>115</v>
      </c>
      <c r="O737" s="333">
        <f t="shared" si="36"/>
        <v>645.09</v>
      </c>
      <c r="R737" s="23" t="str">
        <f>VLOOKUP(C:C,'Historic Data - working'!A:B,1,FALSE)</f>
        <v>CLF099</v>
      </c>
      <c r="U737" s="323"/>
      <c r="V737" s="323"/>
      <c r="W737" s="323"/>
    </row>
    <row r="738" spans="1:23" s="23" customFormat="1" ht="14.25" hidden="1" x14ac:dyDescent="0.2">
      <c r="A738" s="381" t="s">
        <v>2502</v>
      </c>
      <c r="B738" s="381" t="s">
        <v>324</v>
      </c>
      <c r="C738" s="404" t="s">
        <v>2905</v>
      </c>
      <c r="D738" s="381" t="s">
        <v>2906</v>
      </c>
      <c r="E738" s="383" t="s">
        <v>2907</v>
      </c>
      <c r="F738" s="381" t="s">
        <v>2908</v>
      </c>
      <c r="G738" s="384"/>
      <c r="H738" s="24"/>
      <c r="I738" s="24"/>
      <c r="J738" s="25" t="str">
        <f t="shared" si="34"/>
        <v xml:space="preserve"> </v>
      </c>
      <c r="K738" s="385"/>
      <c r="L738" s="385"/>
      <c r="M738" s="386">
        <f t="shared" si="35"/>
        <v>0</v>
      </c>
      <c r="N738" s="496"/>
      <c r="O738" s="333">
        <f t="shared" si="36"/>
        <v>0</v>
      </c>
      <c r="R738" s="23" t="e">
        <f>VLOOKUP(C:C,'Historic Data - working'!A:B,1,FALSE)</f>
        <v>#N/A</v>
      </c>
      <c r="U738" s="323"/>
      <c r="V738" s="323"/>
      <c r="W738" s="323"/>
    </row>
    <row r="739" spans="1:23" s="23" customFormat="1" ht="14.25" hidden="1" x14ac:dyDescent="0.2">
      <c r="A739" s="381" t="s">
        <v>2502</v>
      </c>
      <c r="B739" s="381" t="s">
        <v>324</v>
      </c>
      <c r="C739" s="404" t="s">
        <v>2909</v>
      </c>
      <c r="D739" s="381" t="s">
        <v>2910</v>
      </c>
      <c r="E739" s="383" t="s">
        <v>2911</v>
      </c>
      <c r="F739" s="381" t="s">
        <v>2912</v>
      </c>
      <c r="G739" s="384" t="s">
        <v>329</v>
      </c>
      <c r="H739" s="24">
        <f>194.08+268.56</f>
        <v>462.64</v>
      </c>
      <c r="I739" s="24"/>
      <c r="J739" s="25" t="str">
        <f t="shared" si="34"/>
        <v>1</v>
      </c>
      <c r="K739" s="385"/>
      <c r="L739" s="385"/>
      <c r="M739" s="386">
        <f t="shared" si="35"/>
        <v>462.64</v>
      </c>
      <c r="N739" s="496">
        <v>30</v>
      </c>
      <c r="O739" s="333">
        <f t="shared" si="36"/>
        <v>492.64</v>
      </c>
      <c r="R739" s="23" t="str">
        <f>VLOOKUP(C:C,'Historic Data - working'!A:B,1,FALSE)</f>
        <v>CLF100</v>
      </c>
      <c r="U739" s="323"/>
      <c r="V739" s="323"/>
      <c r="W739" s="323"/>
    </row>
    <row r="740" spans="1:23" s="23" customFormat="1" ht="14.25" hidden="1" x14ac:dyDescent="0.2">
      <c r="A740" s="381" t="s">
        <v>2502</v>
      </c>
      <c r="B740" s="381" t="s">
        <v>324</v>
      </c>
      <c r="C740" s="404" t="s">
        <v>2913</v>
      </c>
      <c r="D740" s="381" t="s">
        <v>2914</v>
      </c>
      <c r="E740" s="383" t="s">
        <v>11</v>
      </c>
      <c r="F740" s="381" t="s">
        <v>2915</v>
      </c>
      <c r="G740" s="384" t="s">
        <v>329</v>
      </c>
      <c r="H740" s="385">
        <v>1137.8900000000001</v>
      </c>
      <c r="I740" s="24"/>
      <c r="J740" s="25" t="str">
        <f t="shared" si="34"/>
        <v>1</v>
      </c>
      <c r="K740" s="385" t="s">
        <v>2916</v>
      </c>
      <c r="L740" s="385">
        <v>-37.68</v>
      </c>
      <c r="M740" s="386">
        <f t="shared" si="35"/>
        <v>1100.21</v>
      </c>
      <c r="N740" s="496">
        <v>696</v>
      </c>
      <c r="O740" s="333">
        <f t="shared" si="36"/>
        <v>1796.21</v>
      </c>
      <c r="R740" s="23" t="str">
        <f>VLOOKUP(C:C,'Historic Data - working'!A:B,1,FALSE)</f>
        <v>CLF101</v>
      </c>
      <c r="U740" s="323"/>
      <c r="V740" s="323"/>
      <c r="W740" s="323"/>
    </row>
    <row r="741" spans="1:23" s="23" customFormat="1" ht="14.25" hidden="1" x14ac:dyDescent="0.2">
      <c r="A741" s="381" t="s">
        <v>2502</v>
      </c>
      <c r="B741" s="381" t="s">
        <v>324</v>
      </c>
      <c r="C741" s="404" t="s">
        <v>2917</v>
      </c>
      <c r="D741" s="381" t="s">
        <v>2918</v>
      </c>
      <c r="E741" s="383" t="s">
        <v>1203</v>
      </c>
      <c r="F741" s="381" t="s">
        <v>2915</v>
      </c>
      <c r="G741" s="384" t="s">
        <v>329</v>
      </c>
      <c r="H741" s="24">
        <v>347.67</v>
      </c>
      <c r="I741" s="24"/>
      <c r="J741" s="25" t="str">
        <f t="shared" si="34"/>
        <v>1</v>
      </c>
      <c r="K741" s="385" t="s">
        <v>2919</v>
      </c>
      <c r="L741" s="385">
        <v>1262.1600000000001</v>
      </c>
      <c r="M741" s="386">
        <f t="shared" si="35"/>
        <v>1609.8300000000002</v>
      </c>
      <c r="N741" s="496">
        <v>45</v>
      </c>
      <c r="O741" s="333">
        <f t="shared" si="36"/>
        <v>1654.8300000000002</v>
      </c>
      <c r="R741" s="23" t="str">
        <f>VLOOKUP(C:C,'Historic Data - working'!A:B,1,FALSE)</f>
        <v>CLF102</v>
      </c>
      <c r="U741" s="323"/>
      <c r="V741" s="323"/>
      <c r="W741" s="323"/>
    </row>
    <row r="742" spans="1:23" s="23" customFormat="1" ht="14.25" hidden="1" x14ac:dyDescent="0.2">
      <c r="A742" s="381" t="s">
        <v>2502</v>
      </c>
      <c r="B742" s="381" t="s">
        <v>324</v>
      </c>
      <c r="C742" s="404" t="s">
        <v>2920</v>
      </c>
      <c r="D742" s="381" t="s">
        <v>2921</v>
      </c>
      <c r="E742" s="383" t="s">
        <v>61</v>
      </c>
      <c r="F742" s="381" t="s">
        <v>2915</v>
      </c>
      <c r="G742" s="384" t="s">
        <v>329</v>
      </c>
      <c r="H742" s="24">
        <f>158.97+157.41</f>
        <v>316.38</v>
      </c>
      <c r="I742" s="24"/>
      <c r="J742" s="25" t="str">
        <f t="shared" si="34"/>
        <v>1</v>
      </c>
      <c r="K742" s="385"/>
      <c r="L742" s="385"/>
      <c r="M742" s="386">
        <f t="shared" si="35"/>
        <v>316.38</v>
      </c>
      <c r="N742" s="496">
        <v>105</v>
      </c>
      <c r="O742" s="333">
        <f t="shared" si="36"/>
        <v>421.38</v>
      </c>
      <c r="R742" s="23" t="str">
        <f>VLOOKUP(C:C,'Historic Data - working'!A:B,1,FALSE)</f>
        <v>CLF103</v>
      </c>
      <c r="U742" s="323"/>
      <c r="V742" s="323"/>
      <c r="W742" s="323"/>
    </row>
    <row r="743" spans="1:23" s="23" customFormat="1" ht="14.25" hidden="1" x14ac:dyDescent="0.2">
      <c r="A743" s="381" t="s">
        <v>2502</v>
      </c>
      <c r="B743" s="381" t="s">
        <v>324</v>
      </c>
      <c r="C743" s="404" t="s">
        <v>2922</v>
      </c>
      <c r="D743" s="381" t="s">
        <v>2923</v>
      </c>
      <c r="E743" s="383" t="s">
        <v>2924</v>
      </c>
      <c r="F743" s="381" t="s">
        <v>2925</v>
      </c>
      <c r="G743" s="384"/>
      <c r="H743" s="24"/>
      <c r="I743" s="24"/>
      <c r="J743" s="25" t="str">
        <f t="shared" si="34"/>
        <v xml:space="preserve"> </v>
      </c>
      <c r="K743" s="385" t="s">
        <v>337</v>
      </c>
      <c r="L743" s="385">
        <v>1041.73</v>
      </c>
      <c r="M743" s="386">
        <f t="shared" si="35"/>
        <v>1041.73</v>
      </c>
      <c r="N743" s="496">
        <v>1289.71</v>
      </c>
      <c r="O743" s="333">
        <f t="shared" si="36"/>
        <v>2331.44</v>
      </c>
      <c r="R743" s="23" t="str">
        <f>VLOOKUP(C:C,'Historic Data - working'!A:B,1,FALSE)</f>
        <v>CLF104</v>
      </c>
      <c r="U743" s="323"/>
      <c r="V743" s="323"/>
      <c r="W743" s="323"/>
    </row>
    <row r="744" spans="1:23" s="23" customFormat="1" ht="14.25" hidden="1" x14ac:dyDescent="0.2">
      <c r="A744" s="381" t="s">
        <v>2502</v>
      </c>
      <c r="B744" s="381" t="s">
        <v>324</v>
      </c>
      <c r="C744" s="404" t="s">
        <v>2926</v>
      </c>
      <c r="D744" s="381" t="s">
        <v>2927</v>
      </c>
      <c r="E744" s="383" t="s">
        <v>226</v>
      </c>
      <c r="F744" s="381" t="s">
        <v>2928</v>
      </c>
      <c r="G744" s="384"/>
      <c r="H744" s="24"/>
      <c r="I744" s="24"/>
      <c r="J744" s="25" t="str">
        <f t="shared" si="34"/>
        <v xml:space="preserve"> </v>
      </c>
      <c r="K744" s="385"/>
      <c r="L744" s="385"/>
      <c r="M744" s="386">
        <f t="shared" si="35"/>
        <v>0</v>
      </c>
      <c r="N744" s="496"/>
      <c r="O744" s="333">
        <f t="shared" si="36"/>
        <v>0</v>
      </c>
      <c r="R744" s="23" t="e">
        <f>VLOOKUP(C:C,'Historic Data - working'!A:B,1,FALSE)</f>
        <v>#N/A</v>
      </c>
      <c r="U744" s="323"/>
      <c r="V744" s="323"/>
      <c r="W744" s="323"/>
    </row>
    <row r="745" spans="1:23" s="23" customFormat="1" ht="14.25" hidden="1" x14ac:dyDescent="0.2">
      <c r="A745" s="381" t="s">
        <v>2502</v>
      </c>
      <c r="B745" s="381" t="s">
        <v>324</v>
      </c>
      <c r="C745" s="404" t="s">
        <v>2929</v>
      </c>
      <c r="D745" s="381" t="s">
        <v>2930</v>
      </c>
      <c r="E745" s="383" t="s">
        <v>1606</v>
      </c>
      <c r="F745" s="381" t="s">
        <v>2931</v>
      </c>
      <c r="G745" s="384" t="s">
        <v>329</v>
      </c>
      <c r="H745" s="24">
        <v>1010.79</v>
      </c>
      <c r="I745" s="24"/>
      <c r="J745" s="25" t="str">
        <f t="shared" si="34"/>
        <v>1</v>
      </c>
      <c r="K745" s="385"/>
      <c r="L745" s="385"/>
      <c r="M745" s="386">
        <f t="shared" si="35"/>
        <v>1010.79</v>
      </c>
      <c r="N745" s="496">
        <v>105</v>
      </c>
      <c r="O745" s="333">
        <f t="shared" si="36"/>
        <v>1115.79</v>
      </c>
      <c r="R745" s="23" t="str">
        <f>VLOOKUP(C:C,'Historic Data - working'!A:B,1,FALSE)</f>
        <v>CLF105</v>
      </c>
      <c r="U745" s="323"/>
      <c r="V745" s="323"/>
      <c r="W745" s="323"/>
    </row>
    <row r="746" spans="1:23" s="23" customFormat="1" ht="14.25" hidden="1" x14ac:dyDescent="0.2">
      <c r="A746" s="381" t="s">
        <v>2502</v>
      </c>
      <c r="B746" s="381" t="s">
        <v>324</v>
      </c>
      <c r="C746" s="404" t="s">
        <v>2932</v>
      </c>
      <c r="D746" s="381" t="s">
        <v>2933</v>
      </c>
      <c r="E746" s="383" t="s">
        <v>2934</v>
      </c>
      <c r="F746" s="381" t="s">
        <v>2935</v>
      </c>
      <c r="G746" s="384"/>
      <c r="H746" s="24"/>
      <c r="I746" s="24"/>
      <c r="J746" s="25" t="str">
        <f t="shared" si="34"/>
        <v xml:space="preserve"> </v>
      </c>
      <c r="K746" s="385"/>
      <c r="L746" s="385"/>
      <c r="M746" s="386">
        <f t="shared" si="35"/>
        <v>0</v>
      </c>
      <c r="N746" s="496"/>
      <c r="O746" s="333">
        <f t="shared" si="36"/>
        <v>0</v>
      </c>
      <c r="R746" s="23" t="e">
        <f>VLOOKUP(C:C,'Historic Data - working'!A:B,1,FALSE)</f>
        <v>#N/A</v>
      </c>
      <c r="U746" s="323"/>
      <c r="V746" s="323"/>
      <c r="W746" s="323"/>
    </row>
    <row r="747" spans="1:23" s="23" customFormat="1" ht="14.25" hidden="1" x14ac:dyDescent="0.2">
      <c r="A747" s="381" t="s">
        <v>2502</v>
      </c>
      <c r="B747" s="381" t="s">
        <v>324</v>
      </c>
      <c r="C747" s="404" t="s">
        <v>2936</v>
      </c>
      <c r="D747" s="381" t="s">
        <v>2937</v>
      </c>
      <c r="E747" s="383" t="s">
        <v>2938</v>
      </c>
      <c r="F747" s="381" t="s">
        <v>2939</v>
      </c>
      <c r="G747" s="384"/>
      <c r="H747" s="24"/>
      <c r="I747" s="24"/>
      <c r="J747" s="25" t="str">
        <f t="shared" si="34"/>
        <v xml:space="preserve"> </v>
      </c>
      <c r="K747" s="385" t="s">
        <v>337</v>
      </c>
      <c r="L747" s="385">
        <v>41.73</v>
      </c>
      <c r="M747" s="386">
        <f t="shared" si="35"/>
        <v>41.73</v>
      </c>
      <c r="N747" s="496"/>
      <c r="O747" s="333">
        <f t="shared" si="36"/>
        <v>41.73</v>
      </c>
      <c r="R747" s="23" t="str">
        <f>VLOOKUP(C:C,'Historic Data - working'!A:B,1,FALSE)</f>
        <v>CLF106</v>
      </c>
      <c r="U747" s="323"/>
      <c r="V747" s="323"/>
      <c r="W747" s="323"/>
    </row>
    <row r="748" spans="1:23" s="23" customFormat="1" ht="14.25" hidden="1" x14ac:dyDescent="0.2">
      <c r="A748" s="381" t="s">
        <v>2502</v>
      </c>
      <c r="B748" s="381" t="s">
        <v>324</v>
      </c>
      <c r="C748" s="404" t="s">
        <v>2940</v>
      </c>
      <c r="D748" s="381" t="s">
        <v>2941</v>
      </c>
      <c r="E748" s="383" t="s">
        <v>47</v>
      </c>
      <c r="F748" s="381" t="s">
        <v>2942</v>
      </c>
      <c r="G748" s="384" t="s">
        <v>329</v>
      </c>
      <c r="H748" s="24">
        <f>295.33+24</f>
        <v>319.33</v>
      </c>
      <c r="I748" s="24"/>
      <c r="J748" s="25" t="str">
        <f t="shared" ref="J748:J811" si="37">IF(G748="Y","1"," ")</f>
        <v>1</v>
      </c>
      <c r="K748" s="385"/>
      <c r="L748" s="385"/>
      <c r="M748" s="386">
        <f t="shared" si="35"/>
        <v>319.33</v>
      </c>
      <c r="N748" s="496">
        <v>50</v>
      </c>
      <c r="O748" s="333">
        <f t="shared" si="36"/>
        <v>369.33</v>
      </c>
      <c r="R748" s="23" t="str">
        <f>VLOOKUP(C:C,'Historic Data - working'!A:B,1,FALSE)</f>
        <v>CLF107</v>
      </c>
      <c r="U748" s="323"/>
      <c r="V748" s="323"/>
      <c r="W748" s="323"/>
    </row>
    <row r="749" spans="1:23" s="23" customFormat="1" ht="14.25" hidden="1" x14ac:dyDescent="0.2">
      <c r="A749" s="381" t="s">
        <v>2502</v>
      </c>
      <c r="B749" s="381" t="s">
        <v>324</v>
      </c>
      <c r="C749" s="404" t="s">
        <v>2943</v>
      </c>
      <c r="D749" s="381" t="s">
        <v>2944</v>
      </c>
      <c r="E749" s="383" t="s">
        <v>94</v>
      </c>
      <c r="F749" s="381" t="s">
        <v>2945</v>
      </c>
      <c r="G749" s="384"/>
      <c r="H749" s="24"/>
      <c r="I749" s="24"/>
      <c r="J749" s="25" t="str">
        <f t="shared" si="37"/>
        <v xml:space="preserve"> </v>
      </c>
      <c r="K749" s="385" t="s">
        <v>337</v>
      </c>
      <c r="L749" s="385">
        <v>26.84</v>
      </c>
      <c r="M749" s="386">
        <f t="shared" si="35"/>
        <v>26.84</v>
      </c>
      <c r="N749" s="496">
        <v>360</v>
      </c>
      <c r="O749" s="333">
        <f t="shared" si="36"/>
        <v>386.84</v>
      </c>
      <c r="R749" s="23" t="str">
        <f>VLOOKUP(C:C,'Historic Data - working'!A:B,1,FALSE)</f>
        <v>CLF108</v>
      </c>
      <c r="U749" s="323"/>
      <c r="V749" s="323"/>
      <c r="W749" s="323"/>
    </row>
    <row r="750" spans="1:23" s="23" customFormat="1" ht="14.25" hidden="1" x14ac:dyDescent="0.2">
      <c r="A750" s="381" t="s">
        <v>2502</v>
      </c>
      <c r="B750" s="381" t="s">
        <v>324</v>
      </c>
      <c r="C750" s="404" t="s">
        <v>2946</v>
      </c>
      <c r="D750" s="381" t="s">
        <v>2947</v>
      </c>
      <c r="E750" s="383" t="s">
        <v>61</v>
      </c>
      <c r="F750" s="381" t="s">
        <v>2948</v>
      </c>
      <c r="G750" s="384" t="s">
        <v>329</v>
      </c>
      <c r="H750" s="24">
        <f>26+81.24+25.7+47.57+47.94+71.25+31.12</f>
        <v>330.82</v>
      </c>
      <c r="I750" s="24"/>
      <c r="J750" s="25" t="str">
        <f t="shared" si="37"/>
        <v>1</v>
      </c>
      <c r="K750" s="385" t="s">
        <v>2949</v>
      </c>
      <c r="L750" s="385">
        <v>0.01</v>
      </c>
      <c r="M750" s="386">
        <f t="shared" si="35"/>
        <v>330.83</v>
      </c>
      <c r="N750" s="496">
        <v>157</v>
      </c>
      <c r="O750" s="333">
        <f t="shared" si="36"/>
        <v>487.83</v>
      </c>
      <c r="R750" s="23" t="str">
        <f>VLOOKUP(C:C,'Historic Data - working'!A:B,1,FALSE)</f>
        <v>CLF109</v>
      </c>
      <c r="U750" s="323"/>
      <c r="V750" s="323"/>
      <c r="W750" s="323"/>
    </row>
    <row r="751" spans="1:23" s="23" customFormat="1" ht="14.25" hidden="1" x14ac:dyDescent="0.2">
      <c r="A751" s="381" t="s">
        <v>2502</v>
      </c>
      <c r="B751" s="381" t="s">
        <v>324</v>
      </c>
      <c r="C751" s="404" t="s">
        <v>2950</v>
      </c>
      <c r="D751" s="381" t="s">
        <v>2951</v>
      </c>
      <c r="E751" s="383" t="s">
        <v>442</v>
      </c>
      <c r="F751" s="381" t="s">
        <v>2952</v>
      </c>
      <c r="G751" s="384" t="s">
        <v>329</v>
      </c>
      <c r="H751" s="24">
        <f>121.03+143.27+127.13+281.6+80.45+28.67+204.19+117.67+143.3+438.48+64.57</f>
        <v>1750.36</v>
      </c>
      <c r="I751" s="24"/>
      <c r="J751" s="25" t="str">
        <f t="shared" si="37"/>
        <v>1</v>
      </c>
      <c r="K751" s="385" t="s">
        <v>2953</v>
      </c>
      <c r="L751" s="385">
        <v>-0.1</v>
      </c>
      <c r="M751" s="386">
        <f t="shared" si="35"/>
        <v>1750.26</v>
      </c>
      <c r="N751" s="496">
        <v>396</v>
      </c>
      <c r="O751" s="333">
        <f t="shared" si="36"/>
        <v>2146.2600000000002</v>
      </c>
      <c r="R751" s="23" t="str">
        <f>VLOOKUP(C:C,'Historic Data - working'!A:B,1,FALSE)</f>
        <v>CLF110</v>
      </c>
      <c r="U751" s="323"/>
      <c r="V751" s="323"/>
      <c r="W751" s="323"/>
    </row>
    <row r="752" spans="1:23" s="23" customFormat="1" ht="14.25" hidden="1" x14ac:dyDescent="0.2">
      <c r="A752" s="381" t="s">
        <v>2502</v>
      </c>
      <c r="B752" s="381" t="s">
        <v>324</v>
      </c>
      <c r="C752" s="404" t="s">
        <v>2954</v>
      </c>
      <c r="D752" s="381" t="s">
        <v>2955</v>
      </c>
      <c r="E752" s="383" t="s">
        <v>1489</v>
      </c>
      <c r="F752" s="381" t="s">
        <v>2956</v>
      </c>
      <c r="G752" s="384"/>
      <c r="H752" s="24"/>
      <c r="I752" s="24"/>
      <c r="J752" s="25" t="str">
        <f t="shared" si="37"/>
        <v xml:space="preserve"> </v>
      </c>
      <c r="K752" s="385"/>
      <c r="L752" s="385"/>
      <c r="M752" s="386">
        <f t="shared" si="35"/>
        <v>0</v>
      </c>
      <c r="N752" s="496"/>
      <c r="O752" s="333">
        <f t="shared" si="36"/>
        <v>0</v>
      </c>
      <c r="R752" s="23" t="e">
        <f>VLOOKUP(C:C,'Historic Data - working'!A:B,1,FALSE)</f>
        <v>#N/A</v>
      </c>
      <c r="U752" s="323"/>
      <c r="V752" s="323"/>
      <c r="W752" s="323"/>
    </row>
    <row r="753" spans="1:23" s="23" customFormat="1" ht="14.25" hidden="1" x14ac:dyDescent="0.2">
      <c r="A753" s="381" t="s">
        <v>2502</v>
      </c>
      <c r="B753" s="381" t="s">
        <v>324</v>
      </c>
      <c r="C753" s="404" t="s">
        <v>2957</v>
      </c>
      <c r="D753" s="381" t="s">
        <v>2958</v>
      </c>
      <c r="E753" s="383" t="s">
        <v>276</v>
      </c>
      <c r="F753" s="381" t="s">
        <v>2865</v>
      </c>
      <c r="G753" s="384" t="s">
        <v>329</v>
      </c>
      <c r="H753" s="24">
        <f>33+556+604</f>
        <v>1193</v>
      </c>
      <c r="I753" s="24"/>
      <c r="J753" s="25" t="str">
        <f t="shared" si="37"/>
        <v>1</v>
      </c>
      <c r="K753" s="385"/>
      <c r="L753" s="385"/>
      <c r="M753" s="386">
        <f t="shared" si="35"/>
        <v>1193</v>
      </c>
      <c r="N753" s="496">
        <v>1024</v>
      </c>
      <c r="O753" s="333">
        <f t="shared" si="36"/>
        <v>2217</v>
      </c>
      <c r="R753" s="23" t="str">
        <f>VLOOKUP(C:C,'Historic Data - working'!A:B,1,FALSE)</f>
        <v>CLF111</v>
      </c>
      <c r="U753" s="323"/>
      <c r="V753" s="323"/>
      <c r="W753" s="323"/>
    </row>
    <row r="754" spans="1:23" s="23" customFormat="1" ht="14.25" hidden="1" x14ac:dyDescent="0.2">
      <c r="A754" s="381" t="s">
        <v>2502</v>
      </c>
      <c r="B754" s="381" t="s">
        <v>324</v>
      </c>
      <c r="C754" s="404" t="s">
        <v>2959</v>
      </c>
      <c r="D754" s="381" t="s">
        <v>2960</v>
      </c>
      <c r="E754" s="383" t="s">
        <v>2961</v>
      </c>
      <c r="F754" s="381" t="s">
        <v>2506</v>
      </c>
      <c r="G754" s="384"/>
      <c r="H754" s="24"/>
      <c r="I754" s="24"/>
      <c r="J754" s="25" t="str">
        <f t="shared" si="37"/>
        <v xml:space="preserve"> </v>
      </c>
      <c r="K754" s="385"/>
      <c r="L754" s="385"/>
      <c r="M754" s="386">
        <f t="shared" si="35"/>
        <v>0</v>
      </c>
      <c r="N754" s="496"/>
      <c r="O754" s="333">
        <f t="shared" si="36"/>
        <v>0</v>
      </c>
      <c r="R754" s="23" t="e">
        <f>VLOOKUP(C:C,'Historic Data - working'!A:B,1,FALSE)</f>
        <v>#N/A</v>
      </c>
      <c r="U754" s="323"/>
      <c r="V754" s="323"/>
      <c r="W754" s="323"/>
    </row>
    <row r="755" spans="1:23" s="23" customFormat="1" ht="14.25" hidden="1" x14ac:dyDescent="0.2">
      <c r="A755" s="381" t="s">
        <v>2502</v>
      </c>
      <c r="B755" s="381" t="s">
        <v>324</v>
      </c>
      <c r="C755" s="404" t="s">
        <v>2962</v>
      </c>
      <c r="D755" s="381" t="s">
        <v>2963</v>
      </c>
      <c r="E755" s="383" t="s">
        <v>2964</v>
      </c>
      <c r="F755" s="385"/>
      <c r="G755" s="384"/>
      <c r="H755" s="24"/>
      <c r="I755" s="24"/>
      <c r="J755" s="25" t="str">
        <f t="shared" si="37"/>
        <v xml:space="preserve"> </v>
      </c>
      <c r="K755" s="385" t="s">
        <v>337</v>
      </c>
      <c r="L755" s="385">
        <v>192.13</v>
      </c>
      <c r="M755" s="386">
        <f t="shared" si="35"/>
        <v>192.13</v>
      </c>
      <c r="N755" s="496">
        <v>0</v>
      </c>
      <c r="O755" s="334">
        <f t="shared" si="36"/>
        <v>192.13</v>
      </c>
      <c r="P755" s="351"/>
      <c r="Q755" s="331"/>
      <c r="R755" s="331" t="e">
        <f>VLOOKUP(C:C,'Historic Data - working'!A:B,1,FALSE)</f>
        <v>#N/A</v>
      </c>
      <c r="U755" s="323"/>
      <c r="V755" s="323"/>
      <c r="W755" s="323"/>
    </row>
    <row r="756" spans="1:23" s="23" customFormat="1" ht="14.25" hidden="1" x14ac:dyDescent="0.2">
      <c r="A756" s="381" t="s">
        <v>2965</v>
      </c>
      <c r="B756" s="381" t="s">
        <v>324</v>
      </c>
      <c r="C756" s="405" t="s">
        <v>2966</v>
      </c>
      <c r="D756" s="381" t="s">
        <v>2967</v>
      </c>
      <c r="E756" s="383" t="s">
        <v>34</v>
      </c>
      <c r="F756" s="381" t="s">
        <v>2968</v>
      </c>
      <c r="G756" s="384" t="s">
        <v>329</v>
      </c>
      <c r="H756" s="24">
        <v>1046.1300000000001</v>
      </c>
      <c r="I756" s="24"/>
      <c r="J756" s="25" t="str">
        <f t="shared" si="37"/>
        <v>1</v>
      </c>
      <c r="K756" s="388"/>
      <c r="L756" s="385"/>
      <c r="M756" s="386">
        <f t="shared" si="35"/>
        <v>1046.1300000000001</v>
      </c>
      <c r="N756" s="496">
        <v>450</v>
      </c>
      <c r="O756" s="333">
        <f t="shared" si="36"/>
        <v>1496.13</v>
      </c>
      <c r="R756" s="23" t="str">
        <f>VLOOKUP(C:C,'Historic Data - working'!A:B,1,FALSE)</f>
        <v>EAS001</v>
      </c>
      <c r="U756" s="323"/>
      <c r="V756" s="323"/>
      <c r="W756" s="323"/>
    </row>
    <row r="757" spans="1:23" s="23" customFormat="1" ht="14.25" hidden="1" x14ac:dyDescent="0.2">
      <c r="A757" s="381" t="s">
        <v>2965</v>
      </c>
      <c r="B757" s="381" t="s">
        <v>324</v>
      </c>
      <c r="C757" s="405" t="s">
        <v>2969</v>
      </c>
      <c r="D757" s="381" t="s">
        <v>2970</v>
      </c>
      <c r="E757" s="383" t="s">
        <v>2971</v>
      </c>
      <c r="F757" s="381" t="s">
        <v>2972</v>
      </c>
      <c r="G757" s="384"/>
      <c r="H757" s="24"/>
      <c r="I757" s="24"/>
      <c r="J757" s="25" t="str">
        <f t="shared" si="37"/>
        <v xml:space="preserve"> </v>
      </c>
      <c r="K757" s="385"/>
      <c r="L757" s="385"/>
      <c r="M757" s="386">
        <f t="shared" si="35"/>
        <v>0</v>
      </c>
      <c r="N757" s="496"/>
      <c r="O757" s="333">
        <f t="shared" si="36"/>
        <v>0</v>
      </c>
      <c r="R757" s="23" t="e">
        <f>VLOOKUP(C:C,'Historic Data - working'!A:B,1,FALSE)</f>
        <v>#N/A</v>
      </c>
      <c r="U757" s="323"/>
      <c r="V757" s="323"/>
      <c r="W757" s="323"/>
    </row>
    <row r="758" spans="1:23" s="23" customFormat="1" ht="14.25" hidden="1" x14ac:dyDescent="0.2">
      <c r="A758" s="381" t="s">
        <v>2965</v>
      </c>
      <c r="B758" s="381" t="s">
        <v>324</v>
      </c>
      <c r="C758" s="405" t="s">
        <v>2973</v>
      </c>
      <c r="D758" s="381" t="s">
        <v>2974</v>
      </c>
      <c r="E758" s="383" t="s">
        <v>2975</v>
      </c>
      <c r="F758" s="381" t="s">
        <v>2968</v>
      </c>
      <c r="G758" s="384" t="s">
        <v>329</v>
      </c>
      <c r="H758" s="24">
        <v>191.09</v>
      </c>
      <c r="I758" s="24"/>
      <c r="J758" s="25" t="str">
        <f t="shared" si="37"/>
        <v>1</v>
      </c>
      <c r="K758" s="385"/>
      <c r="L758" s="385"/>
      <c r="M758" s="386">
        <f t="shared" si="35"/>
        <v>191.09</v>
      </c>
      <c r="N758" s="496">
        <v>160</v>
      </c>
      <c r="O758" s="333">
        <f t="shared" si="36"/>
        <v>351.09000000000003</v>
      </c>
      <c r="R758" s="23" t="str">
        <f>VLOOKUP(C:C,'Historic Data - working'!A:B,1,FALSE)</f>
        <v>EAS002</v>
      </c>
      <c r="U758" s="323"/>
      <c r="V758" s="323"/>
      <c r="W758" s="323"/>
    </row>
    <row r="759" spans="1:23" s="23" customFormat="1" ht="14.25" hidden="1" x14ac:dyDescent="0.2">
      <c r="A759" s="381" t="s">
        <v>2965</v>
      </c>
      <c r="B759" s="381" t="s">
        <v>324</v>
      </c>
      <c r="C759" s="405" t="s">
        <v>2976</v>
      </c>
      <c r="D759" s="381" t="s">
        <v>2977</v>
      </c>
      <c r="E759" s="383" t="s">
        <v>2978</v>
      </c>
      <c r="F759" s="381" t="s">
        <v>2968</v>
      </c>
      <c r="G759" s="384"/>
      <c r="H759" s="24"/>
      <c r="I759" s="24"/>
      <c r="J759" s="25" t="str">
        <f t="shared" si="37"/>
        <v xml:space="preserve"> </v>
      </c>
      <c r="K759" s="385" t="s">
        <v>337</v>
      </c>
      <c r="L759" s="385">
        <v>901.61</v>
      </c>
      <c r="M759" s="386">
        <f t="shared" si="35"/>
        <v>901.61</v>
      </c>
      <c r="N759" s="496">
        <v>231</v>
      </c>
      <c r="O759" s="333">
        <f t="shared" si="36"/>
        <v>1132.6100000000001</v>
      </c>
      <c r="R759" s="23" t="str">
        <f>VLOOKUP(C:C,'Historic Data - working'!A:B,1,FALSE)</f>
        <v>EAS003</v>
      </c>
      <c r="U759" s="323"/>
      <c r="V759" s="323"/>
      <c r="W759" s="323"/>
    </row>
    <row r="760" spans="1:23" s="23" customFormat="1" ht="14.25" hidden="1" x14ac:dyDescent="0.2">
      <c r="A760" s="381" t="s">
        <v>2965</v>
      </c>
      <c r="B760" s="381" t="s">
        <v>351</v>
      </c>
      <c r="C760" s="405" t="s">
        <v>2979</v>
      </c>
      <c r="D760" s="381" t="s">
        <v>2980</v>
      </c>
      <c r="E760" s="383" t="s">
        <v>2981</v>
      </c>
      <c r="F760" s="381" t="s">
        <v>2982</v>
      </c>
      <c r="G760" s="384"/>
      <c r="H760" s="24"/>
      <c r="I760" s="24"/>
      <c r="J760" s="25" t="str">
        <f t="shared" si="37"/>
        <v xml:space="preserve"> </v>
      </c>
      <c r="K760" s="385"/>
      <c r="L760" s="385"/>
      <c r="M760" s="386">
        <f t="shared" si="35"/>
        <v>0</v>
      </c>
      <c r="N760" s="496"/>
      <c r="O760" s="333">
        <f t="shared" si="36"/>
        <v>0</v>
      </c>
      <c r="R760" s="23" t="e">
        <f>VLOOKUP(C:C,'Historic Data - working'!A:B,1,FALSE)</f>
        <v>#N/A</v>
      </c>
      <c r="U760" s="323"/>
      <c r="V760" s="323"/>
      <c r="W760" s="323"/>
    </row>
    <row r="761" spans="1:23" s="23" customFormat="1" ht="14.25" hidden="1" x14ac:dyDescent="0.2">
      <c r="A761" s="381" t="s">
        <v>2965</v>
      </c>
      <c r="B761" s="381" t="s">
        <v>351</v>
      </c>
      <c r="C761" s="405" t="s">
        <v>2983</v>
      </c>
      <c r="D761" s="381" t="s">
        <v>2984</v>
      </c>
      <c r="E761" s="383" t="s">
        <v>2985</v>
      </c>
      <c r="F761" s="381" t="s">
        <v>2986</v>
      </c>
      <c r="G761" s="384"/>
      <c r="H761" s="24"/>
      <c r="I761" s="24"/>
      <c r="J761" s="25" t="str">
        <f t="shared" si="37"/>
        <v xml:space="preserve"> </v>
      </c>
      <c r="K761" s="385"/>
      <c r="L761" s="385"/>
      <c r="M761" s="386">
        <f t="shared" si="35"/>
        <v>0</v>
      </c>
      <c r="N761" s="496"/>
      <c r="O761" s="333">
        <f t="shared" si="36"/>
        <v>0</v>
      </c>
      <c r="R761" s="23" t="e">
        <f>VLOOKUP(C:C,'Historic Data - working'!A:B,1,FALSE)</f>
        <v>#N/A</v>
      </c>
      <c r="U761" s="323"/>
      <c r="V761" s="323"/>
      <c r="W761" s="323"/>
    </row>
    <row r="762" spans="1:23" s="23" customFormat="1" ht="14.25" hidden="1" x14ac:dyDescent="0.2">
      <c r="A762" s="381" t="s">
        <v>2965</v>
      </c>
      <c r="B762" s="381" t="s">
        <v>324</v>
      </c>
      <c r="C762" s="405" t="s">
        <v>2987</v>
      </c>
      <c r="D762" s="381" t="s">
        <v>2988</v>
      </c>
      <c r="E762" s="383" t="s">
        <v>2989</v>
      </c>
      <c r="F762" s="381" t="s">
        <v>2990</v>
      </c>
      <c r="G762" s="384" t="s">
        <v>329</v>
      </c>
      <c r="H762" s="24">
        <f>174+91.51+288.71</f>
        <v>554.22</v>
      </c>
      <c r="I762" s="24"/>
      <c r="J762" s="25" t="str">
        <f t="shared" si="37"/>
        <v>1</v>
      </c>
      <c r="K762" s="385"/>
      <c r="L762" s="385"/>
      <c r="M762" s="386">
        <f t="shared" si="35"/>
        <v>554.22</v>
      </c>
      <c r="N762" s="496">
        <v>75</v>
      </c>
      <c r="O762" s="333">
        <f t="shared" si="36"/>
        <v>629.22</v>
      </c>
      <c r="R762" s="23" t="str">
        <f>VLOOKUP(C:C,'Historic Data - working'!A:B,1,FALSE)</f>
        <v>EAS004</v>
      </c>
      <c r="U762" s="323"/>
      <c r="V762" s="323"/>
      <c r="W762" s="323"/>
    </row>
    <row r="763" spans="1:23" s="23" customFormat="1" ht="14.25" hidden="1" x14ac:dyDescent="0.2">
      <c r="A763" s="381" t="s">
        <v>2965</v>
      </c>
      <c r="B763" s="381" t="s">
        <v>324</v>
      </c>
      <c r="C763" s="405" t="s">
        <v>2991</v>
      </c>
      <c r="D763" s="381" t="s">
        <v>2992</v>
      </c>
      <c r="E763" s="383" t="s">
        <v>1871</v>
      </c>
      <c r="F763" s="381" t="s">
        <v>2993</v>
      </c>
      <c r="G763" s="384"/>
      <c r="H763" s="24"/>
      <c r="I763" s="24"/>
      <c r="J763" s="25" t="str">
        <f t="shared" si="37"/>
        <v xml:space="preserve"> </v>
      </c>
      <c r="K763" s="385"/>
      <c r="L763" s="385"/>
      <c r="M763" s="386">
        <f t="shared" si="35"/>
        <v>0</v>
      </c>
      <c r="N763" s="496"/>
      <c r="O763" s="333">
        <f t="shared" si="36"/>
        <v>0</v>
      </c>
      <c r="R763" s="23" t="e">
        <f>VLOOKUP(C:C,'Historic Data - working'!A:B,1,FALSE)</f>
        <v>#N/A</v>
      </c>
      <c r="U763" s="323"/>
      <c r="V763" s="323"/>
      <c r="W763" s="323"/>
    </row>
    <row r="764" spans="1:23" s="23" customFormat="1" ht="14.25" hidden="1" x14ac:dyDescent="0.2">
      <c r="A764" s="381" t="s">
        <v>2965</v>
      </c>
      <c r="B764" s="381" t="s">
        <v>324</v>
      </c>
      <c r="C764" s="405" t="s">
        <v>2994</v>
      </c>
      <c r="D764" s="381" t="s">
        <v>2995</v>
      </c>
      <c r="E764" s="383" t="s">
        <v>2996</v>
      </c>
      <c r="F764" s="381" t="s">
        <v>2997</v>
      </c>
      <c r="G764" s="384"/>
      <c r="H764" s="24"/>
      <c r="I764" s="24"/>
      <c r="J764" s="25" t="str">
        <f t="shared" si="37"/>
        <v xml:space="preserve"> </v>
      </c>
      <c r="K764" s="385" t="s">
        <v>337</v>
      </c>
      <c r="L764" s="385">
        <v>577.07000000000005</v>
      </c>
      <c r="M764" s="386">
        <f t="shared" si="35"/>
        <v>577.07000000000005</v>
      </c>
      <c r="N764" s="496">
        <v>80</v>
      </c>
      <c r="O764" s="333">
        <f t="shared" si="36"/>
        <v>657.07</v>
      </c>
      <c r="R764" s="23" t="str">
        <f>VLOOKUP(C:C,'Historic Data - working'!A:B,1,FALSE)</f>
        <v>EAS005</v>
      </c>
      <c r="U764" s="323"/>
      <c r="V764" s="323"/>
      <c r="W764" s="323"/>
    </row>
    <row r="765" spans="1:23" s="23" customFormat="1" ht="14.25" hidden="1" x14ac:dyDescent="0.2">
      <c r="A765" s="381" t="s">
        <v>2965</v>
      </c>
      <c r="B765" s="381" t="s">
        <v>324</v>
      </c>
      <c r="C765" s="405" t="s">
        <v>2998</v>
      </c>
      <c r="D765" s="381" t="s">
        <v>2999</v>
      </c>
      <c r="E765" s="383" t="s">
        <v>1032</v>
      </c>
      <c r="F765" s="381" t="s">
        <v>3000</v>
      </c>
      <c r="G765" s="384"/>
      <c r="H765" s="24"/>
      <c r="I765" s="24"/>
      <c r="J765" s="25" t="str">
        <f t="shared" si="37"/>
        <v xml:space="preserve"> </v>
      </c>
      <c r="K765" s="385"/>
      <c r="L765" s="385"/>
      <c r="M765" s="386">
        <f t="shared" si="35"/>
        <v>0</v>
      </c>
      <c r="N765" s="496"/>
      <c r="O765" s="333">
        <f t="shared" si="36"/>
        <v>0</v>
      </c>
      <c r="R765" s="23" t="e">
        <f>VLOOKUP(C:C,'Historic Data - working'!A:B,1,FALSE)</f>
        <v>#N/A</v>
      </c>
      <c r="U765" s="323"/>
      <c r="V765" s="323"/>
      <c r="W765" s="323"/>
    </row>
    <row r="766" spans="1:23" s="23" customFormat="1" ht="14.25" hidden="1" x14ac:dyDescent="0.2">
      <c r="A766" s="381" t="s">
        <v>2965</v>
      </c>
      <c r="B766" s="381" t="s">
        <v>351</v>
      </c>
      <c r="C766" s="405" t="s">
        <v>3001</v>
      </c>
      <c r="D766" s="381" t="s">
        <v>3002</v>
      </c>
      <c r="E766" s="383" t="s">
        <v>3003</v>
      </c>
      <c r="F766" s="381" t="s">
        <v>3004</v>
      </c>
      <c r="G766" s="384"/>
      <c r="H766" s="24"/>
      <c r="I766" s="24"/>
      <c r="J766" s="25" t="str">
        <f t="shared" si="37"/>
        <v xml:space="preserve"> </v>
      </c>
      <c r="K766" s="385"/>
      <c r="L766" s="385"/>
      <c r="M766" s="386">
        <f t="shared" si="35"/>
        <v>0</v>
      </c>
      <c r="N766" s="496"/>
      <c r="O766" s="333">
        <f t="shared" si="36"/>
        <v>0</v>
      </c>
      <c r="R766" s="23" t="e">
        <f>VLOOKUP(C:C,'Historic Data - working'!A:B,1,FALSE)</f>
        <v>#N/A</v>
      </c>
      <c r="U766" s="323"/>
      <c r="V766" s="323"/>
      <c r="W766" s="323"/>
    </row>
    <row r="767" spans="1:23" s="23" customFormat="1" ht="14.25" hidden="1" x14ac:dyDescent="0.2">
      <c r="A767" s="381" t="s">
        <v>2965</v>
      </c>
      <c r="B767" s="381" t="s">
        <v>324</v>
      </c>
      <c r="C767" s="405" t="s">
        <v>3005</v>
      </c>
      <c r="D767" s="381" t="s">
        <v>3006</v>
      </c>
      <c r="E767" s="383" t="s">
        <v>3007</v>
      </c>
      <c r="F767" s="381" t="s">
        <v>3008</v>
      </c>
      <c r="G767" s="384" t="s">
        <v>329</v>
      </c>
      <c r="H767" s="24">
        <f>359.09+395.87</f>
        <v>754.96</v>
      </c>
      <c r="I767" s="24"/>
      <c r="J767" s="25" t="str">
        <f t="shared" si="37"/>
        <v>1</v>
      </c>
      <c r="K767" s="385" t="s">
        <v>3009</v>
      </c>
      <c r="L767" s="385">
        <v>338.6</v>
      </c>
      <c r="M767" s="386">
        <f t="shared" si="35"/>
        <v>1093.56</v>
      </c>
      <c r="N767" s="496">
        <v>225</v>
      </c>
      <c r="O767" s="333">
        <f t="shared" si="36"/>
        <v>1318.56</v>
      </c>
      <c r="R767" s="23" t="str">
        <f>VLOOKUP(C:C,'Historic Data - working'!A:B,1,FALSE)</f>
        <v>EAS006X</v>
      </c>
      <c r="U767" s="323"/>
      <c r="V767" s="323"/>
      <c r="W767" s="323"/>
    </row>
    <row r="768" spans="1:23" s="23" customFormat="1" ht="14.25" hidden="1" x14ac:dyDescent="0.2">
      <c r="A768" s="381" t="s">
        <v>2965</v>
      </c>
      <c r="B768" s="381" t="s">
        <v>324</v>
      </c>
      <c r="C768" s="405" t="s">
        <v>3010</v>
      </c>
      <c r="D768" s="381" t="s">
        <v>3011</v>
      </c>
      <c r="E768" s="383" t="s">
        <v>164</v>
      </c>
      <c r="F768" s="381" t="s">
        <v>3012</v>
      </c>
      <c r="G768" s="384"/>
      <c r="H768" s="24"/>
      <c r="I768" s="24"/>
      <c r="J768" s="25" t="str">
        <f t="shared" si="37"/>
        <v xml:space="preserve"> </v>
      </c>
      <c r="K768" s="385"/>
      <c r="L768" s="385"/>
      <c r="M768" s="386">
        <f t="shared" si="35"/>
        <v>0</v>
      </c>
      <c r="N768" s="496"/>
      <c r="O768" s="333">
        <f t="shared" si="36"/>
        <v>0</v>
      </c>
      <c r="R768" s="23" t="e">
        <f>VLOOKUP(C:C,'Historic Data - working'!A:B,1,FALSE)</f>
        <v>#N/A</v>
      </c>
      <c r="U768" s="323"/>
      <c r="V768" s="323"/>
      <c r="W768" s="323"/>
    </row>
    <row r="769" spans="1:23" s="23" customFormat="1" ht="14.25" hidden="1" x14ac:dyDescent="0.2">
      <c r="A769" s="381" t="s">
        <v>2965</v>
      </c>
      <c r="B769" s="381" t="s">
        <v>324</v>
      </c>
      <c r="C769" s="405" t="s">
        <v>3013</v>
      </c>
      <c r="D769" s="381" t="s">
        <v>3014</v>
      </c>
      <c r="E769" s="383" t="s">
        <v>3015</v>
      </c>
      <c r="F769" s="381" t="s">
        <v>3016</v>
      </c>
      <c r="G769" s="384"/>
      <c r="H769" s="24"/>
      <c r="I769" s="24"/>
      <c r="J769" s="25" t="str">
        <f t="shared" si="37"/>
        <v xml:space="preserve"> </v>
      </c>
      <c r="K769" s="385"/>
      <c r="L769" s="385"/>
      <c r="M769" s="386">
        <f t="shared" si="35"/>
        <v>0</v>
      </c>
      <c r="N769" s="496">
        <v>65</v>
      </c>
      <c r="O769" s="333">
        <f t="shared" si="36"/>
        <v>65</v>
      </c>
      <c r="R769" s="23" t="str">
        <f>VLOOKUP(C:C,'Historic Data - working'!A:B,1,FALSE)</f>
        <v>EAS007</v>
      </c>
      <c r="U769" s="323"/>
      <c r="V769" s="323"/>
      <c r="W769" s="323"/>
    </row>
    <row r="770" spans="1:23" s="23" customFormat="1" ht="14.25" hidden="1" x14ac:dyDescent="0.2">
      <c r="A770" s="381" t="s">
        <v>2965</v>
      </c>
      <c r="B770" s="381" t="s">
        <v>324</v>
      </c>
      <c r="C770" s="405" t="s">
        <v>3017</v>
      </c>
      <c r="D770" s="381" t="s">
        <v>3018</v>
      </c>
      <c r="E770" s="383" t="s">
        <v>3019</v>
      </c>
      <c r="F770" s="381" t="s">
        <v>3020</v>
      </c>
      <c r="G770" s="384" t="s">
        <v>329</v>
      </c>
      <c r="H770" s="24">
        <f>27.78+99.9+72.7+114.76+11.3</f>
        <v>326.44</v>
      </c>
      <c r="I770" s="24"/>
      <c r="J770" s="25" t="str">
        <f t="shared" si="37"/>
        <v>1</v>
      </c>
      <c r="K770" s="385"/>
      <c r="L770" s="385"/>
      <c r="M770" s="386">
        <f t="shared" ref="M770:M833" si="38">H770+L770</f>
        <v>326.44</v>
      </c>
      <c r="N770" s="496">
        <v>560</v>
      </c>
      <c r="O770" s="333">
        <f t="shared" ref="O770:O833" si="39">M770+N770</f>
        <v>886.44</v>
      </c>
      <c r="R770" s="23" t="str">
        <f>VLOOKUP(C:C,'Historic Data - working'!A:B,1,FALSE)</f>
        <v>EAS008</v>
      </c>
      <c r="U770" s="323"/>
      <c r="V770" s="323"/>
      <c r="W770" s="323"/>
    </row>
    <row r="771" spans="1:23" s="23" customFormat="1" ht="14.25" hidden="1" x14ac:dyDescent="0.2">
      <c r="A771" s="381" t="s">
        <v>2965</v>
      </c>
      <c r="B771" s="381" t="s">
        <v>324</v>
      </c>
      <c r="C771" s="405" t="s">
        <v>3021</v>
      </c>
      <c r="D771" s="381" t="s">
        <v>3022</v>
      </c>
      <c r="E771" s="383" t="s">
        <v>453</v>
      </c>
      <c r="F771" s="381" t="s">
        <v>3023</v>
      </c>
      <c r="G771" s="384"/>
      <c r="H771" s="24"/>
      <c r="I771" s="24"/>
      <c r="J771" s="25" t="str">
        <f t="shared" si="37"/>
        <v xml:space="preserve"> </v>
      </c>
      <c r="K771" s="385"/>
      <c r="L771" s="385"/>
      <c r="M771" s="386">
        <f t="shared" si="38"/>
        <v>0</v>
      </c>
      <c r="N771" s="496"/>
      <c r="O771" s="333">
        <f t="shared" si="39"/>
        <v>0</v>
      </c>
      <c r="R771" s="23" t="e">
        <f>VLOOKUP(C:C,'Historic Data - working'!A:B,1,FALSE)</f>
        <v>#N/A</v>
      </c>
      <c r="U771" s="323"/>
      <c r="V771" s="323"/>
      <c r="W771" s="323"/>
    </row>
    <row r="772" spans="1:23" s="23" customFormat="1" ht="14.25" hidden="1" x14ac:dyDescent="0.2">
      <c r="A772" s="381" t="s">
        <v>2965</v>
      </c>
      <c r="B772" s="381" t="s">
        <v>351</v>
      </c>
      <c r="C772" s="405" t="s">
        <v>3024</v>
      </c>
      <c r="D772" s="381" t="s">
        <v>3025</v>
      </c>
      <c r="E772" s="383" t="s">
        <v>3026</v>
      </c>
      <c r="F772" s="381" t="s">
        <v>3004</v>
      </c>
      <c r="G772" s="384"/>
      <c r="H772" s="24"/>
      <c r="I772" s="24"/>
      <c r="J772" s="25" t="str">
        <f t="shared" si="37"/>
        <v xml:space="preserve"> </v>
      </c>
      <c r="K772" s="385"/>
      <c r="L772" s="385"/>
      <c r="M772" s="386">
        <f t="shared" si="38"/>
        <v>0</v>
      </c>
      <c r="N772" s="496"/>
      <c r="O772" s="333">
        <f t="shared" si="39"/>
        <v>0</v>
      </c>
      <c r="R772" s="23" t="e">
        <f>VLOOKUP(C:C,'Historic Data - working'!A:B,1,FALSE)</f>
        <v>#N/A</v>
      </c>
      <c r="U772" s="323"/>
      <c r="V772" s="323"/>
      <c r="W772" s="323"/>
    </row>
    <row r="773" spans="1:23" s="23" customFormat="1" ht="14.25" hidden="1" x14ac:dyDescent="0.2">
      <c r="A773" s="381" t="s">
        <v>2965</v>
      </c>
      <c r="B773" s="381" t="s">
        <v>324</v>
      </c>
      <c r="C773" s="405" t="s">
        <v>3027</v>
      </c>
      <c r="D773" s="381" t="s">
        <v>3028</v>
      </c>
      <c r="E773" s="383" t="s">
        <v>3029</v>
      </c>
      <c r="F773" s="381" t="s">
        <v>3030</v>
      </c>
      <c r="G773" s="384"/>
      <c r="H773" s="24"/>
      <c r="I773" s="24"/>
      <c r="J773" s="25" t="str">
        <f t="shared" si="37"/>
        <v xml:space="preserve"> </v>
      </c>
      <c r="K773" s="385"/>
      <c r="L773" s="385"/>
      <c r="M773" s="386">
        <f t="shared" si="38"/>
        <v>0</v>
      </c>
      <c r="N773" s="496">
        <v>704</v>
      </c>
      <c r="O773" s="333">
        <f t="shared" si="39"/>
        <v>704</v>
      </c>
      <c r="R773" s="23" t="str">
        <f>VLOOKUP(C:C,'Historic Data - working'!A:B,1,FALSE)</f>
        <v>EAS010</v>
      </c>
      <c r="U773" s="323"/>
      <c r="V773" s="323"/>
      <c r="W773" s="323"/>
    </row>
    <row r="774" spans="1:23" s="23" customFormat="1" ht="14.25" hidden="1" x14ac:dyDescent="0.2">
      <c r="A774" s="381" t="s">
        <v>2965</v>
      </c>
      <c r="B774" s="381" t="s">
        <v>324</v>
      </c>
      <c r="C774" s="405" t="s">
        <v>3031</v>
      </c>
      <c r="D774" s="381" t="s">
        <v>3032</v>
      </c>
      <c r="E774" s="383" t="s">
        <v>3033</v>
      </c>
      <c r="F774" s="381" t="s">
        <v>3034</v>
      </c>
      <c r="G774" s="384"/>
      <c r="H774" s="24"/>
      <c r="I774" s="24"/>
      <c r="J774" s="25" t="str">
        <f t="shared" si="37"/>
        <v xml:space="preserve"> </v>
      </c>
      <c r="K774" s="385"/>
      <c r="L774" s="385"/>
      <c r="M774" s="386">
        <f t="shared" si="38"/>
        <v>0</v>
      </c>
      <c r="N774" s="496"/>
      <c r="O774" s="333">
        <f t="shared" si="39"/>
        <v>0</v>
      </c>
      <c r="R774" s="23" t="e">
        <f>VLOOKUP(C:C,'Historic Data - working'!A:B,1,FALSE)</f>
        <v>#N/A</v>
      </c>
      <c r="U774" s="323"/>
      <c r="V774" s="323"/>
      <c r="W774" s="323"/>
    </row>
    <row r="775" spans="1:23" s="23" customFormat="1" ht="14.25" hidden="1" x14ac:dyDescent="0.2">
      <c r="A775" s="381" t="s">
        <v>2965</v>
      </c>
      <c r="B775" s="381" t="s">
        <v>324</v>
      </c>
      <c r="C775" s="405" t="s">
        <v>3035</v>
      </c>
      <c r="D775" s="381" t="s">
        <v>3036</v>
      </c>
      <c r="E775" s="383" t="s">
        <v>3037</v>
      </c>
      <c r="F775" s="381" t="s">
        <v>3038</v>
      </c>
      <c r="G775" s="384"/>
      <c r="H775" s="24"/>
      <c r="I775" s="24"/>
      <c r="J775" s="25" t="str">
        <f t="shared" si="37"/>
        <v xml:space="preserve"> </v>
      </c>
      <c r="K775" s="385"/>
      <c r="L775" s="385"/>
      <c r="M775" s="386">
        <f t="shared" si="38"/>
        <v>0</v>
      </c>
      <c r="N775" s="496"/>
      <c r="O775" s="333">
        <f t="shared" si="39"/>
        <v>0</v>
      </c>
      <c r="R775" s="23" t="e">
        <f>VLOOKUP(C:C,'Historic Data - working'!A:B,1,FALSE)</f>
        <v>#N/A</v>
      </c>
      <c r="U775" s="323"/>
      <c r="V775" s="323"/>
      <c r="W775" s="323"/>
    </row>
    <row r="776" spans="1:23" s="23" customFormat="1" ht="14.25" hidden="1" x14ac:dyDescent="0.2">
      <c r="A776" s="381" t="s">
        <v>2965</v>
      </c>
      <c r="B776" s="381" t="s">
        <v>324</v>
      </c>
      <c r="C776" s="405" t="s">
        <v>3039</v>
      </c>
      <c r="D776" s="381" t="s">
        <v>3040</v>
      </c>
      <c r="E776" s="383" t="s">
        <v>2615</v>
      </c>
      <c r="F776" s="381" t="s">
        <v>3041</v>
      </c>
      <c r="G776" s="384" t="s">
        <v>329</v>
      </c>
      <c r="H776" s="24">
        <v>7.07</v>
      </c>
      <c r="I776" s="24"/>
      <c r="J776" s="25" t="str">
        <f t="shared" si="37"/>
        <v>1</v>
      </c>
      <c r="K776" s="385"/>
      <c r="L776" s="385"/>
      <c r="M776" s="386">
        <f t="shared" si="38"/>
        <v>7.07</v>
      </c>
      <c r="N776" s="496">
        <v>685</v>
      </c>
      <c r="O776" s="333">
        <f t="shared" si="39"/>
        <v>692.07</v>
      </c>
      <c r="R776" s="23" t="str">
        <f>VLOOKUP(C:C,'Historic Data - working'!A:B,1,FALSE)</f>
        <v>EAS011</v>
      </c>
      <c r="U776" s="323"/>
      <c r="V776" s="323"/>
      <c r="W776" s="323"/>
    </row>
    <row r="777" spans="1:23" s="23" customFormat="1" ht="14.25" hidden="1" x14ac:dyDescent="0.2">
      <c r="A777" s="381" t="s">
        <v>2965</v>
      </c>
      <c r="B777" s="381" t="s">
        <v>351</v>
      </c>
      <c r="C777" s="405" t="s">
        <v>3042</v>
      </c>
      <c r="D777" s="381" t="s">
        <v>3043</v>
      </c>
      <c r="E777" s="383" t="s">
        <v>3044</v>
      </c>
      <c r="F777" s="381" t="s">
        <v>3041</v>
      </c>
      <c r="G777" s="384"/>
      <c r="H777" s="24"/>
      <c r="I777" s="24"/>
      <c r="J777" s="25" t="str">
        <f t="shared" si="37"/>
        <v xml:space="preserve"> </v>
      </c>
      <c r="K777" s="385"/>
      <c r="L777" s="385"/>
      <c r="M777" s="386">
        <f t="shared" si="38"/>
        <v>0</v>
      </c>
      <c r="N777" s="496"/>
      <c r="O777" s="333">
        <f t="shared" si="39"/>
        <v>0</v>
      </c>
      <c r="R777" s="23" t="e">
        <f>VLOOKUP(C:C,'Historic Data - working'!A:B,1,FALSE)</f>
        <v>#N/A</v>
      </c>
      <c r="U777" s="323"/>
      <c r="V777" s="323"/>
      <c r="W777" s="323"/>
    </row>
    <row r="778" spans="1:23" s="23" customFormat="1" ht="14.25" hidden="1" x14ac:dyDescent="0.2">
      <c r="A778" s="381" t="s">
        <v>2965</v>
      </c>
      <c r="B778" s="381" t="s">
        <v>351</v>
      </c>
      <c r="C778" s="405" t="s">
        <v>3045</v>
      </c>
      <c r="D778" s="381" t="s">
        <v>3046</v>
      </c>
      <c r="E778" s="383" t="s">
        <v>3047</v>
      </c>
      <c r="F778" s="381" t="s">
        <v>3041</v>
      </c>
      <c r="G778" s="384"/>
      <c r="H778" s="24"/>
      <c r="I778" s="24"/>
      <c r="J778" s="25" t="str">
        <f t="shared" si="37"/>
        <v xml:space="preserve"> </v>
      </c>
      <c r="K778" s="385"/>
      <c r="L778" s="385"/>
      <c r="M778" s="386">
        <f t="shared" si="38"/>
        <v>0</v>
      </c>
      <c r="N778" s="496"/>
      <c r="O778" s="333">
        <f t="shared" si="39"/>
        <v>0</v>
      </c>
      <c r="R778" s="23" t="e">
        <f>VLOOKUP(C:C,'Historic Data - working'!A:B,1,FALSE)</f>
        <v>#N/A</v>
      </c>
      <c r="U778" s="323"/>
      <c r="V778" s="323"/>
      <c r="W778" s="323"/>
    </row>
    <row r="779" spans="1:23" s="23" customFormat="1" ht="14.25" hidden="1" x14ac:dyDescent="0.2">
      <c r="A779" s="381" t="s">
        <v>2965</v>
      </c>
      <c r="B779" s="381" t="s">
        <v>351</v>
      </c>
      <c r="C779" s="405" t="s">
        <v>3048</v>
      </c>
      <c r="D779" s="381" t="s">
        <v>3049</v>
      </c>
      <c r="E779" s="383" t="s">
        <v>246</v>
      </c>
      <c r="F779" s="381" t="s">
        <v>3041</v>
      </c>
      <c r="G779" s="384"/>
      <c r="H779" s="24"/>
      <c r="I779" s="24"/>
      <c r="J779" s="25" t="str">
        <f t="shared" si="37"/>
        <v xml:space="preserve"> </v>
      </c>
      <c r="K779" s="385"/>
      <c r="L779" s="385"/>
      <c r="M779" s="386">
        <f t="shared" si="38"/>
        <v>0</v>
      </c>
      <c r="N779" s="496"/>
      <c r="O779" s="333">
        <f t="shared" si="39"/>
        <v>0</v>
      </c>
      <c r="R779" s="23" t="e">
        <f>VLOOKUP(C:C,'Historic Data - working'!A:B,1,FALSE)</f>
        <v>#N/A</v>
      </c>
      <c r="U779" s="323"/>
      <c r="V779" s="323"/>
      <c r="W779" s="323"/>
    </row>
    <row r="780" spans="1:23" s="23" customFormat="1" ht="14.25" hidden="1" x14ac:dyDescent="0.2">
      <c r="A780" s="381" t="s">
        <v>2965</v>
      </c>
      <c r="B780" s="381" t="s">
        <v>324</v>
      </c>
      <c r="C780" s="405" t="s">
        <v>3050</v>
      </c>
      <c r="D780" s="381" t="s">
        <v>3051</v>
      </c>
      <c r="E780" s="383" t="s">
        <v>204</v>
      </c>
      <c r="F780" s="381" t="s">
        <v>3041</v>
      </c>
      <c r="G780" s="384" t="s">
        <v>329</v>
      </c>
      <c r="H780" s="24">
        <v>2007.91</v>
      </c>
      <c r="I780" s="24"/>
      <c r="J780" s="25" t="str">
        <f t="shared" si="37"/>
        <v>1</v>
      </c>
      <c r="K780" s="387" t="s">
        <v>3052</v>
      </c>
      <c r="L780" s="385">
        <v>-200</v>
      </c>
      <c r="M780" s="386">
        <f t="shared" si="38"/>
        <v>1807.91</v>
      </c>
      <c r="N780" s="496">
        <v>631.1</v>
      </c>
      <c r="O780" s="333">
        <f t="shared" si="39"/>
        <v>2439.0100000000002</v>
      </c>
      <c r="R780" s="23" t="str">
        <f>VLOOKUP(C:C,'Historic Data - working'!A:B,1,FALSE)</f>
        <v>EAS012</v>
      </c>
      <c r="U780" s="323"/>
      <c r="V780" s="323"/>
      <c r="W780" s="323"/>
    </row>
    <row r="781" spans="1:23" s="23" customFormat="1" ht="14.25" hidden="1" x14ac:dyDescent="0.2">
      <c r="A781" s="381" t="s">
        <v>2965</v>
      </c>
      <c r="B781" s="381" t="s">
        <v>324</v>
      </c>
      <c r="C781" s="405" t="s">
        <v>3053</v>
      </c>
      <c r="D781" s="381" t="s">
        <v>3054</v>
      </c>
      <c r="E781" s="383" t="s">
        <v>3055</v>
      </c>
      <c r="F781" s="381" t="s">
        <v>3041</v>
      </c>
      <c r="G781" s="384"/>
      <c r="H781" s="24"/>
      <c r="I781" s="24"/>
      <c r="J781" s="25" t="str">
        <f t="shared" si="37"/>
        <v xml:space="preserve"> </v>
      </c>
      <c r="K781" s="385"/>
      <c r="L781" s="385"/>
      <c r="M781" s="386">
        <f t="shared" si="38"/>
        <v>0</v>
      </c>
      <c r="N781" s="496"/>
      <c r="O781" s="333">
        <f t="shared" si="39"/>
        <v>0</v>
      </c>
      <c r="R781" s="23" t="e">
        <f>VLOOKUP(C:C,'Historic Data - working'!A:B,1,FALSE)</f>
        <v>#N/A</v>
      </c>
      <c r="U781" s="323"/>
      <c r="V781" s="323"/>
      <c r="W781" s="323"/>
    </row>
    <row r="782" spans="1:23" s="23" customFormat="1" ht="14.25" hidden="1" x14ac:dyDescent="0.2">
      <c r="A782" s="381" t="s">
        <v>2965</v>
      </c>
      <c r="B782" s="381" t="s">
        <v>324</v>
      </c>
      <c r="C782" s="405" t="s">
        <v>3056</v>
      </c>
      <c r="D782" s="381" t="s">
        <v>3057</v>
      </c>
      <c r="E782" s="383" t="s">
        <v>3058</v>
      </c>
      <c r="F782" s="381" t="s">
        <v>3041</v>
      </c>
      <c r="G782" s="384"/>
      <c r="H782" s="24"/>
      <c r="I782" s="24"/>
      <c r="J782" s="25" t="str">
        <f t="shared" si="37"/>
        <v xml:space="preserve"> </v>
      </c>
      <c r="K782" s="385"/>
      <c r="L782" s="385"/>
      <c r="M782" s="386">
        <f t="shared" si="38"/>
        <v>0</v>
      </c>
      <c r="N782" s="496">
        <v>2158.5500000000002</v>
      </c>
      <c r="O782" s="333">
        <f t="shared" si="39"/>
        <v>2158.5500000000002</v>
      </c>
      <c r="R782" s="23" t="str">
        <f>VLOOKUP(C:C,'Historic Data - working'!A:B,1,FALSE)</f>
        <v>EAS013</v>
      </c>
      <c r="U782" s="323"/>
      <c r="V782" s="323"/>
      <c r="W782" s="323"/>
    </row>
    <row r="783" spans="1:23" s="23" customFormat="1" ht="14.25" hidden="1" x14ac:dyDescent="0.2">
      <c r="A783" s="381" t="s">
        <v>2965</v>
      </c>
      <c r="B783" s="381" t="s">
        <v>324</v>
      </c>
      <c r="C783" s="405" t="s">
        <v>3059</v>
      </c>
      <c r="D783" s="381" t="s">
        <v>3060</v>
      </c>
      <c r="E783" s="383" t="s">
        <v>3061</v>
      </c>
      <c r="F783" s="381" t="s">
        <v>3062</v>
      </c>
      <c r="G783" s="384" t="s">
        <v>329</v>
      </c>
      <c r="H783" s="24">
        <f>16.59+269.05+253.52</f>
        <v>539.16</v>
      </c>
      <c r="I783" s="24"/>
      <c r="J783" s="25" t="str">
        <f t="shared" si="37"/>
        <v>1</v>
      </c>
      <c r="K783" s="385"/>
      <c r="L783" s="385"/>
      <c r="M783" s="386">
        <f t="shared" si="38"/>
        <v>539.16</v>
      </c>
      <c r="N783" s="496">
        <v>50</v>
      </c>
      <c r="O783" s="333">
        <f t="shared" si="39"/>
        <v>589.16</v>
      </c>
      <c r="R783" s="23" t="str">
        <f>VLOOKUP(C:C,'Historic Data - working'!A:B,1,FALSE)</f>
        <v>EAS015</v>
      </c>
      <c r="U783" s="323"/>
      <c r="V783" s="323"/>
      <c r="W783" s="323"/>
    </row>
    <row r="784" spans="1:23" s="23" customFormat="1" ht="14.25" hidden="1" x14ac:dyDescent="0.2">
      <c r="A784" s="381" t="s">
        <v>2965</v>
      </c>
      <c r="B784" s="381" t="s">
        <v>324</v>
      </c>
      <c r="C784" s="405" t="s">
        <v>3063</v>
      </c>
      <c r="D784" s="381" t="s">
        <v>3064</v>
      </c>
      <c r="E784" s="383" t="s">
        <v>3065</v>
      </c>
      <c r="F784" s="381" t="s">
        <v>3066</v>
      </c>
      <c r="G784" s="384"/>
      <c r="H784" s="24"/>
      <c r="I784" s="24"/>
      <c r="J784" s="25" t="str">
        <f t="shared" si="37"/>
        <v xml:space="preserve"> </v>
      </c>
      <c r="K784" s="385"/>
      <c r="L784" s="385"/>
      <c r="M784" s="386">
        <f t="shared" si="38"/>
        <v>0</v>
      </c>
      <c r="N784" s="496"/>
      <c r="O784" s="333">
        <f t="shared" si="39"/>
        <v>0</v>
      </c>
      <c r="R784" s="23" t="e">
        <f>VLOOKUP(C:C,'Historic Data - working'!A:B,1,FALSE)</f>
        <v>#N/A</v>
      </c>
      <c r="U784" s="323"/>
      <c r="V784" s="323"/>
      <c r="W784" s="323"/>
    </row>
    <row r="785" spans="1:23" s="23" customFormat="1" ht="14.25" hidden="1" x14ac:dyDescent="0.2">
      <c r="A785" s="381" t="s">
        <v>2965</v>
      </c>
      <c r="B785" s="381" t="s">
        <v>324</v>
      </c>
      <c r="C785" s="405" t="s">
        <v>3067</v>
      </c>
      <c r="D785" s="381" t="s">
        <v>3068</v>
      </c>
      <c r="E785" s="383" t="s">
        <v>3069</v>
      </c>
      <c r="F785" s="381" t="s">
        <v>2968</v>
      </c>
      <c r="G785" s="384"/>
      <c r="H785" s="24"/>
      <c r="I785" s="24"/>
      <c r="J785" s="25" t="str">
        <f t="shared" si="37"/>
        <v xml:space="preserve"> </v>
      </c>
      <c r="K785" s="385" t="s">
        <v>337</v>
      </c>
      <c r="L785" s="385">
        <v>1998</v>
      </c>
      <c r="M785" s="386">
        <f t="shared" si="38"/>
        <v>1998</v>
      </c>
      <c r="N785" s="496">
        <v>330</v>
      </c>
      <c r="O785" s="333">
        <f t="shared" si="39"/>
        <v>2328</v>
      </c>
      <c r="R785" s="23" t="str">
        <f>VLOOKUP(C:C,'Historic Data - working'!A:B,1,FALSE)</f>
        <v>EAS016</v>
      </c>
      <c r="U785" s="323"/>
      <c r="V785" s="323"/>
      <c r="W785" s="323"/>
    </row>
    <row r="786" spans="1:23" s="23" customFormat="1" ht="14.25" hidden="1" x14ac:dyDescent="0.2">
      <c r="A786" s="381" t="s">
        <v>2965</v>
      </c>
      <c r="B786" s="381" t="s">
        <v>324</v>
      </c>
      <c r="C786" s="405" t="s">
        <v>3070</v>
      </c>
      <c r="D786" s="381" t="s">
        <v>3071</v>
      </c>
      <c r="E786" s="383" t="s">
        <v>3072</v>
      </c>
      <c r="F786" s="381" t="s">
        <v>3073</v>
      </c>
      <c r="G786" s="384"/>
      <c r="H786" s="24"/>
      <c r="I786" s="24"/>
      <c r="J786" s="25" t="str">
        <f t="shared" si="37"/>
        <v xml:space="preserve"> </v>
      </c>
      <c r="K786" s="385"/>
      <c r="L786" s="385"/>
      <c r="M786" s="386">
        <f t="shared" si="38"/>
        <v>0</v>
      </c>
      <c r="N786" s="496">
        <v>80</v>
      </c>
      <c r="O786" s="333">
        <f t="shared" si="39"/>
        <v>80</v>
      </c>
      <c r="R786" s="23" t="e">
        <f>VLOOKUP(C:C,'Historic Data - working'!A:B,1,FALSE)</f>
        <v>#N/A</v>
      </c>
      <c r="U786" s="323"/>
      <c r="V786" s="323"/>
      <c r="W786" s="323"/>
    </row>
    <row r="787" spans="1:23" s="23" customFormat="1" ht="14.25" hidden="1" x14ac:dyDescent="0.2">
      <c r="A787" s="381" t="s">
        <v>2965</v>
      </c>
      <c r="B787" s="381" t="s">
        <v>324</v>
      </c>
      <c r="C787" s="405" t="s">
        <v>3074</v>
      </c>
      <c r="D787" s="381" t="s">
        <v>3075</v>
      </c>
      <c r="E787" s="383" t="s">
        <v>3076</v>
      </c>
      <c r="F787" s="381" t="s">
        <v>3077</v>
      </c>
      <c r="G787" s="384"/>
      <c r="H787" s="24"/>
      <c r="I787" s="24"/>
      <c r="J787" s="25" t="str">
        <f t="shared" si="37"/>
        <v xml:space="preserve"> </v>
      </c>
      <c r="K787" s="385"/>
      <c r="L787" s="385"/>
      <c r="M787" s="386">
        <f t="shared" si="38"/>
        <v>0</v>
      </c>
      <c r="N787" s="496">
        <v>797.65</v>
      </c>
      <c r="O787" s="333">
        <f t="shared" si="39"/>
        <v>797.65</v>
      </c>
      <c r="R787" s="23" t="str">
        <f>VLOOKUP(C:C,'Historic Data - working'!A:B,1,FALSE)</f>
        <v>EAS018</v>
      </c>
      <c r="U787" s="323"/>
      <c r="V787" s="323"/>
      <c r="W787" s="323"/>
    </row>
    <row r="788" spans="1:23" s="23" customFormat="1" ht="14.25" hidden="1" x14ac:dyDescent="0.2">
      <c r="A788" s="381" t="s">
        <v>2965</v>
      </c>
      <c r="B788" s="381" t="s">
        <v>324</v>
      </c>
      <c r="C788" s="405" t="s">
        <v>3078</v>
      </c>
      <c r="D788" s="381" t="s">
        <v>3079</v>
      </c>
      <c r="E788" s="383" t="s">
        <v>3080</v>
      </c>
      <c r="F788" s="381" t="s">
        <v>3081</v>
      </c>
      <c r="G788" s="384" t="s">
        <v>329</v>
      </c>
      <c r="H788" s="24">
        <f>6.11+159.87</f>
        <v>165.98000000000002</v>
      </c>
      <c r="I788" s="24"/>
      <c r="J788" s="25" t="str">
        <f t="shared" si="37"/>
        <v>1</v>
      </c>
      <c r="K788" s="385"/>
      <c r="L788" s="385"/>
      <c r="M788" s="386">
        <f t="shared" si="38"/>
        <v>165.98000000000002</v>
      </c>
      <c r="N788" s="496">
        <v>110</v>
      </c>
      <c r="O788" s="333">
        <f t="shared" si="39"/>
        <v>275.98</v>
      </c>
      <c r="R788" s="23" t="str">
        <f>VLOOKUP(C:C,'Historic Data - working'!A:B,1,FALSE)</f>
        <v>EAS019</v>
      </c>
      <c r="U788" s="323"/>
      <c r="V788" s="323"/>
      <c r="W788" s="323"/>
    </row>
    <row r="789" spans="1:23" s="23" customFormat="1" ht="14.25" hidden="1" x14ac:dyDescent="0.2">
      <c r="A789" s="381" t="s">
        <v>2965</v>
      </c>
      <c r="B789" s="381" t="s">
        <v>324</v>
      </c>
      <c r="C789" s="405" t="s">
        <v>3082</v>
      </c>
      <c r="D789" s="381" t="s">
        <v>3083</v>
      </c>
      <c r="E789" s="383" t="s">
        <v>3084</v>
      </c>
      <c r="F789" s="381" t="s">
        <v>3085</v>
      </c>
      <c r="G789" s="384"/>
      <c r="H789" s="24"/>
      <c r="I789" s="24"/>
      <c r="J789" s="25" t="str">
        <f t="shared" si="37"/>
        <v xml:space="preserve"> </v>
      </c>
      <c r="K789" s="385" t="s">
        <v>337</v>
      </c>
      <c r="L789" s="385">
        <v>441</v>
      </c>
      <c r="M789" s="386">
        <f t="shared" si="38"/>
        <v>441</v>
      </c>
      <c r="N789" s="496">
        <v>75</v>
      </c>
      <c r="O789" s="333">
        <f t="shared" si="39"/>
        <v>516</v>
      </c>
      <c r="R789" s="23" t="str">
        <f>VLOOKUP(C:C,'Historic Data - working'!A:B,1,FALSE)</f>
        <v>EAS020</v>
      </c>
      <c r="U789" s="323"/>
      <c r="V789" s="323"/>
      <c r="W789" s="323"/>
    </row>
    <row r="790" spans="1:23" s="23" customFormat="1" ht="14.25" hidden="1" x14ac:dyDescent="0.2">
      <c r="A790" s="381" t="s">
        <v>2965</v>
      </c>
      <c r="B790" s="381" t="s">
        <v>324</v>
      </c>
      <c r="C790" s="405" t="s">
        <v>3086</v>
      </c>
      <c r="D790" s="381" t="s">
        <v>3087</v>
      </c>
      <c r="E790" s="383" t="s">
        <v>3088</v>
      </c>
      <c r="F790" s="381" t="s">
        <v>3089</v>
      </c>
      <c r="G790" s="384"/>
      <c r="H790" s="24"/>
      <c r="I790" s="24"/>
      <c r="J790" s="25" t="str">
        <f t="shared" si="37"/>
        <v xml:space="preserve"> </v>
      </c>
      <c r="K790" s="385"/>
      <c r="L790" s="385"/>
      <c r="M790" s="386">
        <f t="shared" si="38"/>
        <v>0</v>
      </c>
      <c r="N790" s="496"/>
      <c r="O790" s="333">
        <f t="shared" si="39"/>
        <v>0</v>
      </c>
      <c r="R790" s="23" t="e">
        <f>VLOOKUP(C:C,'Historic Data - working'!A:B,1,FALSE)</f>
        <v>#N/A</v>
      </c>
      <c r="U790" s="323"/>
      <c r="V790" s="323"/>
      <c r="W790" s="323"/>
    </row>
    <row r="791" spans="1:23" s="23" customFormat="1" ht="14.25" hidden="1" x14ac:dyDescent="0.2">
      <c r="A791" s="381" t="s">
        <v>2965</v>
      </c>
      <c r="B791" s="381" t="s">
        <v>324</v>
      </c>
      <c r="C791" s="405" t="s">
        <v>3090</v>
      </c>
      <c r="D791" s="381" t="s">
        <v>3091</v>
      </c>
      <c r="E791" s="383" t="s">
        <v>3092</v>
      </c>
      <c r="F791" s="381" t="s">
        <v>3093</v>
      </c>
      <c r="G791" s="384" t="s">
        <v>329</v>
      </c>
      <c r="H791" s="24">
        <f>127.17+321.7+531.63+219.54</f>
        <v>1200.04</v>
      </c>
      <c r="I791" s="24"/>
      <c r="J791" s="25" t="str">
        <f t="shared" si="37"/>
        <v>1</v>
      </c>
      <c r="K791" s="385"/>
      <c r="L791" s="385"/>
      <c r="M791" s="386">
        <f t="shared" si="38"/>
        <v>1200.04</v>
      </c>
      <c r="N791" s="496">
        <v>275</v>
      </c>
      <c r="O791" s="333">
        <f t="shared" si="39"/>
        <v>1475.04</v>
      </c>
      <c r="R791" s="23" t="str">
        <f>VLOOKUP(C:C,'Historic Data - working'!A:B,1,FALSE)</f>
        <v>EAS021</v>
      </c>
      <c r="U791" s="323"/>
      <c r="V791" s="323"/>
      <c r="W791" s="323"/>
    </row>
    <row r="792" spans="1:23" s="23" customFormat="1" ht="14.25" hidden="1" x14ac:dyDescent="0.2">
      <c r="A792" s="381" t="s">
        <v>2965</v>
      </c>
      <c r="B792" s="381" t="s">
        <v>324</v>
      </c>
      <c r="C792" s="405" t="s">
        <v>3094</v>
      </c>
      <c r="D792" s="381" t="s">
        <v>3095</v>
      </c>
      <c r="E792" s="383" t="s">
        <v>3096</v>
      </c>
      <c r="F792" s="381" t="s">
        <v>3097</v>
      </c>
      <c r="G792" s="384" t="s">
        <v>329</v>
      </c>
      <c r="H792" s="24">
        <f>463+355+548+550+377.5</f>
        <v>2293.5</v>
      </c>
      <c r="I792" s="24"/>
      <c r="J792" s="25" t="str">
        <f t="shared" si="37"/>
        <v>1</v>
      </c>
      <c r="K792" s="385"/>
      <c r="L792" s="385"/>
      <c r="M792" s="386">
        <f t="shared" si="38"/>
        <v>2293.5</v>
      </c>
      <c r="N792" s="496">
        <v>60</v>
      </c>
      <c r="O792" s="333">
        <f t="shared" si="39"/>
        <v>2353.5</v>
      </c>
      <c r="R792" s="23" t="str">
        <f>VLOOKUP(C:C,'Historic Data - working'!A:B,1,FALSE)</f>
        <v>EAS022</v>
      </c>
      <c r="U792" s="323"/>
      <c r="V792" s="323"/>
      <c r="W792" s="323"/>
    </row>
    <row r="793" spans="1:23" s="23" customFormat="1" ht="14.25" hidden="1" x14ac:dyDescent="0.2">
      <c r="A793" s="381" t="s">
        <v>2965</v>
      </c>
      <c r="B793" s="381" t="s">
        <v>324</v>
      </c>
      <c r="C793" s="405" t="s">
        <v>3098</v>
      </c>
      <c r="D793" s="381" t="s">
        <v>3099</v>
      </c>
      <c r="E793" s="383" t="s">
        <v>3100</v>
      </c>
      <c r="F793" s="381" t="s">
        <v>3101</v>
      </c>
      <c r="G793" s="384" t="s">
        <v>329</v>
      </c>
      <c r="H793" s="24">
        <f>237+129+67+113+308+151+80</f>
        <v>1085</v>
      </c>
      <c r="I793" s="24"/>
      <c r="J793" s="25" t="str">
        <f t="shared" si="37"/>
        <v>1</v>
      </c>
      <c r="K793" s="385"/>
      <c r="L793" s="385"/>
      <c r="M793" s="386">
        <f t="shared" si="38"/>
        <v>1085</v>
      </c>
      <c r="N793" s="496">
        <v>135</v>
      </c>
      <c r="O793" s="333">
        <f t="shared" si="39"/>
        <v>1220</v>
      </c>
      <c r="R793" s="23" t="str">
        <f>VLOOKUP(C:C,'Historic Data - working'!A:B,1,FALSE)</f>
        <v>EAS023</v>
      </c>
      <c r="U793" s="323"/>
      <c r="V793" s="323"/>
      <c r="W793" s="323"/>
    </row>
    <row r="794" spans="1:23" s="23" customFormat="1" ht="14.25" hidden="1" x14ac:dyDescent="0.2">
      <c r="A794" s="381" t="s">
        <v>2965</v>
      </c>
      <c r="B794" s="381" t="s">
        <v>324</v>
      </c>
      <c r="C794" s="405" t="s">
        <v>3102</v>
      </c>
      <c r="D794" s="381" t="s">
        <v>3103</v>
      </c>
      <c r="E794" s="383" t="s">
        <v>2229</v>
      </c>
      <c r="F794" s="381" t="s">
        <v>3104</v>
      </c>
      <c r="G794" s="384"/>
      <c r="H794" s="24"/>
      <c r="I794" s="24"/>
      <c r="J794" s="25" t="str">
        <f t="shared" si="37"/>
        <v xml:space="preserve"> </v>
      </c>
      <c r="K794" s="385"/>
      <c r="L794" s="385"/>
      <c r="M794" s="386">
        <f t="shared" si="38"/>
        <v>0</v>
      </c>
      <c r="N794" s="496">
        <v>40</v>
      </c>
      <c r="O794" s="333">
        <f t="shared" si="39"/>
        <v>40</v>
      </c>
      <c r="R794" s="23" t="e">
        <f>VLOOKUP(C:C,'Historic Data - working'!A:B,1,FALSE)</f>
        <v>#N/A</v>
      </c>
      <c r="U794" s="323"/>
      <c r="V794" s="323"/>
      <c r="W794" s="323"/>
    </row>
    <row r="795" spans="1:23" s="23" customFormat="1" ht="14.25" hidden="1" x14ac:dyDescent="0.2">
      <c r="A795" s="381" t="s">
        <v>2965</v>
      </c>
      <c r="B795" s="381" t="s">
        <v>324</v>
      </c>
      <c r="C795" s="405" t="s">
        <v>3105</v>
      </c>
      <c r="D795" s="381" t="s">
        <v>3106</v>
      </c>
      <c r="E795" s="383" t="s">
        <v>3107</v>
      </c>
      <c r="F795" s="381" t="s">
        <v>3101</v>
      </c>
      <c r="G795" s="384"/>
      <c r="H795" s="24"/>
      <c r="I795" s="24"/>
      <c r="J795" s="25" t="str">
        <f t="shared" si="37"/>
        <v xml:space="preserve"> </v>
      </c>
      <c r="K795" s="385"/>
      <c r="L795" s="385"/>
      <c r="M795" s="386">
        <f t="shared" si="38"/>
        <v>0</v>
      </c>
      <c r="N795" s="496"/>
      <c r="O795" s="333">
        <f t="shared" si="39"/>
        <v>0</v>
      </c>
      <c r="R795" s="23" t="e">
        <f>VLOOKUP(C:C,'Historic Data - working'!A:B,1,FALSE)</f>
        <v>#N/A</v>
      </c>
      <c r="U795" s="323"/>
      <c r="V795" s="323"/>
      <c r="W795" s="323"/>
    </row>
    <row r="796" spans="1:23" s="23" customFormat="1" ht="14.25" hidden="1" x14ac:dyDescent="0.2">
      <c r="A796" s="381" t="s">
        <v>2965</v>
      </c>
      <c r="B796" s="381" t="s">
        <v>324</v>
      </c>
      <c r="C796" s="405" t="s">
        <v>3108</v>
      </c>
      <c r="D796" s="381" t="s">
        <v>3109</v>
      </c>
      <c r="E796" s="383" t="s">
        <v>276</v>
      </c>
      <c r="F796" s="381" t="s">
        <v>3110</v>
      </c>
      <c r="G796" s="384" t="s">
        <v>329</v>
      </c>
      <c r="H796" s="24">
        <f>39.57+20.67+21.65+8.79+94.65+43.85+115.39+193.73+84.87+69.53+101.5+21.86</f>
        <v>816.06</v>
      </c>
      <c r="I796" s="24"/>
      <c r="J796" s="25" t="str">
        <f t="shared" si="37"/>
        <v>1</v>
      </c>
      <c r="K796" s="385"/>
      <c r="L796" s="385"/>
      <c r="M796" s="386">
        <f t="shared" si="38"/>
        <v>816.06</v>
      </c>
      <c r="N796" s="496">
        <v>50</v>
      </c>
      <c r="O796" s="333">
        <f t="shared" si="39"/>
        <v>866.06</v>
      </c>
      <c r="R796" s="23" t="str">
        <f>VLOOKUP(C:C,'Historic Data - working'!A:B,1,FALSE)</f>
        <v>EAS024</v>
      </c>
      <c r="U796" s="323"/>
      <c r="V796" s="323"/>
      <c r="W796" s="323"/>
    </row>
    <row r="797" spans="1:23" s="23" customFormat="1" ht="14.25" hidden="1" x14ac:dyDescent="0.2">
      <c r="A797" s="381" t="s">
        <v>2965</v>
      </c>
      <c r="B797" s="381" t="s">
        <v>324</v>
      </c>
      <c r="C797" s="405" t="s">
        <v>3111</v>
      </c>
      <c r="D797" s="381" t="s">
        <v>3112</v>
      </c>
      <c r="E797" s="383" t="s">
        <v>15</v>
      </c>
      <c r="F797" s="381" t="s">
        <v>3113</v>
      </c>
      <c r="G797" s="384"/>
      <c r="H797" s="24"/>
      <c r="I797" s="24"/>
      <c r="J797" s="25" t="str">
        <f t="shared" si="37"/>
        <v xml:space="preserve"> </v>
      </c>
      <c r="K797" s="385"/>
      <c r="L797" s="385"/>
      <c r="M797" s="386">
        <f t="shared" si="38"/>
        <v>0</v>
      </c>
      <c r="N797" s="496"/>
      <c r="O797" s="333">
        <f t="shared" si="39"/>
        <v>0</v>
      </c>
      <c r="R797" s="23" t="e">
        <f>VLOOKUP(C:C,'Historic Data - working'!A:B,1,FALSE)</f>
        <v>#N/A</v>
      </c>
      <c r="U797" s="323"/>
      <c r="V797" s="323"/>
      <c r="W797" s="323"/>
    </row>
    <row r="798" spans="1:23" s="23" customFormat="1" ht="14.25" hidden="1" x14ac:dyDescent="0.2">
      <c r="A798" s="381" t="s">
        <v>2965</v>
      </c>
      <c r="B798" s="381" t="s">
        <v>324</v>
      </c>
      <c r="C798" s="405" t="s">
        <v>3114</v>
      </c>
      <c r="D798" s="381" t="s">
        <v>3115</v>
      </c>
      <c r="E798" s="383" t="s">
        <v>3116</v>
      </c>
      <c r="F798" s="381" t="s">
        <v>3117</v>
      </c>
      <c r="G798" s="384" t="s">
        <v>329</v>
      </c>
      <c r="H798" s="24">
        <v>624.54999999999995</v>
      </c>
      <c r="I798" s="24"/>
      <c r="J798" s="25" t="str">
        <f t="shared" si="37"/>
        <v>1</v>
      </c>
      <c r="K798" s="385"/>
      <c r="L798" s="385"/>
      <c r="M798" s="386">
        <f t="shared" si="38"/>
        <v>624.54999999999995</v>
      </c>
      <c r="N798" s="496">
        <v>220</v>
      </c>
      <c r="O798" s="333">
        <f t="shared" si="39"/>
        <v>844.55</v>
      </c>
      <c r="R798" s="23" t="str">
        <f>VLOOKUP(C:C,'Historic Data - working'!A:B,1,FALSE)</f>
        <v>EAS026</v>
      </c>
      <c r="U798" s="323"/>
      <c r="V798" s="323"/>
      <c r="W798" s="323"/>
    </row>
    <row r="799" spans="1:23" s="23" customFormat="1" ht="14.25" hidden="1" x14ac:dyDescent="0.2">
      <c r="A799" s="381" t="s">
        <v>2965</v>
      </c>
      <c r="B799" s="381" t="s">
        <v>324</v>
      </c>
      <c r="C799" s="405" t="s">
        <v>3118</v>
      </c>
      <c r="D799" s="381" t="s">
        <v>3119</v>
      </c>
      <c r="E799" s="383" t="s">
        <v>3120</v>
      </c>
      <c r="F799" s="381" t="s">
        <v>3121</v>
      </c>
      <c r="G799" s="384" t="s">
        <v>329</v>
      </c>
      <c r="H799" s="24">
        <f>201.01+233.51+3.07+318.59+106.12+111.24</f>
        <v>973.54</v>
      </c>
      <c r="I799" s="24"/>
      <c r="J799" s="25" t="str">
        <f t="shared" si="37"/>
        <v>1</v>
      </c>
      <c r="K799" s="385"/>
      <c r="L799" s="385"/>
      <c r="M799" s="386">
        <f t="shared" si="38"/>
        <v>973.54</v>
      </c>
      <c r="N799" s="496">
        <v>215</v>
      </c>
      <c r="O799" s="333">
        <f t="shared" si="39"/>
        <v>1188.54</v>
      </c>
      <c r="R799" s="23" t="str">
        <f>VLOOKUP(C:C,'Historic Data - working'!A:B,1,FALSE)</f>
        <v>EAS028</v>
      </c>
      <c r="U799" s="323"/>
      <c r="V799" s="323"/>
      <c r="W799" s="323"/>
    </row>
    <row r="800" spans="1:23" s="23" customFormat="1" ht="14.25" hidden="1" x14ac:dyDescent="0.2">
      <c r="A800" s="381" t="s">
        <v>2965</v>
      </c>
      <c r="B800" s="381" t="s">
        <v>324</v>
      </c>
      <c r="C800" s="405" t="s">
        <v>3122</v>
      </c>
      <c r="D800" s="381" t="s">
        <v>3123</v>
      </c>
      <c r="E800" s="383" t="s">
        <v>3124</v>
      </c>
      <c r="F800" s="381" t="s">
        <v>3125</v>
      </c>
      <c r="G800" s="384"/>
      <c r="H800" s="24"/>
      <c r="I800" s="24"/>
      <c r="J800" s="25" t="str">
        <f t="shared" si="37"/>
        <v xml:space="preserve"> </v>
      </c>
      <c r="K800" s="385"/>
      <c r="L800" s="385"/>
      <c r="M800" s="386">
        <f t="shared" si="38"/>
        <v>0</v>
      </c>
      <c r="N800" s="496">
        <v>768.44999999999993</v>
      </c>
      <c r="O800" s="333">
        <f t="shared" si="39"/>
        <v>768.44999999999993</v>
      </c>
      <c r="R800" s="23" t="str">
        <f>VLOOKUP(C:C,'Historic Data - working'!A:B,1,FALSE)</f>
        <v>EAS029</v>
      </c>
      <c r="U800" s="323"/>
      <c r="V800" s="323"/>
      <c r="W800" s="323"/>
    </row>
    <row r="801" spans="1:23" s="23" customFormat="1" ht="14.25" hidden="1" x14ac:dyDescent="0.2">
      <c r="A801" s="381" t="s">
        <v>2965</v>
      </c>
      <c r="B801" s="381" t="s">
        <v>324</v>
      </c>
      <c r="C801" s="405" t="s">
        <v>3126</v>
      </c>
      <c r="D801" s="381" t="s">
        <v>3127</v>
      </c>
      <c r="E801" s="383" t="s">
        <v>3128</v>
      </c>
      <c r="F801" s="381" t="s">
        <v>3129</v>
      </c>
      <c r="G801" s="384"/>
      <c r="H801" s="24"/>
      <c r="I801" s="24"/>
      <c r="J801" s="25" t="str">
        <f t="shared" si="37"/>
        <v xml:space="preserve"> </v>
      </c>
      <c r="K801" s="385"/>
      <c r="L801" s="385"/>
      <c r="M801" s="386">
        <f t="shared" si="38"/>
        <v>0</v>
      </c>
      <c r="N801" s="496"/>
      <c r="O801" s="333">
        <f t="shared" si="39"/>
        <v>0</v>
      </c>
      <c r="R801" s="23" t="e">
        <f>VLOOKUP(C:C,'Historic Data - working'!A:B,1,FALSE)</f>
        <v>#N/A</v>
      </c>
      <c r="U801" s="323"/>
      <c r="V801" s="323"/>
      <c r="W801" s="323"/>
    </row>
    <row r="802" spans="1:23" s="23" customFormat="1" ht="14.25" hidden="1" x14ac:dyDescent="0.2">
      <c r="A802" s="381" t="s">
        <v>2965</v>
      </c>
      <c r="B802" s="381" t="s">
        <v>324</v>
      </c>
      <c r="C802" s="405" t="s">
        <v>3130</v>
      </c>
      <c r="D802" s="381" t="s">
        <v>3131</v>
      </c>
      <c r="E802" s="383" t="s">
        <v>3132</v>
      </c>
      <c r="F802" s="381" t="s">
        <v>3113</v>
      </c>
      <c r="G802" s="384" t="s">
        <v>329</v>
      </c>
      <c r="H802" s="24">
        <f>234+247.15</f>
        <v>481.15</v>
      </c>
      <c r="I802" s="24"/>
      <c r="J802" s="25" t="str">
        <f t="shared" si="37"/>
        <v>1</v>
      </c>
      <c r="K802" s="385"/>
      <c r="L802" s="385"/>
      <c r="M802" s="386">
        <f t="shared" si="38"/>
        <v>481.15</v>
      </c>
      <c r="N802" s="496">
        <v>319</v>
      </c>
      <c r="O802" s="333">
        <f t="shared" si="39"/>
        <v>800.15</v>
      </c>
      <c r="R802" s="23" t="str">
        <f>VLOOKUP(C:C,'Historic Data - working'!A:B,1,FALSE)</f>
        <v>EAS030</v>
      </c>
      <c r="U802" s="323"/>
      <c r="V802" s="323"/>
      <c r="W802" s="323"/>
    </row>
    <row r="803" spans="1:23" s="23" customFormat="1" ht="14.25" hidden="1" x14ac:dyDescent="0.2">
      <c r="A803" s="381" t="s">
        <v>2965</v>
      </c>
      <c r="B803" s="381" t="s">
        <v>324</v>
      </c>
      <c r="C803" s="405" t="s">
        <v>3133</v>
      </c>
      <c r="D803" s="381" t="s">
        <v>3134</v>
      </c>
      <c r="E803" s="383" t="s">
        <v>3135</v>
      </c>
      <c r="F803" s="381" t="s">
        <v>3113</v>
      </c>
      <c r="G803" s="384" t="s">
        <v>329</v>
      </c>
      <c r="H803" s="24">
        <f>319.51+173+1108.65</f>
        <v>1601.16</v>
      </c>
      <c r="I803" s="24"/>
      <c r="J803" s="25" t="str">
        <f t="shared" si="37"/>
        <v>1</v>
      </c>
      <c r="K803" s="385"/>
      <c r="L803" s="385"/>
      <c r="M803" s="386">
        <f t="shared" si="38"/>
        <v>1601.16</v>
      </c>
      <c r="N803" s="496">
        <v>1775</v>
      </c>
      <c r="O803" s="333">
        <f t="shared" si="39"/>
        <v>3376.16</v>
      </c>
      <c r="R803" s="23" t="str">
        <f>VLOOKUP(C:C,'Historic Data - working'!A:B,1,FALSE)</f>
        <v>EAS031</v>
      </c>
      <c r="U803" s="323"/>
      <c r="V803" s="323"/>
      <c r="W803" s="323"/>
    </row>
    <row r="804" spans="1:23" s="23" customFormat="1" ht="14.25" hidden="1" x14ac:dyDescent="0.2">
      <c r="A804" s="381" t="s">
        <v>2965</v>
      </c>
      <c r="B804" s="381" t="s">
        <v>324</v>
      </c>
      <c r="C804" s="405" t="s">
        <v>3136</v>
      </c>
      <c r="D804" s="381" t="s">
        <v>3137</v>
      </c>
      <c r="E804" s="383" t="s">
        <v>3138</v>
      </c>
      <c r="F804" s="381" t="s">
        <v>3139</v>
      </c>
      <c r="G804" s="384"/>
      <c r="H804" s="24"/>
      <c r="I804" s="24"/>
      <c r="J804" s="25" t="str">
        <f t="shared" si="37"/>
        <v xml:space="preserve"> </v>
      </c>
      <c r="K804" s="385"/>
      <c r="L804" s="385"/>
      <c r="M804" s="386">
        <f t="shared" si="38"/>
        <v>0</v>
      </c>
      <c r="N804" s="496"/>
      <c r="O804" s="333">
        <f t="shared" si="39"/>
        <v>0</v>
      </c>
      <c r="R804" s="23" t="e">
        <f>VLOOKUP(C:C,'Historic Data - working'!A:B,1,FALSE)</f>
        <v>#N/A</v>
      </c>
      <c r="U804" s="323"/>
      <c r="V804" s="323"/>
      <c r="W804" s="323"/>
    </row>
    <row r="805" spans="1:23" s="23" customFormat="1" ht="14.25" hidden="1" x14ac:dyDescent="0.2">
      <c r="A805" s="381" t="s">
        <v>2965</v>
      </c>
      <c r="B805" s="381" t="s">
        <v>324</v>
      </c>
      <c r="C805" s="405" t="s">
        <v>3140</v>
      </c>
      <c r="D805" s="381" t="s">
        <v>3141</v>
      </c>
      <c r="E805" s="383" t="s">
        <v>3142</v>
      </c>
      <c r="F805" s="381" t="s">
        <v>3113</v>
      </c>
      <c r="G805" s="384"/>
      <c r="H805" s="24"/>
      <c r="I805" s="24"/>
      <c r="J805" s="25" t="str">
        <f t="shared" si="37"/>
        <v xml:space="preserve"> </v>
      </c>
      <c r="K805" s="385" t="s">
        <v>337</v>
      </c>
      <c r="L805" s="385">
        <v>287.89999999999998</v>
      </c>
      <c r="M805" s="386">
        <f t="shared" si="38"/>
        <v>287.89999999999998</v>
      </c>
      <c r="N805" s="496">
        <v>80</v>
      </c>
      <c r="O805" s="333">
        <f t="shared" si="39"/>
        <v>367.9</v>
      </c>
      <c r="R805" s="23" t="str">
        <f>VLOOKUP(C:C,'Historic Data - working'!A:B,1,FALSE)</f>
        <v>EAS032</v>
      </c>
      <c r="U805" s="323"/>
      <c r="V805" s="323"/>
      <c r="W805" s="323"/>
    </row>
    <row r="806" spans="1:23" s="23" customFormat="1" ht="14.25" hidden="1" x14ac:dyDescent="0.2">
      <c r="A806" s="381" t="s">
        <v>2965</v>
      </c>
      <c r="B806" s="381" t="s">
        <v>324</v>
      </c>
      <c r="C806" s="405" t="s">
        <v>3143</v>
      </c>
      <c r="D806" s="381" t="s">
        <v>3144</v>
      </c>
      <c r="E806" s="383" t="s">
        <v>3145</v>
      </c>
      <c r="F806" s="381" t="s">
        <v>3113</v>
      </c>
      <c r="G806" s="384"/>
      <c r="H806" s="24"/>
      <c r="I806" s="24"/>
      <c r="J806" s="25" t="str">
        <f t="shared" si="37"/>
        <v xml:space="preserve"> </v>
      </c>
      <c r="K806" s="385"/>
      <c r="L806" s="385"/>
      <c r="M806" s="386">
        <f t="shared" si="38"/>
        <v>0</v>
      </c>
      <c r="N806" s="496">
        <v>210</v>
      </c>
      <c r="O806" s="333">
        <f t="shared" si="39"/>
        <v>210</v>
      </c>
      <c r="R806" s="23" t="str">
        <f>VLOOKUP(C:C,'Historic Data - working'!A:B,1,FALSE)</f>
        <v>EAS033</v>
      </c>
      <c r="U806" s="323"/>
      <c r="V806" s="323"/>
      <c r="W806" s="323"/>
    </row>
    <row r="807" spans="1:23" s="23" customFormat="1" ht="14.25" hidden="1" x14ac:dyDescent="0.2">
      <c r="A807" s="381" t="s">
        <v>2965</v>
      </c>
      <c r="B807" s="381" t="s">
        <v>324</v>
      </c>
      <c r="C807" s="405" t="s">
        <v>3146</v>
      </c>
      <c r="D807" s="381" t="s">
        <v>3147</v>
      </c>
      <c r="E807" s="383" t="s">
        <v>3148</v>
      </c>
      <c r="F807" s="381" t="s">
        <v>3113</v>
      </c>
      <c r="G807" s="384" t="s">
        <v>329</v>
      </c>
      <c r="H807" s="24">
        <v>559</v>
      </c>
      <c r="I807" s="24"/>
      <c r="J807" s="25" t="str">
        <f t="shared" si="37"/>
        <v>1</v>
      </c>
      <c r="K807" s="385"/>
      <c r="L807" s="385"/>
      <c r="M807" s="386">
        <f t="shared" si="38"/>
        <v>559</v>
      </c>
      <c r="N807" s="496">
        <v>611.97</v>
      </c>
      <c r="O807" s="333">
        <f t="shared" si="39"/>
        <v>1170.97</v>
      </c>
      <c r="R807" s="23" t="str">
        <f>VLOOKUP(C:C,'Historic Data - working'!A:B,1,FALSE)</f>
        <v>EAS034</v>
      </c>
      <c r="U807" s="323"/>
      <c r="V807" s="323"/>
      <c r="W807" s="323"/>
    </row>
    <row r="808" spans="1:23" s="23" customFormat="1" ht="14.25" hidden="1" x14ac:dyDescent="0.2">
      <c r="A808" s="381" t="s">
        <v>2965</v>
      </c>
      <c r="B808" s="381" t="s">
        <v>324</v>
      </c>
      <c r="C808" s="405" t="s">
        <v>3149</v>
      </c>
      <c r="D808" s="381" t="s">
        <v>3150</v>
      </c>
      <c r="E808" s="383" t="s">
        <v>3138</v>
      </c>
      <c r="F808" s="381" t="s">
        <v>3139</v>
      </c>
      <c r="G808" s="384"/>
      <c r="H808" s="24"/>
      <c r="I808" s="24"/>
      <c r="J808" s="25" t="str">
        <f t="shared" si="37"/>
        <v xml:space="preserve"> </v>
      </c>
      <c r="K808" s="385"/>
      <c r="L808" s="385"/>
      <c r="M808" s="386">
        <f t="shared" si="38"/>
        <v>0</v>
      </c>
      <c r="N808" s="496"/>
      <c r="O808" s="333">
        <f t="shared" si="39"/>
        <v>0</v>
      </c>
      <c r="R808" s="23" t="e">
        <f>VLOOKUP(C:C,'Historic Data - working'!A:B,1,FALSE)</f>
        <v>#N/A</v>
      </c>
      <c r="U808" s="323"/>
      <c r="V808" s="323"/>
      <c r="W808" s="323"/>
    </row>
    <row r="809" spans="1:23" s="23" customFormat="1" ht="14.25" hidden="1" x14ac:dyDescent="0.2">
      <c r="A809" s="381" t="s">
        <v>2965</v>
      </c>
      <c r="B809" s="381" t="s">
        <v>324</v>
      </c>
      <c r="C809" s="405" t="s">
        <v>3151</v>
      </c>
      <c r="D809" s="381" t="s">
        <v>3152</v>
      </c>
      <c r="E809" s="383" t="s">
        <v>3153</v>
      </c>
      <c r="F809" s="381" t="s">
        <v>3154</v>
      </c>
      <c r="G809" s="384" t="s">
        <v>329</v>
      </c>
      <c r="H809" s="24">
        <v>1053.52</v>
      </c>
      <c r="I809" s="24"/>
      <c r="J809" s="25" t="str">
        <f t="shared" si="37"/>
        <v>1</v>
      </c>
      <c r="K809" s="385" t="s">
        <v>3155</v>
      </c>
      <c r="L809" s="385">
        <v>1.06</v>
      </c>
      <c r="M809" s="386">
        <f t="shared" si="38"/>
        <v>1054.58</v>
      </c>
      <c r="N809" s="496">
        <v>2185</v>
      </c>
      <c r="O809" s="333">
        <f t="shared" si="39"/>
        <v>3239.58</v>
      </c>
      <c r="R809" s="23" t="str">
        <f>VLOOKUP(C:C,'Historic Data - working'!A:B,1,FALSE)</f>
        <v>EAS035</v>
      </c>
      <c r="U809" s="323"/>
      <c r="V809" s="323"/>
      <c r="W809" s="323"/>
    </row>
    <row r="810" spans="1:23" s="23" customFormat="1" ht="14.25" hidden="1" x14ac:dyDescent="0.2">
      <c r="A810" s="381" t="s">
        <v>2965</v>
      </c>
      <c r="B810" s="381" t="s">
        <v>324</v>
      </c>
      <c r="C810" s="405" t="s">
        <v>3156</v>
      </c>
      <c r="D810" s="381" t="s">
        <v>3157</v>
      </c>
      <c r="E810" s="383" t="s">
        <v>1165</v>
      </c>
      <c r="F810" s="381" t="s">
        <v>3158</v>
      </c>
      <c r="G810" s="384"/>
      <c r="H810" s="24"/>
      <c r="I810" s="24"/>
      <c r="J810" s="25" t="str">
        <f t="shared" si="37"/>
        <v xml:space="preserve"> </v>
      </c>
      <c r="K810" s="385"/>
      <c r="L810" s="385"/>
      <c r="M810" s="386">
        <f t="shared" si="38"/>
        <v>0</v>
      </c>
      <c r="N810" s="496"/>
      <c r="O810" s="333">
        <f t="shared" si="39"/>
        <v>0</v>
      </c>
      <c r="R810" s="23" t="e">
        <f>VLOOKUP(C:C,'Historic Data - working'!A:B,1,FALSE)</f>
        <v>#N/A</v>
      </c>
      <c r="U810" s="323"/>
      <c r="V810" s="323"/>
      <c r="W810" s="323"/>
    </row>
    <row r="811" spans="1:23" s="23" customFormat="1" ht="14.25" hidden="1" x14ac:dyDescent="0.2">
      <c r="A811" s="381" t="s">
        <v>2965</v>
      </c>
      <c r="B811" s="381" t="s">
        <v>324</v>
      </c>
      <c r="C811" s="405" t="s">
        <v>3159</v>
      </c>
      <c r="D811" s="381" t="s">
        <v>3160</v>
      </c>
      <c r="E811" s="383" t="s">
        <v>3161</v>
      </c>
      <c r="F811" s="381" t="s">
        <v>3162</v>
      </c>
      <c r="G811" s="384"/>
      <c r="H811" s="24"/>
      <c r="I811" s="24"/>
      <c r="J811" s="25" t="str">
        <f t="shared" si="37"/>
        <v xml:space="preserve"> </v>
      </c>
      <c r="K811" s="385"/>
      <c r="L811" s="385"/>
      <c r="M811" s="386">
        <f t="shared" si="38"/>
        <v>0</v>
      </c>
      <c r="N811" s="496">
        <v>2000</v>
      </c>
      <c r="O811" s="333">
        <f t="shared" si="39"/>
        <v>2000</v>
      </c>
      <c r="R811" s="23" t="str">
        <f>VLOOKUP(C:C,'Historic Data - working'!A:B,1,FALSE)</f>
        <v>EAS036</v>
      </c>
      <c r="U811" s="323"/>
      <c r="V811" s="323"/>
      <c r="W811" s="323"/>
    </row>
    <row r="812" spans="1:23" s="23" customFormat="1" ht="14.25" hidden="1" x14ac:dyDescent="0.2">
      <c r="A812" s="381" t="s">
        <v>2965</v>
      </c>
      <c r="B812" s="381" t="s">
        <v>324</v>
      </c>
      <c r="C812" s="405" t="s">
        <v>3163</v>
      </c>
      <c r="D812" s="381" t="s">
        <v>3164</v>
      </c>
      <c r="E812" s="383" t="s">
        <v>2120</v>
      </c>
      <c r="F812" s="381" t="s">
        <v>3165</v>
      </c>
      <c r="G812" s="384" t="s">
        <v>329</v>
      </c>
      <c r="H812" s="24">
        <f>22.91+334.78+38.14</f>
        <v>395.83</v>
      </c>
      <c r="I812" s="24"/>
      <c r="J812" s="25" t="str">
        <f t="shared" ref="J812:J875" si="40">IF(G812="Y","1"," ")</f>
        <v>1</v>
      </c>
      <c r="K812" s="385" t="s">
        <v>3166</v>
      </c>
      <c r="L812" s="385">
        <v>-0.03</v>
      </c>
      <c r="M812" s="386">
        <f t="shared" si="38"/>
        <v>395.8</v>
      </c>
      <c r="N812" s="496">
        <v>182</v>
      </c>
      <c r="O812" s="333">
        <f t="shared" si="39"/>
        <v>577.79999999999995</v>
      </c>
      <c r="R812" s="23" t="str">
        <f>VLOOKUP(C:C,'Historic Data - working'!A:B,1,FALSE)</f>
        <v>EAS037</v>
      </c>
      <c r="U812" s="323"/>
      <c r="V812" s="323"/>
      <c r="W812" s="323"/>
    </row>
    <row r="813" spans="1:23" s="23" customFormat="1" ht="14.25" hidden="1" x14ac:dyDescent="0.2">
      <c r="A813" s="381" t="s">
        <v>2965</v>
      </c>
      <c r="B813" s="381" t="s">
        <v>324</v>
      </c>
      <c r="C813" s="405" t="s">
        <v>3167</v>
      </c>
      <c r="D813" s="381" t="s">
        <v>3168</v>
      </c>
      <c r="E813" s="383" t="s">
        <v>3169</v>
      </c>
      <c r="F813" s="381" t="s">
        <v>3165</v>
      </c>
      <c r="G813" s="384" t="s">
        <v>1764</v>
      </c>
      <c r="H813" s="24"/>
      <c r="I813" s="24"/>
      <c r="J813" s="25" t="str">
        <f t="shared" si="40"/>
        <v xml:space="preserve"> </v>
      </c>
      <c r="K813" s="385" t="s">
        <v>3170</v>
      </c>
      <c r="L813" s="385"/>
      <c r="M813" s="386">
        <f t="shared" si="38"/>
        <v>0</v>
      </c>
      <c r="N813" s="496"/>
      <c r="O813" s="333">
        <f t="shared" si="39"/>
        <v>0</v>
      </c>
      <c r="R813" s="23" t="e">
        <f>VLOOKUP(C:C,'Historic Data - working'!A:B,1,FALSE)</f>
        <v>#N/A</v>
      </c>
      <c r="U813" s="323"/>
      <c r="V813" s="323"/>
      <c r="W813" s="323"/>
    </row>
    <row r="814" spans="1:23" s="23" customFormat="1" ht="14.25" hidden="1" x14ac:dyDescent="0.2">
      <c r="A814" s="381" t="s">
        <v>2965</v>
      </c>
      <c r="B814" s="381" t="s">
        <v>324</v>
      </c>
      <c r="C814" s="405" t="s">
        <v>3171</v>
      </c>
      <c r="D814" s="381" t="s">
        <v>3172</v>
      </c>
      <c r="E814" s="383" t="s">
        <v>484</v>
      </c>
      <c r="F814" s="381" t="s">
        <v>3173</v>
      </c>
      <c r="G814" s="384" t="s">
        <v>329</v>
      </c>
      <c r="H814" s="24"/>
      <c r="I814" s="24">
        <f>1400+1100</f>
        <v>2500</v>
      </c>
      <c r="J814" s="25" t="str">
        <f t="shared" si="40"/>
        <v>1</v>
      </c>
      <c r="K814" s="385"/>
      <c r="L814" s="385"/>
      <c r="M814" s="386">
        <f t="shared" si="38"/>
        <v>0</v>
      </c>
      <c r="N814" s="496">
        <v>2580</v>
      </c>
      <c r="O814" s="333">
        <f t="shared" si="39"/>
        <v>2580</v>
      </c>
      <c r="R814" s="23" t="str">
        <f>VLOOKUP(C:C,'Historic Data - working'!A:B,1,FALSE)</f>
        <v>EAS039</v>
      </c>
      <c r="U814" s="323"/>
      <c r="V814" s="323"/>
      <c r="W814" s="323"/>
    </row>
    <row r="815" spans="1:23" s="23" customFormat="1" ht="14.25" hidden="1" x14ac:dyDescent="0.2">
      <c r="A815" s="381" t="s">
        <v>2965</v>
      </c>
      <c r="B815" s="381" t="s">
        <v>324</v>
      </c>
      <c r="C815" s="405" t="s">
        <v>3174</v>
      </c>
      <c r="D815" s="381" t="s">
        <v>3175</v>
      </c>
      <c r="E815" s="383" t="s">
        <v>3176</v>
      </c>
      <c r="F815" s="381" t="s">
        <v>3177</v>
      </c>
      <c r="G815" s="384"/>
      <c r="H815" s="24"/>
      <c r="I815" s="24"/>
      <c r="J815" s="25" t="str">
        <f t="shared" si="40"/>
        <v xml:space="preserve"> </v>
      </c>
      <c r="K815" s="385"/>
      <c r="L815" s="385"/>
      <c r="M815" s="386">
        <f t="shared" si="38"/>
        <v>0</v>
      </c>
      <c r="N815" s="496"/>
      <c r="O815" s="333">
        <f t="shared" si="39"/>
        <v>0</v>
      </c>
      <c r="R815" s="23" t="e">
        <f>VLOOKUP(C:C,'Historic Data - working'!A:B,1,FALSE)</f>
        <v>#N/A</v>
      </c>
      <c r="U815" s="323"/>
      <c r="V815" s="323"/>
      <c r="W815" s="323"/>
    </row>
    <row r="816" spans="1:23" s="23" customFormat="1" ht="14.25" hidden="1" x14ac:dyDescent="0.2">
      <c r="A816" s="381" t="s">
        <v>2965</v>
      </c>
      <c r="B816" s="381" t="s">
        <v>324</v>
      </c>
      <c r="C816" s="405" t="s">
        <v>3178</v>
      </c>
      <c r="D816" s="381" t="s">
        <v>3179</v>
      </c>
      <c r="E816" s="383" t="s">
        <v>3180</v>
      </c>
      <c r="F816" s="381" t="s">
        <v>3162</v>
      </c>
      <c r="G816" s="384" t="s">
        <v>329</v>
      </c>
      <c r="H816" s="30">
        <v>479</v>
      </c>
      <c r="I816" s="24"/>
      <c r="J816" s="25" t="str">
        <f t="shared" si="40"/>
        <v>1</v>
      </c>
      <c r="K816" s="385" t="s">
        <v>3181</v>
      </c>
      <c r="L816" s="385">
        <v>270.06</v>
      </c>
      <c r="M816" s="386">
        <f t="shared" si="38"/>
        <v>749.06</v>
      </c>
      <c r="N816" s="496">
        <v>826</v>
      </c>
      <c r="O816" s="333">
        <f t="shared" si="39"/>
        <v>1575.06</v>
      </c>
      <c r="R816" s="23" t="str">
        <f>VLOOKUP(C:C,'Historic Data - working'!A:B,1,FALSE)</f>
        <v>EAS041</v>
      </c>
      <c r="U816" s="323"/>
      <c r="V816" s="323"/>
      <c r="W816" s="323"/>
    </row>
    <row r="817" spans="1:23" s="23" customFormat="1" ht="14.25" hidden="1" x14ac:dyDescent="0.2">
      <c r="A817" s="381" t="s">
        <v>2965</v>
      </c>
      <c r="B817" s="381" t="s">
        <v>324</v>
      </c>
      <c r="C817" s="405" t="s">
        <v>3182</v>
      </c>
      <c r="D817" s="381" t="s">
        <v>3183</v>
      </c>
      <c r="E817" s="383" t="s">
        <v>47</v>
      </c>
      <c r="F817" s="381" t="s">
        <v>3184</v>
      </c>
      <c r="G817" s="384" t="s">
        <v>329</v>
      </c>
      <c r="H817" s="24">
        <v>782.7</v>
      </c>
      <c r="I817" s="24"/>
      <c r="J817" s="25" t="str">
        <f t="shared" si="40"/>
        <v>1</v>
      </c>
      <c r="K817" s="385"/>
      <c r="L817" s="385"/>
      <c r="M817" s="386">
        <f t="shared" si="38"/>
        <v>782.7</v>
      </c>
      <c r="N817" s="496">
        <v>50</v>
      </c>
      <c r="O817" s="333">
        <f t="shared" si="39"/>
        <v>832.7</v>
      </c>
      <c r="R817" s="23" t="str">
        <f>VLOOKUP(C:C,'Historic Data - working'!A:B,1,FALSE)</f>
        <v>EAS042</v>
      </c>
      <c r="U817" s="323"/>
      <c r="V817" s="323"/>
      <c r="W817" s="323"/>
    </row>
    <row r="818" spans="1:23" s="23" customFormat="1" ht="14.25" hidden="1" x14ac:dyDescent="0.2">
      <c r="A818" s="381" t="s">
        <v>2965</v>
      </c>
      <c r="B818" s="381" t="s">
        <v>351</v>
      </c>
      <c r="C818" s="405" t="s">
        <v>3185</v>
      </c>
      <c r="D818" s="381" t="s">
        <v>3186</v>
      </c>
      <c r="E818" s="383" t="s">
        <v>3187</v>
      </c>
      <c r="F818" s="381" t="s">
        <v>3188</v>
      </c>
      <c r="G818" s="384"/>
      <c r="H818" s="24"/>
      <c r="I818" s="24"/>
      <c r="J818" s="25" t="str">
        <f t="shared" si="40"/>
        <v xml:space="preserve"> </v>
      </c>
      <c r="K818" s="385"/>
      <c r="L818" s="385"/>
      <c r="M818" s="386">
        <f t="shared" si="38"/>
        <v>0</v>
      </c>
      <c r="N818" s="496"/>
      <c r="O818" s="333">
        <f t="shared" si="39"/>
        <v>0</v>
      </c>
      <c r="R818" s="23" t="e">
        <f>VLOOKUP(C:C,'Historic Data - working'!A:B,1,FALSE)</f>
        <v>#N/A</v>
      </c>
      <c r="U818" s="323"/>
      <c r="V818" s="323"/>
      <c r="W818" s="323"/>
    </row>
    <row r="819" spans="1:23" s="23" customFormat="1" ht="14.25" hidden="1" x14ac:dyDescent="0.2">
      <c r="A819" s="381" t="s">
        <v>2965</v>
      </c>
      <c r="B819" s="381" t="s">
        <v>351</v>
      </c>
      <c r="C819" s="405" t="s">
        <v>3189</v>
      </c>
      <c r="D819" s="381" t="s">
        <v>3190</v>
      </c>
      <c r="E819" s="383" t="s">
        <v>3191</v>
      </c>
      <c r="F819" s="381" t="s">
        <v>3188</v>
      </c>
      <c r="G819" s="384"/>
      <c r="H819" s="24"/>
      <c r="I819" s="24"/>
      <c r="J819" s="25" t="str">
        <f t="shared" si="40"/>
        <v xml:space="preserve"> </v>
      </c>
      <c r="K819" s="385"/>
      <c r="L819" s="385"/>
      <c r="M819" s="386">
        <f t="shared" si="38"/>
        <v>0</v>
      </c>
      <c r="N819" s="496"/>
      <c r="O819" s="333">
        <f t="shared" si="39"/>
        <v>0</v>
      </c>
      <c r="R819" s="23" t="e">
        <f>VLOOKUP(C:C,'Historic Data - working'!A:B,1,FALSE)</f>
        <v>#N/A</v>
      </c>
      <c r="U819" s="323"/>
      <c r="V819" s="323"/>
      <c r="W819" s="323"/>
    </row>
    <row r="820" spans="1:23" s="23" customFormat="1" ht="14.25" hidden="1" x14ac:dyDescent="0.2">
      <c r="A820" s="381" t="s">
        <v>2965</v>
      </c>
      <c r="B820" s="381" t="s">
        <v>324</v>
      </c>
      <c r="C820" s="405" t="s">
        <v>3192</v>
      </c>
      <c r="D820" s="381" t="s">
        <v>3193</v>
      </c>
      <c r="E820" s="383" t="s">
        <v>3194</v>
      </c>
      <c r="F820" s="381" t="s">
        <v>3195</v>
      </c>
      <c r="G820" s="384" t="s">
        <v>329</v>
      </c>
      <c r="H820" s="24">
        <f>764.71+634.98</f>
        <v>1399.69</v>
      </c>
      <c r="I820" s="24"/>
      <c r="J820" s="25" t="str">
        <f t="shared" si="40"/>
        <v>1</v>
      </c>
      <c r="K820" s="387" t="s">
        <v>3196</v>
      </c>
      <c r="L820" s="385">
        <v>1.79</v>
      </c>
      <c r="M820" s="386">
        <f t="shared" si="38"/>
        <v>1401.48</v>
      </c>
      <c r="N820" s="496">
        <v>295</v>
      </c>
      <c r="O820" s="333">
        <f t="shared" si="39"/>
        <v>1696.48</v>
      </c>
      <c r="R820" s="23" t="str">
        <f>VLOOKUP(C:C,'Historic Data - working'!A:B,1,FALSE)</f>
        <v>EAS043</v>
      </c>
      <c r="U820" s="323"/>
      <c r="V820" s="323"/>
      <c r="W820" s="323"/>
    </row>
    <row r="821" spans="1:23" s="23" customFormat="1" ht="14.25" hidden="1" x14ac:dyDescent="0.2">
      <c r="A821" s="381" t="s">
        <v>2965</v>
      </c>
      <c r="B821" s="381" t="s">
        <v>324</v>
      </c>
      <c r="C821" s="405" t="s">
        <v>3197</v>
      </c>
      <c r="D821" s="381" t="s">
        <v>3198</v>
      </c>
      <c r="E821" s="383" t="s">
        <v>3199</v>
      </c>
      <c r="F821" s="381" t="s">
        <v>3195</v>
      </c>
      <c r="G821" s="384" t="s">
        <v>329</v>
      </c>
      <c r="H821" s="24">
        <f>172+270+24.38</f>
        <v>466.38</v>
      </c>
      <c r="I821" s="24"/>
      <c r="J821" s="25" t="str">
        <f t="shared" si="40"/>
        <v>1</v>
      </c>
      <c r="K821" s="385"/>
      <c r="L821" s="385"/>
      <c r="M821" s="386">
        <f t="shared" si="38"/>
        <v>466.38</v>
      </c>
      <c r="N821" s="496">
        <v>100</v>
      </c>
      <c r="O821" s="333">
        <f t="shared" si="39"/>
        <v>566.38</v>
      </c>
      <c r="R821" s="23" t="str">
        <f>VLOOKUP(C:C,'Historic Data - working'!A:B,1,FALSE)</f>
        <v>EAS044</v>
      </c>
      <c r="U821" s="323"/>
      <c r="V821" s="323"/>
      <c r="W821" s="323"/>
    </row>
    <row r="822" spans="1:23" s="23" customFormat="1" ht="14.25" hidden="1" x14ac:dyDescent="0.2">
      <c r="A822" s="381" t="s">
        <v>2965</v>
      </c>
      <c r="B822" s="381" t="s">
        <v>324</v>
      </c>
      <c r="C822" s="405" t="s">
        <v>3200</v>
      </c>
      <c r="D822" s="381" t="s">
        <v>3201</v>
      </c>
      <c r="E822" s="383" t="s">
        <v>3202</v>
      </c>
      <c r="F822" s="381" t="s">
        <v>3203</v>
      </c>
      <c r="G822" s="384"/>
      <c r="H822" s="24"/>
      <c r="I822" s="24"/>
      <c r="J822" s="25" t="str">
        <f t="shared" si="40"/>
        <v xml:space="preserve"> </v>
      </c>
      <c r="K822" s="385"/>
      <c r="L822" s="385"/>
      <c r="M822" s="386">
        <f t="shared" si="38"/>
        <v>0</v>
      </c>
      <c r="N822" s="496"/>
      <c r="O822" s="333">
        <f t="shared" si="39"/>
        <v>0</v>
      </c>
      <c r="R822" s="23" t="e">
        <f>VLOOKUP(C:C,'Historic Data - working'!A:B,1,FALSE)</f>
        <v>#N/A</v>
      </c>
      <c r="U822" s="323"/>
      <c r="V822" s="323"/>
      <c r="W822" s="323"/>
    </row>
    <row r="823" spans="1:23" s="23" customFormat="1" ht="14.25" hidden="1" x14ac:dyDescent="0.2">
      <c r="A823" s="381" t="s">
        <v>2965</v>
      </c>
      <c r="B823" s="381" t="s">
        <v>324</v>
      </c>
      <c r="C823" s="405" t="s">
        <v>3204</v>
      </c>
      <c r="D823" s="381" t="s">
        <v>3205</v>
      </c>
      <c r="E823" s="383" t="s">
        <v>1203</v>
      </c>
      <c r="F823" s="381" t="s">
        <v>3195</v>
      </c>
      <c r="G823" s="384"/>
      <c r="H823" s="24"/>
      <c r="I823" s="24"/>
      <c r="J823" s="25" t="str">
        <f t="shared" si="40"/>
        <v xml:space="preserve"> </v>
      </c>
      <c r="K823" s="385"/>
      <c r="L823" s="385"/>
      <c r="M823" s="386">
        <f t="shared" si="38"/>
        <v>0</v>
      </c>
      <c r="N823" s="496"/>
      <c r="O823" s="333">
        <f t="shared" si="39"/>
        <v>0</v>
      </c>
      <c r="R823" s="23" t="e">
        <f>VLOOKUP(C:C,'Historic Data - working'!A:B,1,FALSE)</f>
        <v>#N/A</v>
      </c>
      <c r="U823" s="323"/>
      <c r="V823" s="323"/>
      <c r="W823" s="323"/>
    </row>
    <row r="824" spans="1:23" s="23" customFormat="1" ht="14.25" hidden="1" x14ac:dyDescent="0.2">
      <c r="A824" s="381" t="s">
        <v>2965</v>
      </c>
      <c r="B824" s="381" t="s">
        <v>324</v>
      </c>
      <c r="C824" s="405" t="s">
        <v>3206</v>
      </c>
      <c r="D824" s="381" t="s">
        <v>3207</v>
      </c>
      <c r="E824" s="383" t="s">
        <v>3208</v>
      </c>
      <c r="F824" s="381" t="s">
        <v>3195</v>
      </c>
      <c r="G824" s="384"/>
      <c r="H824" s="24"/>
      <c r="I824" s="24"/>
      <c r="J824" s="25" t="str">
        <f t="shared" si="40"/>
        <v xml:space="preserve"> </v>
      </c>
      <c r="K824" s="385"/>
      <c r="L824" s="385"/>
      <c r="M824" s="386">
        <f t="shared" si="38"/>
        <v>0</v>
      </c>
      <c r="N824" s="496">
        <v>1109.5200000000002</v>
      </c>
      <c r="O824" s="333">
        <f t="shared" si="39"/>
        <v>1109.5200000000002</v>
      </c>
      <c r="R824" s="23" t="str">
        <f>VLOOKUP(C:C,'Historic Data - working'!A:B,1,FALSE)</f>
        <v>EAS048</v>
      </c>
      <c r="U824" s="323"/>
      <c r="V824" s="323"/>
      <c r="W824" s="323"/>
    </row>
    <row r="825" spans="1:23" s="23" customFormat="1" ht="14.25" hidden="1" x14ac:dyDescent="0.2">
      <c r="A825" s="381" t="s">
        <v>2965</v>
      </c>
      <c r="B825" s="381" t="s">
        <v>324</v>
      </c>
      <c r="C825" s="405" t="s">
        <v>3209</v>
      </c>
      <c r="D825" s="381" t="s">
        <v>3210</v>
      </c>
      <c r="E825" s="383" t="s">
        <v>3211</v>
      </c>
      <c r="F825" s="381" t="s">
        <v>3212</v>
      </c>
      <c r="G825" s="384"/>
      <c r="H825" s="24"/>
      <c r="I825" s="24"/>
      <c r="J825" s="25" t="str">
        <f t="shared" si="40"/>
        <v xml:space="preserve"> </v>
      </c>
      <c r="K825" s="385"/>
      <c r="L825" s="385"/>
      <c r="M825" s="386">
        <f t="shared" si="38"/>
        <v>0</v>
      </c>
      <c r="N825" s="496"/>
      <c r="O825" s="333">
        <f t="shared" si="39"/>
        <v>0</v>
      </c>
      <c r="R825" s="23" t="e">
        <f>VLOOKUP(C:C,'Historic Data - working'!A:B,1,FALSE)</f>
        <v>#N/A</v>
      </c>
      <c r="U825" s="323"/>
      <c r="V825" s="323"/>
      <c r="W825" s="323"/>
    </row>
    <row r="826" spans="1:23" s="23" customFormat="1" ht="14.25" hidden="1" x14ac:dyDescent="0.2">
      <c r="A826" s="381" t="s">
        <v>2965</v>
      </c>
      <c r="B826" s="381" t="s">
        <v>324</v>
      </c>
      <c r="C826" s="405" t="s">
        <v>3213</v>
      </c>
      <c r="D826" s="381" t="s">
        <v>3214</v>
      </c>
      <c r="E826" s="383" t="s">
        <v>3215</v>
      </c>
      <c r="F826" s="381" t="s">
        <v>2968</v>
      </c>
      <c r="G826" s="384"/>
      <c r="H826" s="24"/>
      <c r="I826" s="24"/>
      <c r="J826" s="25" t="str">
        <f t="shared" si="40"/>
        <v xml:space="preserve"> </v>
      </c>
      <c r="K826" s="385"/>
      <c r="L826" s="385"/>
      <c r="M826" s="386">
        <f t="shared" si="38"/>
        <v>0</v>
      </c>
      <c r="N826" s="496">
        <v>847.2</v>
      </c>
      <c r="O826" s="333">
        <f t="shared" si="39"/>
        <v>847.2</v>
      </c>
      <c r="R826" s="23" t="str">
        <f>VLOOKUP(C:C,'Historic Data - working'!A:B,1,FALSE)</f>
        <v>EAS049</v>
      </c>
      <c r="U826" s="323"/>
      <c r="V826" s="323"/>
      <c r="W826" s="323"/>
    </row>
    <row r="827" spans="1:23" s="23" customFormat="1" ht="14.25" hidden="1" x14ac:dyDescent="0.2">
      <c r="A827" s="381" t="s">
        <v>2965</v>
      </c>
      <c r="B827" s="381" t="s">
        <v>324</v>
      </c>
      <c r="C827" s="405" t="s">
        <v>3216</v>
      </c>
      <c r="D827" s="381" t="s">
        <v>3217</v>
      </c>
      <c r="E827" s="383" t="s">
        <v>3218</v>
      </c>
      <c r="F827" s="381" t="s">
        <v>3219</v>
      </c>
      <c r="G827" s="384"/>
      <c r="H827" s="24"/>
      <c r="I827" s="24"/>
      <c r="J827" s="25" t="str">
        <f t="shared" si="40"/>
        <v xml:space="preserve"> </v>
      </c>
      <c r="K827" s="385"/>
      <c r="L827" s="385"/>
      <c r="M827" s="386">
        <f t="shared" si="38"/>
        <v>0</v>
      </c>
      <c r="N827" s="496"/>
      <c r="O827" s="333">
        <f t="shared" si="39"/>
        <v>0</v>
      </c>
      <c r="R827" s="23" t="e">
        <f>VLOOKUP(C:C,'Historic Data - working'!A:B,1,FALSE)</f>
        <v>#N/A</v>
      </c>
      <c r="U827" s="323"/>
      <c r="V827" s="323"/>
      <c r="W827" s="323"/>
    </row>
    <row r="828" spans="1:23" s="23" customFormat="1" ht="14.25" hidden="1" x14ac:dyDescent="0.2">
      <c r="A828" s="381" t="s">
        <v>2965</v>
      </c>
      <c r="B828" s="381" t="s">
        <v>324</v>
      </c>
      <c r="C828" s="405" t="s">
        <v>3220</v>
      </c>
      <c r="D828" s="381" t="s">
        <v>3221</v>
      </c>
      <c r="E828" s="383" t="s">
        <v>3222</v>
      </c>
      <c r="F828" s="381" t="s">
        <v>2968</v>
      </c>
      <c r="G828" s="384"/>
      <c r="H828" s="24"/>
      <c r="I828" s="24"/>
      <c r="J828" s="25" t="str">
        <f t="shared" si="40"/>
        <v xml:space="preserve"> </v>
      </c>
      <c r="K828" s="385"/>
      <c r="L828" s="385"/>
      <c r="M828" s="386">
        <f t="shared" si="38"/>
        <v>0</v>
      </c>
      <c r="N828" s="496"/>
      <c r="O828" s="333">
        <f t="shared" si="39"/>
        <v>0</v>
      </c>
      <c r="R828" s="23" t="str">
        <f>VLOOKUP(C:C,'Historic Data - working'!A:B,1,FALSE)</f>
        <v>EAS050</v>
      </c>
      <c r="U828" s="323"/>
      <c r="V828" s="323"/>
      <c r="W828" s="323"/>
    </row>
    <row r="829" spans="1:23" s="23" customFormat="1" ht="14.25" hidden="1" x14ac:dyDescent="0.2">
      <c r="A829" s="381" t="s">
        <v>2965</v>
      </c>
      <c r="B829" s="381" t="s">
        <v>324</v>
      </c>
      <c r="C829" s="405" t="s">
        <v>3223</v>
      </c>
      <c r="D829" s="381" t="s">
        <v>3224</v>
      </c>
      <c r="E829" s="383" t="s">
        <v>3225</v>
      </c>
      <c r="F829" s="381" t="s">
        <v>3125</v>
      </c>
      <c r="G829" s="384" t="s">
        <v>329</v>
      </c>
      <c r="H829" s="24">
        <v>81.34</v>
      </c>
      <c r="I829" s="24"/>
      <c r="J829" s="25" t="str">
        <f t="shared" si="40"/>
        <v>1</v>
      </c>
      <c r="K829" s="385"/>
      <c r="L829" s="385"/>
      <c r="M829" s="386">
        <f t="shared" si="38"/>
        <v>81.34</v>
      </c>
      <c r="N829" s="496">
        <v>500</v>
      </c>
      <c r="O829" s="333">
        <f t="shared" si="39"/>
        <v>581.34</v>
      </c>
      <c r="R829" s="23" t="str">
        <f>VLOOKUP(C:C,'Historic Data - working'!A:B,1,FALSE)</f>
        <v>EAS050X</v>
      </c>
      <c r="U829" s="323"/>
      <c r="V829" s="323"/>
      <c r="W829" s="323"/>
    </row>
    <row r="830" spans="1:23" s="23" customFormat="1" ht="14.25" hidden="1" x14ac:dyDescent="0.2">
      <c r="A830" s="381" t="s">
        <v>2965</v>
      </c>
      <c r="B830" s="381" t="s">
        <v>324</v>
      </c>
      <c r="C830" s="405" t="s">
        <v>3226</v>
      </c>
      <c r="D830" s="381" t="s">
        <v>3227</v>
      </c>
      <c r="E830" s="383" t="s">
        <v>47</v>
      </c>
      <c r="F830" s="381" t="s">
        <v>3228</v>
      </c>
      <c r="G830" s="384" t="s">
        <v>329</v>
      </c>
      <c r="H830" s="24">
        <v>737.1</v>
      </c>
      <c r="I830" s="24"/>
      <c r="J830" s="25" t="str">
        <f t="shared" si="40"/>
        <v>1</v>
      </c>
      <c r="K830" s="385"/>
      <c r="L830" s="385"/>
      <c r="M830" s="386">
        <f t="shared" si="38"/>
        <v>737.1</v>
      </c>
      <c r="N830" s="496">
        <v>851</v>
      </c>
      <c r="O830" s="333">
        <f t="shared" si="39"/>
        <v>1588.1</v>
      </c>
      <c r="R830" s="23" t="str">
        <f>VLOOKUP(C:C,'Historic Data - working'!A:B,1,FALSE)</f>
        <v>EAS051</v>
      </c>
      <c r="U830" s="323"/>
      <c r="V830" s="323"/>
      <c r="W830" s="323"/>
    </row>
    <row r="831" spans="1:23" s="23" customFormat="1" ht="14.25" hidden="1" x14ac:dyDescent="0.2">
      <c r="A831" s="381" t="s">
        <v>2965</v>
      </c>
      <c r="B831" s="381" t="s">
        <v>324</v>
      </c>
      <c r="C831" s="405" t="s">
        <v>3229</v>
      </c>
      <c r="D831" s="381" t="s">
        <v>3230</v>
      </c>
      <c r="E831" s="383" t="s">
        <v>896</v>
      </c>
      <c r="F831" s="381" t="s">
        <v>3041</v>
      </c>
      <c r="G831" s="384"/>
      <c r="H831" s="24"/>
      <c r="I831" s="24"/>
      <c r="J831" s="25" t="str">
        <f t="shared" si="40"/>
        <v xml:space="preserve"> </v>
      </c>
      <c r="K831" s="385"/>
      <c r="L831" s="385"/>
      <c r="M831" s="386">
        <f t="shared" si="38"/>
        <v>0</v>
      </c>
      <c r="N831" s="496"/>
      <c r="O831" s="333">
        <f t="shared" si="39"/>
        <v>0</v>
      </c>
      <c r="R831" s="23" t="e">
        <f>VLOOKUP(C:C,'Historic Data - working'!A:B,1,FALSE)</f>
        <v>#N/A</v>
      </c>
      <c r="U831" s="323"/>
      <c r="V831" s="323"/>
      <c r="W831" s="323"/>
    </row>
    <row r="832" spans="1:23" s="23" customFormat="1" ht="14.25" hidden="1" x14ac:dyDescent="0.2">
      <c r="A832" s="381" t="s">
        <v>2965</v>
      </c>
      <c r="B832" s="381" t="s">
        <v>324</v>
      </c>
      <c r="C832" s="405" t="s">
        <v>3231</v>
      </c>
      <c r="D832" s="381" t="s">
        <v>3232</v>
      </c>
      <c r="E832" s="383" t="s">
        <v>61</v>
      </c>
      <c r="F832" s="381" t="s">
        <v>3016</v>
      </c>
      <c r="G832" s="384" t="s">
        <v>329</v>
      </c>
      <c r="H832" s="24">
        <v>178.1</v>
      </c>
      <c r="I832" s="24"/>
      <c r="J832" s="25" t="str">
        <f t="shared" si="40"/>
        <v>1</v>
      </c>
      <c r="K832" s="385"/>
      <c r="L832" s="385"/>
      <c r="M832" s="386">
        <f t="shared" si="38"/>
        <v>178.1</v>
      </c>
      <c r="N832" s="496">
        <v>480</v>
      </c>
      <c r="O832" s="333">
        <f t="shared" si="39"/>
        <v>658.1</v>
      </c>
      <c r="R832" s="23" t="str">
        <f>VLOOKUP(C:C,'Historic Data - working'!A:B,1,FALSE)</f>
        <v>EAS052</v>
      </c>
      <c r="U832" s="323"/>
      <c r="V832" s="323"/>
      <c r="W832" s="323"/>
    </row>
    <row r="833" spans="1:23" s="23" customFormat="1" ht="14.25" hidden="1" x14ac:dyDescent="0.2">
      <c r="A833" s="381" t="s">
        <v>2965</v>
      </c>
      <c r="B833" s="381" t="s">
        <v>324</v>
      </c>
      <c r="C833" s="405" t="s">
        <v>3233</v>
      </c>
      <c r="D833" s="381" t="s">
        <v>3234</v>
      </c>
      <c r="E833" s="383" t="s">
        <v>1203</v>
      </c>
      <c r="F833" s="381" t="s">
        <v>3041</v>
      </c>
      <c r="G833" s="384" t="s">
        <v>329</v>
      </c>
      <c r="H833" s="24">
        <v>1289</v>
      </c>
      <c r="I833" s="24"/>
      <c r="J833" s="25" t="str">
        <f t="shared" si="40"/>
        <v>1</v>
      </c>
      <c r="K833" s="387" t="s">
        <v>3235</v>
      </c>
      <c r="L833" s="385">
        <v>-5.5</v>
      </c>
      <c r="M833" s="386">
        <f t="shared" si="38"/>
        <v>1283.5</v>
      </c>
      <c r="N833" s="496">
        <v>99.999999999999986</v>
      </c>
      <c r="O833" s="333">
        <f t="shared" si="39"/>
        <v>1383.5</v>
      </c>
      <c r="R833" s="23" t="str">
        <f>VLOOKUP(C:C,'Historic Data - working'!A:B,1,FALSE)</f>
        <v>EAS053</v>
      </c>
      <c r="U833" s="323"/>
      <c r="V833" s="323"/>
      <c r="W833" s="323"/>
    </row>
    <row r="834" spans="1:23" s="23" customFormat="1" ht="14.25" hidden="1" x14ac:dyDescent="0.2">
      <c r="A834" s="381" t="s">
        <v>2965</v>
      </c>
      <c r="B834" s="381" t="s">
        <v>324</v>
      </c>
      <c r="C834" s="405" t="s">
        <v>3236</v>
      </c>
      <c r="D834" s="381" t="s">
        <v>3237</v>
      </c>
      <c r="E834" s="383" t="s">
        <v>3238</v>
      </c>
      <c r="F834" s="381" t="s">
        <v>3239</v>
      </c>
      <c r="G834" s="384" t="s">
        <v>329</v>
      </c>
      <c r="H834" s="31">
        <f>321.8+12.85+357.67+393.78+60.65+99.17</f>
        <v>1245.92</v>
      </c>
      <c r="I834" s="24"/>
      <c r="J834" s="25" t="str">
        <f t="shared" si="40"/>
        <v>1</v>
      </c>
      <c r="K834" s="387" t="s">
        <v>3240</v>
      </c>
      <c r="L834" s="385">
        <v>15.5</v>
      </c>
      <c r="M834" s="386">
        <f t="shared" ref="M834:M897" si="41">H834+L834</f>
        <v>1261.42</v>
      </c>
      <c r="N834" s="496">
        <v>900</v>
      </c>
      <c r="O834" s="334">
        <f t="shared" ref="O834:O897" si="42">M834+N834</f>
        <v>2161.42</v>
      </c>
      <c r="P834" s="351"/>
      <c r="Q834" s="331"/>
      <c r="R834" s="331" t="e">
        <f>VLOOKUP(C:C,'Historic Data - working'!A:B,1,FALSE)</f>
        <v>#N/A</v>
      </c>
      <c r="U834" s="323"/>
      <c r="V834" s="323"/>
      <c r="W834" s="323"/>
    </row>
    <row r="835" spans="1:23" s="23" customFormat="1" ht="14.25" hidden="1" x14ac:dyDescent="0.2">
      <c r="A835" s="381" t="s">
        <v>2965</v>
      </c>
      <c r="B835" s="381" t="s">
        <v>324</v>
      </c>
      <c r="C835" s="405" t="s">
        <v>3241</v>
      </c>
      <c r="D835" s="381" t="s">
        <v>3242</v>
      </c>
      <c r="E835" s="383" t="s">
        <v>47</v>
      </c>
      <c r="F835" s="381" t="s">
        <v>3243</v>
      </c>
      <c r="G835" s="384"/>
      <c r="H835" s="24"/>
      <c r="I835" s="24"/>
      <c r="J835" s="25" t="str">
        <f t="shared" si="40"/>
        <v xml:space="preserve"> </v>
      </c>
      <c r="K835" s="385"/>
      <c r="L835" s="385"/>
      <c r="M835" s="386">
        <f t="shared" si="41"/>
        <v>0</v>
      </c>
      <c r="N835" s="496">
        <v>130</v>
      </c>
      <c r="O835" s="333">
        <f t="shared" si="42"/>
        <v>130</v>
      </c>
      <c r="R835" s="23" t="str">
        <f>VLOOKUP(C:C,'Historic Data - working'!A:B,1,FALSE)</f>
        <v>EAS055</v>
      </c>
      <c r="U835" s="323"/>
      <c r="V835" s="323"/>
      <c r="W835" s="323"/>
    </row>
    <row r="836" spans="1:23" s="23" customFormat="1" ht="14.25" hidden="1" x14ac:dyDescent="0.2">
      <c r="A836" s="381" t="s">
        <v>2965</v>
      </c>
      <c r="B836" s="381" t="s">
        <v>324</v>
      </c>
      <c r="C836" s="405" t="s">
        <v>3244</v>
      </c>
      <c r="D836" s="381" t="s">
        <v>3245</v>
      </c>
      <c r="E836" s="383" t="s">
        <v>3246</v>
      </c>
      <c r="F836" s="381" t="s">
        <v>3247</v>
      </c>
      <c r="G836" s="384"/>
      <c r="H836" s="24"/>
      <c r="I836" s="24"/>
      <c r="J836" s="25" t="str">
        <f t="shared" si="40"/>
        <v xml:space="preserve"> </v>
      </c>
      <c r="K836" s="385"/>
      <c r="L836" s="385"/>
      <c r="M836" s="386">
        <f t="shared" si="41"/>
        <v>0</v>
      </c>
      <c r="N836" s="496"/>
      <c r="O836" s="333">
        <f t="shared" si="42"/>
        <v>0</v>
      </c>
      <c r="R836" s="23" t="e">
        <f>VLOOKUP(C:C,'Historic Data - working'!A:B,1,FALSE)</f>
        <v>#N/A</v>
      </c>
      <c r="U836" s="323"/>
      <c r="V836" s="323"/>
      <c r="W836" s="323"/>
    </row>
    <row r="837" spans="1:23" s="23" customFormat="1" ht="14.25" hidden="1" x14ac:dyDescent="0.2">
      <c r="A837" s="381" t="s">
        <v>2965</v>
      </c>
      <c r="B837" s="381" t="s">
        <v>324</v>
      </c>
      <c r="C837" s="405" t="s">
        <v>3248</v>
      </c>
      <c r="D837" s="381" t="s">
        <v>3249</v>
      </c>
      <c r="E837" s="383" t="s">
        <v>3250</v>
      </c>
      <c r="F837" s="381" t="s">
        <v>3251</v>
      </c>
      <c r="G837" s="384" t="s">
        <v>329</v>
      </c>
      <c r="H837" s="24">
        <f>660.08+19.39</f>
        <v>679.47</v>
      </c>
      <c r="I837" s="24"/>
      <c r="J837" s="25" t="str">
        <f t="shared" si="40"/>
        <v>1</v>
      </c>
      <c r="K837" s="385"/>
      <c r="L837" s="385"/>
      <c r="M837" s="386">
        <f t="shared" si="41"/>
        <v>679.47</v>
      </c>
      <c r="N837" s="496">
        <v>135</v>
      </c>
      <c r="O837" s="333">
        <f t="shared" si="42"/>
        <v>814.47</v>
      </c>
      <c r="R837" s="23" t="str">
        <f>VLOOKUP(C:C,'Historic Data - working'!A:B,1,FALSE)</f>
        <v>EAS056</v>
      </c>
      <c r="U837" s="323"/>
      <c r="V837" s="323"/>
      <c r="W837" s="323"/>
    </row>
    <row r="838" spans="1:23" s="23" customFormat="1" ht="14.25" hidden="1" x14ac:dyDescent="0.2">
      <c r="A838" s="381" t="s">
        <v>2965</v>
      </c>
      <c r="B838" s="381" t="s">
        <v>324</v>
      </c>
      <c r="C838" s="405" t="s">
        <v>3252</v>
      </c>
      <c r="D838" s="381" t="s">
        <v>3253</v>
      </c>
      <c r="E838" s="383" t="s">
        <v>3254</v>
      </c>
      <c r="F838" s="381" t="s">
        <v>3255</v>
      </c>
      <c r="G838" s="384"/>
      <c r="H838" s="24"/>
      <c r="I838" s="24"/>
      <c r="J838" s="25" t="str">
        <f t="shared" si="40"/>
        <v xml:space="preserve"> </v>
      </c>
      <c r="K838" s="385"/>
      <c r="L838" s="385"/>
      <c r="M838" s="386">
        <f t="shared" si="41"/>
        <v>0</v>
      </c>
      <c r="N838" s="496"/>
      <c r="O838" s="333">
        <f t="shared" si="42"/>
        <v>0</v>
      </c>
      <c r="R838" s="23" t="e">
        <f>VLOOKUP(C:C,'Historic Data - working'!A:B,1,FALSE)</f>
        <v>#N/A</v>
      </c>
      <c r="U838" s="323"/>
      <c r="V838" s="323"/>
      <c r="W838" s="323"/>
    </row>
    <row r="839" spans="1:23" s="23" customFormat="1" ht="14.25" hidden="1" x14ac:dyDescent="0.2">
      <c r="A839" s="381" t="s">
        <v>2965</v>
      </c>
      <c r="B839" s="381" t="s">
        <v>324</v>
      </c>
      <c r="C839" s="405" t="s">
        <v>3256</v>
      </c>
      <c r="D839" s="381" t="s">
        <v>3257</v>
      </c>
      <c r="E839" s="383" t="s">
        <v>3258</v>
      </c>
      <c r="F839" s="381" t="s">
        <v>3259</v>
      </c>
      <c r="G839" s="384"/>
      <c r="H839" s="24"/>
      <c r="I839" s="24"/>
      <c r="J839" s="25" t="str">
        <f t="shared" si="40"/>
        <v xml:space="preserve"> </v>
      </c>
      <c r="K839" s="385"/>
      <c r="L839" s="385"/>
      <c r="M839" s="386">
        <f t="shared" si="41"/>
        <v>0</v>
      </c>
      <c r="N839" s="496">
        <v>340</v>
      </c>
      <c r="O839" s="333">
        <f t="shared" si="42"/>
        <v>340</v>
      </c>
      <c r="R839" s="23" t="e">
        <f>VLOOKUP(C:C,'Historic Data - working'!A:B,1,FALSE)</f>
        <v>#N/A</v>
      </c>
      <c r="U839" s="323"/>
      <c r="V839" s="323"/>
      <c r="W839" s="323"/>
    </row>
    <row r="840" spans="1:23" s="23" customFormat="1" ht="14.25" hidden="1" x14ac:dyDescent="0.2">
      <c r="A840" s="381" t="s">
        <v>2965</v>
      </c>
      <c r="B840" s="381" t="s">
        <v>324</v>
      </c>
      <c r="C840" s="405" t="s">
        <v>3260</v>
      </c>
      <c r="D840" s="381" t="s">
        <v>3261</v>
      </c>
      <c r="E840" s="383" t="s">
        <v>3262</v>
      </c>
      <c r="F840" s="381" t="s">
        <v>3263</v>
      </c>
      <c r="G840" s="384" t="s">
        <v>329</v>
      </c>
      <c r="H840" s="24">
        <f>367.25+105+20+5</f>
        <v>497.25</v>
      </c>
      <c r="I840" s="24"/>
      <c r="J840" s="25" t="str">
        <f t="shared" si="40"/>
        <v>1</v>
      </c>
      <c r="K840" s="385"/>
      <c r="L840" s="385"/>
      <c r="M840" s="386">
        <f t="shared" si="41"/>
        <v>497.25</v>
      </c>
      <c r="N840" s="496">
        <v>645</v>
      </c>
      <c r="O840" s="333">
        <f t="shared" si="42"/>
        <v>1142.25</v>
      </c>
      <c r="R840" s="23" t="str">
        <f>VLOOKUP(C:C,'Historic Data - working'!A:B,1,FALSE)</f>
        <v>EAS058</v>
      </c>
      <c r="U840" s="323"/>
      <c r="V840" s="323"/>
      <c r="W840" s="323"/>
    </row>
    <row r="841" spans="1:23" s="23" customFormat="1" ht="28.5" hidden="1" x14ac:dyDescent="0.2">
      <c r="A841" s="381" t="s">
        <v>2965</v>
      </c>
      <c r="B841" s="381" t="s">
        <v>351</v>
      </c>
      <c r="C841" s="405" t="s">
        <v>3264</v>
      </c>
      <c r="D841" s="381" t="s">
        <v>3265</v>
      </c>
      <c r="E841" s="383" t="s">
        <v>3266</v>
      </c>
      <c r="F841" s="381" t="s">
        <v>3267</v>
      </c>
      <c r="G841" s="384"/>
      <c r="H841" s="24"/>
      <c r="I841" s="24"/>
      <c r="J841" s="25" t="str">
        <f t="shared" si="40"/>
        <v xml:space="preserve"> </v>
      </c>
      <c r="K841" s="385"/>
      <c r="L841" s="385"/>
      <c r="M841" s="386">
        <f t="shared" si="41"/>
        <v>0</v>
      </c>
      <c r="N841" s="496"/>
      <c r="O841" s="333">
        <f t="shared" si="42"/>
        <v>0</v>
      </c>
      <c r="R841" s="23" t="e">
        <f>VLOOKUP(C:C,'Historic Data - working'!A:B,1,FALSE)</f>
        <v>#N/A</v>
      </c>
      <c r="U841" s="323"/>
      <c r="V841" s="323"/>
      <c r="W841" s="323"/>
    </row>
    <row r="842" spans="1:23" s="23" customFormat="1" ht="28.5" hidden="1" x14ac:dyDescent="0.2">
      <c r="A842" s="381" t="s">
        <v>2965</v>
      </c>
      <c r="B842" s="381" t="s">
        <v>351</v>
      </c>
      <c r="C842" s="405" t="s">
        <v>3268</v>
      </c>
      <c r="D842" s="381" t="s">
        <v>3269</v>
      </c>
      <c r="E842" s="383" t="s">
        <v>3270</v>
      </c>
      <c r="F842" s="381" t="s">
        <v>3271</v>
      </c>
      <c r="G842" s="384"/>
      <c r="H842" s="24"/>
      <c r="I842" s="24"/>
      <c r="J842" s="25" t="str">
        <f t="shared" si="40"/>
        <v xml:space="preserve"> </v>
      </c>
      <c r="K842" s="385"/>
      <c r="L842" s="385"/>
      <c r="M842" s="386">
        <f t="shared" si="41"/>
        <v>0</v>
      </c>
      <c r="N842" s="496"/>
      <c r="O842" s="333">
        <f t="shared" si="42"/>
        <v>0</v>
      </c>
      <c r="R842" s="23" t="e">
        <f>VLOOKUP(C:C,'Historic Data - working'!A:B,1,FALSE)</f>
        <v>#N/A</v>
      </c>
      <c r="U842" s="323"/>
      <c r="V842" s="323"/>
      <c r="W842" s="323"/>
    </row>
    <row r="843" spans="1:23" s="23" customFormat="1" ht="14.25" hidden="1" x14ac:dyDescent="0.2">
      <c r="A843" s="381" t="s">
        <v>2965</v>
      </c>
      <c r="B843" s="381" t="s">
        <v>324</v>
      </c>
      <c r="C843" s="405" t="s">
        <v>3272</v>
      </c>
      <c r="D843" s="381" t="s">
        <v>3273</v>
      </c>
      <c r="E843" s="383" t="s">
        <v>31</v>
      </c>
      <c r="F843" s="381" t="s">
        <v>3274</v>
      </c>
      <c r="G843" s="384" t="s">
        <v>329</v>
      </c>
      <c r="H843" s="24">
        <f>319.77+137.7+26</f>
        <v>483.46999999999997</v>
      </c>
      <c r="I843" s="24"/>
      <c r="J843" s="25" t="str">
        <f t="shared" si="40"/>
        <v>1</v>
      </c>
      <c r="K843" s="387" t="s">
        <v>3275</v>
      </c>
      <c r="L843" s="385">
        <v>-319.77</v>
      </c>
      <c r="M843" s="386">
        <f t="shared" si="41"/>
        <v>163.69999999999999</v>
      </c>
      <c r="N843" s="496">
        <v>325.45</v>
      </c>
      <c r="O843" s="333">
        <f t="shared" si="42"/>
        <v>489.15</v>
      </c>
      <c r="R843" s="23" t="str">
        <f>VLOOKUP(C:C,'Historic Data - working'!A:B,1,FALSE)</f>
        <v>EAS059</v>
      </c>
      <c r="U843" s="323"/>
      <c r="V843" s="323"/>
      <c r="W843" s="323"/>
    </row>
    <row r="844" spans="1:23" s="23" customFormat="1" ht="14.25" hidden="1" x14ac:dyDescent="0.2">
      <c r="A844" s="381" t="s">
        <v>2965</v>
      </c>
      <c r="B844" s="381" t="s">
        <v>324</v>
      </c>
      <c r="C844" s="405" t="s">
        <v>3276</v>
      </c>
      <c r="D844" s="381" t="s">
        <v>3277</v>
      </c>
      <c r="E844" s="383" t="s">
        <v>3278</v>
      </c>
      <c r="F844" s="381" t="s">
        <v>3279</v>
      </c>
      <c r="G844" s="384"/>
      <c r="H844" s="24"/>
      <c r="I844" s="24"/>
      <c r="J844" s="25" t="str">
        <f t="shared" si="40"/>
        <v xml:space="preserve"> </v>
      </c>
      <c r="K844" s="385"/>
      <c r="L844" s="385"/>
      <c r="M844" s="386">
        <f t="shared" si="41"/>
        <v>0</v>
      </c>
      <c r="N844" s="496"/>
      <c r="O844" s="333">
        <f t="shared" si="42"/>
        <v>0</v>
      </c>
      <c r="R844" s="23" t="e">
        <f>VLOOKUP(C:C,'Historic Data - working'!A:B,1,FALSE)</f>
        <v>#N/A</v>
      </c>
      <c r="U844" s="323"/>
      <c r="V844" s="323"/>
      <c r="W844" s="323"/>
    </row>
    <row r="845" spans="1:23" s="23" customFormat="1" ht="14.25" hidden="1" x14ac:dyDescent="0.2">
      <c r="A845" s="381" t="s">
        <v>2965</v>
      </c>
      <c r="B845" s="381" t="s">
        <v>351</v>
      </c>
      <c r="C845" s="405" t="s">
        <v>3280</v>
      </c>
      <c r="D845" s="381" t="s">
        <v>3281</v>
      </c>
      <c r="E845" s="383" t="s">
        <v>119</v>
      </c>
      <c r="F845" s="381" t="s">
        <v>3282</v>
      </c>
      <c r="G845" s="384"/>
      <c r="H845" s="24"/>
      <c r="I845" s="24"/>
      <c r="J845" s="25" t="str">
        <f t="shared" si="40"/>
        <v xml:space="preserve"> </v>
      </c>
      <c r="K845" s="385"/>
      <c r="L845" s="385"/>
      <c r="M845" s="386">
        <f t="shared" si="41"/>
        <v>0</v>
      </c>
      <c r="N845" s="496"/>
      <c r="O845" s="333">
        <f t="shared" si="42"/>
        <v>0</v>
      </c>
      <c r="R845" s="23" t="e">
        <f>VLOOKUP(C:C,'Historic Data - working'!A:B,1,FALSE)</f>
        <v>#N/A</v>
      </c>
      <c r="U845" s="323"/>
      <c r="V845" s="323"/>
      <c r="W845" s="323"/>
    </row>
    <row r="846" spans="1:23" s="23" customFormat="1" ht="14.25" hidden="1" x14ac:dyDescent="0.2">
      <c r="A846" s="381" t="s">
        <v>2965</v>
      </c>
      <c r="B846" s="381" t="s">
        <v>324</v>
      </c>
      <c r="C846" s="405" t="s">
        <v>3283</v>
      </c>
      <c r="D846" s="381" t="s">
        <v>3284</v>
      </c>
      <c r="E846" s="383" t="s">
        <v>3285</v>
      </c>
      <c r="F846" s="381" t="s">
        <v>3004</v>
      </c>
      <c r="G846" s="384"/>
      <c r="H846" s="24"/>
      <c r="I846" s="24"/>
      <c r="J846" s="25" t="str">
        <f t="shared" si="40"/>
        <v xml:space="preserve"> </v>
      </c>
      <c r="K846" s="385"/>
      <c r="L846" s="385"/>
      <c r="M846" s="386">
        <f t="shared" si="41"/>
        <v>0</v>
      </c>
      <c r="N846" s="496"/>
      <c r="O846" s="333">
        <f t="shared" si="42"/>
        <v>0</v>
      </c>
      <c r="R846" s="23" t="e">
        <f>VLOOKUP(C:C,'Historic Data - working'!A:B,1,FALSE)</f>
        <v>#N/A</v>
      </c>
      <c r="U846" s="323"/>
      <c r="V846" s="323"/>
      <c r="W846" s="323"/>
    </row>
    <row r="847" spans="1:23" s="23" customFormat="1" ht="14.25" hidden="1" x14ac:dyDescent="0.2">
      <c r="A847" s="381" t="s">
        <v>2965</v>
      </c>
      <c r="B847" s="381" t="s">
        <v>324</v>
      </c>
      <c r="C847" s="405" t="s">
        <v>3286</v>
      </c>
      <c r="D847" s="381" t="s">
        <v>3287</v>
      </c>
      <c r="E847" s="383" t="s">
        <v>3288</v>
      </c>
      <c r="F847" s="381" t="s">
        <v>3195</v>
      </c>
      <c r="G847" s="384" t="s">
        <v>329</v>
      </c>
      <c r="H847" s="24">
        <v>0</v>
      </c>
      <c r="I847" s="24">
        <v>0</v>
      </c>
      <c r="J847" s="25" t="str">
        <f t="shared" si="40"/>
        <v>1</v>
      </c>
      <c r="K847" s="385"/>
      <c r="L847" s="385"/>
      <c r="M847" s="386">
        <f t="shared" si="41"/>
        <v>0</v>
      </c>
      <c r="N847" s="496"/>
      <c r="O847" s="333">
        <f t="shared" si="42"/>
        <v>0</v>
      </c>
      <c r="R847" s="23" t="e">
        <f>VLOOKUP(C:C,'Historic Data - working'!A:B,1,FALSE)</f>
        <v>#N/A</v>
      </c>
      <c r="U847" s="323"/>
      <c r="V847" s="323"/>
      <c r="W847" s="323"/>
    </row>
    <row r="848" spans="1:23" s="23" customFormat="1" ht="14.25" hidden="1" x14ac:dyDescent="0.2">
      <c r="A848" s="381" t="s">
        <v>2965</v>
      </c>
      <c r="B848" s="381" t="s">
        <v>324</v>
      </c>
      <c r="C848" s="405" t="s">
        <v>3289</v>
      </c>
      <c r="D848" s="381" t="s">
        <v>3290</v>
      </c>
      <c r="E848" s="383" t="s">
        <v>3291</v>
      </c>
      <c r="F848" s="381" t="s">
        <v>3292</v>
      </c>
      <c r="G848" s="384" t="s">
        <v>329</v>
      </c>
      <c r="H848" s="24">
        <f>470.45+85.44</f>
        <v>555.89</v>
      </c>
      <c r="I848" s="24"/>
      <c r="J848" s="25" t="str">
        <f t="shared" si="40"/>
        <v>1</v>
      </c>
      <c r="K848" s="385"/>
      <c r="L848" s="385"/>
      <c r="M848" s="386">
        <f t="shared" si="41"/>
        <v>555.89</v>
      </c>
      <c r="N848" s="496">
        <v>15</v>
      </c>
      <c r="O848" s="333">
        <f t="shared" si="42"/>
        <v>570.89</v>
      </c>
      <c r="R848" s="23" t="str">
        <f>VLOOKUP(C:C,'Historic Data - working'!A:B,1,FALSE)</f>
        <v>EAS063</v>
      </c>
      <c r="U848" s="323"/>
      <c r="V848" s="323"/>
      <c r="W848" s="323"/>
    </row>
    <row r="849" spans="1:23" s="23" customFormat="1" ht="14.25" hidden="1" x14ac:dyDescent="0.2">
      <c r="A849" s="381" t="s">
        <v>2965</v>
      </c>
      <c r="B849" s="381" t="s">
        <v>324</v>
      </c>
      <c r="C849" s="405" t="s">
        <v>3293</v>
      </c>
      <c r="D849" s="381" t="s">
        <v>3294</v>
      </c>
      <c r="E849" s="383" t="s">
        <v>3295</v>
      </c>
      <c r="F849" s="381" t="s">
        <v>3104</v>
      </c>
      <c r="G849" s="384" t="s">
        <v>329</v>
      </c>
      <c r="H849" s="24">
        <f>116.37+224.29+23</f>
        <v>363.65999999999997</v>
      </c>
      <c r="I849" s="24"/>
      <c r="J849" s="25" t="str">
        <f t="shared" si="40"/>
        <v>1</v>
      </c>
      <c r="K849" s="385"/>
      <c r="L849" s="385"/>
      <c r="M849" s="386">
        <f t="shared" si="41"/>
        <v>363.65999999999997</v>
      </c>
      <c r="N849" s="496">
        <v>265</v>
      </c>
      <c r="O849" s="334">
        <f t="shared" si="42"/>
        <v>628.66</v>
      </c>
      <c r="P849" s="351"/>
      <c r="Q849" s="331"/>
      <c r="R849" s="331" t="e">
        <f>VLOOKUP(C:C,'Historic Data - working'!A:B,1,FALSE)</f>
        <v>#N/A</v>
      </c>
      <c r="U849" s="323"/>
      <c r="V849" s="323"/>
      <c r="W849" s="323"/>
    </row>
    <row r="850" spans="1:23" s="23" customFormat="1" ht="14.25" hidden="1" x14ac:dyDescent="0.2">
      <c r="A850" s="381" t="s">
        <v>2965</v>
      </c>
      <c r="B850" s="381" t="s">
        <v>324</v>
      </c>
      <c r="C850" s="405" t="s">
        <v>3296</v>
      </c>
      <c r="D850" s="381" t="s">
        <v>3297</v>
      </c>
      <c r="E850" s="383" t="s">
        <v>3298</v>
      </c>
      <c r="F850" s="381" t="s">
        <v>3299</v>
      </c>
      <c r="G850" s="384" t="s">
        <v>329</v>
      </c>
      <c r="H850" s="24">
        <f>31.27+73.32+98.61+54.88+73.95+17.42+7.72+29.65+112.34+49.65+18.14+10.49</f>
        <v>577.43999999999994</v>
      </c>
      <c r="I850" s="24"/>
      <c r="J850" s="25" t="str">
        <f t="shared" si="40"/>
        <v>1</v>
      </c>
      <c r="K850" s="387" t="s">
        <v>3300</v>
      </c>
      <c r="L850" s="385">
        <v>-0.02</v>
      </c>
      <c r="M850" s="386">
        <f t="shared" si="41"/>
        <v>577.41999999999996</v>
      </c>
      <c r="N850" s="496">
        <v>1135</v>
      </c>
      <c r="O850" s="333">
        <f t="shared" si="42"/>
        <v>1712.42</v>
      </c>
      <c r="R850" s="23" t="str">
        <f>VLOOKUP(C:C,'Historic Data - working'!A:B,1,FALSE)</f>
        <v>EAS065</v>
      </c>
      <c r="U850" s="323"/>
      <c r="V850" s="323"/>
      <c r="W850" s="323"/>
    </row>
    <row r="851" spans="1:23" s="23" customFormat="1" ht="28.5" hidden="1" x14ac:dyDescent="0.2">
      <c r="A851" s="381" t="s">
        <v>2965</v>
      </c>
      <c r="B851" s="381" t="s">
        <v>324</v>
      </c>
      <c r="C851" s="405" t="s">
        <v>3301</v>
      </c>
      <c r="D851" s="381" t="s">
        <v>3302</v>
      </c>
      <c r="E851" s="383" t="s">
        <v>3303</v>
      </c>
      <c r="F851" s="381" t="s">
        <v>3299</v>
      </c>
      <c r="G851" s="384"/>
      <c r="H851" s="24"/>
      <c r="I851" s="24"/>
      <c r="J851" s="25" t="str">
        <f t="shared" si="40"/>
        <v xml:space="preserve"> </v>
      </c>
      <c r="K851" s="385"/>
      <c r="L851" s="385"/>
      <c r="M851" s="386">
        <f t="shared" si="41"/>
        <v>0</v>
      </c>
      <c r="N851" s="496"/>
      <c r="O851" s="333">
        <f t="shared" si="42"/>
        <v>0</v>
      </c>
      <c r="R851" s="23" t="e">
        <f>VLOOKUP(C:C,'Historic Data - working'!A:B,1,FALSE)</f>
        <v>#N/A</v>
      </c>
      <c r="U851" s="323"/>
      <c r="V851" s="323"/>
      <c r="W851" s="323"/>
    </row>
    <row r="852" spans="1:23" s="23" customFormat="1" ht="14.25" hidden="1" x14ac:dyDescent="0.2">
      <c r="A852" s="381" t="s">
        <v>2965</v>
      </c>
      <c r="B852" s="381" t="s">
        <v>324</v>
      </c>
      <c r="C852" s="405" t="s">
        <v>3304</v>
      </c>
      <c r="D852" s="381" t="s">
        <v>3305</v>
      </c>
      <c r="E852" s="383" t="s">
        <v>31</v>
      </c>
      <c r="F852" s="381" t="s">
        <v>3110</v>
      </c>
      <c r="G852" s="384" t="s">
        <v>329</v>
      </c>
      <c r="H852" s="24">
        <f>28.61+136.57+107.07+45.03</f>
        <v>317.27999999999997</v>
      </c>
      <c r="I852" s="24"/>
      <c r="J852" s="25" t="str">
        <f t="shared" si="40"/>
        <v>1</v>
      </c>
      <c r="K852" s="387" t="s">
        <v>3306</v>
      </c>
      <c r="L852" s="385">
        <v>-0.5</v>
      </c>
      <c r="M852" s="386">
        <f t="shared" si="41"/>
        <v>316.77999999999997</v>
      </c>
      <c r="N852" s="496"/>
      <c r="O852" s="333">
        <f t="shared" si="42"/>
        <v>316.77999999999997</v>
      </c>
      <c r="R852" s="23" t="str">
        <f>VLOOKUP(C:C,'Historic Data - working'!A:B,1,FALSE)</f>
        <v>EAS066</v>
      </c>
      <c r="U852" s="323"/>
      <c r="V852" s="323"/>
      <c r="W852" s="323"/>
    </row>
    <row r="853" spans="1:23" s="23" customFormat="1" ht="14.25" hidden="1" x14ac:dyDescent="0.2">
      <c r="A853" s="381" t="s">
        <v>2965</v>
      </c>
      <c r="B853" s="381" t="s">
        <v>351</v>
      </c>
      <c r="C853" s="405" t="s">
        <v>3307</v>
      </c>
      <c r="D853" s="381" t="s">
        <v>3308</v>
      </c>
      <c r="E853" s="383" t="s">
        <v>3309</v>
      </c>
      <c r="F853" s="381" t="s">
        <v>3310</v>
      </c>
      <c r="G853" s="384"/>
      <c r="H853" s="24"/>
      <c r="I853" s="24"/>
      <c r="J853" s="25" t="str">
        <f t="shared" si="40"/>
        <v xml:space="preserve"> </v>
      </c>
      <c r="K853" s="385"/>
      <c r="L853" s="385"/>
      <c r="M853" s="386">
        <f t="shared" si="41"/>
        <v>0</v>
      </c>
      <c r="N853" s="496"/>
      <c r="O853" s="333">
        <f t="shared" si="42"/>
        <v>0</v>
      </c>
      <c r="R853" s="23" t="e">
        <f>VLOOKUP(C:C,'Historic Data - working'!A:B,1,FALSE)</f>
        <v>#N/A</v>
      </c>
      <c r="U853" s="323"/>
      <c r="V853" s="323"/>
      <c r="W853" s="323"/>
    </row>
    <row r="854" spans="1:23" s="23" customFormat="1" ht="14.25" hidden="1" x14ac:dyDescent="0.2">
      <c r="A854" s="381" t="s">
        <v>2965</v>
      </c>
      <c r="B854" s="381" t="s">
        <v>351</v>
      </c>
      <c r="C854" s="405" t="s">
        <v>3311</v>
      </c>
      <c r="D854" s="381" t="s">
        <v>3312</v>
      </c>
      <c r="E854" s="383" t="s">
        <v>3313</v>
      </c>
      <c r="F854" s="381" t="s">
        <v>3314</v>
      </c>
      <c r="G854" s="384"/>
      <c r="H854" s="24"/>
      <c r="I854" s="24"/>
      <c r="J854" s="25" t="str">
        <f t="shared" si="40"/>
        <v xml:space="preserve"> </v>
      </c>
      <c r="K854" s="385"/>
      <c r="L854" s="385"/>
      <c r="M854" s="386">
        <f t="shared" si="41"/>
        <v>0</v>
      </c>
      <c r="N854" s="496"/>
      <c r="O854" s="333">
        <f t="shared" si="42"/>
        <v>0</v>
      </c>
      <c r="R854" s="23" t="e">
        <f>VLOOKUP(C:C,'Historic Data - working'!A:B,1,FALSE)</f>
        <v>#N/A</v>
      </c>
      <c r="U854" s="323"/>
      <c r="V854" s="323"/>
      <c r="W854" s="323"/>
    </row>
    <row r="855" spans="1:23" s="23" customFormat="1" ht="14.25" hidden="1" x14ac:dyDescent="0.2">
      <c r="A855" s="381" t="s">
        <v>2965</v>
      </c>
      <c r="B855" s="381" t="s">
        <v>324</v>
      </c>
      <c r="C855" s="405" t="s">
        <v>3315</v>
      </c>
      <c r="D855" s="381" t="s">
        <v>3316</v>
      </c>
      <c r="E855" s="383" t="s">
        <v>3047</v>
      </c>
      <c r="F855" s="381" t="s">
        <v>3317</v>
      </c>
      <c r="G855" s="384" t="s">
        <v>329</v>
      </c>
      <c r="H855" s="24"/>
      <c r="I855" s="24">
        <f>95.79+410.71</f>
        <v>506.5</v>
      </c>
      <c r="J855" s="25" t="str">
        <f t="shared" si="40"/>
        <v>1</v>
      </c>
      <c r="K855" s="385" t="s">
        <v>3318</v>
      </c>
      <c r="L855" s="385"/>
      <c r="M855" s="386">
        <f t="shared" si="41"/>
        <v>0</v>
      </c>
      <c r="N855" s="496">
        <v>506.5</v>
      </c>
      <c r="O855" s="333">
        <f t="shared" si="42"/>
        <v>506.5</v>
      </c>
      <c r="R855" s="23" t="str">
        <f>VLOOKUP(C:C,'Historic Data - working'!A:B,1,FALSE)</f>
        <v>EAS067</v>
      </c>
      <c r="U855" s="323"/>
      <c r="V855" s="323"/>
      <c r="W855" s="323"/>
    </row>
    <row r="856" spans="1:23" s="23" customFormat="1" ht="14.25" hidden="1" x14ac:dyDescent="0.2">
      <c r="A856" s="381" t="s">
        <v>2965</v>
      </c>
      <c r="B856" s="381" t="s">
        <v>324</v>
      </c>
      <c r="C856" s="405" t="s">
        <v>3319</v>
      </c>
      <c r="D856" s="381" t="s">
        <v>3320</v>
      </c>
      <c r="E856" s="383" t="s">
        <v>3321</v>
      </c>
      <c r="F856" s="385"/>
      <c r="G856" s="384"/>
      <c r="H856" s="24"/>
      <c r="I856" s="24"/>
      <c r="J856" s="25" t="str">
        <f t="shared" si="40"/>
        <v xml:space="preserve"> </v>
      </c>
      <c r="K856" s="385"/>
      <c r="L856" s="385"/>
      <c r="M856" s="386">
        <f t="shared" si="41"/>
        <v>0</v>
      </c>
      <c r="N856" s="496">
        <v>63</v>
      </c>
      <c r="O856" s="333">
        <f t="shared" si="42"/>
        <v>63</v>
      </c>
      <c r="R856" s="23" t="e">
        <f>VLOOKUP(C:C,'Historic Data - working'!A:B,1,FALSE)</f>
        <v>#N/A</v>
      </c>
      <c r="U856" s="323"/>
      <c r="V856" s="323"/>
      <c r="W856" s="323"/>
    </row>
    <row r="857" spans="1:23" s="23" customFormat="1" ht="14.25" hidden="1" x14ac:dyDescent="0.2">
      <c r="A857" s="381" t="s">
        <v>3322</v>
      </c>
      <c r="B857" s="381" t="s">
        <v>324</v>
      </c>
      <c r="C857" s="406" t="s">
        <v>3323</v>
      </c>
      <c r="D857" s="381" t="s">
        <v>3324</v>
      </c>
      <c r="E857" s="383" t="s">
        <v>3325</v>
      </c>
      <c r="F857" s="381" t="s">
        <v>3326</v>
      </c>
      <c r="G857" s="384"/>
      <c r="H857" s="24"/>
      <c r="I857" s="24"/>
      <c r="J857" s="25" t="str">
        <f t="shared" si="40"/>
        <v xml:space="preserve"> </v>
      </c>
      <c r="K857" s="385"/>
      <c r="L857" s="385"/>
      <c r="M857" s="386">
        <f t="shared" si="41"/>
        <v>0</v>
      </c>
      <c r="N857" s="496">
        <v>149</v>
      </c>
      <c r="O857" s="333">
        <f t="shared" si="42"/>
        <v>149</v>
      </c>
      <c r="R857" s="23" t="str">
        <f>VLOOKUP(C:C,'Historic Data - working'!A:B,1,FALSE)</f>
        <v>MEN001</v>
      </c>
      <c r="U857" s="323"/>
      <c r="V857" s="323"/>
      <c r="W857" s="323"/>
    </row>
    <row r="858" spans="1:23" s="23" customFormat="1" ht="14.25" hidden="1" x14ac:dyDescent="0.2">
      <c r="A858" s="381" t="s">
        <v>3322</v>
      </c>
      <c r="B858" s="381" t="s">
        <v>324</v>
      </c>
      <c r="C858" s="406" t="s">
        <v>3327</v>
      </c>
      <c r="D858" s="381" t="s">
        <v>3328</v>
      </c>
      <c r="E858" s="383" t="s">
        <v>3329</v>
      </c>
      <c r="F858" s="381" t="s">
        <v>3326</v>
      </c>
      <c r="G858" s="384"/>
      <c r="H858" s="24"/>
      <c r="I858" s="24"/>
      <c r="J858" s="25" t="str">
        <f t="shared" si="40"/>
        <v xml:space="preserve"> </v>
      </c>
      <c r="K858" s="385"/>
      <c r="L858" s="385"/>
      <c r="M858" s="386">
        <f t="shared" si="41"/>
        <v>0</v>
      </c>
      <c r="N858" s="496">
        <v>20</v>
      </c>
      <c r="O858" s="333">
        <f t="shared" si="42"/>
        <v>20</v>
      </c>
      <c r="R858" s="23" t="str">
        <f>VLOOKUP(C:C,'Historic Data - working'!A:B,1,FALSE)</f>
        <v>MEN002</v>
      </c>
      <c r="U858" s="323"/>
      <c r="V858" s="323"/>
      <c r="W858" s="323"/>
    </row>
    <row r="859" spans="1:23" s="23" customFormat="1" ht="14.25" hidden="1" x14ac:dyDescent="0.2">
      <c r="A859" s="381" t="s">
        <v>3322</v>
      </c>
      <c r="B859" s="381" t="s">
        <v>324</v>
      </c>
      <c r="C859" s="406" t="s">
        <v>3330</v>
      </c>
      <c r="D859" s="381" t="s">
        <v>3331</v>
      </c>
      <c r="E859" s="383" t="s">
        <v>2120</v>
      </c>
      <c r="F859" s="381" t="s">
        <v>3332</v>
      </c>
      <c r="G859" s="384"/>
      <c r="H859" s="24"/>
      <c r="I859" s="24"/>
      <c r="J859" s="25" t="str">
        <f t="shared" si="40"/>
        <v xml:space="preserve"> </v>
      </c>
      <c r="K859" s="385" t="s">
        <v>337</v>
      </c>
      <c r="L859" s="385">
        <v>1562.92</v>
      </c>
      <c r="M859" s="386">
        <f t="shared" si="41"/>
        <v>1562.92</v>
      </c>
      <c r="N859" s="496">
        <v>278.14999999999998</v>
      </c>
      <c r="O859" s="333">
        <f t="shared" si="42"/>
        <v>1841.0700000000002</v>
      </c>
      <c r="R859" s="23" t="str">
        <f>VLOOKUP(C:C,'Historic Data - working'!A:B,1,FALSE)</f>
        <v>MEN003</v>
      </c>
      <c r="U859" s="323"/>
      <c r="V859" s="323"/>
      <c r="W859" s="323"/>
    </row>
    <row r="860" spans="1:23" s="23" customFormat="1" ht="14.25" hidden="1" x14ac:dyDescent="0.2">
      <c r="A860" s="381" t="s">
        <v>3322</v>
      </c>
      <c r="B860" s="381" t="s">
        <v>324</v>
      </c>
      <c r="C860" s="406" t="s">
        <v>3333</v>
      </c>
      <c r="D860" s="381" t="s">
        <v>3334</v>
      </c>
      <c r="E860" s="383" t="s">
        <v>94</v>
      </c>
      <c r="F860" s="381" t="s">
        <v>3326</v>
      </c>
      <c r="G860" s="384" t="s">
        <v>329</v>
      </c>
      <c r="H860" s="24">
        <f>90.31+224.85+47.94</f>
        <v>363.09999999999997</v>
      </c>
      <c r="I860" s="24"/>
      <c r="J860" s="25" t="str">
        <f t="shared" si="40"/>
        <v>1</v>
      </c>
      <c r="K860" s="385" t="s">
        <v>3335</v>
      </c>
      <c r="L860" s="385"/>
      <c r="M860" s="386">
        <f t="shared" si="41"/>
        <v>363.09999999999997</v>
      </c>
      <c r="N860" s="496">
        <v>220</v>
      </c>
      <c r="O860" s="333">
        <f t="shared" si="42"/>
        <v>583.09999999999991</v>
      </c>
      <c r="R860" s="23" t="str">
        <f>VLOOKUP(C:C,'Historic Data - working'!A:B,1,FALSE)</f>
        <v>MEN004</v>
      </c>
      <c r="U860" s="323"/>
      <c r="V860" s="323"/>
      <c r="W860" s="323"/>
    </row>
    <row r="861" spans="1:23" s="23" customFormat="1" ht="14.25" hidden="1" x14ac:dyDescent="0.2">
      <c r="A861" s="381" t="s">
        <v>3322</v>
      </c>
      <c r="B861" s="381" t="s">
        <v>324</v>
      </c>
      <c r="C861" s="406" t="s">
        <v>3336</v>
      </c>
      <c r="D861" s="381" t="s">
        <v>3337</v>
      </c>
      <c r="E861" s="383" t="s">
        <v>1015</v>
      </c>
      <c r="F861" s="381" t="s">
        <v>3326</v>
      </c>
      <c r="G861" s="384" t="s">
        <v>329</v>
      </c>
      <c r="H861" s="24">
        <v>713.41</v>
      </c>
      <c r="I861" s="24"/>
      <c r="J861" s="25" t="str">
        <f t="shared" si="40"/>
        <v>1</v>
      </c>
      <c r="K861" s="387" t="s">
        <v>3338</v>
      </c>
      <c r="L861" s="385">
        <v>40</v>
      </c>
      <c r="M861" s="386">
        <f t="shared" si="41"/>
        <v>753.41</v>
      </c>
      <c r="N861" s="496">
        <v>5</v>
      </c>
      <c r="O861" s="333">
        <f t="shared" si="42"/>
        <v>758.41</v>
      </c>
      <c r="R861" s="23" t="str">
        <f>VLOOKUP(C:C,'Historic Data - working'!A:B,1,FALSE)</f>
        <v>MEN005</v>
      </c>
      <c r="U861" s="323"/>
      <c r="V861" s="323"/>
      <c r="W861" s="323"/>
    </row>
    <row r="862" spans="1:23" s="23" customFormat="1" ht="14.25" hidden="1" x14ac:dyDescent="0.2">
      <c r="A862" s="381" t="s">
        <v>3322</v>
      </c>
      <c r="B862" s="381" t="s">
        <v>324</v>
      </c>
      <c r="C862" s="406" t="s">
        <v>3339</v>
      </c>
      <c r="D862" s="381" t="s">
        <v>3340</v>
      </c>
      <c r="E862" s="383" t="s">
        <v>3341</v>
      </c>
      <c r="F862" s="381" t="s">
        <v>3326</v>
      </c>
      <c r="G862" s="384"/>
      <c r="H862" s="24"/>
      <c r="I862" s="24"/>
      <c r="J862" s="25" t="str">
        <f t="shared" si="40"/>
        <v xml:space="preserve"> </v>
      </c>
      <c r="K862" s="385" t="s">
        <v>337</v>
      </c>
      <c r="L862" s="385">
        <v>483.89</v>
      </c>
      <c r="M862" s="386">
        <f t="shared" si="41"/>
        <v>483.89</v>
      </c>
      <c r="N862" s="496">
        <v>25</v>
      </c>
      <c r="O862" s="333">
        <f t="shared" si="42"/>
        <v>508.89</v>
      </c>
      <c r="R862" s="23" t="str">
        <f>VLOOKUP(C:C,'Historic Data - working'!A:B,1,FALSE)</f>
        <v>MEN006</v>
      </c>
      <c r="U862" s="323"/>
      <c r="V862" s="323"/>
      <c r="W862" s="323"/>
    </row>
    <row r="863" spans="1:23" s="23" customFormat="1" ht="14.25" hidden="1" x14ac:dyDescent="0.2">
      <c r="A863" s="381" t="s">
        <v>3322</v>
      </c>
      <c r="B863" s="381" t="s">
        <v>324</v>
      </c>
      <c r="C863" s="406" t="s">
        <v>3342</v>
      </c>
      <c r="D863" s="381" t="s">
        <v>3343</v>
      </c>
      <c r="E863" s="383" t="s">
        <v>3344</v>
      </c>
      <c r="F863" s="381" t="s">
        <v>3326</v>
      </c>
      <c r="G863" s="384"/>
      <c r="H863" s="24"/>
      <c r="I863" s="24"/>
      <c r="J863" s="25" t="str">
        <f t="shared" si="40"/>
        <v xml:space="preserve"> </v>
      </c>
      <c r="K863" s="385" t="s">
        <v>337</v>
      </c>
      <c r="L863" s="385">
        <v>280.75</v>
      </c>
      <c r="M863" s="386">
        <f t="shared" si="41"/>
        <v>280.75</v>
      </c>
      <c r="N863" s="496"/>
      <c r="O863" s="333">
        <f t="shared" si="42"/>
        <v>280.75</v>
      </c>
      <c r="R863" s="23" t="str">
        <f>VLOOKUP(C:C,'Historic Data - working'!A:B,1,FALSE)</f>
        <v>MEN007</v>
      </c>
      <c r="U863" s="323"/>
      <c r="V863" s="323"/>
      <c r="W863" s="323"/>
    </row>
    <row r="864" spans="1:23" s="23" customFormat="1" ht="14.25" hidden="1" x14ac:dyDescent="0.2">
      <c r="A864" s="381" t="s">
        <v>3322</v>
      </c>
      <c r="B864" s="381" t="s">
        <v>324</v>
      </c>
      <c r="C864" s="406" t="s">
        <v>3345</v>
      </c>
      <c r="D864" s="381" t="s">
        <v>3346</v>
      </c>
      <c r="E864" s="383" t="s">
        <v>3347</v>
      </c>
      <c r="F864" s="381" t="s">
        <v>3326</v>
      </c>
      <c r="G864" s="384"/>
      <c r="H864" s="24"/>
      <c r="I864" s="24"/>
      <c r="J864" s="25" t="str">
        <f t="shared" si="40"/>
        <v xml:space="preserve"> </v>
      </c>
      <c r="K864" s="385"/>
      <c r="L864" s="385"/>
      <c r="M864" s="386">
        <f t="shared" si="41"/>
        <v>0</v>
      </c>
      <c r="N864" s="496">
        <v>100</v>
      </c>
      <c r="O864" s="333">
        <f t="shared" si="42"/>
        <v>100</v>
      </c>
      <c r="R864" s="23" t="str">
        <f>VLOOKUP(C:C,'Historic Data - working'!A:B,1,FALSE)</f>
        <v>MEN008</v>
      </c>
      <c r="U864" s="323"/>
      <c r="V864" s="323"/>
      <c r="W864" s="323"/>
    </row>
    <row r="865" spans="1:23" s="23" customFormat="1" ht="14.25" hidden="1" x14ac:dyDescent="0.2">
      <c r="A865" s="381" t="s">
        <v>3322</v>
      </c>
      <c r="B865" s="381" t="s">
        <v>324</v>
      </c>
      <c r="C865" s="406" t="s">
        <v>3348</v>
      </c>
      <c r="D865" s="381" t="s">
        <v>3349</v>
      </c>
      <c r="E865" s="383" t="s">
        <v>276</v>
      </c>
      <c r="F865" s="381" t="s">
        <v>3326</v>
      </c>
      <c r="G865" s="384"/>
      <c r="H865" s="24"/>
      <c r="I865" s="24"/>
      <c r="J865" s="25" t="str">
        <f t="shared" si="40"/>
        <v xml:space="preserve"> </v>
      </c>
      <c r="K865" s="385"/>
      <c r="L865" s="385"/>
      <c r="M865" s="386">
        <f t="shared" si="41"/>
        <v>0</v>
      </c>
      <c r="N865" s="496">
        <v>402.05</v>
      </c>
      <c r="O865" s="333">
        <f t="shared" si="42"/>
        <v>402.05</v>
      </c>
      <c r="R865" s="23" t="str">
        <f>VLOOKUP(C:C,'Historic Data - working'!A:B,1,FALSE)</f>
        <v>MEN009</v>
      </c>
      <c r="U865" s="323"/>
      <c r="V865" s="323"/>
      <c r="W865" s="323"/>
    </row>
    <row r="866" spans="1:23" s="23" customFormat="1" ht="14.25" hidden="1" x14ac:dyDescent="0.2">
      <c r="A866" s="381" t="s">
        <v>3322</v>
      </c>
      <c r="B866" s="381" t="s">
        <v>324</v>
      </c>
      <c r="C866" s="406" t="s">
        <v>3350</v>
      </c>
      <c r="D866" s="381" t="s">
        <v>3351</v>
      </c>
      <c r="E866" s="383" t="s">
        <v>47</v>
      </c>
      <c r="F866" s="381" t="s">
        <v>3326</v>
      </c>
      <c r="G866" s="384"/>
      <c r="H866" s="24"/>
      <c r="I866" s="24"/>
      <c r="J866" s="25" t="str">
        <f t="shared" si="40"/>
        <v xml:space="preserve"> </v>
      </c>
      <c r="K866" s="385"/>
      <c r="L866" s="385"/>
      <c r="M866" s="386">
        <f t="shared" si="41"/>
        <v>0</v>
      </c>
      <c r="N866" s="496">
        <v>130</v>
      </c>
      <c r="O866" s="333">
        <f t="shared" si="42"/>
        <v>130</v>
      </c>
      <c r="R866" s="23" t="str">
        <f>VLOOKUP(C:C,'Historic Data - working'!A:B,1,FALSE)</f>
        <v>MEN010</v>
      </c>
      <c r="U866" s="323"/>
      <c r="V866" s="323"/>
      <c r="W866" s="323"/>
    </row>
    <row r="867" spans="1:23" s="23" customFormat="1" ht="14.25" hidden="1" x14ac:dyDescent="0.2">
      <c r="A867" s="381" t="s">
        <v>3322</v>
      </c>
      <c r="B867" s="381" t="s">
        <v>324</v>
      </c>
      <c r="C867" s="406" t="s">
        <v>3352</v>
      </c>
      <c r="D867" s="381" t="s">
        <v>3353</v>
      </c>
      <c r="E867" s="383" t="s">
        <v>3354</v>
      </c>
      <c r="F867" s="381" t="s">
        <v>3355</v>
      </c>
      <c r="G867" s="384" t="s">
        <v>329</v>
      </c>
      <c r="H867" s="24">
        <v>436.47</v>
      </c>
      <c r="I867" s="24"/>
      <c r="J867" s="25" t="str">
        <f t="shared" si="40"/>
        <v>1</v>
      </c>
      <c r="K867" s="387" t="s">
        <v>3356</v>
      </c>
      <c r="L867" s="385">
        <v>14.01</v>
      </c>
      <c r="M867" s="386">
        <f t="shared" si="41"/>
        <v>450.48</v>
      </c>
      <c r="N867" s="496">
        <v>280</v>
      </c>
      <c r="O867" s="333">
        <f t="shared" si="42"/>
        <v>730.48</v>
      </c>
      <c r="R867" s="23" t="str">
        <f>VLOOKUP(C:C,'Historic Data - working'!A:B,1,FALSE)</f>
        <v>MEN011</v>
      </c>
      <c r="U867" s="323"/>
      <c r="V867" s="323"/>
      <c r="W867" s="323"/>
    </row>
    <row r="868" spans="1:23" s="23" customFormat="1" ht="14.25" hidden="1" x14ac:dyDescent="0.2">
      <c r="A868" s="381" t="s">
        <v>3322</v>
      </c>
      <c r="B868" s="381" t="s">
        <v>324</v>
      </c>
      <c r="C868" s="406" t="s">
        <v>3357</v>
      </c>
      <c r="D868" s="381" t="s">
        <v>3358</v>
      </c>
      <c r="E868" s="383" t="s">
        <v>3359</v>
      </c>
      <c r="F868" s="381" t="s">
        <v>3360</v>
      </c>
      <c r="G868" s="384" t="s">
        <v>329</v>
      </c>
      <c r="H868" s="24">
        <f>201+214</f>
        <v>415</v>
      </c>
      <c r="I868" s="24"/>
      <c r="J868" s="25" t="str">
        <f t="shared" si="40"/>
        <v>1</v>
      </c>
      <c r="K868" s="385"/>
      <c r="L868" s="385"/>
      <c r="M868" s="386">
        <f t="shared" si="41"/>
        <v>415</v>
      </c>
      <c r="N868" s="496"/>
      <c r="O868" s="334">
        <f t="shared" si="42"/>
        <v>415</v>
      </c>
      <c r="P868" s="351"/>
      <c r="Q868" s="331"/>
      <c r="R868" s="331" t="e">
        <f>VLOOKUP(C:C,'Historic Data - working'!A:B,1,FALSE)</f>
        <v>#N/A</v>
      </c>
      <c r="U868" s="323"/>
      <c r="V868" s="323"/>
      <c r="W868" s="323"/>
    </row>
    <row r="869" spans="1:23" s="23" customFormat="1" ht="14.25" hidden="1" x14ac:dyDescent="0.2">
      <c r="A869" s="381" t="s">
        <v>3322</v>
      </c>
      <c r="B869" s="381" t="s">
        <v>324</v>
      </c>
      <c r="C869" s="406" t="s">
        <v>3361</v>
      </c>
      <c r="D869" s="381" t="s">
        <v>3362</v>
      </c>
      <c r="E869" s="383" t="s">
        <v>252</v>
      </c>
      <c r="F869" s="381" t="s">
        <v>3363</v>
      </c>
      <c r="G869" s="384" t="s">
        <v>329</v>
      </c>
      <c r="H869" s="24">
        <f>389.76+115.76+220.22+107.45+132.75+12.06</f>
        <v>978</v>
      </c>
      <c r="I869" s="24">
        <v>147.71</v>
      </c>
      <c r="J869" s="25" t="str">
        <f t="shared" si="40"/>
        <v>1</v>
      </c>
      <c r="K869" s="385"/>
      <c r="L869" s="385"/>
      <c r="M869" s="386">
        <f t="shared" si="41"/>
        <v>978</v>
      </c>
      <c r="N869" s="496">
        <v>60</v>
      </c>
      <c r="O869" s="334">
        <f t="shared" si="42"/>
        <v>1038</v>
      </c>
      <c r="P869" s="351"/>
      <c r="Q869" s="331"/>
      <c r="R869" s="331" t="e">
        <f>VLOOKUP(C:C,'Historic Data - working'!A:B,1,FALSE)</f>
        <v>#N/A</v>
      </c>
      <c r="U869" s="323"/>
      <c r="V869" s="323"/>
      <c r="W869" s="323"/>
    </row>
    <row r="870" spans="1:23" s="23" customFormat="1" ht="14.25" hidden="1" x14ac:dyDescent="0.2">
      <c r="A870" s="381" t="s">
        <v>3322</v>
      </c>
      <c r="B870" s="381" t="s">
        <v>324</v>
      </c>
      <c r="C870" s="406" t="s">
        <v>3364</v>
      </c>
      <c r="D870" s="381" t="s">
        <v>3365</v>
      </c>
      <c r="E870" s="383" t="s">
        <v>127</v>
      </c>
      <c r="F870" s="381" t="s">
        <v>3366</v>
      </c>
      <c r="G870" s="384"/>
      <c r="H870" s="24"/>
      <c r="I870" s="24"/>
      <c r="J870" s="25" t="str">
        <f t="shared" si="40"/>
        <v xml:space="preserve"> </v>
      </c>
      <c r="K870" s="385" t="s">
        <v>337</v>
      </c>
      <c r="L870" s="385">
        <v>395.12</v>
      </c>
      <c r="M870" s="386">
        <f t="shared" si="41"/>
        <v>395.12</v>
      </c>
      <c r="N870" s="496"/>
      <c r="O870" s="333">
        <f t="shared" si="42"/>
        <v>395.12</v>
      </c>
      <c r="R870" s="23" t="str">
        <f>VLOOKUP(C:C,'Historic Data - working'!A:B,1,FALSE)</f>
        <v>MEN015</v>
      </c>
      <c r="U870" s="323"/>
      <c r="V870" s="323"/>
      <c r="W870" s="323"/>
    </row>
    <row r="871" spans="1:23" s="23" customFormat="1" ht="14.25" hidden="1" x14ac:dyDescent="0.2">
      <c r="A871" s="381" t="s">
        <v>3322</v>
      </c>
      <c r="B871" s="381" t="s">
        <v>324</v>
      </c>
      <c r="C871" s="406" t="s">
        <v>3367</v>
      </c>
      <c r="D871" s="381" t="s">
        <v>3368</v>
      </c>
      <c r="E871" s="383" t="s">
        <v>119</v>
      </c>
      <c r="F871" s="381" t="s">
        <v>3369</v>
      </c>
      <c r="G871" s="384"/>
      <c r="H871" s="24"/>
      <c r="I871" s="24"/>
      <c r="J871" s="25" t="str">
        <f t="shared" si="40"/>
        <v xml:space="preserve"> </v>
      </c>
      <c r="K871" s="385"/>
      <c r="L871" s="385"/>
      <c r="M871" s="386">
        <f t="shared" si="41"/>
        <v>0</v>
      </c>
      <c r="N871" s="496"/>
      <c r="O871" s="333">
        <f t="shared" si="42"/>
        <v>0</v>
      </c>
      <c r="R871" s="23" t="str">
        <f>VLOOKUP(C:C,'Historic Data - working'!A:B,1,FALSE)</f>
        <v>MEN017</v>
      </c>
      <c r="U871" s="323"/>
      <c r="V871" s="323"/>
      <c r="W871" s="323"/>
    </row>
    <row r="872" spans="1:23" s="23" customFormat="1" ht="14.25" hidden="1" x14ac:dyDescent="0.2">
      <c r="A872" s="381" t="s">
        <v>3322</v>
      </c>
      <c r="B872" s="381" t="s">
        <v>324</v>
      </c>
      <c r="C872" s="406" t="s">
        <v>3370</v>
      </c>
      <c r="D872" s="381" t="s">
        <v>3371</v>
      </c>
      <c r="E872" s="383" t="s">
        <v>3372</v>
      </c>
      <c r="F872" s="381" t="s">
        <v>3373</v>
      </c>
      <c r="G872" s="384"/>
      <c r="H872" s="24"/>
      <c r="I872" s="24"/>
      <c r="J872" s="25" t="str">
        <f t="shared" si="40"/>
        <v xml:space="preserve"> </v>
      </c>
      <c r="K872" s="385"/>
      <c r="L872" s="385"/>
      <c r="M872" s="386">
        <f t="shared" si="41"/>
        <v>0</v>
      </c>
      <c r="N872" s="496"/>
      <c r="O872" s="333">
        <f t="shared" si="42"/>
        <v>0</v>
      </c>
      <c r="R872" s="23" t="e">
        <f>VLOOKUP(C:C,'Historic Data - working'!A:B,1,FALSE)</f>
        <v>#N/A</v>
      </c>
      <c r="U872" s="323"/>
      <c r="V872" s="323"/>
      <c r="W872" s="323"/>
    </row>
    <row r="873" spans="1:23" s="23" customFormat="1" ht="14.25" hidden="1" x14ac:dyDescent="0.2">
      <c r="A873" s="381" t="s">
        <v>3322</v>
      </c>
      <c r="B873" s="381" t="s">
        <v>324</v>
      </c>
      <c r="C873" s="406" t="s">
        <v>3374</v>
      </c>
      <c r="D873" s="381" t="s">
        <v>3375</v>
      </c>
      <c r="E873" s="383" t="s">
        <v>3376</v>
      </c>
      <c r="F873" s="381" t="s">
        <v>3377</v>
      </c>
      <c r="G873" s="384" t="s">
        <v>329</v>
      </c>
      <c r="H873" s="24">
        <v>1162.47</v>
      </c>
      <c r="I873" s="24"/>
      <c r="J873" s="25" t="str">
        <f t="shared" si="40"/>
        <v>1</v>
      </c>
      <c r="K873" s="385"/>
      <c r="L873" s="385"/>
      <c r="M873" s="386">
        <f t="shared" si="41"/>
        <v>1162.47</v>
      </c>
      <c r="N873" s="496"/>
      <c r="O873" s="333">
        <f t="shared" si="42"/>
        <v>1162.47</v>
      </c>
      <c r="R873" s="23" t="str">
        <f>VLOOKUP(C:C,'Historic Data - working'!A:B,1,FALSE)</f>
        <v>MEN019</v>
      </c>
      <c r="U873" s="323"/>
      <c r="V873" s="323"/>
      <c r="W873" s="323"/>
    </row>
    <row r="874" spans="1:23" s="23" customFormat="1" ht="14.25" hidden="1" x14ac:dyDescent="0.2">
      <c r="A874" s="381" t="s">
        <v>3322</v>
      </c>
      <c r="B874" s="381" t="s">
        <v>324</v>
      </c>
      <c r="C874" s="406" t="s">
        <v>3378</v>
      </c>
      <c r="D874" s="381" t="s">
        <v>3379</v>
      </c>
      <c r="E874" s="383" t="s">
        <v>3380</v>
      </c>
      <c r="F874" s="381" t="s">
        <v>3381</v>
      </c>
      <c r="G874" s="384"/>
      <c r="H874" s="24"/>
      <c r="I874" s="24"/>
      <c r="J874" s="25" t="str">
        <f t="shared" si="40"/>
        <v xml:space="preserve"> </v>
      </c>
      <c r="K874" s="385"/>
      <c r="L874" s="385"/>
      <c r="M874" s="386">
        <f t="shared" si="41"/>
        <v>0</v>
      </c>
      <c r="N874" s="496"/>
      <c r="O874" s="333">
        <f t="shared" si="42"/>
        <v>0</v>
      </c>
      <c r="R874" s="23" t="e">
        <f>VLOOKUP(C:C,'Historic Data - working'!A:B,1,FALSE)</f>
        <v>#N/A</v>
      </c>
      <c r="U874" s="323"/>
      <c r="V874" s="323"/>
      <c r="W874" s="323"/>
    </row>
    <row r="875" spans="1:23" s="23" customFormat="1" ht="14.25" hidden="1" x14ac:dyDescent="0.2">
      <c r="A875" s="381" t="s">
        <v>3322</v>
      </c>
      <c r="B875" s="381" t="s">
        <v>324</v>
      </c>
      <c r="C875" s="406" t="s">
        <v>3382</v>
      </c>
      <c r="D875" s="381" t="s">
        <v>3383</v>
      </c>
      <c r="E875" s="383" t="s">
        <v>31</v>
      </c>
      <c r="F875" s="381" t="s">
        <v>3384</v>
      </c>
      <c r="G875" s="384" t="s">
        <v>329</v>
      </c>
      <c r="H875" s="24">
        <f>614.07+867+247.56+157.48</f>
        <v>1886.1100000000001</v>
      </c>
      <c r="I875" s="24"/>
      <c r="J875" s="25" t="str">
        <f t="shared" si="40"/>
        <v>1</v>
      </c>
      <c r="K875" s="385"/>
      <c r="L875" s="385"/>
      <c r="M875" s="386">
        <f t="shared" si="41"/>
        <v>1886.1100000000001</v>
      </c>
      <c r="N875" s="496"/>
      <c r="O875" s="333">
        <f t="shared" si="42"/>
        <v>1886.1100000000001</v>
      </c>
      <c r="R875" s="23" t="str">
        <f>VLOOKUP(C:C,'Historic Data - working'!A:B,1,FALSE)</f>
        <v>MEN020A</v>
      </c>
      <c r="U875" s="323"/>
      <c r="V875" s="323"/>
      <c r="W875" s="323"/>
    </row>
    <row r="876" spans="1:23" s="23" customFormat="1" ht="14.25" hidden="1" x14ac:dyDescent="0.2">
      <c r="A876" s="381" t="s">
        <v>3322</v>
      </c>
      <c r="B876" s="381" t="s">
        <v>324</v>
      </c>
      <c r="C876" s="406" t="s">
        <v>3385</v>
      </c>
      <c r="D876" s="381" t="s">
        <v>3386</v>
      </c>
      <c r="E876" s="383" t="s">
        <v>3387</v>
      </c>
      <c r="F876" s="381" t="s">
        <v>3388</v>
      </c>
      <c r="G876" s="384"/>
      <c r="H876" s="24"/>
      <c r="I876" s="24"/>
      <c r="J876" s="25" t="str">
        <f t="shared" ref="J876:J939" si="43">IF(G876="Y","1"," ")</f>
        <v xml:space="preserve"> </v>
      </c>
      <c r="K876" s="385"/>
      <c r="L876" s="385"/>
      <c r="M876" s="386">
        <f t="shared" si="41"/>
        <v>0</v>
      </c>
      <c r="N876" s="496"/>
      <c r="O876" s="333">
        <f t="shared" si="42"/>
        <v>0</v>
      </c>
      <c r="R876" s="23" t="e">
        <f>VLOOKUP(C:C,'Historic Data - working'!A:B,1,FALSE)</f>
        <v>#N/A</v>
      </c>
      <c r="U876" s="323"/>
      <c r="V876" s="323"/>
      <c r="W876" s="323"/>
    </row>
    <row r="877" spans="1:23" s="23" customFormat="1" ht="14.25" hidden="1" x14ac:dyDescent="0.2">
      <c r="A877" s="381" t="s">
        <v>3322</v>
      </c>
      <c r="B877" s="381" t="s">
        <v>351</v>
      </c>
      <c r="C877" s="406" t="s">
        <v>3389</v>
      </c>
      <c r="D877" s="381" t="s">
        <v>3390</v>
      </c>
      <c r="E877" s="383" t="s">
        <v>1015</v>
      </c>
      <c r="F877" s="381" t="s">
        <v>3326</v>
      </c>
      <c r="G877" s="384" t="s">
        <v>329</v>
      </c>
      <c r="H877" s="24">
        <f>199.65+81.3+58.55+212.02+54.11+90.82+55.16</f>
        <v>751.61</v>
      </c>
      <c r="I877" s="24"/>
      <c r="J877" s="25" t="str">
        <f t="shared" si="43"/>
        <v>1</v>
      </c>
      <c r="K877" s="385"/>
      <c r="L877" s="385"/>
      <c r="M877" s="386">
        <f t="shared" si="41"/>
        <v>751.61</v>
      </c>
      <c r="N877" s="496"/>
      <c r="O877" s="333">
        <f t="shared" si="42"/>
        <v>751.61</v>
      </c>
      <c r="R877" s="23" t="str">
        <f>VLOOKUP(C:C,'Historic Data - working'!A:B,1,FALSE)</f>
        <v>MEN021</v>
      </c>
      <c r="U877" s="323"/>
      <c r="V877" s="323"/>
      <c r="W877" s="323"/>
    </row>
    <row r="878" spans="1:23" s="23" customFormat="1" ht="14.25" hidden="1" x14ac:dyDescent="0.2">
      <c r="A878" s="381" t="s">
        <v>3322</v>
      </c>
      <c r="B878" s="381" t="s">
        <v>324</v>
      </c>
      <c r="C878" s="406" t="s">
        <v>3391</v>
      </c>
      <c r="D878" s="381" t="s">
        <v>3392</v>
      </c>
      <c r="E878" s="383" t="s">
        <v>532</v>
      </c>
      <c r="F878" s="381" t="s">
        <v>3393</v>
      </c>
      <c r="G878" s="384"/>
      <c r="H878" s="24"/>
      <c r="I878" s="24"/>
      <c r="J878" s="25" t="str">
        <f t="shared" si="43"/>
        <v xml:space="preserve"> </v>
      </c>
      <c r="K878" s="385"/>
      <c r="L878" s="385"/>
      <c r="M878" s="386">
        <f t="shared" si="41"/>
        <v>0</v>
      </c>
      <c r="N878" s="496"/>
      <c r="O878" s="333">
        <f t="shared" si="42"/>
        <v>0</v>
      </c>
      <c r="R878" s="23" t="e">
        <f>VLOOKUP(C:C,'Historic Data - working'!A:B,1,FALSE)</f>
        <v>#N/A</v>
      </c>
      <c r="U878" s="323"/>
      <c r="V878" s="323"/>
      <c r="W878" s="323"/>
    </row>
    <row r="879" spans="1:23" s="23" customFormat="1" ht="14.25" hidden="1" x14ac:dyDescent="0.2">
      <c r="A879" s="381" t="s">
        <v>3322</v>
      </c>
      <c r="B879" s="381" t="s">
        <v>324</v>
      </c>
      <c r="C879" s="406" t="s">
        <v>3394</v>
      </c>
      <c r="D879" s="381" t="s">
        <v>3395</v>
      </c>
      <c r="E879" s="383" t="s">
        <v>3396</v>
      </c>
      <c r="F879" s="381" t="s">
        <v>3397</v>
      </c>
      <c r="G879" s="384"/>
      <c r="H879" s="24"/>
      <c r="I879" s="24"/>
      <c r="J879" s="25" t="str">
        <f t="shared" si="43"/>
        <v xml:space="preserve"> </v>
      </c>
      <c r="K879" s="385"/>
      <c r="L879" s="385"/>
      <c r="M879" s="386">
        <f t="shared" si="41"/>
        <v>0</v>
      </c>
      <c r="N879" s="496">
        <v>100</v>
      </c>
      <c r="O879" s="333">
        <f t="shared" si="42"/>
        <v>100</v>
      </c>
      <c r="R879" s="23" t="str">
        <f>VLOOKUP(C:C,'Historic Data - working'!A:B,1,FALSE)</f>
        <v>MEN023</v>
      </c>
      <c r="U879" s="323"/>
      <c r="V879" s="323"/>
      <c r="W879" s="323"/>
    </row>
    <row r="880" spans="1:23" s="23" customFormat="1" ht="14.25" hidden="1" x14ac:dyDescent="0.2">
      <c r="A880" s="381" t="s">
        <v>3322</v>
      </c>
      <c r="B880" s="381" t="s">
        <v>324</v>
      </c>
      <c r="C880" s="406" t="s">
        <v>3398</v>
      </c>
      <c r="D880" s="381" t="s">
        <v>3399</v>
      </c>
      <c r="E880" s="383" t="s">
        <v>3400</v>
      </c>
      <c r="F880" s="381" t="s">
        <v>3326</v>
      </c>
      <c r="G880" s="384"/>
      <c r="H880" s="24"/>
      <c r="I880" s="24"/>
      <c r="J880" s="25" t="str">
        <f t="shared" si="43"/>
        <v xml:space="preserve"> </v>
      </c>
      <c r="K880" s="385"/>
      <c r="L880" s="385"/>
      <c r="M880" s="386">
        <f t="shared" si="41"/>
        <v>0</v>
      </c>
      <c r="N880" s="496">
        <v>120</v>
      </c>
      <c r="O880" s="333">
        <f t="shared" si="42"/>
        <v>120</v>
      </c>
      <c r="R880" s="23" t="str">
        <f>VLOOKUP(C:C,'Historic Data - working'!A:B,1,FALSE)</f>
        <v>MEN024</v>
      </c>
      <c r="U880" s="323"/>
      <c r="V880" s="323"/>
      <c r="W880" s="323"/>
    </row>
    <row r="881" spans="1:23" s="23" customFormat="1" ht="14.25" hidden="1" x14ac:dyDescent="0.2">
      <c r="A881" s="381" t="s">
        <v>3322</v>
      </c>
      <c r="B881" s="381" t="s">
        <v>324</v>
      </c>
      <c r="C881" s="406" t="s">
        <v>3401</v>
      </c>
      <c r="D881" s="381" t="s">
        <v>3402</v>
      </c>
      <c r="E881" s="383" t="s">
        <v>3403</v>
      </c>
      <c r="F881" s="381" t="s">
        <v>3404</v>
      </c>
      <c r="G881" s="384" t="s">
        <v>329</v>
      </c>
      <c r="H881" s="24">
        <f>800+750+200</f>
        <v>1750</v>
      </c>
      <c r="I881" s="24"/>
      <c r="J881" s="25" t="str">
        <f t="shared" si="43"/>
        <v>1</v>
      </c>
      <c r="K881" s="385"/>
      <c r="L881" s="385"/>
      <c r="M881" s="386">
        <f t="shared" si="41"/>
        <v>1750</v>
      </c>
      <c r="N881" s="496">
        <v>205</v>
      </c>
      <c r="O881" s="333">
        <f t="shared" si="42"/>
        <v>1955</v>
      </c>
      <c r="R881" s="23" t="str">
        <f>VLOOKUP(C:C,'Historic Data - working'!A:B,1,FALSE)</f>
        <v>MEN025</v>
      </c>
      <c r="U881" s="323"/>
      <c r="V881" s="323"/>
      <c r="W881" s="323"/>
    </row>
    <row r="882" spans="1:23" s="23" customFormat="1" ht="14.25" hidden="1" x14ac:dyDescent="0.2">
      <c r="A882" s="381" t="s">
        <v>3322</v>
      </c>
      <c r="B882" s="381" t="s">
        <v>324</v>
      </c>
      <c r="C882" s="406" t="s">
        <v>3405</v>
      </c>
      <c r="D882" s="381" t="s">
        <v>3406</v>
      </c>
      <c r="E882" s="383" t="s">
        <v>3407</v>
      </c>
      <c r="F882" s="381" t="s">
        <v>3408</v>
      </c>
      <c r="G882" s="384"/>
      <c r="H882" s="24"/>
      <c r="I882" s="24"/>
      <c r="J882" s="25" t="str">
        <f t="shared" si="43"/>
        <v xml:space="preserve"> </v>
      </c>
      <c r="K882" s="385"/>
      <c r="L882" s="385"/>
      <c r="M882" s="386">
        <f t="shared" si="41"/>
        <v>0</v>
      </c>
      <c r="N882" s="496"/>
      <c r="O882" s="333">
        <f t="shared" si="42"/>
        <v>0</v>
      </c>
      <c r="R882" s="23" t="e">
        <f>VLOOKUP(C:C,'Historic Data - working'!A:B,1,FALSE)</f>
        <v>#N/A</v>
      </c>
      <c r="U882" s="323"/>
      <c r="V882" s="323"/>
      <c r="W882" s="323"/>
    </row>
    <row r="883" spans="1:23" s="23" customFormat="1" ht="14.25" hidden="1" x14ac:dyDescent="0.2">
      <c r="A883" s="381" t="s">
        <v>3322</v>
      </c>
      <c r="B883" s="381" t="s">
        <v>324</v>
      </c>
      <c r="C883" s="406" t="s">
        <v>3409</v>
      </c>
      <c r="D883" s="381" t="s">
        <v>3410</v>
      </c>
      <c r="E883" s="383" t="s">
        <v>61</v>
      </c>
      <c r="F883" s="381" t="s">
        <v>2291</v>
      </c>
      <c r="G883" s="384" t="s">
        <v>329</v>
      </c>
      <c r="H883" s="24">
        <f>52.88+123.74</f>
        <v>176.62</v>
      </c>
      <c r="I883" s="24"/>
      <c r="J883" s="25" t="str">
        <f t="shared" si="43"/>
        <v>1</v>
      </c>
      <c r="K883" s="387" t="s">
        <v>3411</v>
      </c>
      <c r="L883" s="385">
        <v>-0.6</v>
      </c>
      <c r="M883" s="386">
        <f t="shared" si="41"/>
        <v>176.02</v>
      </c>
      <c r="N883" s="496">
        <v>330</v>
      </c>
      <c r="O883" s="333">
        <f t="shared" si="42"/>
        <v>506.02</v>
      </c>
      <c r="R883" s="23" t="str">
        <f>VLOOKUP(C:C,'Historic Data - working'!A:B,1,FALSE)</f>
        <v>MEN026</v>
      </c>
      <c r="U883" s="323"/>
      <c r="V883" s="323"/>
      <c r="W883" s="323"/>
    </row>
    <row r="884" spans="1:23" s="23" customFormat="1" ht="14.25" hidden="1" x14ac:dyDescent="0.2">
      <c r="A884" s="381" t="s">
        <v>3322</v>
      </c>
      <c r="B884" s="381" t="s">
        <v>324</v>
      </c>
      <c r="C884" s="406" t="s">
        <v>3412</v>
      </c>
      <c r="D884" s="381" t="s">
        <v>3413</v>
      </c>
      <c r="E884" s="383" t="s">
        <v>3222</v>
      </c>
      <c r="F884" s="381" t="s">
        <v>3414</v>
      </c>
      <c r="G884" s="384" t="s">
        <v>329</v>
      </c>
      <c r="H884" s="24">
        <f>219.2+120+49.9</f>
        <v>389.09999999999997</v>
      </c>
      <c r="I884" s="24"/>
      <c r="J884" s="25" t="str">
        <f t="shared" si="43"/>
        <v>1</v>
      </c>
      <c r="K884" s="385"/>
      <c r="L884" s="385"/>
      <c r="M884" s="386">
        <f t="shared" si="41"/>
        <v>389.09999999999997</v>
      </c>
      <c r="N884" s="496">
        <v>45</v>
      </c>
      <c r="O884" s="334">
        <f t="shared" si="42"/>
        <v>434.09999999999997</v>
      </c>
      <c r="P884" s="351"/>
      <c r="Q884" s="331"/>
      <c r="R884" s="331" t="e">
        <f>VLOOKUP(C:C,'Historic Data - working'!A:B,1,FALSE)</f>
        <v>#N/A</v>
      </c>
      <c r="U884" s="323"/>
      <c r="V884" s="323"/>
      <c r="W884" s="323"/>
    </row>
    <row r="885" spans="1:23" s="23" customFormat="1" ht="14.25" hidden="1" x14ac:dyDescent="0.2">
      <c r="A885" s="381" t="s">
        <v>3322</v>
      </c>
      <c r="B885" s="381" t="s">
        <v>324</v>
      </c>
      <c r="C885" s="406" t="s">
        <v>3415</v>
      </c>
      <c r="D885" s="381" t="s">
        <v>3416</v>
      </c>
      <c r="E885" s="383" t="s">
        <v>94</v>
      </c>
      <c r="F885" s="381" t="s">
        <v>3417</v>
      </c>
      <c r="G885" s="384" t="s">
        <v>329</v>
      </c>
      <c r="H885" s="24">
        <v>262.36</v>
      </c>
      <c r="I885" s="24"/>
      <c r="J885" s="25" t="str">
        <f t="shared" si="43"/>
        <v>1</v>
      </c>
      <c r="K885" s="385"/>
      <c r="L885" s="385"/>
      <c r="M885" s="386">
        <f t="shared" si="41"/>
        <v>262.36</v>
      </c>
      <c r="N885" s="496"/>
      <c r="O885" s="333">
        <f t="shared" si="42"/>
        <v>262.36</v>
      </c>
      <c r="R885" s="23" t="str">
        <f>VLOOKUP(C:C,'Historic Data - working'!A:B,1,FALSE)</f>
        <v>MEN027A</v>
      </c>
      <c r="U885" s="323"/>
      <c r="V885" s="323"/>
      <c r="W885" s="323"/>
    </row>
    <row r="886" spans="1:23" s="23" customFormat="1" ht="14.25" hidden="1" x14ac:dyDescent="0.2">
      <c r="A886" s="381" t="s">
        <v>3322</v>
      </c>
      <c r="B886" s="381" t="s">
        <v>324</v>
      </c>
      <c r="C886" s="406" t="s">
        <v>3418</v>
      </c>
      <c r="D886" s="381" t="s">
        <v>3419</v>
      </c>
      <c r="E886" s="383" t="s">
        <v>3420</v>
      </c>
      <c r="F886" s="381" t="s">
        <v>3421</v>
      </c>
      <c r="G886" s="384"/>
      <c r="H886" s="24"/>
      <c r="I886" s="24"/>
      <c r="J886" s="25" t="str">
        <f t="shared" si="43"/>
        <v xml:space="preserve"> </v>
      </c>
      <c r="K886" s="385" t="s">
        <v>337</v>
      </c>
      <c r="L886" s="385">
        <v>394</v>
      </c>
      <c r="M886" s="386">
        <f t="shared" si="41"/>
        <v>394</v>
      </c>
      <c r="N886" s="496"/>
      <c r="O886" s="333">
        <f t="shared" si="42"/>
        <v>394</v>
      </c>
      <c r="R886" s="23" t="str">
        <f>VLOOKUP(C:C,'Historic Data - working'!A:B,1,FALSE)</f>
        <v>MEN028</v>
      </c>
      <c r="U886" s="323"/>
      <c r="V886" s="323"/>
      <c r="W886" s="323"/>
    </row>
    <row r="887" spans="1:23" s="23" customFormat="1" ht="14.25" hidden="1" x14ac:dyDescent="0.2">
      <c r="A887" s="381" t="s">
        <v>3322</v>
      </c>
      <c r="B887" s="381" t="s">
        <v>324</v>
      </c>
      <c r="C887" s="406" t="s">
        <v>3422</v>
      </c>
      <c r="D887" s="381" t="s">
        <v>3423</v>
      </c>
      <c r="E887" s="383" t="s">
        <v>3250</v>
      </c>
      <c r="F887" s="381" t="s">
        <v>3424</v>
      </c>
      <c r="G887" s="384"/>
      <c r="H887" s="24"/>
      <c r="I887" s="24"/>
      <c r="J887" s="25" t="str">
        <f t="shared" si="43"/>
        <v xml:space="preserve"> </v>
      </c>
      <c r="K887" s="385"/>
      <c r="L887" s="385"/>
      <c r="M887" s="386">
        <f t="shared" si="41"/>
        <v>0</v>
      </c>
      <c r="N887" s="496"/>
      <c r="O887" s="333">
        <f t="shared" si="42"/>
        <v>0</v>
      </c>
      <c r="R887" s="23" t="e">
        <f>VLOOKUP(C:C,'Historic Data - working'!A:B,1,FALSE)</f>
        <v>#N/A</v>
      </c>
      <c r="U887" s="323"/>
      <c r="V887" s="323"/>
      <c r="W887" s="323"/>
    </row>
    <row r="888" spans="1:23" s="23" customFormat="1" ht="14.25" hidden="1" x14ac:dyDescent="0.2">
      <c r="A888" s="381" t="s">
        <v>3322</v>
      </c>
      <c r="B888" s="381" t="s">
        <v>324</v>
      </c>
      <c r="C888" s="406" t="s">
        <v>3425</v>
      </c>
      <c r="D888" s="381" t="s">
        <v>3426</v>
      </c>
      <c r="E888" s="383" t="s">
        <v>3427</v>
      </c>
      <c r="F888" s="381" t="s">
        <v>3428</v>
      </c>
      <c r="G888" s="384" t="s">
        <v>329</v>
      </c>
      <c r="H888" s="24">
        <f>111.64+180.96</f>
        <v>292.60000000000002</v>
      </c>
      <c r="I888" s="24"/>
      <c r="J888" s="25" t="str">
        <f t="shared" si="43"/>
        <v>1</v>
      </c>
      <c r="K888" s="385" t="s">
        <v>3429</v>
      </c>
      <c r="L888" s="385"/>
      <c r="M888" s="386">
        <f t="shared" si="41"/>
        <v>292.60000000000002</v>
      </c>
      <c r="N888" s="496">
        <v>1500</v>
      </c>
      <c r="O888" s="333">
        <f t="shared" si="42"/>
        <v>1792.6</v>
      </c>
      <c r="R888" s="23" t="str">
        <f>VLOOKUP(C:C,'Historic Data - working'!A:B,1,FALSE)</f>
        <v>MEN031</v>
      </c>
      <c r="U888" s="323"/>
      <c r="V888" s="323"/>
      <c r="W888" s="323"/>
    </row>
    <row r="889" spans="1:23" s="23" customFormat="1" ht="14.25" hidden="1" x14ac:dyDescent="0.2">
      <c r="A889" s="381" t="s">
        <v>3322</v>
      </c>
      <c r="B889" s="381" t="s">
        <v>324</v>
      </c>
      <c r="C889" s="406" t="s">
        <v>3430</v>
      </c>
      <c r="D889" s="381" t="s">
        <v>3431</v>
      </c>
      <c r="E889" s="383" t="s">
        <v>214</v>
      </c>
      <c r="F889" s="381" t="s">
        <v>3432</v>
      </c>
      <c r="G889" s="384" t="s">
        <v>1764</v>
      </c>
      <c r="H889" s="24"/>
      <c r="I889" s="24"/>
      <c r="J889" s="25" t="str">
        <f t="shared" si="43"/>
        <v xml:space="preserve"> </v>
      </c>
      <c r="K889" s="385" t="s">
        <v>3433</v>
      </c>
      <c r="L889" s="385"/>
      <c r="M889" s="386">
        <f t="shared" si="41"/>
        <v>0</v>
      </c>
      <c r="N889" s="496"/>
      <c r="O889" s="333">
        <f t="shared" si="42"/>
        <v>0</v>
      </c>
      <c r="R889" s="23" t="e">
        <f>VLOOKUP(C:C,'Historic Data - working'!A:B,1,FALSE)</f>
        <v>#N/A</v>
      </c>
      <c r="U889" s="323"/>
      <c r="V889" s="323"/>
      <c r="W889" s="323"/>
    </row>
    <row r="890" spans="1:23" s="23" customFormat="1" ht="14.25" hidden="1" x14ac:dyDescent="0.2">
      <c r="A890" s="381" t="s">
        <v>3322</v>
      </c>
      <c r="B890" s="381" t="s">
        <v>324</v>
      </c>
      <c r="C890" s="406" t="s">
        <v>3434</v>
      </c>
      <c r="D890" s="381" t="s">
        <v>3435</v>
      </c>
      <c r="E890" s="383" t="s">
        <v>3436</v>
      </c>
      <c r="F890" s="381" t="s">
        <v>3388</v>
      </c>
      <c r="G890" s="384" t="s">
        <v>329</v>
      </c>
      <c r="H890" s="24">
        <f>2501.72+2760.89</f>
        <v>5262.61</v>
      </c>
      <c r="I890" s="24"/>
      <c r="J890" s="25" t="str">
        <f t="shared" si="43"/>
        <v>1</v>
      </c>
      <c r="K890" s="385"/>
      <c r="L890" s="385"/>
      <c r="M890" s="386">
        <f t="shared" si="41"/>
        <v>5262.61</v>
      </c>
      <c r="N890" s="496">
        <v>110</v>
      </c>
      <c r="O890" s="333">
        <f t="shared" si="42"/>
        <v>5372.61</v>
      </c>
      <c r="R890" s="23" t="str">
        <f>VLOOKUP(C:C,'Historic Data - working'!A:B,1,FALSE)</f>
        <v>MEN032</v>
      </c>
      <c r="U890" s="323"/>
      <c r="V890" s="323"/>
      <c r="W890" s="323"/>
    </row>
    <row r="891" spans="1:23" s="23" customFormat="1" ht="14.25" hidden="1" x14ac:dyDescent="0.2">
      <c r="A891" s="381" t="s">
        <v>3322</v>
      </c>
      <c r="B891" s="381" t="s">
        <v>324</v>
      </c>
      <c r="C891" s="406" t="s">
        <v>3437</v>
      </c>
      <c r="D891" s="381" t="s">
        <v>3438</v>
      </c>
      <c r="E891" s="383" t="s">
        <v>183</v>
      </c>
      <c r="F891" s="381" t="s">
        <v>3439</v>
      </c>
      <c r="G891" s="384"/>
      <c r="H891" s="24"/>
      <c r="I891" s="24"/>
      <c r="J891" s="25" t="str">
        <f t="shared" si="43"/>
        <v xml:space="preserve"> </v>
      </c>
      <c r="K891" s="385"/>
      <c r="L891" s="385"/>
      <c r="M891" s="386">
        <f t="shared" si="41"/>
        <v>0</v>
      </c>
      <c r="N891" s="496">
        <v>1300</v>
      </c>
      <c r="O891" s="333">
        <f t="shared" si="42"/>
        <v>1300</v>
      </c>
      <c r="R891" s="23" t="str">
        <f>VLOOKUP(C:C,'Historic Data - working'!A:B,1,FALSE)</f>
        <v>MEN033</v>
      </c>
      <c r="U891" s="323"/>
      <c r="V891" s="323"/>
      <c r="W891" s="323"/>
    </row>
    <row r="892" spans="1:23" s="23" customFormat="1" ht="14.25" hidden="1" x14ac:dyDescent="0.2">
      <c r="A892" s="381" t="s">
        <v>3322</v>
      </c>
      <c r="B892" s="381" t="s">
        <v>324</v>
      </c>
      <c r="C892" s="406" t="s">
        <v>3440</v>
      </c>
      <c r="D892" s="381" t="s">
        <v>3441</v>
      </c>
      <c r="E892" s="383" t="s">
        <v>61</v>
      </c>
      <c r="F892" s="381" t="s">
        <v>3366</v>
      </c>
      <c r="G892" s="384" t="s">
        <v>329</v>
      </c>
      <c r="H892" s="24">
        <v>1102.83</v>
      </c>
      <c r="I892" s="24"/>
      <c r="J892" s="25" t="str">
        <f t="shared" si="43"/>
        <v>1</v>
      </c>
      <c r="K892" s="385"/>
      <c r="L892" s="385"/>
      <c r="M892" s="386">
        <f t="shared" si="41"/>
        <v>1102.83</v>
      </c>
      <c r="N892" s="496">
        <v>20</v>
      </c>
      <c r="O892" s="333">
        <f t="shared" si="42"/>
        <v>1122.83</v>
      </c>
      <c r="R892" s="23" t="str">
        <f>VLOOKUP(C:C,'Historic Data - working'!A:B,1,FALSE)</f>
        <v>MEN034</v>
      </c>
      <c r="U892" s="323"/>
      <c r="V892" s="323"/>
      <c r="W892" s="323"/>
    </row>
    <row r="893" spans="1:23" s="23" customFormat="1" ht="14.25" hidden="1" x14ac:dyDescent="0.2">
      <c r="A893" s="381" t="s">
        <v>3322</v>
      </c>
      <c r="B893" s="381" t="s">
        <v>324</v>
      </c>
      <c r="C893" s="406" t="s">
        <v>3442</v>
      </c>
      <c r="D893" s="381" t="s">
        <v>3443</v>
      </c>
      <c r="E893" s="383" t="s">
        <v>3444</v>
      </c>
      <c r="F893" s="381" t="s">
        <v>3366</v>
      </c>
      <c r="G893" s="384"/>
      <c r="H893" s="24"/>
      <c r="I893" s="24"/>
      <c r="J893" s="25" t="str">
        <f t="shared" si="43"/>
        <v xml:space="preserve"> </v>
      </c>
      <c r="K893" s="385"/>
      <c r="L893" s="385"/>
      <c r="M893" s="386">
        <f t="shared" si="41"/>
        <v>0</v>
      </c>
      <c r="N893" s="496"/>
      <c r="O893" s="333">
        <f t="shared" si="42"/>
        <v>0</v>
      </c>
      <c r="R893" s="23" t="e">
        <f>VLOOKUP(C:C,'Historic Data - working'!A:B,1,FALSE)</f>
        <v>#N/A</v>
      </c>
      <c r="U893" s="323"/>
      <c r="V893" s="323"/>
      <c r="W893" s="323"/>
    </row>
    <row r="894" spans="1:23" s="23" customFormat="1" ht="14.25" hidden="1" x14ac:dyDescent="0.2">
      <c r="A894" s="381" t="s">
        <v>3322</v>
      </c>
      <c r="B894" s="381" t="s">
        <v>324</v>
      </c>
      <c r="C894" s="406" t="s">
        <v>3445</v>
      </c>
      <c r="D894" s="381" t="s">
        <v>3446</v>
      </c>
      <c r="E894" s="383" t="s">
        <v>1751</v>
      </c>
      <c r="F894" s="381" t="s">
        <v>3447</v>
      </c>
      <c r="G894" s="384" t="s">
        <v>329</v>
      </c>
      <c r="H894" s="24">
        <f>71.22+32.34+12.33</f>
        <v>115.89</v>
      </c>
      <c r="I894" s="24"/>
      <c r="J894" s="25" t="str">
        <f t="shared" si="43"/>
        <v>1</v>
      </c>
      <c r="K894" s="385"/>
      <c r="L894" s="385"/>
      <c r="M894" s="386">
        <f t="shared" si="41"/>
        <v>115.89</v>
      </c>
      <c r="N894" s="496"/>
      <c r="O894" s="333">
        <f t="shared" si="42"/>
        <v>115.89</v>
      </c>
      <c r="R894" s="23" t="str">
        <f>VLOOKUP(C:C,'Historic Data - working'!A:B,1,FALSE)</f>
        <v>MEN035</v>
      </c>
      <c r="U894" s="323"/>
      <c r="V894" s="323"/>
      <c r="W894" s="323"/>
    </row>
    <row r="895" spans="1:23" s="23" customFormat="1" ht="14.25" hidden="1" x14ac:dyDescent="0.2">
      <c r="A895" s="381" t="s">
        <v>3322</v>
      </c>
      <c r="B895" s="381" t="s">
        <v>324</v>
      </c>
      <c r="C895" s="406" t="s">
        <v>3448</v>
      </c>
      <c r="D895" s="381" t="s">
        <v>3449</v>
      </c>
      <c r="E895" s="383" t="s">
        <v>31</v>
      </c>
      <c r="F895" s="381" t="s">
        <v>3450</v>
      </c>
      <c r="G895" s="384" t="s">
        <v>329</v>
      </c>
      <c r="H895" s="24">
        <v>476.38</v>
      </c>
      <c r="I895" s="24"/>
      <c r="J895" s="25" t="str">
        <f t="shared" si="43"/>
        <v>1</v>
      </c>
      <c r="K895" s="385"/>
      <c r="L895" s="385"/>
      <c r="M895" s="386">
        <f t="shared" si="41"/>
        <v>476.38</v>
      </c>
      <c r="N895" s="496">
        <v>15</v>
      </c>
      <c r="O895" s="333">
        <f t="shared" si="42"/>
        <v>491.38</v>
      </c>
      <c r="R895" s="23" t="str">
        <f>VLOOKUP(C:C,'Historic Data - working'!A:B,1,FALSE)</f>
        <v>MEN036</v>
      </c>
      <c r="U895" s="323"/>
      <c r="V895" s="323"/>
      <c r="W895" s="323"/>
    </row>
    <row r="896" spans="1:23" s="23" customFormat="1" ht="14.25" hidden="1" x14ac:dyDescent="0.2">
      <c r="A896" s="381" t="s">
        <v>3322</v>
      </c>
      <c r="B896" s="381" t="s">
        <v>324</v>
      </c>
      <c r="C896" s="406" t="s">
        <v>3451</v>
      </c>
      <c r="D896" s="381" t="s">
        <v>3452</v>
      </c>
      <c r="E896" s="383" t="s">
        <v>61</v>
      </c>
      <c r="F896" s="381" t="s">
        <v>3453</v>
      </c>
      <c r="G896" s="384"/>
      <c r="H896" s="24"/>
      <c r="I896" s="24"/>
      <c r="J896" s="25" t="str">
        <f t="shared" si="43"/>
        <v xml:space="preserve"> </v>
      </c>
      <c r="K896" s="385"/>
      <c r="L896" s="385"/>
      <c r="M896" s="386">
        <f t="shared" si="41"/>
        <v>0</v>
      </c>
      <c r="N896" s="496"/>
      <c r="O896" s="333">
        <f t="shared" si="42"/>
        <v>0</v>
      </c>
      <c r="R896" s="23" t="e">
        <f>VLOOKUP(C:C,'Historic Data - working'!A:B,1,FALSE)</f>
        <v>#N/A</v>
      </c>
      <c r="U896" s="323"/>
      <c r="V896" s="323"/>
      <c r="W896" s="323"/>
    </row>
    <row r="897" spans="1:23" s="23" customFormat="1" ht="14.25" hidden="1" x14ac:dyDescent="0.2">
      <c r="A897" s="381" t="s">
        <v>3322</v>
      </c>
      <c r="B897" s="381" t="s">
        <v>324</v>
      </c>
      <c r="C897" s="406" t="s">
        <v>3454</v>
      </c>
      <c r="D897" s="381" t="s">
        <v>3455</v>
      </c>
      <c r="E897" s="383" t="s">
        <v>3456</v>
      </c>
      <c r="F897" s="381" t="s">
        <v>3326</v>
      </c>
      <c r="G897" s="384" t="s">
        <v>329</v>
      </c>
      <c r="H897" s="24">
        <f>79.65+63.25+187+118.22+96.23</f>
        <v>544.35</v>
      </c>
      <c r="I897" s="24"/>
      <c r="J897" s="25" t="str">
        <f t="shared" si="43"/>
        <v>1</v>
      </c>
      <c r="K897" s="385"/>
      <c r="L897" s="385"/>
      <c r="M897" s="386">
        <f t="shared" si="41"/>
        <v>544.35</v>
      </c>
      <c r="N897" s="496"/>
      <c r="O897" s="333">
        <f t="shared" si="42"/>
        <v>544.35</v>
      </c>
      <c r="R897" s="23" t="str">
        <f>VLOOKUP(C:C,'Historic Data - working'!A:B,1,FALSE)</f>
        <v>MEN037</v>
      </c>
      <c r="U897" s="323"/>
      <c r="V897" s="323"/>
      <c r="W897" s="323"/>
    </row>
    <row r="898" spans="1:23" s="23" customFormat="1" ht="14.25" hidden="1" x14ac:dyDescent="0.2">
      <c r="A898" s="381" t="s">
        <v>3322</v>
      </c>
      <c r="B898" s="381" t="s">
        <v>324</v>
      </c>
      <c r="C898" s="406" t="s">
        <v>3457</v>
      </c>
      <c r="D898" s="381" t="s">
        <v>3458</v>
      </c>
      <c r="E898" s="383" t="s">
        <v>3459</v>
      </c>
      <c r="F898" s="381" t="s">
        <v>3460</v>
      </c>
      <c r="G898" s="384"/>
      <c r="H898" s="24"/>
      <c r="I898" s="24"/>
      <c r="J898" s="25" t="str">
        <f t="shared" si="43"/>
        <v xml:space="preserve"> </v>
      </c>
      <c r="K898" s="385" t="s">
        <v>337</v>
      </c>
      <c r="L898" s="385">
        <v>1850</v>
      </c>
      <c r="M898" s="386">
        <f t="shared" ref="M898:M961" si="44">H898+L898</f>
        <v>1850</v>
      </c>
      <c r="N898" s="496">
        <v>130</v>
      </c>
      <c r="O898" s="333">
        <f t="shared" ref="O898:O961" si="45">M898+N898</f>
        <v>1980</v>
      </c>
      <c r="R898" s="23" t="str">
        <f>VLOOKUP(C:C,'Historic Data - working'!A:B,1,FALSE)</f>
        <v>MEN038</v>
      </c>
      <c r="U898" s="323"/>
      <c r="V898" s="323"/>
      <c r="W898" s="323"/>
    </row>
    <row r="899" spans="1:23" s="23" customFormat="1" ht="14.25" hidden="1" x14ac:dyDescent="0.2">
      <c r="A899" s="381" t="s">
        <v>3322</v>
      </c>
      <c r="B899" s="381" t="s">
        <v>324</v>
      </c>
      <c r="C899" s="406" t="s">
        <v>3461</v>
      </c>
      <c r="D899" s="381" t="s">
        <v>3462</v>
      </c>
      <c r="E899" s="383" t="s">
        <v>3463</v>
      </c>
      <c r="F899" s="381" t="s">
        <v>3464</v>
      </c>
      <c r="G899" s="384"/>
      <c r="H899" s="24"/>
      <c r="I899" s="24"/>
      <c r="J899" s="25" t="str">
        <f t="shared" si="43"/>
        <v xml:space="preserve"> </v>
      </c>
      <c r="K899" s="385"/>
      <c r="L899" s="385"/>
      <c r="M899" s="386">
        <f t="shared" si="44"/>
        <v>0</v>
      </c>
      <c r="N899" s="496"/>
      <c r="O899" s="333">
        <f t="shared" si="45"/>
        <v>0</v>
      </c>
      <c r="R899" s="23" t="e">
        <f>VLOOKUP(C:C,'Historic Data - working'!A:B,1,FALSE)</f>
        <v>#N/A</v>
      </c>
      <c r="U899" s="323"/>
      <c r="V899" s="323"/>
      <c r="W899" s="323"/>
    </row>
    <row r="900" spans="1:23" s="23" customFormat="1" ht="14.25" hidden="1" x14ac:dyDescent="0.2">
      <c r="A900" s="381" t="s">
        <v>3322</v>
      </c>
      <c r="B900" s="381" t="s">
        <v>324</v>
      </c>
      <c r="C900" s="406" t="s">
        <v>3465</v>
      </c>
      <c r="D900" s="381" t="s">
        <v>3466</v>
      </c>
      <c r="E900" s="383" t="s">
        <v>3467</v>
      </c>
      <c r="F900" s="381" t="s">
        <v>3468</v>
      </c>
      <c r="G900" s="384" t="s">
        <v>329</v>
      </c>
      <c r="H900" s="24">
        <v>2200</v>
      </c>
      <c r="I900" s="24"/>
      <c r="J900" s="25" t="str">
        <f t="shared" si="43"/>
        <v>1</v>
      </c>
      <c r="K900" s="385"/>
      <c r="L900" s="385"/>
      <c r="M900" s="386">
        <f t="shared" si="44"/>
        <v>2200</v>
      </c>
      <c r="N900" s="496">
        <v>85</v>
      </c>
      <c r="O900" s="333">
        <f t="shared" si="45"/>
        <v>2285</v>
      </c>
      <c r="R900" s="23" t="str">
        <f>VLOOKUP(C:C,'Historic Data - working'!A:B,1,FALSE)</f>
        <v>MEN039</v>
      </c>
      <c r="U900" s="323"/>
      <c r="V900" s="323"/>
      <c r="W900" s="323"/>
    </row>
    <row r="901" spans="1:23" s="23" customFormat="1" ht="14.25" hidden="1" x14ac:dyDescent="0.2">
      <c r="A901" s="381" t="s">
        <v>3322</v>
      </c>
      <c r="B901" s="381" t="s">
        <v>324</v>
      </c>
      <c r="C901" s="406" t="s">
        <v>3469</v>
      </c>
      <c r="D901" s="381" t="s">
        <v>3470</v>
      </c>
      <c r="E901" s="383" t="s">
        <v>2254</v>
      </c>
      <c r="F901" s="381" t="s">
        <v>3460</v>
      </c>
      <c r="G901" s="384"/>
      <c r="H901" s="24"/>
      <c r="I901" s="24"/>
      <c r="J901" s="25" t="str">
        <f t="shared" si="43"/>
        <v xml:space="preserve"> </v>
      </c>
      <c r="K901" s="385"/>
      <c r="L901" s="385"/>
      <c r="M901" s="386">
        <f t="shared" si="44"/>
        <v>0</v>
      </c>
      <c r="N901" s="496"/>
      <c r="O901" s="333">
        <f t="shared" si="45"/>
        <v>0</v>
      </c>
      <c r="R901" s="23" t="e">
        <f>VLOOKUP(C:C,'Historic Data - working'!A:B,1,FALSE)</f>
        <v>#N/A</v>
      </c>
      <c r="U901" s="323"/>
      <c r="V901" s="323"/>
      <c r="W901" s="323"/>
    </row>
    <row r="902" spans="1:23" s="23" customFormat="1" ht="14.25" hidden="1" x14ac:dyDescent="0.2">
      <c r="A902" s="381" t="s">
        <v>3322</v>
      </c>
      <c r="B902" s="381" t="s">
        <v>324</v>
      </c>
      <c r="C902" s="406" t="s">
        <v>3471</v>
      </c>
      <c r="D902" s="381" t="s">
        <v>3472</v>
      </c>
      <c r="E902" s="383" t="s">
        <v>3473</v>
      </c>
      <c r="F902" s="381" t="s">
        <v>3460</v>
      </c>
      <c r="G902" s="384"/>
      <c r="H902" s="24"/>
      <c r="I902" s="24"/>
      <c r="J902" s="25" t="str">
        <f t="shared" si="43"/>
        <v xml:space="preserve"> </v>
      </c>
      <c r="K902" s="385" t="s">
        <v>337</v>
      </c>
      <c r="L902" s="385">
        <v>455.53</v>
      </c>
      <c r="M902" s="386">
        <f t="shared" si="44"/>
        <v>455.53</v>
      </c>
      <c r="N902" s="496">
        <v>5</v>
      </c>
      <c r="O902" s="333">
        <f t="shared" si="45"/>
        <v>460.53</v>
      </c>
      <c r="R902" s="23" t="str">
        <f>VLOOKUP(C:C,'Historic Data - working'!A:B,1,FALSE)</f>
        <v>MEN040</v>
      </c>
      <c r="U902" s="323"/>
      <c r="V902" s="323"/>
      <c r="W902" s="323"/>
    </row>
    <row r="903" spans="1:23" s="23" customFormat="1" ht="14.25" hidden="1" x14ac:dyDescent="0.2">
      <c r="A903" s="381" t="s">
        <v>3322</v>
      </c>
      <c r="B903" s="381" t="s">
        <v>324</v>
      </c>
      <c r="C903" s="406" t="s">
        <v>3474</v>
      </c>
      <c r="D903" s="381" t="s">
        <v>3475</v>
      </c>
      <c r="E903" s="383" t="s">
        <v>3476</v>
      </c>
      <c r="F903" s="381" t="s">
        <v>3477</v>
      </c>
      <c r="G903" s="384"/>
      <c r="H903" s="24"/>
      <c r="I903" s="24"/>
      <c r="J903" s="25" t="str">
        <f t="shared" si="43"/>
        <v xml:space="preserve"> </v>
      </c>
      <c r="K903" s="385"/>
      <c r="L903" s="385"/>
      <c r="M903" s="386">
        <f t="shared" si="44"/>
        <v>0</v>
      </c>
      <c r="N903" s="496">
        <v>60</v>
      </c>
      <c r="O903" s="333">
        <f t="shared" si="45"/>
        <v>60</v>
      </c>
      <c r="R903" s="23" t="str">
        <f>VLOOKUP(C:C,'Historic Data - working'!A:B,1,FALSE)</f>
        <v>MEN041</v>
      </c>
      <c r="U903" s="323"/>
      <c r="V903" s="323"/>
      <c r="W903" s="323"/>
    </row>
    <row r="904" spans="1:23" s="23" customFormat="1" ht="14.25" hidden="1" x14ac:dyDescent="0.2">
      <c r="A904" s="381" t="s">
        <v>3322</v>
      </c>
      <c r="B904" s="381" t="s">
        <v>324</v>
      </c>
      <c r="C904" s="406" t="s">
        <v>3478</v>
      </c>
      <c r="D904" s="381" t="s">
        <v>3479</v>
      </c>
      <c r="E904" s="383" t="s">
        <v>183</v>
      </c>
      <c r="F904" s="381" t="s">
        <v>3480</v>
      </c>
      <c r="G904" s="384"/>
      <c r="H904" s="24"/>
      <c r="I904" s="24"/>
      <c r="J904" s="25" t="str">
        <f t="shared" si="43"/>
        <v xml:space="preserve"> </v>
      </c>
      <c r="K904" s="385"/>
      <c r="L904" s="385"/>
      <c r="M904" s="386">
        <f t="shared" si="44"/>
        <v>0</v>
      </c>
      <c r="N904" s="496">
        <v>60</v>
      </c>
      <c r="O904" s="333">
        <f t="shared" si="45"/>
        <v>60</v>
      </c>
      <c r="R904" s="23" t="str">
        <f>VLOOKUP(C:C,'Historic Data - working'!A:B,1,FALSE)</f>
        <v>MEN041X</v>
      </c>
      <c r="U904" s="323"/>
      <c r="V904" s="323"/>
      <c r="W904" s="323"/>
    </row>
    <row r="905" spans="1:23" s="23" customFormat="1" ht="14.25" hidden="1" x14ac:dyDescent="0.2">
      <c r="A905" s="381" t="s">
        <v>3322</v>
      </c>
      <c r="B905" s="381" t="s">
        <v>324</v>
      </c>
      <c r="C905" s="406" t="s">
        <v>3481</v>
      </c>
      <c r="D905" s="381" t="s">
        <v>3482</v>
      </c>
      <c r="E905" s="383" t="s">
        <v>3483</v>
      </c>
      <c r="F905" s="381" t="s">
        <v>3484</v>
      </c>
      <c r="G905" s="384"/>
      <c r="H905" s="24"/>
      <c r="I905" s="24"/>
      <c r="J905" s="25" t="str">
        <f t="shared" si="43"/>
        <v xml:space="preserve"> </v>
      </c>
      <c r="K905" s="385"/>
      <c r="L905" s="385"/>
      <c r="M905" s="386">
        <f t="shared" si="44"/>
        <v>0</v>
      </c>
      <c r="N905" s="496"/>
      <c r="O905" s="333">
        <f t="shared" si="45"/>
        <v>0</v>
      </c>
      <c r="R905" s="23" t="e">
        <f>VLOOKUP(C:C,'Historic Data - working'!A:B,1,FALSE)</f>
        <v>#N/A</v>
      </c>
      <c r="U905" s="323"/>
      <c r="V905" s="323"/>
      <c r="W905" s="323"/>
    </row>
    <row r="906" spans="1:23" s="23" customFormat="1" ht="14.25" hidden="1" x14ac:dyDescent="0.2">
      <c r="A906" s="381" t="s">
        <v>3322</v>
      </c>
      <c r="B906" s="381" t="s">
        <v>324</v>
      </c>
      <c r="C906" s="406" t="s">
        <v>3485</v>
      </c>
      <c r="D906" s="381" t="s">
        <v>3486</v>
      </c>
      <c r="E906" s="383" t="s">
        <v>3487</v>
      </c>
      <c r="F906" s="381" t="s">
        <v>3488</v>
      </c>
      <c r="G906" s="384" t="s">
        <v>329</v>
      </c>
      <c r="H906" s="24">
        <v>1297.01</v>
      </c>
      <c r="I906" s="24"/>
      <c r="J906" s="25" t="str">
        <f t="shared" si="43"/>
        <v>1</v>
      </c>
      <c r="K906" s="385"/>
      <c r="L906" s="385"/>
      <c r="M906" s="386">
        <f t="shared" si="44"/>
        <v>1297.01</v>
      </c>
      <c r="N906" s="496">
        <v>169</v>
      </c>
      <c r="O906" s="333">
        <f t="shared" si="45"/>
        <v>1466.01</v>
      </c>
      <c r="R906" s="23" t="str">
        <f>VLOOKUP(C:C,'Historic Data - working'!A:B,1,FALSE)</f>
        <v>MEN042</v>
      </c>
      <c r="U906" s="323"/>
      <c r="V906" s="323"/>
      <c r="W906" s="323"/>
    </row>
    <row r="907" spans="1:23" s="23" customFormat="1" ht="14.25" hidden="1" x14ac:dyDescent="0.2">
      <c r="A907" s="381" t="s">
        <v>3322</v>
      </c>
      <c r="B907" s="381" t="s">
        <v>324</v>
      </c>
      <c r="C907" s="406" t="s">
        <v>3489</v>
      </c>
      <c r="D907" s="381" t="s">
        <v>3490</v>
      </c>
      <c r="E907" s="383" t="s">
        <v>3491</v>
      </c>
      <c r="F907" s="381" t="s">
        <v>3492</v>
      </c>
      <c r="G907" s="384"/>
      <c r="H907" s="24"/>
      <c r="I907" s="24"/>
      <c r="J907" s="25" t="str">
        <f t="shared" si="43"/>
        <v xml:space="preserve"> </v>
      </c>
      <c r="K907" s="385"/>
      <c r="L907" s="385"/>
      <c r="M907" s="386">
        <f t="shared" si="44"/>
        <v>0</v>
      </c>
      <c r="N907" s="496"/>
      <c r="O907" s="333">
        <f t="shared" si="45"/>
        <v>0</v>
      </c>
      <c r="R907" s="23" t="e">
        <f>VLOOKUP(C:C,'Historic Data - working'!A:B,1,FALSE)</f>
        <v>#N/A</v>
      </c>
      <c r="U907" s="323"/>
      <c r="V907" s="323"/>
      <c r="W907" s="323"/>
    </row>
    <row r="908" spans="1:23" s="23" customFormat="1" ht="14.25" hidden="1" x14ac:dyDescent="0.2">
      <c r="A908" s="381" t="s">
        <v>3322</v>
      </c>
      <c r="B908" s="381" t="s">
        <v>351</v>
      </c>
      <c r="C908" s="406" t="s">
        <v>3493</v>
      </c>
      <c r="D908" s="381" t="s">
        <v>3494</v>
      </c>
      <c r="E908" s="383" t="s">
        <v>428</v>
      </c>
      <c r="F908" s="381" t="s">
        <v>3326</v>
      </c>
      <c r="G908" s="384"/>
      <c r="H908" s="24"/>
      <c r="I908" s="24"/>
      <c r="J908" s="25" t="str">
        <f t="shared" si="43"/>
        <v xml:space="preserve"> </v>
      </c>
      <c r="K908" s="385" t="s">
        <v>337</v>
      </c>
      <c r="L908" s="385">
        <v>797</v>
      </c>
      <c r="M908" s="386">
        <f t="shared" si="44"/>
        <v>797</v>
      </c>
      <c r="N908" s="496">
        <v>10</v>
      </c>
      <c r="O908" s="333">
        <f t="shared" si="45"/>
        <v>807</v>
      </c>
      <c r="R908" s="23" t="str">
        <f>VLOOKUP(C:C,'Historic Data - working'!A:B,1,FALSE)</f>
        <v>MEN043</v>
      </c>
      <c r="U908" s="323"/>
      <c r="V908" s="323"/>
      <c r="W908" s="323"/>
    </row>
    <row r="909" spans="1:23" s="23" customFormat="1" ht="14.25" hidden="1" x14ac:dyDescent="0.2">
      <c r="A909" s="381" t="s">
        <v>3322</v>
      </c>
      <c r="B909" s="381" t="s">
        <v>324</v>
      </c>
      <c r="C909" s="406" t="s">
        <v>3495</v>
      </c>
      <c r="D909" s="381" t="s">
        <v>3496</v>
      </c>
      <c r="E909" s="383" t="s">
        <v>252</v>
      </c>
      <c r="F909" s="381" t="s">
        <v>3397</v>
      </c>
      <c r="G909" s="384"/>
      <c r="H909" s="24"/>
      <c r="I909" s="24"/>
      <c r="J909" s="25" t="str">
        <f t="shared" si="43"/>
        <v xml:space="preserve"> </v>
      </c>
      <c r="K909" s="385"/>
      <c r="L909" s="385"/>
      <c r="M909" s="386">
        <f t="shared" si="44"/>
        <v>0</v>
      </c>
      <c r="N909" s="496"/>
      <c r="O909" s="333">
        <f t="shared" si="45"/>
        <v>0</v>
      </c>
      <c r="R909" s="23" t="e">
        <f>VLOOKUP(C:C,'Historic Data - working'!A:B,1,FALSE)</f>
        <v>#N/A</v>
      </c>
      <c r="U909" s="323"/>
      <c r="V909" s="323"/>
      <c r="W909" s="323"/>
    </row>
    <row r="910" spans="1:23" s="23" customFormat="1" ht="14.25" hidden="1" x14ac:dyDescent="0.2">
      <c r="A910" s="381" t="s">
        <v>3322</v>
      </c>
      <c r="B910" s="381" t="s">
        <v>324</v>
      </c>
      <c r="C910" s="406" t="s">
        <v>3497</v>
      </c>
      <c r="D910" s="381" t="s">
        <v>3498</v>
      </c>
      <c r="E910" s="383" t="s">
        <v>3499</v>
      </c>
      <c r="F910" s="385"/>
      <c r="G910" s="384"/>
      <c r="H910" s="24"/>
      <c r="I910" s="24"/>
      <c r="J910" s="25" t="str">
        <f t="shared" si="43"/>
        <v xml:space="preserve"> </v>
      </c>
      <c r="K910" s="385"/>
      <c r="L910" s="385"/>
      <c r="M910" s="386">
        <f t="shared" si="44"/>
        <v>0</v>
      </c>
      <c r="N910" s="496">
        <v>15</v>
      </c>
      <c r="O910" s="333">
        <f t="shared" si="45"/>
        <v>15</v>
      </c>
      <c r="R910" s="23" t="str">
        <f>VLOOKUP(C:C,'Historic Data - working'!A:B,1,FALSE)</f>
        <v>MEN999</v>
      </c>
      <c r="U910" s="323"/>
      <c r="V910" s="323"/>
      <c r="W910" s="323"/>
    </row>
    <row r="911" spans="1:23" s="23" customFormat="1" ht="28.5" hidden="1" x14ac:dyDescent="0.2">
      <c r="A911" s="381" t="s">
        <v>3500</v>
      </c>
      <c r="B911" s="381" t="s">
        <v>324</v>
      </c>
      <c r="C911" s="407" t="s">
        <v>3501</v>
      </c>
      <c r="D911" s="381" t="s">
        <v>3502</v>
      </c>
      <c r="E911" s="383" t="s">
        <v>3503</v>
      </c>
      <c r="F911" s="381" t="s">
        <v>3504</v>
      </c>
      <c r="G911" s="384"/>
      <c r="H911" s="24"/>
      <c r="I911" s="24"/>
      <c r="J911" s="25" t="str">
        <f t="shared" si="43"/>
        <v xml:space="preserve"> </v>
      </c>
      <c r="K911" s="385"/>
      <c r="L911" s="385"/>
      <c r="M911" s="386">
        <f t="shared" si="44"/>
        <v>0</v>
      </c>
      <c r="N911" s="496">
        <v>198.45000000000002</v>
      </c>
      <c r="O911" s="333">
        <f t="shared" si="45"/>
        <v>198.45000000000002</v>
      </c>
      <c r="R911" s="23" t="str">
        <f>VLOOKUP(C:C,'Historic Data - working'!A:B,1,FALSE)</f>
        <v>NOR001</v>
      </c>
      <c r="U911" s="323"/>
      <c r="V911" s="323"/>
      <c r="W911" s="323"/>
    </row>
    <row r="912" spans="1:23" s="23" customFormat="1" ht="14.25" hidden="1" x14ac:dyDescent="0.2">
      <c r="A912" s="381" t="s">
        <v>3500</v>
      </c>
      <c r="B912" s="381" t="s">
        <v>324</v>
      </c>
      <c r="C912" s="407" t="s">
        <v>3505</v>
      </c>
      <c r="D912" s="381" t="s">
        <v>3506</v>
      </c>
      <c r="E912" s="383" t="s">
        <v>3507</v>
      </c>
      <c r="F912" s="381" t="s">
        <v>3504</v>
      </c>
      <c r="G912" s="384"/>
      <c r="H912" s="24"/>
      <c r="I912" s="24"/>
      <c r="J912" s="25" t="str">
        <f t="shared" si="43"/>
        <v xml:space="preserve"> </v>
      </c>
      <c r="K912" s="385"/>
      <c r="L912" s="385"/>
      <c r="M912" s="386">
        <f t="shared" si="44"/>
        <v>0</v>
      </c>
      <c r="N912" s="496">
        <v>1087.3999999999999</v>
      </c>
      <c r="O912" s="333">
        <f t="shared" si="45"/>
        <v>1087.3999999999999</v>
      </c>
      <c r="R912" s="23" t="str">
        <f>VLOOKUP(C:C,'Historic Data - working'!A:B,1,FALSE)</f>
        <v>NOR002</v>
      </c>
      <c r="U912" s="323"/>
      <c r="V912" s="323"/>
      <c r="W912" s="323"/>
    </row>
    <row r="913" spans="1:23" s="23" customFormat="1" ht="14.25" hidden="1" x14ac:dyDescent="0.2">
      <c r="A913" s="381" t="s">
        <v>3500</v>
      </c>
      <c r="B913" s="381" t="s">
        <v>324</v>
      </c>
      <c r="C913" s="407" t="s">
        <v>3508</v>
      </c>
      <c r="D913" s="381" t="s">
        <v>3509</v>
      </c>
      <c r="E913" s="383" t="s">
        <v>3510</v>
      </c>
      <c r="F913" s="381" t="s">
        <v>3504</v>
      </c>
      <c r="G913" s="384" t="s">
        <v>329</v>
      </c>
      <c r="H913" s="24">
        <v>2873.53</v>
      </c>
      <c r="I913" s="24"/>
      <c r="J913" s="25" t="str">
        <f t="shared" si="43"/>
        <v>1</v>
      </c>
      <c r="K913" s="385" t="s">
        <v>3511</v>
      </c>
      <c r="L913" s="385"/>
      <c r="M913" s="386">
        <f t="shared" si="44"/>
        <v>2873.53</v>
      </c>
      <c r="N913" s="496">
        <v>324</v>
      </c>
      <c r="O913" s="333">
        <f t="shared" si="45"/>
        <v>3197.53</v>
      </c>
      <c r="R913" s="23" t="str">
        <f>VLOOKUP(C:C,'Historic Data - working'!A:B,1,FALSE)</f>
        <v>NOR003</v>
      </c>
      <c r="U913" s="323"/>
      <c r="V913" s="323"/>
      <c r="W913" s="323"/>
    </row>
    <row r="914" spans="1:23" s="23" customFormat="1" ht="14.25" hidden="1" x14ac:dyDescent="0.2">
      <c r="A914" s="381" t="s">
        <v>3500</v>
      </c>
      <c r="B914" s="381" t="s">
        <v>324</v>
      </c>
      <c r="C914" s="407" t="s">
        <v>3512</v>
      </c>
      <c r="D914" s="381" t="s">
        <v>3513</v>
      </c>
      <c r="E914" s="383" t="s">
        <v>47</v>
      </c>
      <c r="F914" s="381" t="s">
        <v>3504</v>
      </c>
      <c r="G914" s="384" t="s">
        <v>329</v>
      </c>
      <c r="H914" s="24">
        <v>592.83000000000004</v>
      </c>
      <c r="I914" s="24"/>
      <c r="J914" s="25" t="str">
        <f t="shared" si="43"/>
        <v>1</v>
      </c>
      <c r="K914" s="385"/>
      <c r="L914" s="385"/>
      <c r="M914" s="386">
        <f t="shared" si="44"/>
        <v>592.83000000000004</v>
      </c>
      <c r="N914" s="496">
        <v>245</v>
      </c>
      <c r="O914" s="333">
        <f t="shared" si="45"/>
        <v>837.83</v>
      </c>
      <c r="R914" s="23" t="str">
        <f>VLOOKUP(C:C,'Historic Data - working'!A:B,1,FALSE)</f>
        <v>NOR004</v>
      </c>
      <c r="U914" s="323"/>
      <c r="V914" s="323"/>
      <c r="W914" s="323"/>
    </row>
    <row r="915" spans="1:23" s="23" customFormat="1" ht="14.25" hidden="1" x14ac:dyDescent="0.2">
      <c r="A915" s="381" t="s">
        <v>3500</v>
      </c>
      <c r="B915" s="381" t="s">
        <v>324</v>
      </c>
      <c r="C915" s="407" t="s">
        <v>3514</v>
      </c>
      <c r="D915" s="381" t="s">
        <v>3515</v>
      </c>
      <c r="E915" s="383" t="s">
        <v>3516</v>
      </c>
      <c r="F915" s="381" t="s">
        <v>3504</v>
      </c>
      <c r="G915" s="384"/>
      <c r="H915" s="24"/>
      <c r="I915" s="24"/>
      <c r="J915" s="25" t="str">
        <f t="shared" si="43"/>
        <v xml:space="preserve"> </v>
      </c>
      <c r="K915" s="385"/>
      <c r="L915" s="385"/>
      <c r="M915" s="386">
        <f t="shared" si="44"/>
        <v>0</v>
      </c>
      <c r="N915" s="496">
        <v>1302.69</v>
      </c>
      <c r="O915" s="333">
        <f t="shared" si="45"/>
        <v>1302.69</v>
      </c>
      <c r="R915" s="23" t="str">
        <f>VLOOKUP(C:C,'Historic Data - working'!A:B,1,FALSE)</f>
        <v>NOR005</v>
      </c>
      <c r="U915" s="323"/>
      <c r="V915" s="323"/>
      <c r="W915" s="323"/>
    </row>
    <row r="916" spans="1:23" s="23" customFormat="1" ht="14.25" hidden="1" x14ac:dyDescent="0.2">
      <c r="A916" s="381" t="s">
        <v>3500</v>
      </c>
      <c r="B916" s="381" t="s">
        <v>324</v>
      </c>
      <c r="C916" s="407" t="s">
        <v>3517</v>
      </c>
      <c r="D916" s="381" t="s">
        <v>3518</v>
      </c>
      <c r="E916" s="383" t="s">
        <v>3519</v>
      </c>
      <c r="F916" s="381" t="s">
        <v>3504</v>
      </c>
      <c r="G916" s="384"/>
      <c r="H916" s="24"/>
      <c r="I916" s="24"/>
      <c r="J916" s="25" t="str">
        <f t="shared" si="43"/>
        <v xml:space="preserve"> </v>
      </c>
      <c r="K916" s="385"/>
      <c r="L916" s="385"/>
      <c r="M916" s="386">
        <f t="shared" si="44"/>
        <v>0</v>
      </c>
      <c r="N916" s="496"/>
      <c r="O916" s="333">
        <f t="shared" si="45"/>
        <v>0</v>
      </c>
      <c r="R916" s="23" t="e">
        <f>VLOOKUP(C:C,'Historic Data - working'!A:B,1,FALSE)</f>
        <v>#N/A</v>
      </c>
      <c r="U916" s="323"/>
      <c r="V916" s="323"/>
      <c r="W916" s="323"/>
    </row>
    <row r="917" spans="1:23" s="23" customFormat="1" ht="14.25" hidden="1" x14ac:dyDescent="0.2">
      <c r="A917" s="381" t="s">
        <v>3500</v>
      </c>
      <c r="B917" s="381" t="s">
        <v>324</v>
      </c>
      <c r="C917" s="407" t="s">
        <v>3520</v>
      </c>
      <c r="D917" s="381" t="s">
        <v>3521</v>
      </c>
      <c r="E917" s="383" t="s">
        <v>3522</v>
      </c>
      <c r="F917" s="381" t="s">
        <v>3504</v>
      </c>
      <c r="G917" s="384"/>
      <c r="H917" s="24"/>
      <c r="I917" s="24"/>
      <c r="J917" s="25" t="str">
        <f t="shared" si="43"/>
        <v xml:space="preserve"> </v>
      </c>
      <c r="K917" s="385"/>
      <c r="L917" s="385"/>
      <c r="M917" s="386">
        <f t="shared" si="44"/>
        <v>0</v>
      </c>
      <c r="N917" s="496"/>
      <c r="O917" s="333">
        <f t="shared" si="45"/>
        <v>0</v>
      </c>
      <c r="R917" s="23" t="e">
        <f>VLOOKUP(C:C,'Historic Data - working'!A:B,1,FALSE)</f>
        <v>#N/A</v>
      </c>
      <c r="U917" s="323"/>
      <c r="V917" s="323"/>
      <c r="W917" s="323"/>
    </row>
    <row r="918" spans="1:23" s="23" customFormat="1" ht="14.25" hidden="1" x14ac:dyDescent="0.2">
      <c r="A918" s="381" t="s">
        <v>3500</v>
      </c>
      <c r="B918" s="381" t="s">
        <v>351</v>
      </c>
      <c r="C918" s="407" t="s">
        <v>3523</v>
      </c>
      <c r="D918" s="381" t="s">
        <v>3524</v>
      </c>
      <c r="E918" s="383" t="s">
        <v>3525</v>
      </c>
      <c r="F918" s="381" t="s">
        <v>3526</v>
      </c>
      <c r="G918" s="384" t="s">
        <v>329</v>
      </c>
      <c r="H918" s="24">
        <v>309.76</v>
      </c>
      <c r="I918" s="24"/>
      <c r="J918" s="25" t="str">
        <f t="shared" si="43"/>
        <v>1</v>
      </c>
      <c r="K918" s="388"/>
      <c r="L918" s="385"/>
      <c r="M918" s="386">
        <f t="shared" si="44"/>
        <v>309.76</v>
      </c>
      <c r="N918" s="496">
        <v>390</v>
      </c>
      <c r="O918" s="333">
        <f t="shared" si="45"/>
        <v>699.76</v>
      </c>
      <c r="R918" s="23" t="str">
        <f>VLOOKUP(C:C,'Historic Data - working'!A:B,1,FALSE)</f>
        <v>NOR006X</v>
      </c>
      <c r="U918" s="323"/>
      <c r="V918" s="323"/>
      <c r="W918" s="323"/>
    </row>
    <row r="919" spans="1:23" s="23" customFormat="1" ht="14.25" hidden="1" x14ac:dyDescent="0.2">
      <c r="A919" s="381" t="s">
        <v>3500</v>
      </c>
      <c r="B919" s="381" t="s">
        <v>324</v>
      </c>
      <c r="C919" s="407" t="s">
        <v>3527</v>
      </c>
      <c r="D919" s="381" t="s">
        <v>3528</v>
      </c>
      <c r="E919" s="383" t="s">
        <v>231</v>
      </c>
      <c r="F919" s="381" t="s">
        <v>3529</v>
      </c>
      <c r="G919" s="384" t="s">
        <v>329</v>
      </c>
      <c r="H919" s="24">
        <v>3207</v>
      </c>
      <c r="I919" s="24"/>
      <c r="J919" s="25" t="str">
        <f t="shared" si="43"/>
        <v>1</v>
      </c>
      <c r="K919" s="385" t="s">
        <v>3530</v>
      </c>
      <c r="L919" s="385"/>
      <c r="M919" s="386">
        <f t="shared" si="44"/>
        <v>3207</v>
      </c>
      <c r="N919" s="496">
        <v>2430</v>
      </c>
      <c r="O919" s="333">
        <f t="shared" si="45"/>
        <v>5637</v>
      </c>
      <c r="R919" s="23" t="str">
        <f>VLOOKUP(C:C,'Historic Data - working'!A:B,1,FALSE)</f>
        <v>NOR007</v>
      </c>
      <c r="U919" s="323"/>
      <c r="V919" s="323"/>
      <c r="W919" s="323"/>
    </row>
    <row r="920" spans="1:23" s="23" customFormat="1" ht="14.25" hidden="1" x14ac:dyDescent="0.2">
      <c r="A920" s="381" t="s">
        <v>3500</v>
      </c>
      <c r="B920" s="381" t="s">
        <v>351</v>
      </c>
      <c r="C920" s="407" t="s">
        <v>3531</v>
      </c>
      <c r="D920" s="381" t="s">
        <v>3532</v>
      </c>
      <c r="E920" s="383" t="s">
        <v>1627</v>
      </c>
      <c r="F920" s="381" t="s">
        <v>3533</v>
      </c>
      <c r="G920" s="384" t="s">
        <v>329</v>
      </c>
      <c r="H920" s="24">
        <f>96.15+168.86</f>
        <v>265.01</v>
      </c>
      <c r="I920" s="24"/>
      <c r="J920" s="25" t="str">
        <f t="shared" si="43"/>
        <v>1</v>
      </c>
      <c r="K920" s="385" t="s">
        <v>3534</v>
      </c>
      <c r="L920" s="385">
        <v>0.6</v>
      </c>
      <c r="M920" s="386">
        <f t="shared" si="44"/>
        <v>265.61</v>
      </c>
      <c r="N920" s="496">
        <v>365</v>
      </c>
      <c r="O920" s="334">
        <f t="shared" si="45"/>
        <v>630.61</v>
      </c>
      <c r="P920" s="351"/>
      <c r="Q920" s="331"/>
      <c r="R920" s="331" t="e">
        <f>VLOOKUP(C:C,'Historic Data - working'!A:B,1,FALSE)</f>
        <v>#N/A</v>
      </c>
      <c r="U920" s="323"/>
      <c r="V920" s="323"/>
      <c r="W920" s="323"/>
    </row>
    <row r="921" spans="1:23" s="23" customFormat="1" ht="14.25" hidden="1" x14ac:dyDescent="0.2">
      <c r="A921" s="381" t="s">
        <v>3500</v>
      </c>
      <c r="B921" s="381" t="s">
        <v>351</v>
      </c>
      <c r="C921" s="407" t="s">
        <v>3535</v>
      </c>
      <c r="D921" s="381" t="s">
        <v>3536</v>
      </c>
      <c r="E921" s="383" t="s">
        <v>3537</v>
      </c>
      <c r="F921" s="381" t="s">
        <v>3538</v>
      </c>
      <c r="G921" s="384" t="s">
        <v>329</v>
      </c>
      <c r="H921" s="24">
        <f>538.5+37.13</f>
        <v>575.63</v>
      </c>
      <c r="I921" s="24"/>
      <c r="J921" s="25" t="str">
        <f t="shared" si="43"/>
        <v>1</v>
      </c>
      <c r="K921" s="385"/>
      <c r="L921" s="385"/>
      <c r="M921" s="386">
        <f t="shared" si="44"/>
        <v>575.63</v>
      </c>
      <c r="N921" s="496">
        <v>195</v>
      </c>
      <c r="O921" s="334">
        <f t="shared" si="45"/>
        <v>770.63</v>
      </c>
      <c r="P921" s="351"/>
      <c r="Q921" s="331"/>
      <c r="R921" s="331" t="e">
        <f>VLOOKUP(C:C,'Historic Data - working'!A:B,1,FALSE)</f>
        <v>#N/A</v>
      </c>
      <c r="U921" s="323"/>
      <c r="V921" s="323"/>
      <c r="W921" s="323"/>
    </row>
    <row r="922" spans="1:23" s="23" customFormat="1" ht="14.25" hidden="1" x14ac:dyDescent="0.2">
      <c r="A922" s="381" t="s">
        <v>3500</v>
      </c>
      <c r="B922" s="381" t="s">
        <v>351</v>
      </c>
      <c r="C922" s="407" t="s">
        <v>3539</v>
      </c>
      <c r="D922" s="381" t="s">
        <v>3540</v>
      </c>
      <c r="E922" s="383" t="s">
        <v>1366</v>
      </c>
      <c r="F922" s="381" t="s">
        <v>3541</v>
      </c>
      <c r="G922" s="384" t="s">
        <v>329</v>
      </c>
      <c r="H922" s="24"/>
      <c r="I922" s="24">
        <v>520.42999999999995</v>
      </c>
      <c r="J922" s="25" t="str">
        <f t="shared" si="43"/>
        <v>1</v>
      </c>
      <c r="K922" s="385"/>
      <c r="L922" s="385"/>
      <c r="M922" s="386">
        <f t="shared" si="44"/>
        <v>0</v>
      </c>
      <c r="N922" s="496">
        <v>3493.6699999999996</v>
      </c>
      <c r="O922" s="333">
        <f t="shared" si="45"/>
        <v>3493.6699999999996</v>
      </c>
      <c r="R922" s="23" t="str">
        <f>VLOOKUP(C:C,'Historic Data - working'!A:B,1,FALSE)</f>
        <v>NOR009</v>
      </c>
      <c r="U922" s="323"/>
      <c r="V922" s="323"/>
      <c r="W922" s="323"/>
    </row>
    <row r="923" spans="1:23" s="23" customFormat="1" ht="14.25" hidden="1" x14ac:dyDescent="0.2">
      <c r="A923" s="381" t="s">
        <v>3500</v>
      </c>
      <c r="B923" s="381" t="s">
        <v>351</v>
      </c>
      <c r="C923" s="407" t="s">
        <v>3542</v>
      </c>
      <c r="D923" s="381" t="s">
        <v>3543</v>
      </c>
      <c r="E923" s="383" t="s">
        <v>3544</v>
      </c>
      <c r="F923" s="381" t="s">
        <v>3541</v>
      </c>
      <c r="G923" s="384"/>
      <c r="H923" s="24"/>
      <c r="I923" s="24"/>
      <c r="J923" s="25" t="str">
        <f t="shared" si="43"/>
        <v xml:space="preserve"> </v>
      </c>
      <c r="K923" s="385"/>
      <c r="L923" s="385"/>
      <c r="M923" s="386">
        <f t="shared" si="44"/>
        <v>0</v>
      </c>
      <c r="N923" s="496"/>
      <c r="O923" s="333">
        <f t="shared" si="45"/>
        <v>0</v>
      </c>
      <c r="R923" s="23" t="e">
        <f>VLOOKUP(C:C,'Historic Data - working'!A:B,1,FALSE)</f>
        <v>#N/A</v>
      </c>
      <c r="U923" s="323"/>
      <c r="V923" s="323"/>
      <c r="W923" s="323"/>
    </row>
    <row r="924" spans="1:23" s="23" customFormat="1" ht="14.25" hidden="1" x14ac:dyDescent="0.2">
      <c r="A924" s="381" t="s">
        <v>3500</v>
      </c>
      <c r="B924" s="381" t="s">
        <v>351</v>
      </c>
      <c r="C924" s="407" t="s">
        <v>3545</v>
      </c>
      <c r="D924" s="381" t="s">
        <v>3546</v>
      </c>
      <c r="E924" s="383" t="s">
        <v>1203</v>
      </c>
      <c r="F924" s="381" t="s">
        <v>3541</v>
      </c>
      <c r="G924" s="384" t="s">
        <v>329</v>
      </c>
      <c r="H924" s="24">
        <f>227.6+162.72+192.04+28.18+65.28+288.54+85.82+126.73</f>
        <v>1176.9099999999999</v>
      </c>
      <c r="I924" s="24"/>
      <c r="J924" s="25" t="str">
        <f t="shared" si="43"/>
        <v>1</v>
      </c>
      <c r="K924" s="385"/>
      <c r="L924" s="385"/>
      <c r="M924" s="386">
        <f t="shared" si="44"/>
        <v>1176.9099999999999</v>
      </c>
      <c r="N924" s="496">
        <v>800</v>
      </c>
      <c r="O924" s="333">
        <f t="shared" si="45"/>
        <v>1976.9099999999999</v>
      </c>
      <c r="R924" s="23" t="str">
        <f>VLOOKUP(C:C,'Historic Data - working'!A:B,1,FALSE)</f>
        <v>NOR010</v>
      </c>
      <c r="U924" s="323"/>
      <c r="V924" s="323"/>
      <c r="W924" s="323"/>
    </row>
    <row r="925" spans="1:23" s="23" customFormat="1" ht="14.25" hidden="1" x14ac:dyDescent="0.2">
      <c r="A925" s="381" t="s">
        <v>3500</v>
      </c>
      <c r="B925" s="381" t="s">
        <v>324</v>
      </c>
      <c r="C925" s="407" t="s">
        <v>3547</v>
      </c>
      <c r="D925" s="381" t="s">
        <v>3548</v>
      </c>
      <c r="E925" s="383" t="s">
        <v>3549</v>
      </c>
      <c r="F925" s="381" t="s">
        <v>3541</v>
      </c>
      <c r="G925" s="384" t="s">
        <v>329</v>
      </c>
      <c r="H925" s="24">
        <f>101.64+91.05+65.31</f>
        <v>258</v>
      </c>
      <c r="I925" s="24"/>
      <c r="J925" s="25" t="str">
        <f t="shared" si="43"/>
        <v>1</v>
      </c>
      <c r="K925" s="385"/>
      <c r="L925" s="385"/>
      <c r="M925" s="386">
        <f t="shared" si="44"/>
        <v>258</v>
      </c>
      <c r="N925" s="496">
        <v>15</v>
      </c>
      <c r="O925" s="333">
        <f t="shared" si="45"/>
        <v>273</v>
      </c>
      <c r="R925" s="23" t="str">
        <f>VLOOKUP(C:C,'Historic Data - working'!A:B,1,FALSE)</f>
        <v>NOR011</v>
      </c>
      <c r="U925" s="323"/>
      <c r="V925" s="323"/>
      <c r="W925" s="323"/>
    </row>
    <row r="926" spans="1:23" s="23" customFormat="1" ht="28.5" hidden="1" x14ac:dyDescent="0.2">
      <c r="A926" s="381" t="s">
        <v>3500</v>
      </c>
      <c r="B926" s="381" t="s">
        <v>351</v>
      </c>
      <c r="C926" s="407" t="s">
        <v>3550</v>
      </c>
      <c r="D926" s="381" t="s">
        <v>3551</v>
      </c>
      <c r="E926" s="383" t="s">
        <v>3552</v>
      </c>
      <c r="F926" s="381" t="s">
        <v>3553</v>
      </c>
      <c r="G926" s="384" t="s">
        <v>329</v>
      </c>
      <c r="H926" s="24">
        <v>792.9</v>
      </c>
      <c r="I926" s="24"/>
      <c r="J926" s="25" t="str">
        <f t="shared" si="43"/>
        <v>1</v>
      </c>
      <c r="K926" s="385"/>
      <c r="L926" s="385"/>
      <c r="M926" s="386">
        <f t="shared" si="44"/>
        <v>792.9</v>
      </c>
      <c r="N926" s="496">
        <v>250</v>
      </c>
      <c r="O926" s="334">
        <f t="shared" si="45"/>
        <v>1042.9000000000001</v>
      </c>
      <c r="P926" s="351"/>
      <c r="Q926" s="331"/>
      <c r="R926" s="331" t="e">
        <f>VLOOKUP(C:C,'Historic Data - working'!A:B,1,FALSE)</f>
        <v>#N/A</v>
      </c>
      <c r="U926" s="323"/>
      <c r="V926" s="323"/>
      <c r="W926" s="323"/>
    </row>
    <row r="927" spans="1:23" s="23" customFormat="1" ht="14.25" hidden="1" x14ac:dyDescent="0.2">
      <c r="A927" s="381" t="s">
        <v>3500</v>
      </c>
      <c r="B927" s="381" t="s">
        <v>351</v>
      </c>
      <c r="C927" s="407" t="s">
        <v>3554</v>
      </c>
      <c r="D927" s="381" t="s">
        <v>3555</v>
      </c>
      <c r="E927" s="383" t="s">
        <v>3556</v>
      </c>
      <c r="F927" s="381" t="s">
        <v>3557</v>
      </c>
      <c r="G927" s="384" t="s">
        <v>329</v>
      </c>
      <c r="H927" s="24">
        <v>1984.75</v>
      </c>
      <c r="I927" s="24"/>
      <c r="J927" s="25" t="str">
        <f t="shared" si="43"/>
        <v>1</v>
      </c>
      <c r="K927" s="385" t="s">
        <v>3558</v>
      </c>
      <c r="L927" s="385"/>
      <c r="M927" s="386">
        <f t="shared" si="44"/>
        <v>1984.75</v>
      </c>
      <c r="N927" s="496">
        <v>929</v>
      </c>
      <c r="O927" s="334">
        <f t="shared" si="45"/>
        <v>2913.75</v>
      </c>
      <c r="P927" s="351"/>
      <c r="Q927" s="331"/>
      <c r="R927" s="331" t="e">
        <f>VLOOKUP(C:C,'Historic Data - working'!A:B,1,FALSE)</f>
        <v>#N/A</v>
      </c>
      <c r="U927" s="323"/>
      <c r="V927" s="323"/>
      <c r="W927" s="323"/>
    </row>
    <row r="928" spans="1:23" s="23" customFormat="1" ht="14.25" hidden="1" x14ac:dyDescent="0.2">
      <c r="A928" s="381" t="s">
        <v>3500</v>
      </c>
      <c r="B928" s="381" t="s">
        <v>324</v>
      </c>
      <c r="C928" s="407" t="s">
        <v>3559</v>
      </c>
      <c r="D928" s="381" t="s">
        <v>3560</v>
      </c>
      <c r="E928" s="383" t="s">
        <v>916</v>
      </c>
      <c r="F928" s="381" t="s">
        <v>3557</v>
      </c>
      <c r="G928" s="384" t="s">
        <v>329</v>
      </c>
      <c r="H928" s="24">
        <f>67+228+61+510+345</f>
        <v>1211</v>
      </c>
      <c r="I928" s="24"/>
      <c r="J928" s="25" t="str">
        <f t="shared" si="43"/>
        <v>1</v>
      </c>
      <c r="K928" s="385"/>
      <c r="L928" s="385"/>
      <c r="M928" s="386">
        <f t="shared" si="44"/>
        <v>1211</v>
      </c>
      <c r="N928" s="496">
        <v>20</v>
      </c>
      <c r="O928" s="333">
        <f t="shared" si="45"/>
        <v>1231</v>
      </c>
      <c r="R928" s="23" t="str">
        <f>VLOOKUP(C:C,'Historic Data - working'!A:B,1,FALSE)</f>
        <v>NOR015</v>
      </c>
      <c r="U928" s="323"/>
      <c r="V928" s="323"/>
      <c r="W928" s="323"/>
    </row>
    <row r="929" spans="1:23" s="23" customFormat="1" ht="14.25" hidden="1" x14ac:dyDescent="0.2">
      <c r="A929" s="381" t="s">
        <v>3500</v>
      </c>
      <c r="B929" s="381" t="s">
        <v>324</v>
      </c>
      <c r="C929" s="407" t="s">
        <v>3561</v>
      </c>
      <c r="D929" s="381" t="s">
        <v>3562</v>
      </c>
      <c r="E929" s="383" t="s">
        <v>3563</v>
      </c>
      <c r="F929" s="381" t="s">
        <v>3564</v>
      </c>
      <c r="G929" s="384"/>
      <c r="H929" s="24"/>
      <c r="I929" s="24"/>
      <c r="J929" s="25" t="str">
        <f t="shared" si="43"/>
        <v xml:space="preserve"> </v>
      </c>
      <c r="K929" s="385"/>
      <c r="L929" s="385"/>
      <c r="M929" s="386">
        <f t="shared" si="44"/>
        <v>0</v>
      </c>
      <c r="N929" s="496"/>
      <c r="O929" s="333">
        <f t="shared" si="45"/>
        <v>0</v>
      </c>
      <c r="R929" s="23" t="e">
        <f>VLOOKUP(C:C,'Historic Data - working'!A:B,1,FALSE)</f>
        <v>#N/A</v>
      </c>
      <c r="U929" s="323"/>
      <c r="V929" s="323"/>
      <c r="W929" s="323"/>
    </row>
    <row r="930" spans="1:23" s="23" customFormat="1" ht="14.25" hidden="1" x14ac:dyDescent="0.2">
      <c r="A930" s="381" t="s">
        <v>3500</v>
      </c>
      <c r="B930" s="381" t="s">
        <v>351</v>
      </c>
      <c r="C930" s="407" t="s">
        <v>3565</v>
      </c>
      <c r="D930" s="381" t="s">
        <v>3566</v>
      </c>
      <c r="E930" s="383" t="s">
        <v>3567</v>
      </c>
      <c r="F930" s="381" t="s">
        <v>3557</v>
      </c>
      <c r="G930" s="384" t="s">
        <v>329</v>
      </c>
      <c r="H930" s="24">
        <v>777.56</v>
      </c>
      <c r="I930" s="24"/>
      <c r="J930" s="25" t="str">
        <f t="shared" si="43"/>
        <v>1</v>
      </c>
      <c r="K930" s="385" t="s">
        <v>3568</v>
      </c>
      <c r="L930" s="385"/>
      <c r="M930" s="386">
        <f t="shared" si="44"/>
        <v>777.56</v>
      </c>
      <c r="N930" s="496">
        <v>193</v>
      </c>
      <c r="O930" s="334">
        <f t="shared" si="45"/>
        <v>970.56</v>
      </c>
      <c r="P930" s="351"/>
      <c r="Q930" s="331"/>
      <c r="R930" s="331" t="e">
        <f>VLOOKUP(C:C,'Historic Data - working'!A:B,1,FALSE)</f>
        <v>#N/A</v>
      </c>
      <c r="U930" s="323"/>
      <c r="V930" s="323"/>
      <c r="W930" s="323"/>
    </row>
    <row r="931" spans="1:23" s="23" customFormat="1" ht="14.25" hidden="1" x14ac:dyDescent="0.2">
      <c r="A931" s="381" t="s">
        <v>3500</v>
      </c>
      <c r="B931" s="381" t="s">
        <v>324</v>
      </c>
      <c r="C931" s="407" t="s">
        <v>3569</v>
      </c>
      <c r="D931" s="381" t="s">
        <v>3570</v>
      </c>
      <c r="E931" s="383" t="s">
        <v>3571</v>
      </c>
      <c r="F931" s="381" t="s">
        <v>3557</v>
      </c>
      <c r="G931" s="384"/>
      <c r="H931" s="24"/>
      <c r="I931" s="24"/>
      <c r="J931" s="25" t="str">
        <f t="shared" si="43"/>
        <v xml:space="preserve"> </v>
      </c>
      <c r="K931" s="385"/>
      <c r="L931" s="385"/>
      <c r="M931" s="386">
        <f t="shared" si="44"/>
        <v>0</v>
      </c>
      <c r="N931" s="496"/>
      <c r="O931" s="333">
        <f t="shared" si="45"/>
        <v>0</v>
      </c>
      <c r="R931" s="23" t="e">
        <f>VLOOKUP(C:C,'Historic Data - working'!A:B,1,FALSE)</f>
        <v>#N/A</v>
      </c>
      <c r="U931" s="323"/>
      <c r="V931" s="323"/>
      <c r="W931" s="323"/>
    </row>
    <row r="932" spans="1:23" s="23" customFormat="1" ht="14.25" hidden="1" x14ac:dyDescent="0.2">
      <c r="A932" s="381" t="s">
        <v>3500</v>
      </c>
      <c r="B932" s="381" t="s">
        <v>351</v>
      </c>
      <c r="C932" s="407" t="s">
        <v>3572</v>
      </c>
      <c r="D932" s="381" t="s">
        <v>3573</v>
      </c>
      <c r="E932" s="383" t="s">
        <v>3574</v>
      </c>
      <c r="F932" s="381" t="s">
        <v>3557</v>
      </c>
      <c r="G932" s="384" t="s">
        <v>329</v>
      </c>
      <c r="H932" s="24">
        <v>373.66</v>
      </c>
      <c r="I932" s="24"/>
      <c r="J932" s="25" t="str">
        <f t="shared" si="43"/>
        <v>1</v>
      </c>
      <c r="K932" s="385" t="s">
        <v>3575</v>
      </c>
      <c r="L932" s="385"/>
      <c r="M932" s="386">
        <f t="shared" si="44"/>
        <v>373.66</v>
      </c>
      <c r="N932" s="496">
        <v>352</v>
      </c>
      <c r="O932" s="334">
        <f t="shared" si="45"/>
        <v>725.66000000000008</v>
      </c>
      <c r="P932" s="351"/>
      <c r="Q932" s="331"/>
      <c r="R932" s="331" t="e">
        <f>VLOOKUP(C:C,'Historic Data - working'!A:B,1,FALSE)</f>
        <v>#N/A</v>
      </c>
      <c r="U932" s="323"/>
      <c r="V932" s="323"/>
      <c r="W932" s="323"/>
    </row>
    <row r="933" spans="1:23" s="23" customFormat="1" ht="14.25" hidden="1" x14ac:dyDescent="0.2">
      <c r="A933" s="381" t="s">
        <v>3500</v>
      </c>
      <c r="B933" s="381" t="s">
        <v>324</v>
      </c>
      <c r="C933" s="407" t="s">
        <v>3576</v>
      </c>
      <c r="D933" s="381" t="s">
        <v>3577</v>
      </c>
      <c r="E933" s="383" t="s">
        <v>276</v>
      </c>
      <c r="F933" s="381" t="s">
        <v>3578</v>
      </c>
      <c r="G933" s="384"/>
      <c r="H933" s="24"/>
      <c r="I933" s="24"/>
      <c r="J933" s="25" t="str">
        <f t="shared" si="43"/>
        <v xml:space="preserve"> </v>
      </c>
      <c r="K933" s="385"/>
      <c r="L933" s="385"/>
      <c r="M933" s="386">
        <f t="shared" si="44"/>
        <v>0</v>
      </c>
      <c r="N933" s="496">
        <v>224.97</v>
      </c>
      <c r="O933" s="333">
        <f t="shared" si="45"/>
        <v>224.97</v>
      </c>
      <c r="R933" s="23" t="str">
        <f>VLOOKUP(C:C,'Historic Data - working'!A:B,1,FALSE)</f>
        <v>NOR019</v>
      </c>
      <c r="U933" s="323"/>
      <c r="V933" s="323"/>
      <c r="W933" s="323"/>
    </row>
    <row r="934" spans="1:23" s="23" customFormat="1" ht="14.25" hidden="1" x14ac:dyDescent="0.2">
      <c r="A934" s="381" t="s">
        <v>3500</v>
      </c>
      <c r="B934" s="381" t="s">
        <v>351</v>
      </c>
      <c r="C934" s="407" t="s">
        <v>3579</v>
      </c>
      <c r="D934" s="381" t="s">
        <v>3580</v>
      </c>
      <c r="E934" s="383" t="s">
        <v>2759</v>
      </c>
      <c r="F934" s="381" t="s">
        <v>3581</v>
      </c>
      <c r="G934" s="384" t="s">
        <v>329</v>
      </c>
      <c r="H934" s="24">
        <f>132.71+150.76</f>
        <v>283.47000000000003</v>
      </c>
      <c r="I934" s="24"/>
      <c r="J934" s="25" t="str">
        <f t="shared" si="43"/>
        <v>1</v>
      </c>
      <c r="K934" s="385"/>
      <c r="L934" s="385"/>
      <c r="M934" s="386">
        <f t="shared" si="44"/>
        <v>283.47000000000003</v>
      </c>
      <c r="N934" s="496">
        <v>140</v>
      </c>
      <c r="O934" s="333">
        <f t="shared" si="45"/>
        <v>423.47</v>
      </c>
      <c r="R934" s="23" t="str">
        <f>VLOOKUP(C:C,'Historic Data - working'!A:B,1,FALSE)</f>
        <v>NOR020</v>
      </c>
      <c r="U934" s="323"/>
      <c r="V934" s="323"/>
      <c r="W934" s="323"/>
    </row>
    <row r="935" spans="1:23" s="23" customFormat="1" ht="14.25" hidden="1" x14ac:dyDescent="0.2">
      <c r="A935" s="381" t="s">
        <v>3500</v>
      </c>
      <c r="B935" s="381" t="s">
        <v>324</v>
      </c>
      <c r="C935" s="407" t="s">
        <v>3582</v>
      </c>
      <c r="D935" s="381" t="s">
        <v>3583</v>
      </c>
      <c r="E935" s="383" t="s">
        <v>3584</v>
      </c>
      <c r="F935" s="381" t="s">
        <v>3585</v>
      </c>
      <c r="G935" s="384"/>
      <c r="H935" s="24"/>
      <c r="I935" s="24"/>
      <c r="J935" s="25" t="str">
        <f t="shared" si="43"/>
        <v xml:space="preserve"> </v>
      </c>
      <c r="K935" s="385"/>
      <c r="L935" s="385"/>
      <c r="M935" s="386">
        <f t="shared" si="44"/>
        <v>0</v>
      </c>
      <c r="N935" s="496">
        <v>1240.82</v>
      </c>
      <c r="O935" s="333">
        <f t="shared" si="45"/>
        <v>1240.82</v>
      </c>
      <c r="R935" s="23" t="str">
        <f>VLOOKUP(C:C,'Historic Data - working'!A:B,1,FALSE)</f>
        <v>NOR021</v>
      </c>
      <c r="U935" s="323"/>
      <c r="V935" s="323"/>
      <c r="W935" s="323"/>
    </row>
    <row r="936" spans="1:23" s="23" customFormat="1" ht="14.25" hidden="1" x14ac:dyDescent="0.2">
      <c r="A936" s="381" t="s">
        <v>3500</v>
      </c>
      <c r="B936" s="381" t="s">
        <v>324</v>
      </c>
      <c r="C936" s="407" t="s">
        <v>3586</v>
      </c>
      <c r="D936" s="381" t="s">
        <v>3587</v>
      </c>
      <c r="E936" s="383" t="s">
        <v>3588</v>
      </c>
      <c r="F936" s="381" t="s">
        <v>3585</v>
      </c>
      <c r="G936" s="384"/>
      <c r="H936" s="24"/>
      <c r="I936" s="24"/>
      <c r="J936" s="25" t="str">
        <f t="shared" si="43"/>
        <v xml:space="preserve"> </v>
      </c>
      <c r="K936" s="385"/>
      <c r="L936" s="385"/>
      <c r="M936" s="386">
        <f t="shared" si="44"/>
        <v>0</v>
      </c>
      <c r="N936" s="496"/>
      <c r="O936" s="333">
        <f t="shared" si="45"/>
        <v>0</v>
      </c>
      <c r="R936" s="23" t="e">
        <f>VLOOKUP(C:C,'Historic Data - working'!A:B,1,FALSE)</f>
        <v>#N/A</v>
      </c>
      <c r="U936" s="323"/>
      <c r="V936" s="323"/>
      <c r="W936" s="323"/>
    </row>
    <row r="937" spans="1:23" s="23" customFormat="1" ht="14.25" hidden="1" x14ac:dyDescent="0.2">
      <c r="A937" s="381" t="s">
        <v>3500</v>
      </c>
      <c r="B937" s="381" t="s">
        <v>324</v>
      </c>
      <c r="C937" s="407" t="s">
        <v>3589</v>
      </c>
      <c r="D937" s="381" t="s">
        <v>3590</v>
      </c>
      <c r="E937" s="383" t="s">
        <v>3591</v>
      </c>
      <c r="F937" s="381" t="s">
        <v>3592</v>
      </c>
      <c r="G937" s="384" t="s">
        <v>329</v>
      </c>
      <c r="H937" s="24">
        <f>492.27+117.16+512.15+411.23+541.1+371.31+174.57</f>
        <v>2619.79</v>
      </c>
      <c r="I937" s="24">
        <v>50</v>
      </c>
      <c r="J937" s="25" t="str">
        <f t="shared" si="43"/>
        <v>1</v>
      </c>
      <c r="K937" s="385"/>
      <c r="L937" s="385"/>
      <c r="M937" s="386">
        <f t="shared" si="44"/>
        <v>2619.79</v>
      </c>
      <c r="N937" s="496">
        <v>535</v>
      </c>
      <c r="O937" s="333">
        <f t="shared" si="45"/>
        <v>3154.79</v>
      </c>
      <c r="R937" s="23" t="str">
        <f>VLOOKUP(C:C,'Historic Data - working'!A:B,1,FALSE)</f>
        <v>NOR022</v>
      </c>
      <c r="U937" s="323"/>
      <c r="V937" s="323"/>
      <c r="W937" s="323"/>
    </row>
    <row r="938" spans="1:23" s="23" customFormat="1" ht="14.25" hidden="1" x14ac:dyDescent="0.2">
      <c r="A938" s="381" t="s">
        <v>3500</v>
      </c>
      <c r="B938" s="381" t="s">
        <v>324</v>
      </c>
      <c r="C938" s="407" t="s">
        <v>3593</v>
      </c>
      <c r="D938" s="381" t="s">
        <v>3594</v>
      </c>
      <c r="E938" s="383" t="s">
        <v>3595</v>
      </c>
      <c r="F938" s="381" t="s">
        <v>3596</v>
      </c>
      <c r="G938" s="384"/>
      <c r="H938" s="24"/>
      <c r="I938" s="24"/>
      <c r="J938" s="25" t="str">
        <f t="shared" si="43"/>
        <v xml:space="preserve"> </v>
      </c>
      <c r="K938" s="385"/>
      <c r="L938" s="385"/>
      <c r="M938" s="386">
        <f t="shared" si="44"/>
        <v>0</v>
      </c>
      <c r="N938" s="496">
        <v>40</v>
      </c>
      <c r="O938" s="333">
        <f t="shared" si="45"/>
        <v>40</v>
      </c>
      <c r="R938" s="23" t="e">
        <f>VLOOKUP(C:C,'Historic Data - working'!A:B,1,FALSE)</f>
        <v>#N/A</v>
      </c>
      <c r="U938" s="323"/>
      <c r="V938" s="323"/>
      <c r="W938" s="323"/>
    </row>
    <row r="939" spans="1:23" s="23" customFormat="1" ht="14.25" hidden="1" x14ac:dyDescent="0.2">
      <c r="A939" s="381" t="s">
        <v>3500</v>
      </c>
      <c r="B939" s="381" t="s">
        <v>324</v>
      </c>
      <c r="C939" s="407" t="s">
        <v>3597</v>
      </c>
      <c r="D939" s="381" t="s">
        <v>3598</v>
      </c>
      <c r="E939" s="383" t="s">
        <v>3599</v>
      </c>
      <c r="F939" s="381" t="s">
        <v>3600</v>
      </c>
      <c r="G939" s="384"/>
      <c r="H939" s="24"/>
      <c r="I939" s="24"/>
      <c r="J939" s="25" t="str">
        <f t="shared" si="43"/>
        <v xml:space="preserve"> </v>
      </c>
      <c r="K939" s="385"/>
      <c r="L939" s="385"/>
      <c r="M939" s="386">
        <f t="shared" si="44"/>
        <v>0</v>
      </c>
      <c r="N939" s="496"/>
      <c r="O939" s="333">
        <f t="shared" si="45"/>
        <v>0</v>
      </c>
      <c r="R939" s="23" t="e">
        <f>VLOOKUP(C:C,'Historic Data - working'!A:B,1,FALSE)</f>
        <v>#N/A</v>
      </c>
      <c r="U939" s="323"/>
      <c r="V939" s="323"/>
      <c r="W939" s="323"/>
    </row>
    <row r="940" spans="1:23" s="23" customFormat="1" ht="14.25" hidden="1" x14ac:dyDescent="0.2">
      <c r="A940" s="381" t="s">
        <v>3500</v>
      </c>
      <c r="B940" s="381" t="s">
        <v>324</v>
      </c>
      <c r="C940" s="407" t="s">
        <v>3601</v>
      </c>
      <c r="D940" s="381" t="s">
        <v>3602</v>
      </c>
      <c r="E940" s="383" t="s">
        <v>3603</v>
      </c>
      <c r="F940" s="381" t="s">
        <v>3604</v>
      </c>
      <c r="G940" s="384"/>
      <c r="H940" s="24"/>
      <c r="I940" s="24"/>
      <c r="J940" s="25" t="str">
        <f t="shared" ref="J940:J1003" si="46">IF(G940="Y","1"," ")</f>
        <v xml:space="preserve"> </v>
      </c>
      <c r="K940" s="385" t="s">
        <v>3605</v>
      </c>
      <c r="L940" s="385">
        <v>775</v>
      </c>
      <c r="M940" s="386">
        <f t="shared" si="44"/>
        <v>775</v>
      </c>
      <c r="N940" s="496">
        <v>290</v>
      </c>
      <c r="O940" s="333">
        <f t="shared" si="45"/>
        <v>1065</v>
      </c>
      <c r="R940" s="23" t="str">
        <f>VLOOKUP(C:C,'Historic Data - working'!A:B,1,FALSE)</f>
        <v>NOR023</v>
      </c>
      <c r="U940" s="323"/>
      <c r="V940" s="323"/>
      <c r="W940" s="323"/>
    </row>
    <row r="941" spans="1:23" s="23" customFormat="1" ht="14.25" hidden="1" x14ac:dyDescent="0.2">
      <c r="A941" s="381" t="s">
        <v>3500</v>
      </c>
      <c r="B941" s="381" t="s">
        <v>324</v>
      </c>
      <c r="C941" s="407" t="s">
        <v>3606</v>
      </c>
      <c r="D941" s="381" t="s">
        <v>3607</v>
      </c>
      <c r="E941" s="383" t="s">
        <v>1032</v>
      </c>
      <c r="F941" s="381" t="s">
        <v>3608</v>
      </c>
      <c r="G941" s="384"/>
      <c r="H941" s="24"/>
      <c r="I941" s="24"/>
      <c r="J941" s="25" t="str">
        <f t="shared" si="46"/>
        <v xml:space="preserve"> </v>
      </c>
      <c r="K941" s="385" t="s">
        <v>3605</v>
      </c>
      <c r="L941" s="385">
        <v>105.84</v>
      </c>
      <c r="M941" s="386">
        <f t="shared" si="44"/>
        <v>105.84</v>
      </c>
      <c r="N941" s="496">
        <v>120</v>
      </c>
      <c r="O941" s="333">
        <f t="shared" si="45"/>
        <v>225.84</v>
      </c>
      <c r="R941" s="23" t="str">
        <f>VLOOKUP(C:C,'Historic Data - working'!A:B,1,FALSE)</f>
        <v>NOR024</v>
      </c>
      <c r="U941" s="323"/>
      <c r="V941" s="323"/>
      <c r="W941" s="323"/>
    </row>
    <row r="942" spans="1:23" s="23" customFormat="1" ht="14.25" hidden="1" x14ac:dyDescent="0.2">
      <c r="A942" s="381" t="s">
        <v>3500</v>
      </c>
      <c r="B942" s="381" t="s">
        <v>324</v>
      </c>
      <c r="C942" s="407" t="s">
        <v>3609</v>
      </c>
      <c r="D942" s="381" t="s">
        <v>3610</v>
      </c>
      <c r="E942" s="383" t="s">
        <v>3611</v>
      </c>
      <c r="F942" s="381" t="s">
        <v>3612</v>
      </c>
      <c r="G942" s="384" t="s">
        <v>329</v>
      </c>
      <c r="H942" s="24">
        <f>676.59+405</f>
        <v>1081.5900000000001</v>
      </c>
      <c r="I942" s="24"/>
      <c r="J942" s="25" t="str">
        <f t="shared" si="46"/>
        <v>1</v>
      </c>
      <c r="K942" s="385"/>
      <c r="L942" s="385"/>
      <c r="M942" s="386">
        <f t="shared" si="44"/>
        <v>1081.5900000000001</v>
      </c>
      <c r="N942" s="496">
        <v>425</v>
      </c>
      <c r="O942" s="333">
        <f t="shared" si="45"/>
        <v>1506.5900000000001</v>
      </c>
      <c r="R942" s="23" t="str">
        <f>VLOOKUP(C:C,'Historic Data - working'!A:B,1,FALSE)</f>
        <v>NOR025</v>
      </c>
      <c r="U942" s="323"/>
      <c r="V942" s="323"/>
      <c r="W942" s="323"/>
    </row>
    <row r="943" spans="1:23" s="23" customFormat="1" ht="14.25" hidden="1" x14ac:dyDescent="0.2">
      <c r="A943" s="381" t="s">
        <v>3500</v>
      </c>
      <c r="B943" s="381" t="s">
        <v>324</v>
      </c>
      <c r="C943" s="407" t="s">
        <v>3613</v>
      </c>
      <c r="D943" s="381" t="s">
        <v>3614</v>
      </c>
      <c r="E943" s="383" t="s">
        <v>3615</v>
      </c>
      <c r="F943" s="381" t="s">
        <v>3612</v>
      </c>
      <c r="G943" s="384"/>
      <c r="H943" s="24"/>
      <c r="I943" s="24"/>
      <c r="J943" s="25" t="str">
        <f t="shared" si="46"/>
        <v xml:space="preserve"> </v>
      </c>
      <c r="K943" s="385"/>
      <c r="L943" s="385"/>
      <c r="M943" s="386">
        <f t="shared" si="44"/>
        <v>0</v>
      </c>
      <c r="N943" s="496">
        <v>372.52</v>
      </c>
      <c r="O943" s="333">
        <f t="shared" si="45"/>
        <v>372.52</v>
      </c>
      <c r="R943" s="23" t="str">
        <f>VLOOKUP(C:C,'Historic Data - working'!A:B,1,FALSE)</f>
        <v>NOR026</v>
      </c>
      <c r="U943" s="323"/>
      <c r="V943" s="323"/>
      <c r="W943" s="323"/>
    </row>
    <row r="944" spans="1:23" s="23" customFormat="1" ht="14.25" hidden="1" x14ac:dyDescent="0.2">
      <c r="A944" s="381" t="s">
        <v>3500</v>
      </c>
      <c r="B944" s="381" t="s">
        <v>324</v>
      </c>
      <c r="C944" s="407" t="s">
        <v>3616</v>
      </c>
      <c r="D944" s="381" t="s">
        <v>3617</v>
      </c>
      <c r="E944" s="383" t="s">
        <v>124</v>
      </c>
      <c r="F944" s="381" t="s">
        <v>3612</v>
      </c>
      <c r="G944" s="384"/>
      <c r="H944" s="24"/>
      <c r="I944" s="24"/>
      <c r="J944" s="25" t="str">
        <f t="shared" si="46"/>
        <v xml:space="preserve"> </v>
      </c>
      <c r="K944" s="385"/>
      <c r="L944" s="385"/>
      <c r="M944" s="386">
        <f t="shared" si="44"/>
        <v>0</v>
      </c>
      <c r="N944" s="496">
        <v>451.28</v>
      </c>
      <c r="O944" s="333">
        <f t="shared" si="45"/>
        <v>451.28</v>
      </c>
      <c r="R944" s="23" t="str">
        <f>VLOOKUP(C:C,'Historic Data - working'!A:B,1,FALSE)</f>
        <v>NOR027</v>
      </c>
      <c r="U944" s="323"/>
      <c r="V944" s="323"/>
      <c r="W944" s="323"/>
    </row>
    <row r="945" spans="1:23" s="23" customFormat="1" ht="14.25" hidden="1" x14ac:dyDescent="0.2">
      <c r="A945" s="381" t="s">
        <v>3500</v>
      </c>
      <c r="B945" s="381" t="s">
        <v>351</v>
      </c>
      <c r="C945" s="407" t="s">
        <v>3618</v>
      </c>
      <c r="D945" s="381" t="s">
        <v>3619</v>
      </c>
      <c r="E945" s="383" t="s">
        <v>1160</v>
      </c>
      <c r="F945" s="381" t="s">
        <v>3620</v>
      </c>
      <c r="G945" s="384" t="s">
        <v>329</v>
      </c>
      <c r="H945" s="24">
        <f>50+65+50+45.5+20</f>
        <v>230.5</v>
      </c>
      <c r="I945" s="24"/>
      <c r="J945" s="25" t="str">
        <f t="shared" si="46"/>
        <v>1</v>
      </c>
      <c r="K945" s="385"/>
      <c r="L945" s="385"/>
      <c r="M945" s="386">
        <f t="shared" si="44"/>
        <v>230.5</v>
      </c>
      <c r="N945" s="496">
        <v>235</v>
      </c>
      <c r="O945" s="333">
        <f t="shared" si="45"/>
        <v>465.5</v>
      </c>
      <c r="R945" s="23" t="str">
        <f>VLOOKUP(C:C,'Historic Data - working'!A:B,1,FALSE)</f>
        <v>NOR028</v>
      </c>
      <c r="U945" s="323"/>
      <c r="V945" s="323"/>
      <c r="W945" s="323"/>
    </row>
    <row r="946" spans="1:23" s="23" customFormat="1" ht="14.25" hidden="1" x14ac:dyDescent="0.2">
      <c r="A946" s="381" t="s">
        <v>3500</v>
      </c>
      <c r="B946" s="381" t="s">
        <v>351</v>
      </c>
      <c r="C946" s="407" t="s">
        <v>3621</v>
      </c>
      <c r="D946" s="381" t="s">
        <v>3622</v>
      </c>
      <c r="E946" s="383" t="s">
        <v>382</v>
      </c>
      <c r="F946" s="381" t="s">
        <v>3623</v>
      </c>
      <c r="G946" s="384"/>
      <c r="H946" s="24"/>
      <c r="I946" s="24"/>
      <c r="J946" s="25" t="str">
        <f t="shared" si="46"/>
        <v xml:space="preserve"> </v>
      </c>
      <c r="K946" s="385"/>
      <c r="L946" s="385"/>
      <c r="M946" s="386">
        <f t="shared" si="44"/>
        <v>0</v>
      </c>
      <c r="N946" s="496"/>
      <c r="O946" s="333">
        <f t="shared" si="45"/>
        <v>0</v>
      </c>
      <c r="R946" s="23" t="e">
        <f>VLOOKUP(C:C,'Historic Data - working'!A:B,1,FALSE)</f>
        <v>#N/A</v>
      </c>
      <c r="U946" s="323"/>
      <c r="V946" s="323"/>
      <c r="W946" s="323"/>
    </row>
    <row r="947" spans="1:23" s="23" customFormat="1" ht="14.25" hidden="1" x14ac:dyDescent="0.2">
      <c r="A947" s="381" t="s">
        <v>3500</v>
      </c>
      <c r="B947" s="381" t="s">
        <v>324</v>
      </c>
      <c r="C947" s="407" t="s">
        <v>3624</v>
      </c>
      <c r="D947" s="381" t="s">
        <v>3625</v>
      </c>
      <c r="E947" s="383" t="s">
        <v>3626</v>
      </c>
      <c r="F947" s="381" t="s">
        <v>3627</v>
      </c>
      <c r="G947" s="384"/>
      <c r="H947" s="24"/>
      <c r="I947" s="24"/>
      <c r="J947" s="25" t="str">
        <f t="shared" si="46"/>
        <v xml:space="preserve"> </v>
      </c>
      <c r="K947" s="385"/>
      <c r="L947" s="385"/>
      <c r="M947" s="386">
        <f t="shared" si="44"/>
        <v>0</v>
      </c>
      <c r="N947" s="496">
        <v>110</v>
      </c>
      <c r="O947" s="333">
        <f t="shared" si="45"/>
        <v>110</v>
      </c>
      <c r="R947" s="23" t="e">
        <f>VLOOKUP(C:C,'Historic Data - working'!A:B,1,FALSE)</f>
        <v>#N/A</v>
      </c>
      <c r="U947" s="323"/>
      <c r="V947" s="323"/>
      <c r="W947" s="323"/>
    </row>
    <row r="948" spans="1:23" s="23" customFormat="1" ht="14.25" hidden="1" x14ac:dyDescent="0.2">
      <c r="A948" s="381" t="s">
        <v>3500</v>
      </c>
      <c r="B948" s="381" t="s">
        <v>324</v>
      </c>
      <c r="C948" s="407" t="s">
        <v>3628</v>
      </c>
      <c r="D948" s="381" t="s">
        <v>3629</v>
      </c>
      <c r="E948" s="383" t="s">
        <v>3630</v>
      </c>
      <c r="F948" s="381" t="s">
        <v>3631</v>
      </c>
      <c r="G948" s="384"/>
      <c r="H948" s="24"/>
      <c r="I948" s="24"/>
      <c r="J948" s="25" t="str">
        <f t="shared" si="46"/>
        <v xml:space="preserve"> </v>
      </c>
      <c r="K948" s="385"/>
      <c r="L948" s="385"/>
      <c r="M948" s="386">
        <f t="shared" si="44"/>
        <v>0</v>
      </c>
      <c r="N948" s="496"/>
      <c r="O948" s="333">
        <f t="shared" si="45"/>
        <v>0</v>
      </c>
      <c r="R948" s="23" t="e">
        <f>VLOOKUP(C:C,'Historic Data - working'!A:B,1,FALSE)</f>
        <v>#N/A</v>
      </c>
      <c r="U948" s="323"/>
      <c r="V948" s="323"/>
      <c r="W948" s="323"/>
    </row>
    <row r="949" spans="1:23" s="23" customFormat="1" ht="14.25" hidden="1" x14ac:dyDescent="0.2">
      <c r="A949" s="381" t="s">
        <v>3500</v>
      </c>
      <c r="B949" s="381" t="s">
        <v>351</v>
      </c>
      <c r="C949" s="407" t="s">
        <v>3632</v>
      </c>
      <c r="D949" s="381" t="s">
        <v>3633</v>
      </c>
      <c r="E949" s="383" t="s">
        <v>3634</v>
      </c>
      <c r="F949" s="381" t="s">
        <v>3635</v>
      </c>
      <c r="G949" s="384" t="s">
        <v>329</v>
      </c>
      <c r="H949" s="24">
        <v>648.91999999999996</v>
      </c>
      <c r="I949" s="24"/>
      <c r="J949" s="25" t="str">
        <f t="shared" si="46"/>
        <v>1</v>
      </c>
      <c r="K949" s="385"/>
      <c r="L949" s="385"/>
      <c r="M949" s="386">
        <f t="shared" si="44"/>
        <v>648.91999999999996</v>
      </c>
      <c r="N949" s="496">
        <v>355</v>
      </c>
      <c r="O949" s="334">
        <f t="shared" si="45"/>
        <v>1003.92</v>
      </c>
      <c r="P949" s="351"/>
      <c r="Q949" s="331"/>
      <c r="R949" s="331" t="e">
        <f>VLOOKUP(C:C,'Historic Data - working'!A:B,1,FALSE)</f>
        <v>#N/A</v>
      </c>
      <c r="U949" s="323"/>
      <c r="V949" s="323"/>
      <c r="W949" s="323"/>
    </row>
    <row r="950" spans="1:23" s="23" customFormat="1" ht="14.25" hidden="1" x14ac:dyDescent="0.2">
      <c r="A950" s="381" t="s">
        <v>3500</v>
      </c>
      <c r="B950" s="381" t="s">
        <v>351</v>
      </c>
      <c r="C950" s="407" t="s">
        <v>3636</v>
      </c>
      <c r="D950" s="381" t="s">
        <v>3637</v>
      </c>
      <c r="E950" s="383" t="s">
        <v>3638</v>
      </c>
      <c r="F950" s="381" t="s">
        <v>3639</v>
      </c>
      <c r="G950" s="384"/>
      <c r="H950" s="24"/>
      <c r="I950" s="24"/>
      <c r="J950" s="25" t="str">
        <f t="shared" si="46"/>
        <v xml:space="preserve"> </v>
      </c>
      <c r="K950" s="385"/>
      <c r="L950" s="385"/>
      <c r="M950" s="386">
        <f t="shared" si="44"/>
        <v>0</v>
      </c>
      <c r="N950" s="496"/>
      <c r="O950" s="333">
        <f t="shared" si="45"/>
        <v>0</v>
      </c>
      <c r="R950" s="23" t="e">
        <f>VLOOKUP(C:C,'Historic Data - working'!A:B,1,FALSE)</f>
        <v>#N/A</v>
      </c>
      <c r="U950" s="323"/>
      <c r="V950" s="323"/>
      <c r="W950" s="323"/>
    </row>
    <row r="951" spans="1:23" s="23" customFormat="1" ht="14.25" hidden="1" x14ac:dyDescent="0.2">
      <c r="A951" s="381" t="s">
        <v>3500</v>
      </c>
      <c r="B951" s="381" t="s">
        <v>324</v>
      </c>
      <c r="C951" s="407" t="s">
        <v>3640</v>
      </c>
      <c r="D951" s="381" t="s">
        <v>3641</v>
      </c>
      <c r="E951" s="383" t="s">
        <v>3642</v>
      </c>
      <c r="F951" s="381" t="s">
        <v>3635</v>
      </c>
      <c r="G951" s="384"/>
      <c r="H951" s="24"/>
      <c r="I951" s="24"/>
      <c r="J951" s="25" t="str">
        <f t="shared" si="46"/>
        <v xml:space="preserve"> </v>
      </c>
      <c r="K951" s="385"/>
      <c r="L951" s="385"/>
      <c r="M951" s="386">
        <f t="shared" si="44"/>
        <v>0</v>
      </c>
      <c r="N951" s="496"/>
      <c r="O951" s="333">
        <f t="shared" si="45"/>
        <v>0</v>
      </c>
      <c r="R951" s="23" t="e">
        <f>VLOOKUP(C:C,'Historic Data - working'!A:B,1,FALSE)</f>
        <v>#N/A</v>
      </c>
      <c r="U951" s="323"/>
      <c r="V951" s="323"/>
      <c r="W951" s="323"/>
    </row>
    <row r="952" spans="1:23" s="23" customFormat="1" ht="14.25" hidden="1" x14ac:dyDescent="0.2">
      <c r="A952" s="381" t="s">
        <v>3500</v>
      </c>
      <c r="B952" s="381" t="s">
        <v>324</v>
      </c>
      <c r="C952" s="407" t="s">
        <v>3643</v>
      </c>
      <c r="D952" s="381" t="s">
        <v>3644</v>
      </c>
      <c r="E952" s="383" t="s">
        <v>3645</v>
      </c>
      <c r="F952" s="381" t="s">
        <v>3646</v>
      </c>
      <c r="G952" s="384"/>
      <c r="H952" s="24"/>
      <c r="I952" s="24"/>
      <c r="J952" s="25" t="str">
        <f t="shared" si="46"/>
        <v xml:space="preserve"> </v>
      </c>
      <c r="K952" s="385"/>
      <c r="L952" s="385"/>
      <c r="M952" s="386">
        <f t="shared" si="44"/>
        <v>0</v>
      </c>
      <c r="N952" s="496">
        <v>20</v>
      </c>
      <c r="O952" s="333">
        <f t="shared" si="45"/>
        <v>20</v>
      </c>
      <c r="R952" s="23" t="str">
        <f>VLOOKUP(C:C,'Historic Data - working'!A:B,1,FALSE)</f>
        <v>NOR032</v>
      </c>
      <c r="U952" s="323"/>
      <c r="V952" s="323"/>
      <c r="W952" s="323"/>
    </row>
    <row r="953" spans="1:23" s="23" customFormat="1" ht="14.25" hidden="1" x14ac:dyDescent="0.2">
      <c r="A953" s="381" t="s">
        <v>3500</v>
      </c>
      <c r="B953" s="381" t="s">
        <v>351</v>
      </c>
      <c r="C953" s="407" t="s">
        <v>3647</v>
      </c>
      <c r="D953" s="381" t="s">
        <v>3648</v>
      </c>
      <c r="E953" s="383" t="s">
        <v>61</v>
      </c>
      <c r="F953" s="381" t="s">
        <v>3649</v>
      </c>
      <c r="G953" s="384" t="s">
        <v>329</v>
      </c>
      <c r="H953" s="24">
        <v>4258.71</v>
      </c>
      <c r="I953" s="24"/>
      <c r="J953" s="25" t="str">
        <f t="shared" si="46"/>
        <v>1</v>
      </c>
      <c r="K953" s="385"/>
      <c r="L953" s="385"/>
      <c r="M953" s="386">
        <f t="shared" si="44"/>
        <v>4258.71</v>
      </c>
      <c r="N953" s="496">
        <v>843.23</v>
      </c>
      <c r="O953" s="334">
        <f t="shared" si="45"/>
        <v>5101.9400000000005</v>
      </c>
      <c r="P953" s="351"/>
      <c r="Q953" s="331"/>
      <c r="R953" s="331" t="e">
        <f>VLOOKUP(C:C,'Historic Data - working'!A:B,1,FALSE)</f>
        <v>#N/A</v>
      </c>
      <c r="U953" s="323"/>
      <c r="V953" s="323"/>
      <c r="W953" s="323"/>
    </row>
    <row r="954" spans="1:23" s="23" customFormat="1" ht="14.25" hidden="1" x14ac:dyDescent="0.2">
      <c r="A954" s="381" t="s">
        <v>3500</v>
      </c>
      <c r="B954" s="381" t="s">
        <v>351</v>
      </c>
      <c r="C954" s="407" t="s">
        <v>3650</v>
      </c>
      <c r="D954" s="381" t="s">
        <v>3651</v>
      </c>
      <c r="E954" s="383" t="s">
        <v>3652</v>
      </c>
      <c r="F954" s="381" t="s">
        <v>3653</v>
      </c>
      <c r="G954" s="384"/>
      <c r="H954" s="24"/>
      <c r="I954" s="24"/>
      <c r="J954" s="25" t="str">
        <f t="shared" si="46"/>
        <v xml:space="preserve"> </v>
      </c>
      <c r="K954" s="385"/>
      <c r="L954" s="385"/>
      <c r="M954" s="386">
        <f t="shared" si="44"/>
        <v>0</v>
      </c>
      <c r="N954" s="496"/>
      <c r="O954" s="333">
        <f t="shared" si="45"/>
        <v>0</v>
      </c>
      <c r="R954" s="23" t="e">
        <f>VLOOKUP(C:C,'Historic Data - working'!A:B,1,FALSE)</f>
        <v>#N/A</v>
      </c>
      <c r="U954" s="323"/>
      <c r="V954" s="323"/>
      <c r="W954" s="323"/>
    </row>
    <row r="955" spans="1:23" s="23" customFormat="1" ht="14.25" hidden="1" x14ac:dyDescent="0.2">
      <c r="A955" s="381" t="s">
        <v>3500</v>
      </c>
      <c r="B955" s="381" t="s">
        <v>351</v>
      </c>
      <c r="C955" s="407" t="s">
        <v>3654</v>
      </c>
      <c r="D955" s="381" t="s">
        <v>3655</v>
      </c>
      <c r="E955" s="383" t="s">
        <v>1032</v>
      </c>
      <c r="F955" s="381" t="s">
        <v>3656</v>
      </c>
      <c r="G955" s="384"/>
      <c r="H955" s="24"/>
      <c r="I955" s="24"/>
      <c r="J955" s="25" t="str">
        <f t="shared" si="46"/>
        <v xml:space="preserve"> </v>
      </c>
      <c r="K955" s="385"/>
      <c r="L955" s="385"/>
      <c r="M955" s="386">
        <f t="shared" si="44"/>
        <v>0</v>
      </c>
      <c r="N955" s="496">
        <v>616</v>
      </c>
      <c r="O955" s="333">
        <f t="shared" si="45"/>
        <v>616</v>
      </c>
      <c r="R955" s="23" t="str">
        <f>VLOOKUP(C:C,'Historic Data - working'!A:B,1,FALSE)</f>
        <v>NOR035</v>
      </c>
      <c r="U955" s="323"/>
      <c r="V955" s="323"/>
      <c r="W955" s="323"/>
    </row>
    <row r="956" spans="1:23" s="23" customFormat="1" ht="14.25" hidden="1" x14ac:dyDescent="0.2">
      <c r="A956" s="381" t="s">
        <v>3500</v>
      </c>
      <c r="B956" s="381" t="s">
        <v>351</v>
      </c>
      <c r="C956" s="407" t="s">
        <v>3657</v>
      </c>
      <c r="D956" s="381" t="s">
        <v>3658</v>
      </c>
      <c r="E956" s="383" t="s">
        <v>3659</v>
      </c>
      <c r="F956" s="381" t="s">
        <v>3504</v>
      </c>
      <c r="G956" s="384"/>
      <c r="H956" s="24"/>
      <c r="I956" s="24"/>
      <c r="J956" s="25" t="str">
        <f t="shared" si="46"/>
        <v xml:space="preserve"> </v>
      </c>
      <c r="K956" s="385"/>
      <c r="L956" s="385"/>
      <c r="M956" s="386">
        <f t="shared" si="44"/>
        <v>0</v>
      </c>
      <c r="N956" s="496"/>
      <c r="O956" s="333">
        <f t="shared" si="45"/>
        <v>0</v>
      </c>
      <c r="R956" s="23" t="e">
        <f>VLOOKUP(C:C,'Historic Data - working'!A:B,1,FALSE)</f>
        <v>#N/A</v>
      </c>
      <c r="U956" s="323"/>
      <c r="V956" s="323"/>
      <c r="W956" s="323"/>
    </row>
    <row r="957" spans="1:23" s="23" customFormat="1" ht="14.25" hidden="1" x14ac:dyDescent="0.2">
      <c r="A957" s="381" t="s">
        <v>3500</v>
      </c>
      <c r="B957" s="381" t="s">
        <v>324</v>
      </c>
      <c r="C957" s="407" t="s">
        <v>3660</v>
      </c>
      <c r="D957" s="381" t="s">
        <v>3661</v>
      </c>
      <c r="E957" s="383" t="s">
        <v>3662</v>
      </c>
      <c r="F957" s="381" t="s">
        <v>3663</v>
      </c>
      <c r="G957" s="384" t="s">
        <v>329</v>
      </c>
      <c r="H957" s="24">
        <f>119+92</f>
        <v>211</v>
      </c>
      <c r="I957" s="24"/>
      <c r="J957" s="25" t="str">
        <f t="shared" si="46"/>
        <v>1</v>
      </c>
      <c r="K957" s="385"/>
      <c r="L957" s="385"/>
      <c r="M957" s="386">
        <f t="shared" si="44"/>
        <v>211</v>
      </c>
      <c r="N957" s="496">
        <v>530</v>
      </c>
      <c r="O957" s="333">
        <f t="shared" si="45"/>
        <v>741</v>
      </c>
      <c r="R957" s="23" t="str">
        <f>VLOOKUP(C:C,'Historic Data - working'!A:B,1,FALSE)</f>
        <v>NOR036</v>
      </c>
      <c r="U957" s="323"/>
      <c r="V957" s="323"/>
      <c r="W957" s="323"/>
    </row>
    <row r="958" spans="1:23" s="23" customFormat="1" ht="14.25" hidden="1" x14ac:dyDescent="0.2">
      <c r="A958" s="381" t="s">
        <v>3500</v>
      </c>
      <c r="B958" s="381" t="s">
        <v>324</v>
      </c>
      <c r="C958" s="407" t="s">
        <v>3664</v>
      </c>
      <c r="D958" s="381" t="s">
        <v>3665</v>
      </c>
      <c r="E958" s="383" t="s">
        <v>2530</v>
      </c>
      <c r="F958" s="381" t="s">
        <v>3666</v>
      </c>
      <c r="G958" s="384"/>
      <c r="H958" s="24"/>
      <c r="I958" s="24"/>
      <c r="J958" s="25" t="str">
        <f t="shared" si="46"/>
        <v xml:space="preserve"> </v>
      </c>
      <c r="K958" s="385"/>
      <c r="L958" s="385"/>
      <c r="M958" s="386">
        <f t="shared" si="44"/>
        <v>0</v>
      </c>
      <c r="N958" s="496">
        <v>80</v>
      </c>
      <c r="O958" s="333">
        <f t="shared" si="45"/>
        <v>80</v>
      </c>
      <c r="R958" s="23" t="e">
        <f>VLOOKUP(C:C,'Historic Data - working'!A:B,1,FALSE)</f>
        <v>#N/A</v>
      </c>
      <c r="U958" s="323"/>
      <c r="V958" s="323"/>
      <c r="W958" s="323"/>
    </row>
    <row r="959" spans="1:23" s="23" customFormat="1" ht="14.25" hidden="1" x14ac:dyDescent="0.2">
      <c r="A959" s="381" t="s">
        <v>3500</v>
      </c>
      <c r="B959" s="381" t="s">
        <v>324</v>
      </c>
      <c r="C959" s="407" t="s">
        <v>3667</v>
      </c>
      <c r="D959" s="381" t="s">
        <v>3668</v>
      </c>
      <c r="E959" s="383" t="s">
        <v>3669</v>
      </c>
      <c r="F959" s="381" t="s">
        <v>3670</v>
      </c>
      <c r="G959" s="384"/>
      <c r="H959" s="24"/>
      <c r="I959" s="24"/>
      <c r="J959" s="25" t="str">
        <f t="shared" si="46"/>
        <v xml:space="preserve"> </v>
      </c>
      <c r="K959" s="385"/>
      <c r="L959" s="385"/>
      <c r="M959" s="386">
        <f t="shared" si="44"/>
        <v>0</v>
      </c>
      <c r="N959" s="496"/>
      <c r="O959" s="333">
        <f t="shared" si="45"/>
        <v>0</v>
      </c>
      <c r="R959" s="23" t="str">
        <f>VLOOKUP(C:C,'Historic Data - working'!A:B,1,FALSE)</f>
        <v>NOR038</v>
      </c>
      <c r="U959" s="323"/>
      <c r="V959" s="323"/>
      <c r="W959" s="323"/>
    </row>
    <row r="960" spans="1:23" s="23" customFormat="1" ht="14.25" hidden="1" x14ac:dyDescent="0.2">
      <c r="A960" s="381" t="s">
        <v>3500</v>
      </c>
      <c r="B960" s="381" t="s">
        <v>324</v>
      </c>
      <c r="C960" s="407" t="s">
        <v>3671</v>
      </c>
      <c r="D960" s="381" t="s">
        <v>3672</v>
      </c>
      <c r="E960" s="383" t="s">
        <v>3673</v>
      </c>
      <c r="F960" s="381" t="s">
        <v>3674</v>
      </c>
      <c r="G960" s="384" t="s">
        <v>329</v>
      </c>
      <c r="H960" s="24">
        <v>626.08000000000004</v>
      </c>
      <c r="I960" s="24"/>
      <c r="J960" s="25" t="str">
        <f t="shared" si="46"/>
        <v>1</v>
      </c>
      <c r="K960" s="388"/>
      <c r="L960" s="385"/>
      <c r="M960" s="386">
        <f t="shared" si="44"/>
        <v>626.08000000000004</v>
      </c>
      <c r="N960" s="496">
        <v>580</v>
      </c>
      <c r="O960" s="333">
        <f t="shared" si="45"/>
        <v>1206.08</v>
      </c>
      <c r="R960" s="23" t="str">
        <f>VLOOKUP(C:C,'Historic Data - working'!A:B,1,FALSE)</f>
        <v>NOR039</v>
      </c>
      <c r="U960" s="323"/>
      <c r="V960" s="323"/>
      <c r="W960" s="323"/>
    </row>
    <row r="961" spans="1:23" s="23" customFormat="1" ht="14.25" hidden="1" x14ac:dyDescent="0.2">
      <c r="A961" s="381" t="s">
        <v>3500</v>
      </c>
      <c r="B961" s="381" t="s">
        <v>351</v>
      </c>
      <c r="C961" s="407" t="s">
        <v>3675</v>
      </c>
      <c r="D961" s="381" t="s">
        <v>3676</v>
      </c>
      <c r="E961" s="383" t="s">
        <v>3677</v>
      </c>
      <c r="F961" s="381" t="s">
        <v>3674</v>
      </c>
      <c r="G961" s="384" t="s">
        <v>329</v>
      </c>
      <c r="H961" s="24">
        <v>608.04999999999995</v>
      </c>
      <c r="I961" s="24"/>
      <c r="J961" s="25" t="str">
        <f t="shared" si="46"/>
        <v>1</v>
      </c>
      <c r="K961" s="385"/>
      <c r="L961" s="385"/>
      <c r="M961" s="386">
        <f t="shared" si="44"/>
        <v>608.04999999999995</v>
      </c>
      <c r="N961" s="496">
        <v>65</v>
      </c>
      <c r="O961" s="333">
        <f t="shared" si="45"/>
        <v>673.05</v>
      </c>
      <c r="R961" s="23" t="str">
        <f>VLOOKUP(C:C,'Historic Data - working'!A:B,1,FALSE)</f>
        <v>NOR040</v>
      </c>
      <c r="U961" s="323"/>
      <c r="V961" s="323"/>
      <c r="W961" s="323"/>
    </row>
    <row r="962" spans="1:23" s="23" customFormat="1" ht="14.25" hidden="1" x14ac:dyDescent="0.2">
      <c r="A962" s="381" t="s">
        <v>3500</v>
      </c>
      <c r="B962" s="381" t="s">
        <v>351</v>
      </c>
      <c r="C962" s="407" t="s">
        <v>3678</v>
      </c>
      <c r="D962" s="381" t="s">
        <v>3679</v>
      </c>
      <c r="E962" s="383" t="s">
        <v>3680</v>
      </c>
      <c r="F962" s="381" t="s">
        <v>3674</v>
      </c>
      <c r="G962" s="384" t="s">
        <v>329</v>
      </c>
      <c r="H962" s="24">
        <v>811.2</v>
      </c>
      <c r="I962" s="24"/>
      <c r="J962" s="25" t="str">
        <f t="shared" si="46"/>
        <v>1</v>
      </c>
      <c r="K962" s="385"/>
      <c r="L962" s="385"/>
      <c r="M962" s="386">
        <f t="shared" ref="M962:M1025" si="47">H962+L962</f>
        <v>811.2</v>
      </c>
      <c r="N962" s="496"/>
      <c r="O962" s="333">
        <f t="shared" ref="O962:O1025" si="48">M962+N962</f>
        <v>811.2</v>
      </c>
      <c r="R962" s="23" t="str">
        <f>VLOOKUP(C:C,'Historic Data - working'!A:B,1,FALSE)</f>
        <v>NOR041</v>
      </c>
      <c r="U962" s="323"/>
      <c r="V962" s="323"/>
      <c r="W962" s="323"/>
    </row>
    <row r="963" spans="1:23" s="23" customFormat="1" ht="14.25" hidden="1" x14ac:dyDescent="0.2">
      <c r="A963" s="381" t="s">
        <v>3500</v>
      </c>
      <c r="B963" s="381" t="s">
        <v>351</v>
      </c>
      <c r="C963" s="407" t="s">
        <v>3681</v>
      </c>
      <c r="D963" s="381" t="s">
        <v>3682</v>
      </c>
      <c r="E963" s="383" t="s">
        <v>3683</v>
      </c>
      <c r="F963" s="381" t="s">
        <v>3684</v>
      </c>
      <c r="G963" s="384" t="s">
        <v>329</v>
      </c>
      <c r="H963" s="24">
        <f>21.44+30.35+9.38</f>
        <v>61.170000000000009</v>
      </c>
      <c r="I963" s="24"/>
      <c r="J963" s="25" t="str">
        <f t="shared" si="46"/>
        <v>1</v>
      </c>
      <c r="K963" s="385"/>
      <c r="L963" s="385"/>
      <c r="M963" s="386">
        <f t="shared" si="47"/>
        <v>61.170000000000009</v>
      </c>
      <c r="N963" s="496">
        <v>10</v>
      </c>
      <c r="O963" s="333">
        <f t="shared" si="48"/>
        <v>71.170000000000016</v>
      </c>
      <c r="R963" s="23" t="str">
        <f>VLOOKUP(C:C,'Historic Data - working'!A:B,1,FALSE)</f>
        <v>NOR041X</v>
      </c>
      <c r="U963" s="323"/>
      <c r="V963" s="323"/>
      <c r="W963" s="323"/>
    </row>
    <row r="964" spans="1:23" s="23" customFormat="1" ht="14.25" hidden="1" x14ac:dyDescent="0.2">
      <c r="A964" s="381" t="s">
        <v>3500</v>
      </c>
      <c r="B964" s="381" t="s">
        <v>351</v>
      </c>
      <c r="C964" s="407" t="s">
        <v>3685</v>
      </c>
      <c r="D964" s="381" t="s">
        <v>3686</v>
      </c>
      <c r="E964" s="383" t="s">
        <v>3687</v>
      </c>
      <c r="F964" s="381" t="s">
        <v>3688</v>
      </c>
      <c r="G964" s="384" t="s">
        <v>329</v>
      </c>
      <c r="H964" s="24">
        <v>465.1</v>
      </c>
      <c r="I964" s="24"/>
      <c r="J964" s="25" t="str">
        <f t="shared" si="46"/>
        <v>1</v>
      </c>
      <c r="K964" s="385" t="s">
        <v>3689</v>
      </c>
      <c r="L964" s="385">
        <v>1.69</v>
      </c>
      <c r="M964" s="386">
        <f t="shared" si="47"/>
        <v>466.79</v>
      </c>
      <c r="N964" s="496">
        <v>3.8</v>
      </c>
      <c r="O964" s="333">
        <f t="shared" si="48"/>
        <v>470.59000000000003</v>
      </c>
      <c r="R964" s="23" t="str">
        <f>VLOOKUP(C:C,'Historic Data - working'!A:B,1,FALSE)</f>
        <v>NOR042</v>
      </c>
      <c r="U964" s="323"/>
      <c r="V964" s="323"/>
      <c r="W964" s="323"/>
    </row>
    <row r="965" spans="1:23" s="23" customFormat="1" ht="14.25" hidden="1" x14ac:dyDescent="0.2">
      <c r="A965" s="381" t="s">
        <v>3500</v>
      </c>
      <c r="B965" s="381" t="s">
        <v>351</v>
      </c>
      <c r="C965" s="407" t="s">
        <v>3690</v>
      </c>
      <c r="D965" s="381" t="s">
        <v>3691</v>
      </c>
      <c r="E965" s="383" t="s">
        <v>3692</v>
      </c>
      <c r="F965" s="381" t="s">
        <v>3693</v>
      </c>
      <c r="G965" s="384" t="s">
        <v>329</v>
      </c>
      <c r="H965" s="24">
        <v>0</v>
      </c>
      <c r="I965" s="24">
        <v>0</v>
      </c>
      <c r="J965" s="25" t="str">
        <f t="shared" si="46"/>
        <v>1</v>
      </c>
      <c r="K965" s="385" t="s">
        <v>3694</v>
      </c>
      <c r="L965" s="385"/>
      <c r="M965" s="386">
        <f t="shared" si="47"/>
        <v>0</v>
      </c>
      <c r="N965" s="496">
        <v>40</v>
      </c>
      <c r="O965" s="333">
        <f t="shared" si="48"/>
        <v>40</v>
      </c>
      <c r="R965" s="23" t="e">
        <f>VLOOKUP(C:C,'Historic Data - working'!A:B,1,FALSE)</f>
        <v>#N/A</v>
      </c>
      <c r="U965" s="323"/>
      <c r="V965" s="323"/>
      <c r="W965" s="323"/>
    </row>
    <row r="966" spans="1:23" s="23" customFormat="1" ht="14.25" hidden="1" x14ac:dyDescent="0.2">
      <c r="A966" s="381" t="s">
        <v>3500</v>
      </c>
      <c r="B966" s="381" t="s">
        <v>324</v>
      </c>
      <c r="C966" s="407" t="s">
        <v>3695</v>
      </c>
      <c r="D966" s="381" t="s">
        <v>3696</v>
      </c>
      <c r="E966" s="383" t="s">
        <v>72</v>
      </c>
      <c r="F966" s="381" t="s">
        <v>3697</v>
      </c>
      <c r="G966" s="384"/>
      <c r="H966" s="24"/>
      <c r="I966" s="24"/>
      <c r="J966" s="25" t="str">
        <f t="shared" si="46"/>
        <v xml:space="preserve"> </v>
      </c>
      <c r="K966" s="385"/>
      <c r="L966" s="385"/>
      <c r="M966" s="386">
        <f t="shared" si="47"/>
        <v>0</v>
      </c>
      <c r="N966" s="496">
        <v>1302.6300000000001</v>
      </c>
      <c r="O966" s="333">
        <f t="shared" si="48"/>
        <v>1302.6300000000001</v>
      </c>
      <c r="R966" s="23" t="str">
        <f>VLOOKUP(C:C,'Historic Data - working'!A:B,1,FALSE)</f>
        <v>NOR043</v>
      </c>
      <c r="U966" s="323"/>
      <c r="V966" s="323"/>
      <c r="W966" s="323"/>
    </row>
    <row r="967" spans="1:23" s="23" customFormat="1" ht="14.25" hidden="1" x14ac:dyDescent="0.2">
      <c r="A967" s="381" t="s">
        <v>3500</v>
      </c>
      <c r="B967" s="381" t="s">
        <v>351</v>
      </c>
      <c r="C967" s="407" t="s">
        <v>3698</v>
      </c>
      <c r="D967" s="381" t="s">
        <v>3699</v>
      </c>
      <c r="E967" s="383" t="s">
        <v>2896</v>
      </c>
      <c r="F967" s="381" t="s">
        <v>3697</v>
      </c>
      <c r="G967" s="384"/>
      <c r="H967" s="24"/>
      <c r="I967" s="24"/>
      <c r="J967" s="25" t="str">
        <f t="shared" si="46"/>
        <v xml:space="preserve"> </v>
      </c>
      <c r="K967" s="385"/>
      <c r="L967" s="385"/>
      <c r="M967" s="386">
        <f t="shared" si="47"/>
        <v>0</v>
      </c>
      <c r="N967" s="496"/>
      <c r="O967" s="333">
        <f t="shared" si="48"/>
        <v>0</v>
      </c>
      <c r="R967" s="23" t="e">
        <f>VLOOKUP(C:C,'Historic Data - working'!A:B,1,FALSE)</f>
        <v>#N/A</v>
      </c>
      <c r="U967" s="323"/>
      <c r="V967" s="323"/>
      <c r="W967" s="323"/>
    </row>
    <row r="968" spans="1:23" s="23" customFormat="1" ht="14.25" hidden="1" x14ac:dyDescent="0.2">
      <c r="A968" s="381" t="s">
        <v>3500</v>
      </c>
      <c r="B968" s="381" t="s">
        <v>351</v>
      </c>
      <c r="C968" s="407" t="s">
        <v>3700</v>
      </c>
      <c r="D968" s="381" t="s">
        <v>8425</v>
      </c>
      <c r="E968" s="383" t="s">
        <v>1371</v>
      </c>
      <c r="F968" s="381" t="s">
        <v>3701</v>
      </c>
      <c r="G968" s="384"/>
      <c r="H968" s="24"/>
      <c r="I968" s="24"/>
      <c r="J968" s="25" t="str">
        <f t="shared" si="46"/>
        <v xml:space="preserve"> </v>
      </c>
      <c r="K968" s="385"/>
      <c r="L968" s="385"/>
      <c r="M968" s="386">
        <f t="shared" si="47"/>
        <v>0</v>
      </c>
      <c r="N968" s="496">
        <v>35.25</v>
      </c>
      <c r="O968" s="333">
        <f t="shared" si="48"/>
        <v>35.25</v>
      </c>
      <c r="R968" s="23" t="e">
        <f>VLOOKUP(C:C,'Historic Data - working'!A:B,1,FALSE)</f>
        <v>#N/A</v>
      </c>
      <c r="U968" s="323"/>
      <c r="V968" s="323"/>
      <c r="W968" s="323"/>
    </row>
    <row r="969" spans="1:23" s="23" customFormat="1" ht="14.25" hidden="1" x14ac:dyDescent="0.2">
      <c r="A969" s="381" t="s">
        <v>3500</v>
      </c>
      <c r="B969" s="381" t="s">
        <v>351</v>
      </c>
      <c r="C969" s="407" t="s">
        <v>3702</v>
      </c>
      <c r="D969" s="381" t="s">
        <v>3703</v>
      </c>
      <c r="E969" s="383" t="s">
        <v>3704</v>
      </c>
      <c r="F969" s="381" t="s">
        <v>3705</v>
      </c>
      <c r="G969" s="384"/>
      <c r="H969" s="24"/>
      <c r="I969" s="24"/>
      <c r="J969" s="25" t="str">
        <f t="shared" si="46"/>
        <v xml:space="preserve"> </v>
      </c>
      <c r="K969" s="385"/>
      <c r="L969" s="385"/>
      <c r="M969" s="386">
        <f t="shared" si="47"/>
        <v>0</v>
      </c>
      <c r="N969" s="496"/>
      <c r="O969" s="333">
        <f t="shared" si="48"/>
        <v>0</v>
      </c>
      <c r="R969" s="23" t="e">
        <f>VLOOKUP(C:C,'Historic Data - working'!A:B,1,FALSE)</f>
        <v>#N/A</v>
      </c>
      <c r="U969" s="323"/>
      <c r="V969" s="323"/>
      <c r="W969" s="323"/>
    </row>
    <row r="970" spans="1:23" s="23" customFormat="1" ht="14.25" hidden="1" x14ac:dyDescent="0.2">
      <c r="A970" s="381" t="s">
        <v>3500</v>
      </c>
      <c r="B970" s="381" t="s">
        <v>324</v>
      </c>
      <c r="C970" s="407" t="s">
        <v>3706</v>
      </c>
      <c r="D970" s="381" t="s">
        <v>3707</v>
      </c>
      <c r="E970" s="383" t="s">
        <v>3708</v>
      </c>
      <c r="F970" s="381" t="s">
        <v>3709</v>
      </c>
      <c r="G970" s="384"/>
      <c r="H970" s="24"/>
      <c r="I970" s="24"/>
      <c r="J970" s="25" t="str">
        <f t="shared" si="46"/>
        <v xml:space="preserve"> </v>
      </c>
      <c r="K970" s="385"/>
      <c r="L970" s="385"/>
      <c r="M970" s="386">
        <f t="shared" si="47"/>
        <v>0</v>
      </c>
      <c r="N970" s="496"/>
      <c r="O970" s="333">
        <f t="shared" si="48"/>
        <v>0</v>
      </c>
      <c r="R970" s="23" t="e">
        <f>VLOOKUP(C:C,'Historic Data - working'!A:B,1,FALSE)</f>
        <v>#N/A</v>
      </c>
      <c r="U970" s="323"/>
      <c r="V970" s="323"/>
      <c r="W970" s="323"/>
    </row>
    <row r="971" spans="1:23" s="23" customFormat="1" ht="14.25" hidden="1" x14ac:dyDescent="0.2">
      <c r="A971" s="381" t="s">
        <v>3500</v>
      </c>
      <c r="B971" s="381" t="s">
        <v>324</v>
      </c>
      <c r="C971" s="407" t="s">
        <v>3710</v>
      </c>
      <c r="D971" s="381" t="s">
        <v>3711</v>
      </c>
      <c r="E971" s="383" t="s">
        <v>428</v>
      </c>
      <c r="F971" s="381" t="s">
        <v>3712</v>
      </c>
      <c r="G971" s="384"/>
      <c r="H971" s="24"/>
      <c r="I971" s="24"/>
      <c r="J971" s="25" t="str">
        <f t="shared" si="46"/>
        <v xml:space="preserve"> </v>
      </c>
      <c r="K971" s="385"/>
      <c r="L971" s="385"/>
      <c r="M971" s="386">
        <f t="shared" si="47"/>
        <v>0</v>
      </c>
      <c r="N971" s="496">
        <v>608.6</v>
      </c>
      <c r="O971" s="333">
        <f t="shared" si="48"/>
        <v>608.6</v>
      </c>
      <c r="R971" s="23" t="str">
        <f>VLOOKUP(C:C,'Historic Data - working'!A:B,1,FALSE)</f>
        <v>NOR044</v>
      </c>
      <c r="U971" s="323"/>
      <c r="V971" s="323"/>
      <c r="W971" s="323"/>
    </row>
    <row r="972" spans="1:23" s="23" customFormat="1" ht="14.25" hidden="1" x14ac:dyDescent="0.2">
      <c r="A972" s="381" t="s">
        <v>3500</v>
      </c>
      <c r="B972" s="381" t="s">
        <v>324</v>
      </c>
      <c r="C972" s="407" t="s">
        <v>3713</v>
      </c>
      <c r="D972" s="381" t="s">
        <v>3714</v>
      </c>
      <c r="E972" s="383" t="s">
        <v>3715</v>
      </c>
      <c r="F972" s="381" t="s">
        <v>3716</v>
      </c>
      <c r="G972" s="384"/>
      <c r="H972" s="24"/>
      <c r="I972" s="24"/>
      <c r="J972" s="25" t="str">
        <f t="shared" si="46"/>
        <v xml:space="preserve"> </v>
      </c>
      <c r="K972" s="385"/>
      <c r="L972" s="385"/>
      <c r="M972" s="386">
        <f t="shared" si="47"/>
        <v>0</v>
      </c>
      <c r="N972" s="496">
        <v>298.36</v>
      </c>
      <c r="O972" s="333">
        <f t="shared" si="48"/>
        <v>298.36</v>
      </c>
      <c r="R972" s="23" t="str">
        <f>VLOOKUP(C:C,'Historic Data - working'!A:B,1,FALSE)</f>
        <v>NOR045</v>
      </c>
      <c r="U972" s="323"/>
      <c r="V972" s="323"/>
      <c r="W972" s="323"/>
    </row>
    <row r="973" spans="1:23" s="23" customFormat="1" ht="14.25" hidden="1" x14ac:dyDescent="0.2">
      <c r="A973" s="381" t="s">
        <v>3500</v>
      </c>
      <c r="B973" s="381" t="s">
        <v>324</v>
      </c>
      <c r="C973" s="407" t="s">
        <v>3717</v>
      </c>
      <c r="D973" s="381" t="s">
        <v>3718</v>
      </c>
      <c r="E973" s="383" t="s">
        <v>3719</v>
      </c>
      <c r="F973" s="381" t="s">
        <v>3720</v>
      </c>
      <c r="G973" s="384"/>
      <c r="H973" s="24"/>
      <c r="I973" s="24"/>
      <c r="J973" s="25" t="str">
        <f t="shared" si="46"/>
        <v xml:space="preserve"> </v>
      </c>
      <c r="K973" s="385"/>
      <c r="L973" s="385"/>
      <c r="M973" s="386">
        <f t="shared" si="47"/>
        <v>0</v>
      </c>
      <c r="N973" s="496">
        <v>89</v>
      </c>
      <c r="O973" s="333">
        <f t="shared" si="48"/>
        <v>89</v>
      </c>
      <c r="R973" s="23" t="e">
        <f>VLOOKUP(C:C,'Historic Data - working'!A:B,1,FALSE)</f>
        <v>#N/A</v>
      </c>
      <c r="U973" s="323"/>
      <c r="V973" s="323"/>
      <c r="W973" s="323"/>
    </row>
    <row r="974" spans="1:23" s="23" customFormat="1" ht="14.25" hidden="1" x14ac:dyDescent="0.2">
      <c r="A974" s="381" t="s">
        <v>3500</v>
      </c>
      <c r="B974" s="381" t="s">
        <v>324</v>
      </c>
      <c r="C974" s="407" t="s">
        <v>3721</v>
      </c>
      <c r="D974" s="381" t="s">
        <v>3722</v>
      </c>
      <c r="E974" s="383" t="s">
        <v>783</v>
      </c>
      <c r="F974" s="381" t="s">
        <v>3723</v>
      </c>
      <c r="G974" s="384" t="s">
        <v>329</v>
      </c>
      <c r="H974" s="24">
        <v>65.2</v>
      </c>
      <c r="I974" s="24"/>
      <c r="J974" s="25" t="str">
        <f t="shared" si="46"/>
        <v>1</v>
      </c>
      <c r="K974" s="385"/>
      <c r="L974" s="385"/>
      <c r="M974" s="386">
        <f t="shared" si="47"/>
        <v>65.2</v>
      </c>
      <c r="N974" s="496">
        <v>140</v>
      </c>
      <c r="O974" s="333">
        <f t="shared" si="48"/>
        <v>205.2</v>
      </c>
      <c r="R974" s="23" t="str">
        <f>VLOOKUP(C:C,'Historic Data - working'!A:B,1,FALSE)</f>
        <v>NOR047</v>
      </c>
      <c r="U974" s="323"/>
      <c r="V974" s="323"/>
      <c r="W974" s="323"/>
    </row>
    <row r="975" spans="1:23" s="23" customFormat="1" ht="14.25" hidden="1" x14ac:dyDescent="0.2">
      <c r="A975" s="381" t="s">
        <v>3500</v>
      </c>
      <c r="B975" s="381" t="s">
        <v>324</v>
      </c>
      <c r="C975" s="407" t="s">
        <v>3724</v>
      </c>
      <c r="D975" s="381" t="s">
        <v>3725</v>
      </c>
      <c r="E975" s="383" t="s">
        <v>442</v>
      </c>
      <c r="F975" s="381" t="s">
        <v>3723</v>
      </c>
      <c r="G975" s="384"/>
      <c r="H975" s="24"/>
      <c r="I975" s="24"/>
      <c r="J975" s="25" t="str">
        <f t="shared" si="46"/>
        <v xml:space="preserve"> </v>
      </c>
      <c r="K975" s="385"/>
      <c r="L975" s="385"/>
      <c r="M975" s="386">
        <f t="shared" si="47"/>
        <v>0</v>
      </c>
      <c r="N975" s="496">
        <v>270</v>
      </c>
      <c r="O975" s="333">
        <f t="shared" si="48"/>
        <v>270</v>
      </c>
      <c r="R975" s="23" t="str">
        <f>VLOOKUP(C:C,'Historic Data - working'!A:B,1,FALSE)</f>
        <v>NOR048</v>
      </c>
      <c r="U975" s="323"/>
      <c r="V975" s="323"/>
      <c r="W975" s="323"/>
    </row>
    <row r="976" spans="1:23" s="23" customFormat="1" ht="14.25" hidden="1" x14ac:dyDescent="0.2">
      <c r="A976" s="381" t="s">
        <v>3500</v>
      </c>
      <c r="B976" s="381" t="s">
        <v>324</v>
      </c>
      <c r="C976" s="407" t="s">
        <v>3726</v>
      </c>
      <c r="D976" s="381" t="s">
        <v>3727</v>
      </c>
      <c r="E976" s="383" t="s">
        <v>47</v>
      </c>
      <c r="F976" s="381" t="s">
        <v>3723</v>
      </c>
      <c r="G976" s="384" t="s">
        <v>329</v>
      </c>
      <c r="H976" s="24">
        <f>1810.74+451.64</f>
        <v>2262.38</v>
      </c>
      <c r="I976" s="24"/>
      <c r="J976" s="25" t="str">
        <f t="shared" si="46"/>
        <v>1</v>
      </c>
      <c r="K976" s="385" t="s">
        <v>3728</v>
      </c>
      <c r="L976" s="385">
        <v>-0.04</v>
      </c>
      <c r="M976" s="386">
        <f t="shared" si="47"/>
        <v>2262.34</v>
      </c>
      <c r="N976" s="496">
        <v>150</v>
      </c>
      <c r="O976" s="333">
        <f t="shared" si="48"/>
        <v>2412.34</v>
      </c>
      <c r="R976" s="23" t="str">
        <f>VLOOKUP(C:C,'Historic Data - working'!A:B,1,FALSE)</f>
        <v>NOR049</v>
      </c>
      <c r="U976" s="323"/>
      <c r="V976" s="323"/>
      <c r="W976" s="323"/>
    </row>
    <row r="977" spans="1:23" s="23" customFormat="1" ht="14.25" hidden="1" x14ac:dyDescent="0.2">
      <c r="A977" s="381" t="s">
        <v>3500</v>
      </c>
      <c r="B977" s="381" t="s">
        <v>351</v>
      </c>
      <c r="C977" s="407" t="s">
        <v>3729</v>
      </c>
      <c r="D977" s="381" t="s">
        <v>3730</v>
      </c>
      <c r="E977" s="383" t="s">
        <v>3731</v>
      </c>
      <c r="F977" s="381" t="s">
        <v>3723</v>
      </c>
      <c r="G977" s="384"/>
      <c r="H977" s="24"/>
      <c r="I977" s="24"/>
      <c r="J977" s="25" t="str">
        <f t="shared" si="46"/>
        <v xml:space="preserve"> </v>
      </c>
      <c r="K977" s="385"/>
      <c r="L977" s="385"/>
      <c r="M977" s="386">
        <f t="shared" si="47"/>
        <v>0</v>
      </c>
      <c r="N977" s="496">
        <v>55</v>
      </c>
      <c r="O977" s="333">
        <f t="shared" si="48"/>
        <v>55</v>
      </c>
      <c r="R977" s="23" t="e">
        <f>VLOOKUP(C:C,'Historic Data - working'!A:B,1,FALSE)</f>
        <v>#N/A</v>
      </c>
      <c r="U977" s="323"/>
      <c r="V977" s="323"/>
      <c r="W977" s="323"/>
    </row>
    <row r="978" spans="1:23" s="23" customFormat="1" ht="14.25" hidden="1" x14ac:dyDescent="0.2">
      <c r="A978" s="381" t="s">
        <v>3500</v>
      </c>
      <c r="B978" s="381" t="s">
        <v>324</v>
      </c>
      <c r="C978" s="407" t="s">
        <v>3732</v>
      </c>
      <c r="D978" s="381" t="s">
        <v>3733</v>
      </c>
      <c r="E978" s="383" t="s">
        <v>61</v>
      </c>
      <c r="F978" s="381" t="s">
        <v>3723</v>
      </c>
      <c r="G978" s="384"/>
      <c r="H978" s="24"/>
      <c r="I978" s="24"/>
      <c r="J978" s="25" t="str">
        <f t="shared" si="46"/>
        <v xml:space="preserve"> </v>
      </c>
      <c r="K978" s="385"/>
      <c r="L978" s="385"/>
      <c r="M978" s="386">
        <f t="shared" si="47"/>
        <v>0</v>
      </c>
      <c r="N978" s="496">
        <v>1337.08</v>
      </c>
      <c r="O978" s="333">
        <f t="shared" si="48"/>
        <v>1337.08</v>
      </c>
      <c r="R978" s="23" t="str">
        <f>VLOOKUP(C:C,'Historic Data - working'!A:B,1,FALSE)</f>
        <v>NOR051</v>
      </c>
      <c r="U978" s="323"/>
      <c r="V978" s="323"/>
      <c r="W978" s="323"/>
    </row>
    <row r="979" spans="1:23" s="23" customFormat="1" ht="14.25" hidden="1" x14ac:dyDescent="0.2">
      <c r="A979" s="381" t="s">
        <v>3500</v>
      </c>
      <c r="B979" s="381" t="s">
        <v>324</v>
      </c>
      <c r="C979" s="407" t="s">
        <v>3734</v>
      </c>
      <c r="D979" s="381" t="s">
        <v>3735</v>
      </c>
      <c r="E979" s="383" t="s">
        <v>3736</v>
      </c>
      <c r="F979" s="381" t="s">
        <v>3723</v>
      </c>
      <c r="G979" s="384" t="s">
        <v>329</v>
      </c>
      <c r="H979" s="24">
        <f>520+425+360.32+300+495</f>
        <v>2100.3199999999997</v>
      </c>
      <c r="I979" s="24"/>
      <c r="J979" s="25" t="str">
        <f t="shared" si="46"/>
        <v>1</v>
      </c>
      <c r="K979" s="385"/>
      <c r="L979" s="385"/>
      <c r="M979" s="386">
        <f t="shared" si="47"/>
        <v>2100.3199999999997</v>
      </c>
      <c r="N979" s="496">
        <v>65</v>
      </c>
      <c r="O979" s="333">
        <f t="shared" si="48"/>
        <v>2165.3199999999997</v>
      </c>
      <c r="R979" s="23" t="str">
        <f>VLOOKUP(C:C,'Historic Data - working'!A:B,1,FALSE)</f>
        <v>NOR052</v>
      </c>
      <c r="U979" s="323"/>
      <c r="V979" s="323"/>
      <c r="W979" s="323"/>
    </row>
    <row r="980" spans="1:23" s="23" customFormat="1" ht="14.25" hidden="1" x14ac:dyDescent="0.2">
      <c r="A980" s="381" t="s">
        <v>3500</v>
      </c>
      <c r="B980" s="381" t="s">
        <v>324</v>
      </c>
      <c r="C980" s="407" t="s">
        <v>3737</v>
      </c>
      <c r="D980" s="381" t="s">
        <v>3738</v>
      </c>
      <c r="E980" s="383" t="s">
        <v>3739</v>
      </c>
      <c r="F980" s="381" t="s">
        <v>3723</v>
      </c>
      <c r="G980" s="384"/>
      <c r="H980" s="24"/>
      <c r="I980" s="24"/>
      <c r="J980" s="25" t="str">
        <f t="shared" si="46"/>
        <v xml:space="preserve"> </v>
      </c>
      <c r="K980" s="385"/>
      <c r="L980" s="385"/>
      <c r="M980" s="386">
        <f t="shared" si="47"/>
        <v>0</v>
      </c>
      <c r="N980" s="496"/>
      <c r="O980" s="333">
        <f t="shared" si="48"/>
        <v>0</v>
      </c>
      <c r="R980" s="23" t="e">
        <f>VLOOKUP(C:C,'Historic Data - working'!A:B,1,FALSE)</f>
        <v>#N/A</v>
      </c>
      <c r="U980" s="323"/>
      <c r="V980" s="323"/>
      <c r="W980" s="323"/>
    </row>
    <row r="981" spans="1:23" s="23" customFormat="1" ht="14.25" hidden="1" x14ac:dyDescent="0.2">
      <c r="A981" s="381" t="s">
        <v>3500</v>
      </c>
      <c r="B981" s="381" t="s">
        <v>324</v>
      </c>
      <c r="C981" s="407" t="s">
        <v>3740</v>
      </c>
      <c r="D981" s="381" t="s">
        <v>3741</v>
      </c>
      <c r="E981" s="383" t="s">
        <v>3742</v>
      </c>
      <c r="F981" s="381" t="s">
        <v>3723</v>
      </c>
      <c r="G981" s="384"/>
      <c r="H981" s="24"/>
      <c r="I981" s="24"/>
      <c r="J981" s="25" t="str">
        <f t="shared" si="46"/>
        <v xml:space="preserve"> </v>
      </c>
      <c r="K981" s="385"/>
      <c r="L981" s="385"/>
      <c r="M981" s="386">
        <f t="shared" si="47"/>
        <v>0</v>
      </c>
      <c r="N981" s="496">
        <v>730</v>
      </c>
      <c r="O981" s="333">
        <f t="shared" si="48"/>
        <v>730</v>
      </c>
      <c r="R981" s="23" t="str">
        <f>VLOOKUP(C:C,'Historic Data - working'!A:B,1,FALSE)</f>
        <v>NOR053</v>
      </c>
      <c r="U981" s="323"/>
      <c r="V981" s="323"/>
      <c r="W981" s="323"/>
    </row>
    <row r="982" spans="1:23" s="23" customFormat="1" ht="14.25" hidden="1" x14ac:dyDescent="0.2">
      <c r="A982" s="381" t="s">
        <v>3500</v>
      </c>
      <c r="B982" s="381" t="s">
        <v>351</v>
      </c>
      <c r="C982" s="407" t="s">
        <v>3743</v>
      </c>
      <c r="D982" s="381" t="s">
        <v>3744</v>
      </c>
      <c r="E982" s="383" t="s">
        <v>1584</v>
      </c>
      <c r="F982" s="381" t="s">
        <v>3723</v>
      </c>
      <c r="G982" s="384"/>
      <c r="H982" s="24"/>
      <c r="I982" s="24"/>
      <c r="J982" s="25" t="str">
        <f t="shared" si="46"/>
        <v xml:space="preserve"> </v>
      </c>
      <c r="K982" s="385"/>
      <c r="L982" s="385"/>
      <c r="M982" s="386">
        <f t="shared" si="47"/>
        <v>0</v>
      </c>
      <c r="N982" s="496">
        <v>327.06</v>
      </c>
      <c r="O982" s="333">
        <f t="shared" si="48"/>
        <v>327.06</v>
      </c>
      <c r="R982" s="23" t="e">
        <f>VLOOKUP(C:C,'Historic Data - working'!A:B,1,FALSE)</f>
        <v>#N/A</v>
      </c>
      <c r="U982" s="323"/>
      <c r="V982" s="323"/>
      <c r="W982" s="323"/>
    </row>
    <row r="983" spans="1:23" s="23" customFormat="1" ht="14.25" hidden="1" x14ac:dyDescent="0.2">
      <c r="A983" s="381" t="s">
        <v>3500</v>
      </c>
      <c r="B983" s="381" t="s">
        <v>324</v>
      </c>
      <c r="C983" s="407" t="s">
        <v>3745</v>
      </c>
      <c r="D983" s="381" t="s">
        <v>3746</v>
      </c>
      <c r="E983" s="383" t="s">
        <v>276</v>
      </c>
      <c r="F983" s="381" t="s">
        <v>3747</v>
      </c>
      <c r="G983" s="384" t="s">
        <v>329</v>
      </c>
      <c r="H983" s="24">
        <v>345.43</v>
      </c>
      <c r="I983" s="24"/>
      <c r="J983" s="25" t="str">
        <f t="shared" si="46"/>
        <v>1</v>
      </c>
      <c r="K983" s="385"/>
      <c r="L983" s="385"/>
      <c r="M983" s="386">
        <f t="shared" si="47"/>
        <v>345.43</v>
      </c>
      <c r="N983" s="496">
        <v>230</v>
      </c>
      <c r="O983" s="333">
        <f t="shared" si="48"/>
        <v>575.43000000000006</v>
      </c>
      <c r="R983" s="23" t="str">
        <f>VLOOKUP(C:C,'Historic Data - working'!A:B,1,FALSE)</f>
        <v>NOR055</v>
      </c>
      <c r="U983" s="323"/>
      <c r="V983" s="323"/>
      <c r="W983" s="323"/>
    </row>
    <row r="984" spans="1:23" s="23" customFormat="1" ht="14.25" hidden="1" x14ac:dyDescent="0.2">
      <c r="A984" s="381" t="s">
        <v>3500</v>
      </c>
      <c r="B984" s="381" t="s">
        <v>351</v>
      </c>
      <c r="C984" s="407" t="s">
        <v>3748</v>
      </c>
      <c r="D984" s="381" t="s">
        <v>3749</v>
      </c>
      <c r="E984" s="383" t="s">
        <v>1203</v>
      </c>
      <c r="F984" s="381" t="s">
        <v>3750</v>
      </c>
      <c r="G984" s="384"/>
      <c r="H984" s="24"/>
      <c r="I984" s="24"/>
      <c r="J984" s="25" t="str">
        <f t="shared" si="46"/>
        <v xml:space="preserve"> </v>
      </c>
      <c r="K984" s="385"/>
      <c r="L984" s="385"/>
      <c r="M984" s="386">
        <f t="shared" si="47"/>
        <v>0</v>
      </c>
      <c r="N984" s="496">
        <v>15</v>
      </c>
      <c r="O984" s="333">
        <f t="shared" si="48"/>
        <v>15</v>
      </c>
      <c r="R984" s="23" t="str">
        <f>VLOOKUP(C:C,'Historic Data - working'!A:B,1,FALSE)</f>
        <v>NOR056</v>
      </c>
      <c r="U984" s="323"/>
      <c r="V984" s="323"/>
      <c r="W984" s="323"/>
    </row>
    <row r="985" spans="1:23" s="23" customFormat="1" ht="14.25" hidden="1" x14ac:dyDescent="0.2">
      <c r="A985" s="381" t="s">
        <v>3500</v>
      </c>
      <c r="B985" s="381" t="s">
        <v>351</v>
      </c>
      <c r="C985" s="407" t="s">
        <v>3751</v>
      </c>
      <c r="D985" s="381" t="s">
        <v>3752</v>
      </c>
      <c r="E985" s="383" t="s">
        <v>3753</v>
      </c>
      <c r="F985" s="381" t="s">
        <v>3750</v>
      </c>
      <c r="G985" s="384"/>
      <c r="H985" s="24"/>
      <c r="I985" s="24"/>
      <c r="J985" s="25" t="str">
        <f t="shared" si="46"/>
        <v xml:space="preserve"> </v>
      </c>
      <c r="K985" s="385"/>
      <c r="L985" s="385"/>
      <c r="M985" s="386">
        <f t="shared" si="47"/>
        <v>0</v>
      </c>
      <c r="N985" s="496"/>
      <c r="O985" s="333">
        <f t="shared" si="48"/>
        <v>0</v>
      </c>
      <c r="R985" s="23" t="e">
        <f>VLOOKUP(C:C,'Historic Data - working'!A:B,1,FALSE)</f>
        <v>#N/A</v>
      </c>
      <c r="U985" s="323"/>
      <c r="V985" s="323"/>
      <c r="W985" s="323"/>
    </row>
    <row r="986" spans="1:23" s="23" customFormat="1" ht="14.25" hidden="1" x14ac:dyDescent="0.2">
      <c r="A986" s="381" t="s">
        <v>3500</v>
      </c>
      <c r="B986" s="381" t="s">
        <v>324</v>
      </c>
      <c r="C986" s="407" t="s">
        <v>3754</v>
      </c>
      <c r="D986" s="381" t="s">
        <v>3755</v>
      </c>
      <c r="E986" s="383" t="s">
        <v>3756</v>
      </c>
      <c r="F986" s="381" t="s">
        <v>3750</v>
      </c>
      <c r="G986" s="384" t="s">
        <v>329</v>
      </c>
      <c r="H986" s="24">
        <f>145.5+163+184.5</f>
        <v>493</v>
      </c>
      <c r="I986" s="24"/>
      <c r="J986" s="25" t="str">
        <f t="shared" si="46"/>
        <v>1</v>
      </c>
      <c r="K986" s="385"/>
      <c r="L986" s="385"/>
      <c r="M986" s="386">
        <f t="shared" si="47"/>
        <v>493</v>
      </c>
      <c r="N986" s="496">
        <v>319</v>
      </c>
      <c r="O986" s="333">
        <f t="shared" si="48"/>
        <v>812</v>
      </c>
      <c r="R986" s="23" t="str">
        <f>VLOOKUP(C:C,'Historic Data - working'!A:B,1,FALSE)</f>
        <v>NOR057</v>
      </c>
      <c r="U986" s="323"/>
      <c r="V986" s="323"/>
      <c r="W986" s="323"/>
    </row>
    <row r="987" spans="1:23" s="23" customFormat="1" ht="28.5" hidden="1" x14ac:dyDescent="0.2">
      <c r="A987" s="381" t="s">
        <v>3500</v>
      </c>
      <c r="B987" s="381" t="s">
        <v>351</v>
      </c>
      <c r="C987" s="407" t="s">
        <v>3757</v>
      </c>
      <c r="D987" s="381" t="s">
        <v>3758</v>
      </c>
      <c r="E987" s="383" t="s">
        <v>3759</v>
      </c>
      <c r="F987" s="381" t="s">
        <v>3750</v>
      </c>
      <c r="G987" s="384"/>
      <c r="H987" s="24"/>
      <c r="I987" s="24"/>
      <c r="J987" s="25" t="str">
        <f t="shared" si="46"/>
        <v xml:space="preserve"> </v>
      </c>
      <c r="K987" s="385"/>
      <c r="L987" s="385"/>
      <c r="M987" s="386">
        <f t="shared" si="47"/>
        <v>0</v>
      </c>
      <c r="N987" s="496">
        <v>387</v>
      </c>
      <c r="O987" s="333">
        <f t="shared" si="48"/>
        <v>387</v>
      </c>
      <c r="R987" s="23" t="str">
        <f>VLOOKUP(C:C,'Historic Data - working'!A:B,1,FALSE)</f>
        <v>NOR059</v>
      </c>
      <c r="U987" s="323"/>
      <c r="V987" s="323"/>
      <c r="W987" s="323"/>
    </row>
    <row r="988" spans="1:23" s="23" customFormat="1" ht="28.5" hidden="1" x14ac:dyDescent="0.2">
      <c r="A988" s="381" t="s">
        <v>3500</v>
      </c>
      <c r="B988" s="381" t="s">
        <v>351</v>
      </c>
      <c r="C988" s="407" t="s">
        <v>3760</v>
      </c>
      <c r="D988" s="381" t="s">
        <v>3761</v>
      </c>
      <c r="E988" s="383" t="s">
        <v>3762</v>
      </c>
      <c r="F988" s="381" t="s">
        <v>3750</v>
      </c>
      <c r="G988" s="384"/>
      <c r="H988" s="24"/>
      <c r="I988" s="24"/>
      <c r="J988" s="25" t="str">
        <f t="shared" si="46"/>
        <v xml:space="preserve"> </v>
      </c>
      <c r="K988" s="385"/>
      <c r="L988" s="385"/>
      <c r="M988" s="386">
        <f t="shared" si="47"/>
        <v>0</v>
      </c>
      <c r="N988" s="496"/>
      <c r="O988" s="333">
        <f t="shared" si="48"/>
        <v>0</v>
      </c>
      <c r="R988" s="23" t="e">
        <f>VLOOKUP(C:C,'Historic Data - working'!A:B,1,FALSE)</f>
        <v>#N/A</v>
      </c>
      <c r="U988" s="323"/>
      <c r="V988" s="323"/>
      <c r="W988" s="323"/>
    </row>
    <row r="989" spans="1:23" s="23" customFormat="1" ht="28.5" hidden="1" x14ac:dyDescent="0.2">
      <c r="A989" s="381" t="s">
        <v>3500</v>
      </c>
      <c r="B989" s="381" t="s">
        <v>324</v>
      </c>
      <c r="C989" s="407" t="s">
        <v>3763</v>
      </c>
      <c r="D989" s="381" t="s">
        <v>3764</v>
      </c>
      <c r="E989" s="383" t="s">
        <v>3765</v>
      </c>
      <c r="F989" s="381" t="s">
        <v>3750</v>
      </c>
      <c r="G989" s="384" t="s">
        <v>329</v>
      </c>
      <c r="H989" s="24">
        <f>68+67.23+75.15+122.83+60+99.5</f>
        <v>492.71000000000004</v>
      </c>
      <c r="I989" s="24"/>
      <c r="J989" s="25" t="str">
        <f t="shared" si="46"/>
        <v>1</v>
      </c>
      <c r="K989" s="385"/>
      <c r="L989" s="385"/>
      <c r="M989" s="386">
        <f t="shared" si="47"/>
        <v>492.71000000000004</v>
      </c>
      <c r="N989" s="496">
        <v>796</v>
      </c>
      <c r="O989" s="333">
        <f t="shared" si="48"/>
        <v>1288.71</v>
      </c>
      <c r="R989" s="23" t="str">
        <f>VLOOKUP(C:C,'Historic Data - working'!A:B,1,FALSE)</f>
        <v>NOR060</v>
      </c>
      <c r="U989" s="323"/>
      <c r="V989" s="323"/>
      <c r="W989" s="323"/>
    </row>
    <row r="990" spans="1:23" s="23" customFormat="1" ht="14.25" hidden="1" x14ac:dyDescent="0.2">
      <c r="A990" s="381" t="s">
        <v>3500</v>
      </c>
      <c r="B990" s="381" t="s">
        <v>324</v>
      </c>
      <c r="C990" s="407" t="s">
        <v>3766</v>
      </c>
      <c r="D990" s="381" t="s">
        <v>3767</v>
      </c>
      <c r="E990" s="383" t="s">
        <v>3768</v>
      </c>
      <c r="F990" s="381" t="s">
        <v>3750</v>
      </c>
      <c r="G990" s="384"/>
      <c r="H990" s="24"/>
      <c r="I990" s="24"/>
      <c r="J990" s="25" t="str">
        <f t="shared" si="46"/>
        <v xml:space="preserve"> </v>
      </c>
      <c r="K990" s="385"/>
      <c r="L990" s="385"/>
      <c r="M990" s="386">
        <f t="shared" si="47"/>
        <v>0</v>
      </c>
      <c r="N990" s="496"/>
      <c r="O990" s="333">
        <f t="shared" si="48"/>
        <v>0</v>
      </c>
      <c r="R990" s="23" t="e">
        <f>VLOOKUP(C:C,'Historic Data - working'!A:B,1,FALSE)</f>
        <v>#N/A</v>
      </c>
      <c r="U990" s="323"/>
      <c r="V990" s="323"/>
      <c r="W990" s="323"/>
    </row>
    <row r="991" spans="1:23" s="23" customFormat="1" ht="14.25" hidden="1" x14ac:dyDescent="0.2">
      <c r="A991" s="381" t="s">
        <v>3500</v>
      </c>
      <c r="B991" s="381" t="s">
        <v>324</v>
      </c>
      <c r="C991" s="407" t="s">
        <v>3769</v>
      </c>
      <c r="D991" s="381" t="s">
        <v>3770</v>
      </c>
      <c r="E991" s="383" t="s">
        <v>3771</v>
      </c>
      <c r="F991" s="381" t="s">
        <v>3750</v>
      </c>
      <c r="G991" s="384"/>
      <c r="H991" s="24"/>
      <c r="I991" s="24"/>
      <c r="J991" s="25" t="str">
        <f t="shared" si="46"/>
        <v xml:space="preserve"> </v>
      </c>
      <c r="K991" s="385"/>
      <c r="L991" s="385"/>
      <c r="M991" s="386">
        <f t="shared" si="47"/>
        <v>0</v>
      </c>
      <c r="N991" s="496">
        <v>265</v>
      </c>
      <c r="O991" s="333">
        <f t="shared" si="48"/>
        <v>265</v>
      </c>
      <c r="R991" s="23" t="str">
        <f>VLOOKUP(C:C,'Historic Data - working'!A:B,1,FALSE)</f>
        <v>NOR060X</v>
      </c>
      <c r="U991" s="323"/>
      <c r="V991" s="323"/>
      <c r="W991" s="323"/>
    </row>
    <row r="992" spans="1:23" s="23" customFormat="1" ht="14.25" hidden="1" x14ac:dyDescent="0.2">
      <c r="A992" s="381" t="s">
        <v>3500</v>
      </c>
      <c r="B992" s="381" t="s">
        <v>324</v>
      </c>
      <c r="C992" s="407" t="s">
        <v>3772</v>
      </c>
      <c r="D992" s="381" t="s">
        <v>3773</v>
      </c>
      <c r="E992" s="383" t="s">
        <v>3774</v>
      </c>
      <c r="F992" s="381" t="s">
        <v>3775</v>
      </c>
      <c r="G992" s="384"/>
      <c r="H992" s="24"/>
      <c r="I992" s="24"/>
      <c r="J992" s="25" t="str">
        <f t="shared" si="46"/>
        <v xml:space="preserve"> </v>
      </c>
      <c r="K992" s="385"/>
      <c r="L992" s="385"/>
      <c r="M992" s="386">
        <f t="shared" si="47"/>
        <v>0</v>
      </c>
      <c r="N992" s="496">
        <v>719</v>
      </c>
      <c r="O992" s="333">
        <f t="shared" si="48"/>
        <v>719</v>
      </c>
      <c r="R992" s="23" t="str">
        <f>VLOOKUP(C:C,'Historic Data - working'!A:B,1,FALSE)</f>
        <v>NOR061</v>
      </c>
      <c r="U992" s="323"/>
      <c r="V992" s="323"/>
      <c r="W992" s="323"/>
    </row>
    <row r="993" spans="1:23" s="23" customFormat="1" ht="14.25" hidden="1" x14ac:dyDescent="0.2">
      <c r="A993" s="381" t="s">
        <v>3500</v>
      </c>
      <c r="B993" s="381" t="s">
        <v>324</v>
      </c>
      <c r="C993" s="407" t="s">
        <v>3776</v>
      </c>
      <c r="D993" s="381" t="s">
        <v>3777</v>
      </c>
      <c r="E993" s="383" t="s">
        <v>916</v>
      </c>
      <c r="F993" s="381" t="s">
        <v>3750</v>
      </c>
      <c r="G993" s="384"/>
      <c r="H993" s="24"/>
      <c r="I993" s="24"/>
      <c r="J993" s="25" t="str">
        <f t="shared" si="46"/>
        <v xml:space="preserve"> </v>
      </c>
      <c r="K993" s="385"/>
      <c r="L993" s="385"/>
      <c r="M993" s="386">
        <f t="shared" si="47"/>
        <v>0</v>
      </c>
      <c r="N993" s="496"/>
      <c r="O993" s="333">
        <f t="shared" si="48"/>
        <v>0</v>
      </c>
      <c r="R993" s="23" t="e">
        <f>VLOOKUP(C:C,'Historic Data - working'!A:B,1,FALSE)</f>
        <v>#N/A</v>
      </c>
      <c r="U993" s="323"/>
      <c r="V993" s="323"/>
      <c r="W993" s="323"/>
    </row>
    <row r="994" spans="1:23" s="23" customFormat="1" ht="14.25" hidden="1" x14ac:dyDescent="0.2">
      <c r="A994" s="381" t="s">
        <v>3500</v>
      </c>
      <c r="B994" s="381" t="s">
        <v>324</v>
      </c>
      <c r="C994" s="407" t="s">
        <v>3778</v>
      </c>
      <c r="D994" s="381" t="s">
        <v>3779</v>
      </c>
      <c r="E994" s="383" t="s">
        <v>3780</v>
      </c>
      <c r="F994" s="381" t="s">
        <v>3781</v>
      </c>
      <c r="G994" s="384" t="s">
        <v>329</v>
      </c>
      <c r="H994" s="24"/>
      <c r="I994" s="24">
        <f>92.73+123.49+58.07+147.12+182.71+150.65+96.65+71.67</f>
        <v>923.08999999999992</v>
      </c>
      <c r="J994" s="25" t="str">
        <f t="shared" si="46"/>
        <v>1</v>
      </c>
      <c r="K994" s="385"/>
      <c r="L994" s="385"/>
      <c r="M994" s="386">
        <f t="shared" si="47"/>
        <v>0</v>
      </c>
      <c r="N994" s="496">
        <v>1148.0900000000001</v>
      </c>
      <c r="O994" s="333">
        <f t="shared" si="48"/>
        <v>1148.0900000000001</v>
      </c>
      <c r="R994" s="23" t="str">
        <f>VLOOKUP(C:C,'Historic Data - working'!A:B,1,FALSE)</f>
        <v>NOR062</v>
      </c>
      <c r="U994" s="323"/>
      <c r="V994" s="323"/>
      <c r="W994" s="323"/>
    </row>
    <row r="995" spans="1:23" s="23" customFormat="1" ht="14.25" hidden="1" x14ac:dyDescent="0.2">
      <c r="A995" s="381" t="s">
        <v>3500</v>
      </c>
      <c r="B995" s="381" t="s">
        <v>351</v>
      </c>
      <c r="C995" s="407" t="s">
        <v>3782</v>
      </c>
      <c r="D995" s="381" t="s">
        <v>3783</v>
      </c>
      <c r="E995" s="383" t="s">
        <v>3784</v>
      </c>
      <c r="F995" s="381" t="s">
        <v>3785</v>
      </c>
      <c r="G995" s="384" t="s">
        <v>329</v>
      </c>
      <c r="H995" s="24">
        <f>40+3.4</f>
        <v>43.4</v>
      </c>
      <c r="I995" s="24"/>
      <c r="J995" s="25" t="str">
        <f t="shared" si="46"/>
        <v>1</v>
      </c>
      <c r="K995" s="385"/>
      <c r="L995" s="385"/>
      <c r="M995" s="386">
        <f t="shared" si="47"/>
        <v>43.4</v>
      </c>
      <c r="N995" s="496">
        <v>535</v>
      </c>
      <c r="O995" s="333">
        <f t="shared" si="48"/>
        <v>578.4</v>
      </c>
      <c r="R995" s="23" t="str">
        <f>VLOOKUP(C:C,'Historic Data - working'!A:B,1,FALSE)</f>
        <v>NOR063</v>
      </c>
      <c r="U995" s="323"/>
      <c r="V995" s="323"/>
      <c r="W995" s="323"/>
    </row>
    <row r="996" spans="1:23" s="23" customFormat="1" ht="14.25" hidden="1" x14ac:dyDescent="0.2">
      <c r="A996" s="381" t="s">
        <v>3500</v>
      </c>
      <c r="B996" s="381" t="s">
        <v>324</v>
      </c>
      <c r="C996" s="407" t="s">
        <v>3786</v>
      </c>
      <c r="D996" s="381" t="s">
        <v>3787</v>
      </c>
      <c r="E996" s="383" t="s">
        <v>934</v>
      </c>
      <c r="F996" s="381" t="s">
        <v>3788</v>
      </c>
      <c r="G996" s="384" t="s">
        <v>329</v>
      </c>
      <c r="H996" s="24">
        <f>515.36+188.28+76.59</f>
        <v>780.23</v>
      </c>
      <c r="I996" s="24"/>
      <c r="J996" s="25" t="str">
        <f t="shared" si="46"/>
        <v>1</v>
      </c>
      <c r="K996" s="385"/>
      <c r="L996" s="385"/>
      <c r="M996" s="386">
        <f t="shared" si="47"/>
        <v>780.23</v>
      </c>
      <c r="N996" s="496">
        <v>2445</v>
      </c>
      <c r="O996" s="333">
        <f t="shared" si="48"/>
        <v>3225.23</v>
      </c>
      <c r="R996" s="23" t="str">
        <f>VLOOKUP(C:C,'Historic Data - working'!A:B,1,FALSE)</f>
        <v>NOR064</v>
      </c>
      <c r="U996" s="323"/>
      <c r="V996" s="323"/>
      <c r="W996" s="323"/>
    </row>
    <row r="997" spans="1:23" s="23" customFormat="1" ht="14.25" hidden="1" x14ac:dyDescent="0.2">
      <c r="A997" s="381" t="s">
        <v>3500</v>
      </c>
      <c r="B997" s="381" t="s">
        <v>324</v>
      </c>
      <c r="C997" s="407" t="s">
        <v>3789</v>
      </c>
      <c r="D997" s="381" t="s">
        <v>3790</v>
      </c>
      <c r="E997" s="383" t="s">
        <v>3791</v>
      </c>
      <c r="F997" s="381" t="s">
        <v>3792</v>
      </c>
      <c r="G997" s="384" t="s">
        <v>329</v>
      </c>
      <c r="H997" s="24">
        <f>152.82+232.77+258.85</f>
        <v>644.44000000000005</v>
      </c>
      <c r="I997" s="24"/>
      <c r="J997" s="25" t="str">
        <f t="shared" si="46"/>
        <v>1</v>
      </c>
      <c r="K997" s="385"/>
      <c r="L997" s="385"/>
      <c r="M997" s="386">
        <f t="shared" si="47"/>
        <v>644.44000000000005</v>
      </c>
      <c r="N997" s="496">
        <v>440</v>
      </c>
      <c r="O997" s="333">
        <f t="shared" si="48"/>
        <v>1084.44</v>
      </c>
      <c r="R997" s="23" t="str">
        <f>VLOOKUP(C:C,'Historic Data - working'!A:B,1,FALSE)</f>
        <v>NOR065</v>
      </c>
      <c r="U997" s="323"/>
      <c r="V997" s="323"/>
      <c r="W997" s="323"/>
    </row>
    <row r="998" spans="1:23" s="23" customFormat="1" ht="14.25" hidden="1" x14ac:dyDescent="0.2">
      <c r="A998" s="381" t="s">
        <v>3500</v>
      </c>
      <c r="B998" s="381" t="s">
        <v>324</v>
      </c>
      <c r="C998" s="407" t="s">
        <v>3793</v>
      </c>
      <c r="D998" s="381" t="s">
        <v>3794</v>
      </c>
      <c r="E998" s="383" t="s">
        <v>896</v>
      </c>
      <c r="F998" s="381" t="s">
        <v>3795</v>
      </c>
      <c r="G998" s="384" t="s">
        <v>329</v>
      </c>
      <c r="H998" s="24">
        <f>35+9.56+60</f>
        <v>104.56</v>
      </c>
      <c r="I998" s="24"/>
      <c r="J998" s="25" t="str">
        <f t="shared" si="46"/>
        <v>1</v>
      </c>
      <c r="K998" s="385"/>
      <c r="L998" s="385"/>
      <c r="M998" s="386">
        <f t="shared" si="47"/>
        <v>104.56</v>
      </c>
      <c r="N998" s="496">
        <v>80</v>
      </c>
      <c r="O998" s="333">
        <f t="shared" si="48"/>
        <v>184.56</v>
      </c>
      <c r="R998" s="23" t="str">
        <f>VLOOKUP(C:C,'Historic Data - working'!A:B,1,FALSE)</f>
        <v>NOR066</v>
      </c>
      <c r="U998" s="323"/>
      <c r="V998" s="323"/>
      <c r="W998" s="323"/>
    </row>
    <row r="999" spans="1:23" s="23" customFormat="1" ht="14.25" hidden="1" x14ac:dyDescent="0.2">
      <c r="A999" s="381" t="s">
        <v>3500</v>
      </c>
      <c r="B999" s="381" t="s">
        <v>324</v>
      </c>
      <c r="C999" s="407" t="s">
        <v>3796</v>
      </c>
      <c r="D999" s="381" t="s">
        <v>3797</v>
      </c>
      <c r="E999" s="383" t="s">
        <v>3798</v>
      </c>
      <c r="F999" s="381" t="s">
        <v>3646</v>
      </c>
      <c r="G999" s="384" t="s">
        <v>329</v>
      </c>
      <c r="H999" s="24">
        <f>250+184.12</f>
        <v>434.12</v>
      </c>
      <c r="I999" s="24"/>
      <c r="J999" s="25" t="str">
        <f t="shared" si="46"/>
        <v>1</v>
      </c>
      <c r="K999" s="385" t="s">
        <v>3799</v>
      </c>
      <c r="L999" s="385">
        <f>-250-0.12</f>
        <v>-250.12</v>
      </c>
      <c r="M999" s="386">
        <f t="shared" si="47"/>
        <v>184</v>
      </c>
      <c r="N999" s="496">
        <v>170</v>
      </c>
      <c r="O999" s="333">
        <f t="shared" si="48"/>
        <v>354</v>
      </c>
      <c r="R999" s="23" t="str">
        <f>VLOOKUP(C:C,'Historic Data - working'!A:B,1,FALSE)</f>
        <v>NOR067</v>
      </c>
      <c r="U999" s="323"/>
      <c r="V999" s="323"/>
      <c r="W999" s="323"/>
    </row>
    <row r="1000" spans="1:23" s="23" customFormat="1" ht="14.25" hidden="1" x14ac:dyDescent="0.2">
      <c r="A1000" s="381" t="s">
        <v>3500</v>
      </c>
      <c r="B1000" s="381" t="s">
        <v>324</v>
      </c>
      <c r="C1000" s="407" t="s">
        <v>3800</v>
      </c>
      <c r="D1000" s="381" t="s">
        <v>3801</v>
      </c>
      <c r="E1000" s="383" t="s">
        <v>3669</v>
      </c>
      <c r="F1000" s="381" t="s">
        <v>3646</v>
      </c>
      <c r="G1000" s="384"/>
      <c r="H1000" s="24"/>
      <c r="I1000" s="24"/>
      <c r="J1000" s="25" t="str">
        <f t="shared" si="46"/>
        <v xml:space="preserve"> </v>
      </c>
      <c r="K1000" s="385" t="s">
        <v>3605</v>
      </c>
      <c r="L1000" s="385">
        <v>1192.44</v>
      </c>
      <c r="M1000" s="386">
        <f t="shared" si="47"/>
        <v>1192.44</v>
      </c>
      <c r="N1000" s="496">
        <v>1741</v>
      </c>
      <c r="O1000" s="333">
        <f t="shared" si="48"/>
        <v>2933.44</v>
      </c>
      <c r="R1000" s="23" t="str">
        <f>VLOOKUP(C:C,'Historic Data - working'!A:B,1,FALSE)</f>
        <v>NOR068</v>
      </c>
      <c r="U1000" s="323"/>
      <c r="V1000" s="323"/>
      <c r="W1000" s="323"/>
    </row>
    <row r="1001" spans="1:23" s="23" customFormat="1" ht="14.25" hidden="1" x14ac:dyDescent="0.2">
      <c r="A1001" s="381" t="s">
        <v>3500</v>
      </c>
      <c r="B1001" s="381" t="s">
        <v>351</v>
      </c>
      <c r="C1001" s="407" t="s">
        <v>3802</v>
      </c>
      <c r="D1001" s="381" t="s">
        <v>3803</v>
      </c>
      <c r="E1001" s="383" t="s">
        <v>3804</v>
      </c>
      <c r="F1001" s="381" t="s">
        <v>3805</v>
      </c>
      <c r="G1001" s="384" t="s">
        <v>329</v>
      </c>
      <c r="H1001" s="24">
        <v>629.61</v>
      </c>
      <c r="I1001" s="24"/>
      <c r="J1001" s="25" t="str">
        <f t="shared" si="46"/>
        <v>1</v>
      </c>
      <c r="K1001" s="385"/>
      <c r="L1001" s="385"/>
      <c r="M1001" s="386">
        <f t="shared" si="47"/>
        <v>629.61</v>
      </c>
      <c r="N1001" s="496">
        <v>125</v>
      </c>
      <c r="O1001" s="333">
        <f t="shared" si="48"/>
        <v>754.61</v>
      </c>
      <c r="R1001" s="23" t="str">
        <f>VLOOKUP(C:C,'Historic Data - working'!A:B,1,FALSE)</f>
        <v>NOR069</v>
      </c>
      <c r="U1001" s="323"/>
      <c r="V1001" s="323"/>
      <c r="W1001" s="323"/>
    </row>
    <row r="1002" spans="1:23" s="23" customFormat="1" ht="14.25" hidden="1" x14ac:dyDescent="0.2">
      <c r="A1002" s="381" t="s">
        <v>3500</v>
      </c>
      <c r="B1002" s="381" t="s">
        <v>351</v>
      </c>
      <c r="C1002" s="407" t="s">
        <v>3806</v>
      </c>
      <c r="D1002" s="381" t="s">
        <v>8426</v>
      </c>
      <c r="E1002" s="383" t="s">
        <v>453</v>
      </c>
      <c r="F1002" s="381" t="s">
        <v>3807</v>
      </c>
      <c r="G1002" s="384"/>
      <c r="H1002" s="24"/>
      <c r="I1002" s="24"/>
      <c r="J1002" s="25" t="str">
        <f t="shared" si="46"/>
        <v xml:space="preserve"> </v>
      </c>
      <c r="K1002" s="385"/>
      <c r="L1002" s="385"/>
      <c r="M1002" s="386">
        <f t="shared" si="47"/>
        <v>0</v>
      </c>
      <c r="N1002" s="496">
        <v>100</v>
      </c>
      <c r="O1002" s="333">
        <f t="shared" si="48"/>
        <v>100</v>
      </c>
      <c r="R1002" s="23" t="e">
        <f>VLOOKUP(C:C,'Historic Data - working'!A:B,1,FALSE)</f>
        <v>#N/A</v>
      </c>
      <c r="U1002" s="323"/>
      <c r="V1002" s="323"/>
      <c r="W1002" s="323"/>
    </row>
    <row r="1003" spans="1:23" s="23" customFormat="1" ht="14.25" hidden="1" x14ac:dyDescent="0.2">
      <c r="A1003" s="381" t="s">
        <v>3500</v>
      </c>
      <c r="B1003" s="381" t="s">
        <v>351</v>
      </c>
      <c r="C1003" s="407" t="s">
        <v>3808</v>
      </c>
      <c r="D1003" s="381" t="s">
        <v>3809</v>
      </c>
      <c r="E1003" s="383" t="s">
        <v>56</v>
      </c>
      <c r="F1003" s="381" t="s">
        <v>3810</v>
      </c>
      <c r="G1003" s="384" t="s">
        <v>329</v>
      </c>
      <c r="H1003" s="24">
        <f>271.81+309.91</f>
        <v>581.72</v>
      </c>
      <c r="I1003" s="24"/>
      <c r="J1003" s="25" t="str">
        <f t="shared" si="46"/>
        <v>1</v>
      </c>
      <c r="K1003" s="385"/>
      <c r="L1003" s="385"/>
      <c r="M1003" s="386">
        <f t="shared" si="47"/>
        <v>581.72</v>
      </c>
      <c r="N1003" s="496">
        <v>250</v>
      </c>
      <c r="O1003" s="333">
        <f t="shared" si="48"/>
        <v>831.72</v>
      </c>
      <c r="R1003" s="23" t="str">
        <f>VLOOKUP(C:C,'Historic Data - working'!A:B,1,FALSE)</f>
        <v>NOR070</v>
      </c>
      <c r="U1003" s="323"/>
      <c r="V1003" s="323"/>
      <c r="W1003" s="323"/>
    </row>
    <row r="1004" spans="1:23" s="23" customFormat="1" ht="14.25" hidden="1" x14ac:dyDescent="0.2">
      <c r="A1004" s="381" t="s">
        <v>3500</v>
      </c>
      <c r="B1004" s="381" t="s">
        <v>324</v>
      </c>
      <c r="C1004" s="407" t="s">
        <v>3811</v>
      </c>
      <c r="D1004" s="381" t="s">
        <v>3812</v>
      </c>
      <c r="E1004" s="383" t="s">
        <v>1696</v>
      </c>
      <c r="F1004" s="381" t="s">
        <v>3813</v>
      </c>
      <c r="G1004" s="384"/>
      <c r="H1004" s="24"/>
      <c r="I1004" s="24"/>
      <c r="J1004" s="25" t="str">
        <f t="shared" ref="J1004:J1067" si="49">IF(G1004="Y","1"," ")</f>
        <v xml:space="preserve"> </v>
      </c>
      <c r="K1004" s="385"/>
      <c r="L1004" s="385"/>
      <c r="M1004" s="386">
        <f t="shared" si="47"/>
        <v>0</v>
      </c>
      <c r="N1004" s="496">
        <v>1705.45</v>
      </c>
      <c r="O1004" s="333">
        <f t="shared" si="48"/>
        <v>1705.45</v>
      </c>
      <c r="R1004" s="23" t="str">
        <f>VLOOKUP(C:C,'Historic Data - working'!A:B,1,FALSE)</f>
        <v>NOR071</v>
      </c>
      <c r="U1004" s="323"/>
      <c r="V1004" s="323"/>
      <c r="W1004" s="323"/>
    </row>
    <row r="1005" spans="1:23" s="23" customFormat="1" ht="14.25" hidden="1" x14ac:dyDescent="0.2">
      <c r="A1005" s="381" t="s">
        <v>3500</v>
      </c>
      <c r="B1005" s="381" t="s">
        <v>351</v>
      </c>
      <c r="C1005" s="407" t="s">
        <v>3814</v>
      </c>
      <c r="D1005" s="381" t="s">
        <v>3815</v>
      </c>
      <c r="E1005" s="383" t="s">
        <v>1675</v>
      </c>
      <c r="F1005" s="381" t="s">
        <v>3813</v>
      </c>
      <c r="G1005" s="384"/>
      <c r="H1005" s="24"/>
      <c r="I1005" s="24"/>
      <c r="J1005" s="25" t="str">
        <f t="shared" si="49"/>
        <v xml:space="preserve"> </v>
      </c>
      <c r="K1005" s="385"/>
      <c r="L1005" s="385"/>
      <c r="M1005" s="386">
        <f t="shared" si="47"/>
        <v>0</v>
      </c>
      <c r="N1005" s="496"/>
      <c r="O1005" s="333">
        <f t="shared" si="48"/>
        <v>0</v>
      </c>
      <c r="R1005" s="23" t="e">
        <f>VLOOKUP(C:C,'Historic Data - working'!A:B,1,FALSE)</f>
        <v>#N/A</v>
      </c>
      <c r="U1005" s="323"/>
      <c r="V1005" s="323"/>
      <c r="W1005" s="323"/>
    </row>
    <row r="1006" spans="1:23" s="23" customFormat="1" ht="14.25" hidden="1" x14ac:dyDescent="0.2">
      <c r="A1006" s="381" t="s">
        <v>3500</v>
      </c>
      <c r="B1006" s="381" t="s">
        <v>351</v>
      </c>
      <c r="C1006" s="407" t="s">
        <v>3816</v>
      </c>
      <c r="D1006" s="381" t="s">
        <v>3817</v>
      </c>
      <c r="E1006" s="383" t="s">
        <v>3818</v>
      </c>
      <c r="F1006" s="381" t="s">
        <v>3819</v>
      </c>
      <c r="G1006" s="384"/>
      <c r="H1006" s="24"/>
      <c r="I1006" s="24"/>
      <c r="J1006" s="25" t="str">
        <f t="shared" si="49"/>
        <v xml:space="preserve"> </v>
      </c>
      <c r="K1006" s="385"/>
      <c r="L1006" s="385"/>
      <c r="M1006" s="386">
        <f t="shared" si="47"/>
        <v>0</v>
      </c>
      <c r="N1006" s="496"/>
      <c r="O1006" s="333">
        <f t="shared" si="48"/>
        <v>0</v>
      </c>
      <c r="R1006" s="23" t="e">
        <f>VLOOKUP(C:C,'Historic Data - working'!A:B,1,FALSE)</f>
        <v>#N/A</v>
      </c>
      <c r="U1006" s="323"/>
      <c r="V1006" s="323"/>
      <c r="W1006" s="323"/>
    </row>
    <row r="1007" spans="1:23" s="23" customFormat="1" ht="14.25" hidden="1" x14ac:dyDescent="0.2">
      <c r="A1007" s="381" t="s">
        <v>3500</v>
      </c>
      <c r="B1007" s="381" t="s">
        <v>351</v>
      </c>
      <c r="C1007" s="407" t="s">
        <v>3820</v>
      </c>
      <c r="D1007" s="381" t="s">
        <v>3821</v>
      </c>
      <c r="E1007" s="383" t="s">
        <v>66</v>
      </c>
      <c r="F1007" s="381" t="s">
        <v>3822</v>
      </c>
      <c r="G1007" s="384"/>
      <c r="H1007" s="24"/>
      <c r="I1007" s="24"/>
      <c r="J1007" s="25" t="str">
        <f t="shared" si="49"/>
        <v xml:space="preserve"> </v>
      </c>
      <c r="K1007" s="385"/>
      <c r="L1007" s="385"/>
      <c r="M1007" s="386">
        <f t="shared" si="47"/>
        <v>0</v>
      </c>
      <c r="N1007" s="496"/>
      <c r="O1007" s="333">
        <f t="shared" si="48"/>
        <v>0</v>
      </c>
      <c r="R1007" s="23" t="str">
        <f>VLOOKUP(C:C,'Historic Data - working'!A:B,1,FALSE)</f>
        <v>NOR072</v>
      </c>
      <c r="U1007" s="323"/>
      <c r="V1007" s="323"/>
      <c r="W1007" s="323"/>
    </row>
    <row r="1008" spans="1:23" s="23" customFormat="1" ht="28.5" hidden="1" x14ac:dyDescent="0.2">
      <c r="A1008" s="381" t="s">
        <v>3500</v>
      </c>
      <c r="B1008" s="381" t="s">
        <v>324</v>
      </c>
      <c r="C1008" s="407" t="s">
        <v>3823</v>
      </c>
      <c r="D1008" s="381" t="s">
        <v>3824</v>
      </c>
      <c r="E1008" s="383" t="s">
        <v>3825</v>
      </c>
      <c r="F1008" s="381" t="s">
        <v>3826</v>
      </c>
      <c r="G1008" s="384"/>
      <c r="H1008" s="24"/>
      <c r="I1008" s="24"/>
      <c r="J1008" s="25" t="str">
        <f t="shared" si="49"/>
        <v xml:space="preserve"> </v>
      </c>
      <c r="K1008" s="385"/>
      <c r="L1008" s="385"/>
      <c r="M1008" s="386">
        <f t="shared" si="47"/>
        <v>0</v>
      </c>
      <c r="N1008" s="496">
        <v>85</v>
      </c>
      <c r="O1008" s="333">
        <f t="shared" si="48"/>
        <v>85</v>
      </c>
      <c r="R1008" s="23" t="str">
        <f>VLOOKUP(C:C,'Historic Data - working'!A:B,1,FALSE)</f>
        <v>NOR073</v>
      </c>
      <c r="U1008" s="323"/>
      <c r="V1008" s="323"/>
      <c r="W1008" s="323"/>
    </row>
    <row r="1009" spans="1:23" s="23" customFormat="1" ht="14.25" hidden="1" x14ac:dyDescent="0.2">
      <c r="A1009" s="381" t="s">
        <v>3500</v>
      </c>
      <c r="B1009" s="381" t="s">
        <v>324</v>
      </c>
      <c r="C1009" s="407" t="s">
        <v>3827</v>
      </c>
      <c r="D1009" s="381" t="s">
        <v>3828</v>
      </c>
      <c r="E1009" s="383" t="s">
        <v>31</v>
      </c>
      <c r="F1009" s="381" t="s">
        <v>3829</v>
      </c>
      <c r="G1009" s="384"/>
      <c r="H1009" s="24"/>
      <c r="I1009" s="24"/>
      <c r="J1009" s="25" t="str">
        <f t="shared" si="49"/>
        <v xml:space="preserve"> </v>
      </c>
      <c r="K1009" s="385"/>
      <c r="L1009" s="385"/>
      <c r="M1009" s="386">
        <f t="shared" si="47"/>
        <v>0</v>
      </c>
      <c r="N1009" s="496">
        <v>450</v>
      </c>
      <c r="O1009" s="333">
        <f t="shared" si="48"/>
        <v>450</v>
      </c>
      <c r="R1009" s="23" t="str">
        <f>VLOOKUP(C:C,'Historic Data - working'!A:B,1,FALSE)</f>
        <v>NOR074</v>
      </c>
      <c r="U1009" s="323"/>
      <c r="V1009" s="323"/>
      <c r="W1009" s="323"/>
    </row>
    <row r="1010" spans="1:23" s="23" customFormat="1" ht="14.25" hidden="1" x14ac:dyDescent="0.2">
      <c r="A1010" s="381" t="s">
        <v>3500</v>
      </c>
      <c r="B1010" s="381" t="s">
        <v>324</v>
      </c>
      <c r="C1010" s="407" t="s">
        <v>3830</v>
      </c>
      <c r="D1010" s="381" t="s">
        <v>3831</v>
      </c>
      <c r="E1010" s="383" t="s">
        <v>3832</v>
      </c>
      <c r="F1010" s="381" t="s">
        <v>3750</v>
      </c>
      <c r="G1010" s="384"/>
      <c r="H1010" s="24"/>
      <c r="I1010" s="24"/>
      <c r="J1010" s="25" t="str">
        <f t="shared" si="49"/>
        <v xml:space="preserve"> </v>
      </c>
      <c r="K1010" s="385"/>
      <c r="L1010" s="385"/>
      <c r="M1010" s="386">
        <f t="shared" si="47"/>
        <v>0</v>
      </c>
      <c r="N1010" s="496"/>
      <c r="O1010" s="333">
        <f t="shared" si="48"/>
        <v>0</v>
      </c>
      <c r="R1010" s="23" t="e">
        <f>VLOOKUP(C:C,'Historic Data - working'!A:B,1,FALSE)</f>
        <v>#N/A</v>
      </c>
      <c r="U1010" s="323"/>
      <c r="V1010" s="323"/>
      <c r="W1010" s="323"/>
    </row>
    <row r="1011" spans="1:23" s="23" customFormat="1" ht="14.25" hidden="1" x14ac:dyDescent="0.2">
      <c r="A1011" s="381" t="s">
        <v>3500</v>
      </c>
      <c r="B1011" s="381" t="s">
        <v>351</v>
      </c>
      <c r="C1011" s="407" t="s">
        <v>3833</v>
      </c>
      <c r="D1011" s="381" t="s">
        <v>3834</v>
      </c>
      <c r="E1011" s="383" t="s">
        <v>3835</v>
      </c>
      <c r="F1011" s="381" t="s">
        <v>3612</v>
      </c>
      <c r="G1011" s="384" t="s">
        <v>329</v>
      </c>
      <c r="H1011" s="24">
        <f>92.55+128.98</f>
        <v>221.52999999999997</v>
      </c>
      <c r="I1011" s="24"/>
      <c r="J1011" s="25" t="str">
        <f t="shared" si="49"/>
        <v>1</v>
      </c>
      <c r="K1011" s="385"/>
      <c r="L1011" s="385"/>
      <c r="M1011" s="386">
        <f t="shared" si="47"/>
        <v>221.52999999999997</v>
      </c>
      <c r="N1011" s="496"/>
      <c r="O1011" s="333">
        <f t="shared" si="48"/>
        <v>221.52999999999997</v>
      </c>
      <c r="R1011" s="23" t="str">
        <f>VLOOKUP(C:C,'Historic Data - working'!A:B,1,FALSE)</f>
        <v>NOR075</v>
      </c>
      <c r="U1011" s="323"/>
      <c r="V1011" s="323"/>
      <c r="W1011" s="323"/>
    </row>
    <row r="1012" spans="1:23" s="23" customFormat="1" ht="14.25" hidden="1" x14ac:dyDescent="0.2">
      <c r="A1012" s="381" t="s">
        <v>3500</v>
      </c>
      <c r="B1012" s="381" t="s">
        <v>324</v>
      </c>
      <c r="C1012" s="407" t="s">
        <v>3836</v>
      </c>
      <c r="D1012" s="381" t="s">
        <v>3837</v>
      </c>
      <c r="E1012" s="383" t="s">
        <v>3838</v>
      </c>
      <c r="F1012" s="381" t="s">
        <v>3646</v>
      </c>
      <c r="G1012" s="384"/>
      <c r="H1012" s="24"/>
      <c r="I1012" s="24"/>
      <c r="J1012" s="25" t="str">
        <f t="shared" si="49"/>
        <v xml:space="preserve"> </v>
      </c>
      <c r="K1012" s="385"/>
      <c r="L1012" s="385"/>
      <c r="M1012" s="386">
        <f t="shared" si="47"/>
        <v>0</v>
      </c>
      <c r="N1012" s="496">
        <v>175.64</v>
      </c>
      <c r="O1012" s="333">
        <f t="shared" si="48"/>
        <v>175.64</v>
      </c>
      <c r="R1012" s="23" t="str">
        <f>VLOOKUP(C:C,'Historic Data - working'!A:B,1,FALSE)</f>
        <v>NOR076</v>
      </c>
      <c r="U1012" s="323"/>
      <c r="V1012" s="323"/>
      <c r="W1012" s="323"/>
    </row>
    <row r="1013" spans="1:23" s="23" customFormat="1" ht="14.25" hidden="1" x14ac:dyDescent="0.2">
      <c r="A1013" s="381" t="s">
        <v>3500</v>
      </c>
      <c r="B1013" s="381" t="s">
        <v>324</v>
      </c>
      <c r="C1013" s="407" t="s">
        <v>3839</v>
      </c>
      <c r="D1013" s="381" t="s">
        <v>3840</v>
      </c>
      <c r="E1013" s="383" t="s">
        <v>3841</v>
      </c>
      <c r="F1013" s="385"/>
      <c r="G1013" s="384"/>
      <c r="H1013" s="24"/>
      <c r="I1013" s="24"/>
      <c r="J1013" s="25" t="str">
        <f t="shared" si="49"/>
        <v xml:space="preserve"> </v>
      </c>
      <c r="K1013" s="385" t="s">
        <v>8284</v>
      </c>
      <c r="L1013" s="396">
        <f>105.55+2619.64</f>
        <v>2725.19</v>
      </c>
      <c r="M1013" s="386">
        <f t="shared" si="47"/>
        <v>2725.19</v>
      </c>
      <c r="N1013" s="496">
        <v>11.05</v>
      </c>
      <c r="O1013" s="334">
        <f t="shared" si="48"/>
        <v>2736.2400000000002</v>
      </c>
      <c r="P1013" s="351"/>
      <c r="Q1013" s="331"/>
      <c r="R1013" s="331" t="e">
        <f>VLOOKUP(C:C,'Historic Data - working'!A:B,1,FALSE)</f>
        <v>#N/A</v>
      </c>
      <c r="U1013" s="323"/>
      <c r="V1013" s="323"/>
      <c r="W1013" s="323"/>
    </row>
    <row r="1014" spans="1:23" s="23" customFormat="1" ht="14.25" hidden="1" x14ac:dyDescent="0.2">
      <c r="A1014" s="381" t="s">
        <v>3842</v>
      </c>
      <c r="B1014" s="381" t="s">
        <v>324</v>
      </c>
      <c r="C1014" s="408" t="s">
        <v>3843</v>
      </c>
      <c r="D1014" s="381" t="s">
        <v>3844</v>
      </c>
      <c r="E1014" s="383" t="s">
        <v>3845</v>
      </c>
      <c r="F1014" s="381" t="s">
        <v>3846</v>
      </c>
      <c r="G1014" s="384" t="s">
        <v>329</v>
      </c>
      <c r="H1014" s="24">
        <f>369.7+75.01+44.4+276.45+17+80.31</f>
        <v>862.86999999999989</v>
      </c>
      <c r="I1014" s="24"/>
      <c r="J1014" s="25" t="str">
        <f t="shared" si="49"/>
        <v>1</v>
      </c>
      <c r="K1014" s="385" t="s">
        <v>3847</v>
      </c>
      <c r="L1014" s="385">
        <v>10</v>
      </c>
      <c r="M1014" s="386">
        <f t="shared" si="47"/>
        <v>872.86999999999989</v>
      </c>
      <c r="N1014" s="496">
        <v>1415</v>
      </c>
      <c r="O1014" s="333">
        <f t="shared" si="48"/>
        <v>2287.87</v>
      </c>
      <c r="R1014" s="23" t="str">
        <f>VLOOKUP(C:C,'Historic Data - working'!A:B,1,FALSE)</f>
        <v>NOT001</v>
      </c>
      <c r="U1014" s="323"/>
      <c r="V1014" s="323"/>
      <c r="W1014" s="323"/>
    </row>
    <row r="1015" spans="1:23" s="23" customFormat="1" ht="14.25" hidden="1" x14ac:dyDescent="0.2">
      <c r="A1015" s="381" t="s">
        <v>3842</v>
      </c>
      <c r="B1015" s="381" t="s">
        <v>324</v>
      </c>
      <c r="C1015" s="408" t="s">
        <v>3848</v>
      </c>
      <c r="D1015" s="381" t="s">
        <v>3849</v>
      </c>
      <c r="E1015" s="383" t="s">
        <v>11</v>
      </c>
      <c r="F1015" s="381" t="s">
        <v>3850</v>
      </c>
      <c r="G1015" s="384"/>
      <c r="H1015" s="24"/>
      <c r="I1015" s="24"/>
      <c r="J1015" s="25" t="str">
        <f t="shared" si="49"/>
        <v xml:space="preserve"> </v>
      </c>
      <c r="K1015" s="385"/>
      <c r="L1015" s="385"/>
      <c r="M1015" s="386">
        <f t="shared" si="47"/>
        <v>0</v>
      </c>
      <c r="N1015" s="496">
        <v>54.14</v>
      </c>
      <c r="O1015" s="333">
        <f t="shared" si="48"/>
        <v>54.14</v>
      </c>
      <c r="R1015" s="23" t="str">
        <f>VLOOKUP(C:C,'Historic Data - working'!A:B,1,FALSE)</f>
        <v>NOT002</v>
      </c>
      <c r="U1015" s="323"/>
      <c r="V1015" s="323"/>
      <c r="W1015" s="323"/>
    </row>
    <row r="1016" spans="1:23" s="23" customFormat="1" ht="14.25" hidden="1" x14ac:dyDescent="0.2">
      <c r="A1016" s="381" t="s">
        <v>3842</v>
      </c>
      <c r="B1016" s="381" t="s">
        <v>324</v>
      </c>
      <c r="C1016" s="408" t="s">
        <v>3851</v>
      </c>
      <c r="D1016" s="381" t="s">
        <v>3852</v>
      </c>
      <c r="E1016" s="383" t="s">
        <v>1961</v>
      </c>
      <c r="F1016" s="381" t="s">
        <v>3850</v>
      </c>
      <c r="G1016" s="384" t="s">
        <v>329</v>
      </c>
      <c r="H1016" s="24">
        <v>406.68</v>
      </c>
      <c r="I1016" s="24"/>
      <c r="J1016" s="25" t="str">
        <f t="shared" si="49"/>
        <v>1</v>
      </c>
      <c r="K1016" s="385"/>
      <c r="L1016" s="385"/>
      <c r="M1016" s="386">
        <f t="shared" si="47"/>
        <v>406.68</v>
      </c>
      <c r="N1016" s="496">
        <v>595</v>
      </c>
      <c r="O1016" s="334">
        <f t="shared" si="48"/>
        <v>1001.6800000000001</v>
      </c>
      <c r="P1016" s="351"/>
      <c r="Q1016" s="331"/>
      <c r="R1016" s="331" t="e">
        <f>VLOOKUP(C:C,'Historic Data - working'!A:B,1,FALSE)</f>
        <v>#N/A</v>
      </c>
      <c r="U1016" s="323"/>
      <c r="V1016" s="323"/>
      <c r="W1016" s="323"/>
    </row>
    <row r="1017" spans="1:23" s="23" customFormat="1" ht="14.25" hidden="1" x14ac:dyDescent="0.2">
      <c r="A1017" s="381" t="s">
        <v>3842</v>
      </c>
      <c r="B1017" s="381" t="s">
        <v>324</v>
      </c>
      <c r="C1017" s="408" t="s">
        <v>3853</v>
      </c>
      <c r="D1017" s="381" t="s">
        <v>3854</v>
      </c>
      <c r="E1017" s="383" t="s">
        <v>2530</v>
      </c>
      <c r="F1017" s="381" t="s">
        <v>3850</v>
      </c>
      <c r="G1017" s="384" t="s">
        <v>329</v>
      </c>
      <c r="H1017" s="24">
        <f>30+139.4+56.63+74.3+47.19+6.51+36.96+21.15+216.83+135.95+87.12+5.84</f>
        <v>857.87999999999988</v>
      </c>
      <c r="I1017" s="24"/>
      <c r="J1017" s="25" t="str">
        <f t="shared" si="49"/>
        <v>1</v>
      </c>
      <c r="K1017" s="385"/>
      <c r="L1017" s="385"/>
      <c r="M1017" s="386">
        <f t="shared" si="47"/>
        <v>857.87999999999988</v>
      </c>
      <c r="N1017" s="496">
        <v>990</v>
      </c>
      <c r="O1017" s="333">
        <f t="shared" si="48"/>
        <v>1847.8799999999999</v>
      </c>
      <c r="R1017" s="23" t="str">
        <f>VLOOKUP(C:C,'Historic Data - working'!A:B,1,FALSE)</f>
        <v>NOT004</v>
      </c>
      <c r="U1017" s="323"/>
      <c r="V1017" s="323"/>
      <c r="W1017" s="323"/>
    </row>
    <row r="1018" spans="1:23" s="23" customFormat="1" ht="14.25" hidden="1" x14ac:dyDescent="0.2">
      <c r="A1018" s="381" t="s">
        <v>3842</v>
      </c>
      <c r="B1018" s="381" t="s">
        <v>324</v>
      </c>
      <c r="C1018" s="408" t="s">
        <v>3855</v>
      </c>
      <c r="D1018" s="381" t="s">
        <v>3856</v>
      </c>
      <c r="E1018" s="383" t="s">
        <v>3857</v>
      </c>
      <c r="F1018" s="381" t="s">
        <v>3850</v>
      </c>
      <c r="G1018" s="384" t="s">
        <v>329</v>
      </c>
      <c r="H1018" s="24">
        <f>140+160</f>
        <v>300</v>
      </c>
      <c r="I1018" s="24">
        <f>308+84+582</f>
        <v>974</v>
      </c>
      <c r="J1018" s="25" t="str">
        <f t="shared" si="49"/>
        <v>1</v>
      </c>
      <c r="K1018" s="409" t="s">
        <v>3858</v>
      </c>
      <c r="L1018" s="385"/>
      <c r="M1018" s="386">
        <f t="shared" si="47"/>
        <v>300</v>
      </c>
      <c r="N1018" s="496">
        <v>2493</v>
      </c>
      <c r="O1018" s="333">
        <f t="shared" si="48"/>
        <v>2793</v>
      </c>
      <c r="R1018" s="23" t="str">
        <f>VLOOKUP(C:C,'Historic Data - working'!A:B,1,FALSE)</f>
        <v>NOT005</v>
      </c>
      <c r="U1018" s="323"/>
      <c r="V1018" s="323"/>
      <c r="W1018" s="323"/>
    </row>
    <row r="1019" spans="1:23" s="23" customFormat="1" ht="14.25" hidden="1" x14ac:dyDescent="0.2">
      <c r="A1019" s="381" t="s">
        <v>3842</v>
      </c>
      <c r="B1019" s="381" t="s">
        <v>324</v>
      </c>
      <c r="C1019" s="408" t="s">
        <v>3859</v>
      </c>
      <c r="D1019" s="381" t="s">
        <v>3860</v>
      </c>
      <c r="E1019" s="383" t="s">
        <v>3861</v>
      </c>
      <c r="F1019" s="381" t="s">
        <v>3850</v>
      </c>
      <c r="G1019" s="384" t="s">
        <v>329</v>
      </c>
      <c r="H1019" s="24">
        <v>705.5</v>
      </c>
      <c r="I1019" s="24"/>
      <c r="J1019" s="25" t="str">
        <f t="shared" si="49"/>
        <v>1</v>
      </c>
      <c r="K1019" s="385"/>
      <c r="L1019" s="385"/>
      <c r="M1019" s="386">
        <f t="shared" si="47"/>
        <v>705.5</v>
      </c>
      <c r="N1019" s="496">
        <v>236</v>
      </c>
      <c r="O1019" s="333">
        <f t="shared" si="48"/>
        <v>941.5</v>
      </c>
      <c r="R1019" s="23" t="str">
        <f>VLOOKUP(C:C,'Historic Data - working'!A:B,1,FALSE)</f>
        <v>NOT006</v>
      </c>
      <c r="U1019" s="323"/>
      <c r="V1019" s="323"/>
      <c r="W1019" s="323"/>
    </row>
    <row r="1020" spans="1:23" s="23" customFormat="1" ht="14.25" hidden="1" x14ac:dyDescent="0.2">
      <c r="A1020" s="381" t="s">
        <v>3842</v>
      </c>
      <c r="B1020" s="381" t="s">
        <v>324</v>
      </c>
      <c r="C1020" s="408" t="s">
        <v>3862</v>
      </c>
      <c r="D1020" s="381" t="s">
        <v>3863</v>
      </c>
      <c r="E1020" s="383" t="s">
        <v>3864</v>
      </c>
      <c r="F1020" s="381" t="s">
        <v>3850</v>
      </c>
      <c r="G1020" s="384"/>
      <c r="H1020" s="24"/>
      <c r="I1020" s="24"/>
      <c r="J1020" s="25" t="str">
        <f t="shared" si="49"/>
        <v xml:space="preserve"> </v>
      </c>
      <c r="K1020" s="385"/>
      <c r="L1020" s="385"/>
      <c r="M1020" s="386">
        <f t="shared" si="47"/>
        <v>0</v>
      </c>
      <c r="N1020" s="496">
        <v>85</v>
      </c>
      <c r="O1020" s="333">
        <f t="shared" si="48"/>
        <v>85</v>
      </c>
      <c r="R1020" s="23" t="str">
        <f>VLOOKUP(C:C,'Historic Data - working'!A:B,1,FALSE)</f>
        <v>NOT007</v>
      </c>
      <c r="U1020" s="323"/>
      <c r="V1020" s="323"/>
      <c r="W1020" s="323"/>
    </row>
    <row r="1021" spans="1:23" s="23" customFormat="1" ht="14.25" hidden="1" x14ac:dyDescent="0.2">
      <c r="A1021" s="381" t="s">
        <v>3842</v>
      </c>
      <c r="B1021" s="381" t="s">
        <v>324</v>
      </c>
      <c r="C1021" s="408" t="s">
        <v>3865</v>
      </c>
      <c r="D1021" s="381" t="s">
        <v>3866</v>
      </c>
      <c r="E1021" s="383" t="s">
        <v>1032</v>
      </c>
      <c r="F1021" s="381" t="s">
        <v>3867</v>
      </c>
      <c r="G1021" s="384"/>
      <c r="H1021" s="24"/>
      <c r="I1021" s="24"/>
      <c r="J1021" s="25" t="str">
        <f t="shared" si="49"/>
        <v xml:space="preserve"> </v>
      </c>
      <c r="K1021" s="385"/>
      <c r="L1021" s="385"/>
      <c r="M1021" s="386">
        <f t="shared" si="47"/>
        <v>0</v>
      </c>
      <c r="N1021" s="496">
        <v>600.29</v>
      </c>
      <c r="O1021" s="333">
        <f t="shared" si="48"/>
        <v>600.29</v>
      </c>
      <c r="R1021" s="23" t="str">
        <f>VLOOKUP(C:C,'Historic Data - working'!A:B,1,FALSE)</f>
        <v>NOT008</v>
      </c>
      <c r="U1021" s="323"/>
      <c r="V1021" s="323"/>
      <c r="W1021" s="323"/>
    </row>
    <row r="1022" spans="1:23" s="23" customFormat="1" ht="14.25" hidden="1" x14ac:dyDescent="0.2">
      <c r="A1022" s="381" t="s">
        <v>3842</v>
      </c>
      <c r="B1022" s="381" t="s">
        <v>324</v>
      </c>
      <c r="C1022" s="408" t="s">
        <v>3868</v>
      </c>
      <c r="D1022" s="381" t="s">
        <v>3869</v>
      </c>
      <c r="E1022" s="383" t="s">
        <v>3870</v>
      </c>
      <c r="F1022" s="381" t="s">
        <v>3850</v>
      </c>
      <c r="G1022" s="384"/>
      <c r="H1022" s="24"/>
      <c r="I1022" s="24"/>
      <c r="J1022" s="25" t="str">
        <f t="shared" si="49"/>
        <v xml:space="preserve"> </v>
      </c>
      <c r="K1022" s="385"/>
      <c r="L1022" s="385"/>
      <c r="M1022" s="386">
        <f t="shared" si="47"/>
        <v>0</v>
      </c>
      <c r="N1022" s="496"/>
      <c r="O1022" s="333">
        <f t="shared" si="48"/>
        <v>0</v>
      </c>
      <c r="R1022" s="23" t="str">
        <f>VLOOKUP(C:C,'Historic Data - working'!A:B,1,FALSE)</f>
        <v>NOT009</v>
      </c>
      <c r="U1022" s="323"/>
      <c r="V1022" s="323"/>
      <c r="W1022" s="323"/>
    </row>
    <row r="1023" spans="1:23" s="23" customFormat="1" ht="14.25" hidden="1" x14ac:dyDescent="0.2">
      <c r="A1023" s="381" t="s">
        <v>3842</v>
      </c>
      <c r="B1023" s="381" t="s">
        <v>324</v>
      </c>
      <c r="C1023" s="408" t="s">
        <v>3871</v>
      </c>
      <c r="D1023" s="381" t="s">
        <v>3872</v>
      </c>
      <c r="E1023" s="383" t="s">
        <v>3873</v>
      </c>
      <c r="F1023" s="381" t="s">
        <v>3850</v>
      </c>
      <c r="G1023" s="384"/>
      <c r="H1023" s="24"/>
      <c r="I1023" s="24"/>
      <c r="J1023" s="25" t="str">
        <f t="shared" si="49"/>
        <v xml:space="preserve"> </v>
      </c>
      <c r="K1023" s="385"/>
      <c r="L1023" s="385"/>
      <c r="M1023" s="386">
        <f t="shared" si="47"/>
        <v>0</v>
      </c>
      <c r="N1023" s="496">
        <v>510</v>
      </c>
      <c r="O1023" s="333">
        <f t="shared" si="48"/>
        <v>510</v>
      </c>
      <c r="R1023" s="23" t="e">
        <f>VLOOKUP(C:C,'Historic Data - working'!A:B,1,FALSE)</f>
        <v>#N/A</v>
      </c>
      <c r="U1023" s="323"/>
      <c r="V1023" s="323"/>
      <c r="W1023" s="323"/>
    </row>
    <row r="1024" spans="1:23" s="23" customFormat="1" ht="14.25" hidden="1" x14ac:dyDescent="0.2">
      <c r="A1024" s="381" t="s">
        <v>3842</v>
      </c>
      <c r="B1024" s="381" t="s">
        <v>324</v>
      </c>
      <c r="C1024" s="408" t="s">
        <v>3874</v>
      </c>
      <c r="D1024" s="381" t="s">
        <v>3875</v>
      </c>
      <c r="E1024" s="383" t="s">
        <v>3876</v>
      </c>
      <c r="F1024" s="381" t="s">
        <v>3850</v>
      </c>
      <c r="G1024" s="384" t="s">
        <v>329</v>
      </c>
      <c r="H1024" s="24">
        <f>83.76+8.26+151.04+12.93+10.35</f>
        <v>266.34000000000003</v>
      </c>
      <c r="I1024" s="24"/>
      <c r="J1024" s="25" t="str">
        <f t="shared" si="49"/>
        <v>1</v>
      </c>
      <c r="K1024" s="387" t="s">
        <v>3877</v>
      </c>
      <c r="L1024" s="385">
        <v>14.43</v>
      </c>
      <c r="M1024" s="386">
        <f t="shared" si="47"/>
        <v>280.77000000000004</v>
      </c>
      <c r="N1024" s="496">
        <v>65</v>
      </c>
      <c r="O1024" s="333">
        <f t="shared" si="48"/>
        <v>345.77000000000004</v>
      </c>
      <c r="R1024" s="23" t="str">
        <f>VLOOKUP(C:C,'Historic Data - working'!A:B,1,FALSE)</f>
        <v>NOT011</v>
      </c>
      <c r="U1024" s="323"/>
      <c r="V1024" s="323"/>
      <c r="W1024" s="323"/>
    </row>
    <row r="1025" spans="1:23" s="23" customFormat="1" ht="14.25" hidden="1" x14ac:dyDescent="0.2">
      <c r="A1025" s="381" t="s">
        <v>3842</v>
      </c>
      <c r="B1025" s="381" t="s">
        <v>351</v>
      </c>
      <c r="C1025" s="408" t="s">
        <v>3878</v>
      </c>
      <c r="D1025" s="381" t="s">
        <v>3879</v>
      </c>
      <c r="E1025" s="383" t="s">
        <v>3880</v>
      </c>
      <c r="F1025" s="381" t="s">
        <v>3850</v>
      </c>
      <c r="G1025" s="384" t="s">
        <v>329</v>
      </c>
      <c r="H1025" s="24">
        <f>24.85+76+15.14+100+85.03</f>
        <v>301.02</v>
      </c>
      <c r="I1025" s="24">
        <v>95</v>
      </c>
      <c r="J1025" s="25" t="str">
        <f t="shared" si="49"/>
        <v>1</v>
      </c>
      <c r="K1025" s="387" t="s">
        <v>3881</v>
      </c>
      <c r="L1025" s="385">
        <v>95</v>
      </c>
      <c r="M1025" s="386">
        <f t="shared" si="47"/>
        <v>396.02</v>
      </c>
      <c r="N1025" s="496">
        <v>50</v>
      </c>
      <c r="O1025" s="333">
        <f t="shared" si="48"/>
        <v>446.02</v>
      </c>
      <c r="R1025" s="23" t="str">
        <f>VLOOKUP(C:C,'Historic Data - working'!A:B,1,FALSE)</f>
        <v>NOT012</v>
      </c>
      <c r="U1025" s="323"/>
      <c r="V1025" s="323"/>
      <c r="W1025" s="323"/>
    </row>
    <row r="1026" spans="1:23" s="23" customFormat="1" ht="14.25" hidden="1" x14ac:dyDescent="0.2">
      <c r="A1026" s="381" t="s">
        <v>3842</v>
      </c>
      <c r="B1026" s="381" t="s">
        <v>324</v>
      </c>
      <c r="C1026" s="408" t="s">
        <v>3882</v>
      </c>
      <c r="D1026" s="381" t="s">
        <v>3883</v>
      </c>
      <c r="E1026" s="383" t="s">
        <v>3884</v>
      </c>
      <c r="F1026" s="381" t="s">
        <v>3850</v>
      </c>
      <c r="G1026" s="384"/>
      <c r="H1026" s="24"/>
      <c r="I1026" s="24"/>
      <c r="J1026" s="25" t="str">
        <f t="shared" si="49"/>
        <v xml:space="preserve"> </v>
      </c>
      <c r="K1026" s="385"/>
      <c r="L1026" s="385"/>
      <c r="M1026" s="386">
        <f t="shared" ref="M1026:M1089" si="50">H1026+L1026</f>
        <v>0</v>
      </c>
      <c r="N1026" s="496">
        <v>369</v>
      </c>
      <c r="O1026" s="333">
        <f t="shared" ref="O1026:O1089" si="51">M1026+N1026</f>
        <v>369</v>
      </c>
      <c r="R1026" s="23" t="e">
        <f>VLOOKUP(C:C,'Historic Data - working'!A:B,1,FALSE)</f>
        <v>#N/A</v>
      </c>
      <c r="U1026" s="323"/>
      <c r="V1026" s="323"/>
      <c r="W1026" s="323"/>
    </row>
    <row r="1027" spans="1:23" s="23" customFormat="1" ht="14.25" hidden="1" x14ac:dyDescent="0.2">
      <c r="A1027" s="381" t="s">
        <v>3842</v>
      </c>
      <c r="B1027" s="381" t="s">
        <v>351</v>
      </c>
      <c r="C1027" s="408" t="s">
        <v>3885</v>
      </c>
      <c r="D1027" s="381" t="s">
        <v>3886</v>
      </c>
      <c r="E1027" s="383" t="s">
        <v>659</v>
      </c>
      <c r="F1027" s="381" t="s">
        <v>3850</v>
      </c>
      <c r="G1027" s="384" t="s">
        <v>329</v>
      </c>
      <c r="H1027" s="24"/>
      <c r="I1027" s="24">
        <f>417.29+10</f>
        <v>427.29</v>
      </c>
      <c r="J1027" s="25" t="str">
        <f t="shared" si="49"/>
        <v>1</v>
      </c>
      <c r="K1027" s="385"/>
      <c r="L1027" s="385"/>
      <c r="M1027" s="386">
        <f t="shared" si="50"/>
        <v>0</v>
      </c>
      <c r="N1027" s="496">
        <v>497.29</v>
      </c>
      <c r="O1027" s="333">
        <f t="shared" si="51"/>
        <v>497.29</v>
      </c>
      <c r="R1027" s="23" t="str">
        <f>VLOOKUP(C:C,'Historic Data - working'!A:B,1,FALSE)</f>
        <v>NOT014</v>
      </c>
      <c r="U1027" s="323"/>
      <c r="V1027" s="323"/>
      <c r="W1027" s="323"/>
    </row>
    <row r="1028" spans="1:23" s="23" customFormat="1" ht="14.25" hidden="1" x14ac:dyDescent="0.2">
      <c r="A1028" s="381" t="s">
        <v>3842</v>
      </c>
      <c r="B1028" s="381" t="s">
        <v>351</v>
      </c>
      <c r="C1028" s="408" t="s">
        <v>3887</v>
      </c>
      <c r="D1028" s="381" t="s">
        <v>3888</v>
      </c>
      <c r="E1028" s="383" t="s">
        <v>453</v>
      </c>
      <c r="F1028" s="381" t="s">
        <v>3850</v>
      </c>
      <c r="G1028" s="384" t="s">
        <v>329</v>
      </c>
      <c r="H1028" s="24">
        <f>11.02+192.17</f>
        <v>203.19</v>
      </c>
      <c r="I1028" s="24"/>
      <c r="J1028" s="25" t="str">
        <f t="shared" si="49"/>
        <v>1</v>
      </c>
      <c r="K1028" s="385"/>
      <c r="L1028" s="385"/>
      <c r="M1028" s="386">
        <f t="shared" si="50"/>
        <v>203.19</v>
      </c>
      <c r="N1028" s="496">
        <v>35</v>
      </c>
      <c r="O1028" s="333">
        <f t="shared" si="51"/>
        <v>238.19</v>
      </c>
      <c r="R1028" s="23" t="str">
        <f>VLOOKUP(C:C,'Historic Data - working'!A:B,1,FALSE)</f>
        <v>NOT015</v>
      </c>
      <c r="U1028" s="323"/>
      <c r="V1028" s="323"/>
      <c r="W1028" s="323"/>
    </row>
    <row r="1029" spans="1:23" s="23" customFormat="1" ht="14.25" hidden="1" x14ac:dyDescent="0.2">
      <c r="A1029" s="381" t="s">
        <v>3842</v>
      </c>
      <c r="B1029" s="381" t="s">
        <v>324</v>
      </c>
      <c r="C1029" s="408" t="s">
        <v>3889</v>
      </c>
      <c r="D1029" s="381" t="s">
        <v>3890</v>
      </c>
      <c r="E1029" s="383" t="s">
        <v>3891</v>
      </c>
      <c r="F1029" s="381" t="s">
        <v>3850</v>
      </c>
      <c r="G1029" s="384"/>
      <c r="H1029" s="24"/>
      <c r="I1029" s="24"/>
      <c r="J1029" s="25" t="str">
        <f t="shared" si="49"/>
        <v xml:space="preserve"> </v>
      </c>
      <c r="K1029" s="385"/>
      <c r="L1029" s="385"/>
      <c r="M1029" s="386">
        <f t="shared" si="50"/>
        <v>0</v>
      </c>
      <c r="N1029" s="496">
        <v>200</v>
      </c>
      <c r="O1029" s="333">
        <f t="shared" si="51"/>
        <v>200</v>
      </c>
      <c r="R1029" s="23" t="str">
        <f>VLOOKUP(C:C,'Historic Data - working'!A:B,1,FALSE)</f>
        <v>NOT016</v>
      </c>
      <c r="U1029" s="323"/>
      <c r="V1029" s="323"/>
      <c r="W1029" s="323"/>
    </row>
    <row r="1030" spans="1:23" s="23" customFormat="1" ht="14.25" hidden="1" x14ac:dyDescent="0.2">
      <c r="A1030" s="381" t="s">
        <v>3842</v>
      </c>
      <c r="B1030" s="381" t="s">
        <v>324</v>
      </c>
      <c r="C1030" s="408" t="s">
        <v>3892</v>
      </c>
      <c r="D1030" s="381" t="s">
        <v>3893</v>
      </c>
      <c r="E1030" s="383" t="s">
        <v>214</v>
      </c>
      <c r="F1030" s="381" t="s">
        <v>3894</v>
      </c>
      <c r="G1030" s="384"/>
      <c r="H1030" s="24"/>
      <c r="I1030" s="24"/>
      <c r="J1030" s="25" t="str">
        <f t="shared" si="49"/>
        <v xml:space="preserve"> </v>
      </c>
      <c r="K1030" s="385"/>
      <c r="L1030" s="385"/>
      <c r="M1030" s="386">
        <f t="shared" si="50"/>
        <v>0</v>
      </c>
      <c r="N1030" s="496">
        <v>415.24</v>
      </c>
      <c r="O1030" s="333">
        <f t="shared" si="51"/>
        <v>415.24</v>
      </c>
      <c r="R1030" s="23" t="str">
        <f>VLOOKUP(C:C,'Historic Data - working'!A:B,1,FALSE)</f>
        <v>NOT017</v>
      </c>
      <c r="U1030" s="323"/>
      <c r="V1030" s="323"/>
      <c r="W1030" s="323"/>
    </row>
    <row r="1031" spans="1:23" s="23" customFormat="1" ht="14.25" hidden="1" x14ac:dyDescent="0.2">
      <c r="A1031" s="381" t="s">
        <v>3842</v>
      </c>
      <c r="B1031" s="381" t="s">
        <v>324</v>
      </c>
      <c r="C1031" s="408" t="s">
        <v>3895</v>
      </c>
      <c r="D1031" s="381" t="s">
        <v>3896</v>
      </c>
      <c r="E1031" s="383" t="s">
        <v>3897</v>
      </c>
      <c r="F1031" s="381" t="s">
        <v>3898</v>
      </c>
      <c r="G1031" s="384"/>
      <c r="H1031" s="24"/>
      <c r="I1031" s="24"/>
      <c r="J1031" s="25" t="str">
        <f t="shared" si="49"/>
        <v xml:space="preserve"> </v>
      </c>
      <c r="K1031" s="385" t="s">
        <v>337</v>
      </c>
      <c r="L1031" s="385">
        <v>791</v>
      </c>
      <c r="M1031" s="386">
        <f t="shared" si="50"/>
        <v>791</v>
      </c>
      <c r="N1031" s="496"/>
      <c r="O1031" s="333">
        <f t="shared" si="51"/>
        <v>791</v>
      </c>
      <c r="R1031" s="23" t="str">
        <f>VLOOKUP(C:C,'Historic Data - working'!A:B,1,FALSE)</f>
        <v>NOT017A</v>
      </c>
      <c r="U1031" s="323"/>
      <c r="V1031" s="323"/>
      <c r="W1031" s="323"/>
    </row>
    <row r="1032" spans="1:23" s="23" customFormat="1" ht="14.25" hidden="1" x14ac:dyDescent="0.2">
      <c r="A1032" s="381" t="s">
        <v>3842</v>
      </c>
      <c r="B1032" s="381" t="s">
        <v>324</v>
      </c>
      <c r="C1032" s="408" t="s">
        <v>3899</v>
      </c>
      <c r="D1032" s="381" t="s">
        <v>3900</v>
      </c>
      <c r="E1032" s="383" t="s">
        <v>1871</v>
      </c>
      <c r="F1032" s="381" t="s">
        <v>3901</v>
      </c>
      <c r="G1032" s="384"/>
      <c r="H1032" s="24"/>
      <c r="I1032" s="24"/>
      <c r="J1032" s="25" t="str">
        <f t="shared" si="49"/>
        <v xml:space="preserve"> </v>
      </c>
      <c r="K1032" s="385" t="s">
        <v>3902</v>
      </c>
      <c r="L1032" s="385"/>
      <c r="M1032" s="386">
        <f t="shared" si="50"/>
        <v>0</v>
      </c>
      <c r="N1032" s="496">
        <v>325</v>
      </c>
      <c r="O1032" s="333">
        <f t="shared" si="51"/>
        <v>325</v>
      </c>
      <c r="R1032" s="23" t="str">
        <f>VLOOKUP(C:C,'Historic Data - working'!A:B,1,FALSE)</f>
        <v>NOT018</v>
      </c>
      <c r="U1032" s="323"/>
      <c r="V1032" s="323"/>
      <c r="W1032" s="323"/>
    </row>
    <row r="1033" spans="1:23" s="23" customFormat="1" ht="28.5" hidden="1" x14ac:dyDescent="0.2">
      <c r="A1033" s="381" t="s">
        <v>3842</v>
      </c>
      <c r="B1033" s="381" t="s">
        <v>324</v>
      </c>
      <c r="C1033" s="408" t="s">
        <v>3903</v>
      </c>
      <c r="D1033" s="381" t="s">
        <v>3904</v>
      </c>
      <c r="E1033" s="383" t="s">
        <v>3905</v>
      </c>
      <c r="F1033" s="381" t="s">
        <v>3906</v>
      </c>
      <c r="G1033" s="384" t="s">
        <v>329</v>
      </c>
      <c r="H1033" s="24">
        <f>140.01+94.68</f>
        <v>234.69</v>
      </c>
      <c r="I1033" s="24"/>
      <c r="J1033" s="25" t="str">
        <f t="shared" si="49"/>
        <v>1</v>
      </c>
      <c r="K1033" s="385"/>
      <c r="L1033" s="385"/>
      <c r="M1033" s="386">
        <f t="shared" si="50"/>
        <v>234.69</v>
      </c>
      <c r="N1033" s="496">
        <v>300</v>
      </c>
      <c r="O1033" s="334">
        <f t="shared" si="51"/>
        <v>534.69000000000005</v>
      </c>
      <c r="P1033" s="351"/>
      <c r="Q1033" s="331"/>
      <c r="R1033" s="331" t="e">
        <f>VLOOKUP(C:C,'Historic Data - working'!A:B,1,FALSE)</f>
        <v>#N/A</v>
      </c>
      <c r="U1033" s="323"/>
      <c r="V1033" s="323"/>
      <c r="W1033" s="323"/>
    </row>
    <row r="1034" spans="1:23" s="23" customFormat="1" ht="14.25" hidden="1" x14ac:dyDescent="0.2">
      <c r="A1034" s="381" t="s">
        <v>3842</v>
      </c>
      <c r="B1034" s="381" t="s">
        <v>324</v>
      </c>
      <c r="C1034" s="408" t="s">
        <v>3907</v>
      </c>
      <c r="D1034" s="381" t="s">
        <v>3908</v>
      </c>
      <c r="E1034" s="383" t="s">
        <v>3909</v>
      </c>
      <c r="F1034" s="381" t="s">
        <v>3910</v>
      </c>
      <c r="G1034" s="384" t="s">
        <v>329</v>
      </c>
      <c r="H1034" s="24">
        <f>109.2+102.75+67.8+130.3+115.92+42.4</f>
        <v>568.37</v>
      </c>
      <c r="I1034" s="24"/>
      <c r="J1034" s="25" t="str">
        <f t="shared" si="49"/>
        <v>1</v>
      </c>
      <c r="K1034" s="387" t="s">
        <v>3911</v>
      </c>
      <c r="L1034" s="385">
        <v>0.9</v>
      </c>
      <c r="M1034" s="386">
        <f t="shared" si="50"/>
        <v>569.27</v>
      </c>
      <c r="N1034" s="496">
        <v>90</v>
      </c>
      <c r="O1034" s="333">
        <f t="shared" si="51"/>
        <v>659.27</v>
      </c>
      <c r="R1034" s="23" t="str">
        <f>VLOOKUP(C:C,'Historic Data - working'!A:B,1,FALSE)</f>
        <v>NOT021</v>
      </c>
      <c r="U1034" s="323"/>
      <c r="V1034" s="323"/>
      <c r="W1034" s="323"/>
    </row>
    <row r="1035" spans="1:23" s="23" customFormat="1" ht="28.5" hidden="1" x14ac:dyDescent="0.2">
      <c r="A1035" s="381" t="s">
        <v>3842</v>
      </c>
      <c r="B1035" s="381" t="s">
        <v>324</v>
      </c>
      <c r="C1035" s="408" t="s">
        <v>3912</v>
      </c>
      <c r="D1035" s="381" t="s">
        <v>3913</v>
      </c>
      <c r="E1035" s="383" t="s">
        <v>3914</v>
      </c>
      <c r="F1035" s="381" t="s">
        <v>3915</v>
      </c>
      <c r="G1035" s="384" t="s">
        <v>329</v>
      </c>
      <c r="H1035" s="24">
        <f>83+207.12+233.09</f>
        <v>523.21</v>
      </c>
      <c r="I1035" s="24">
        <v>151.27000000000001</v>
      </c>
      <c r="J1035" s="25" t="str">
        <f t="shared" si="49"/>
        <v>1</v>
      </c>
      <c r="K1035" s="385"/>
      <c r="L1035" s="385"/>
      <c r="M1035" s="386">
        <f t="shared" si="50"/>
        <v>523.21</v>
      </c>
      <c r="N1035" s="496">
        <v>2490</v>
      </c>
      <c r="O1035" s="333">
        <f t="shared" si="51"/>
        <v>3013.21</v>
      </c>
      <c r="R1035" s="23" t="str">
        <f>VLOOKUP(C:C,'Historic Data - working'!A:B,1,FALSE)</f>
        <v>NOT022</v>
      </c>
      <c r="U1035" s="323"/>
      <c r="V1035" s="323"/>
      <c r="W1035" s="323"/>
    </row>
    <row r="1036" spans="1:23" s="23" customFormat="1" ht="14.25" hidden="1" x14ac:dyDescent="0.2">
      <c r="A1036" s="381" t="s">
        <v>3842</v>
      </c>
      <c r="B1036" s="381" t="s">
        <v>324</v>
      </c>
      <c r="C1036" s="408" t="s">
        <v>3916</v>
      </c>
      <c r="D1036" s="381" t="s">
        <v>3917</v>
      </c>
      <c r="E1036" s="383" t="s">
        <v>3918</v>
      </c>
      <c r="F1036" s="381" t="s">
        <v>3919</v>
      </c>
      <c r="G1036" s="384"/>
      <c r="H1036" s="24"/>
      <c r="I1036" s="24"/>
      <c r="J1036" s="25" t="str">
        <f t="shared" si="49"/>
        <v xml:space="preserve"> </v>
      </c>
      <c r="K1036" s="385"/>
      <c r="L1036" s="385"/>
      <c r="M1036" s="386">
        <f t="shared" si="50"/>
        <v>0</v>
      </c>
      <c r="N1036" s="496"/>
      <c r="O1036" s="333">
        <f t="shared" si="51"/>
        <v>0</v>
      </c>
      <c r="R1036" s="23" t="e">
        <f>VLOOKUP(C:C,'Historic Data - working'!A:B,1,FALSE)</f>
        <v>#N/A</v>
      </c>
      <c r="U1036" s="323"/>
      <c r="V1036" s="323"/>
      <c r="W1036" s="323"/>
    </row>
    <row r="1037" spans="1:23" s="23" customFormat="1" ht="14.25" hidden="1" x14ac:dyDescent="0.2">
      <c r="A1037" s="381" t="s">
        <v>3842</v>
      </c>
      <c r="B1037" s="381" t="s">
        <v>324</v>
      </c>
      <c r="C1037" s="408" t="s">
        <v>3920</v>
      </c>
      <c r="D1037" s="381" t="s">
        <v>3921</v>
      </c>
      <c r="E1037" s="383" t="s">
        <v>3922</v>
      </c>
      <c r="F1037" s="381" t="s">
        <v>3923</v>
      </c>
      <c r="G1037" s="384" t="s">
        <v>329</v>
      </c>
      <c r="H1037" s="24">
        <f>1960+1870</f>
        <v>3830</v>
      </c>
      <c r="I1037" s="24"/>
      <c r="J1037" s="25" t="str">
        <f t="shared" si="49"/>
        <v>1</v>
      </c>
      <c r="K1037" s="385"/>
      <c r="L1037" s="385"/>
      <c r="M1037" s="386">
        <f t="shared" si="50"/>
        <v>3830</v>
      </c>
      <c r="N1037" s="496">
        <v>15</v>
      </c>
      <c r="O1037" s="333">
        <f t="shared" si="51"/>
        <v>3845</v>
      </c>
      <c r="R1037" s="23" t="str">
        <f>VLOOKUP(C:C,'Historic Data - working'!A:B,1,FALSE)</f>
        <v>NOT023</v>
      </c>
      <c r="U1037" s="323"/>
      <c r="V1037" s="323"/>
      <c r="W1037" s="323"/>
    </row>
    <row r="1038" spans="1:23" s="23" customFormat="1" ht="14.25" hidden="1" x14ac:dyDescent="0.2">
      <c r="A1038" s="381" t="s">
        <v>3842</v>
      </c>
      <c r="B1038" s="381" t="s">
        <v>324</v>
      </c>
      <c r="C1038" s="408" t="s">
        <v>3924</v>
      </c>
      <c r="D1038" s="381" t="s">
        <v>3925</v>
      </c>
      <c r="E1038" s="383" t="s">
        <v>3926</v>
      </c>
      <c r="F1038" s="381" t="s">
        <v>3927</v>
      </c>
      <c r="G1038" s="384"/>
      <c r="H1038" s="24"/>
      <c r="I1038" s="24"/>
      <c r="J1038" s="25" t="str">
        <f t="shared" si="49"/>
        <v xml:space="preserve"> </v>
      </c>
      <c r="K1038" s="385"/>
      <c r="L1038" s="385"/>
      <c r="M1038" s="386">
        <f t="shared" si="50"/>
        <v>0</v>
      </c>
      <c r="N1038" s="496"/>
      <c r="O1038" s="333">
        <f t="shared" si="51"/>
        <v>0</v>
      </c>
      <c r="R1038" s="23" t="e">
        <f>VLOOKUP(C:C,'Historic Data - working'!A:B,1,FALSE)</f>
        <v>#N/A</v>
      </c>
      <c r="U1038" s="323"/>
      <c r="V1038" s="323"/>
      <c r="W1038" s="323"/>
    </row>
    <row r="1039" spans="1:23" s="23" customFormat="1" ht="14.25" hidden="1" x14ac:dyDescent="0.2">
      <c r="A1039" s="381" t="s">
        <v>3842</v>
      </c>
      <c r="B1039" s="381" t="s">
        <v>324</v>
      </c>
      <c r="C1039" s="408" t="s">
        <v>3928</v>
      </c>
      <c r="D1039" s="381" t="s">
        <v>3929</v>
      </c>
      <c r="E1039" s="383" t="s">
        <v>3930</v>
      </c>
      <c r="F1039" s="381" t="s">
        <v>3931</v>
      </c>
      <c r="G1039" s="384" t="s">
        <v>329</v>
      </c>
      <c r="H1039" s="24">
        <v>44.27</v>
      </c>
      <c r="I1039" s="24"/>
      <c r="J1039" s="25" t="str">
        <f t="shared" si="49"/>
        <v>1</v>
      </c>
      <c r="K1039" s="385"/>
      <c r="L1039" s="385"/>
      <c r="M1039" s="386">
        <f t="shared" si="50"/>
        <v>44.27</v>
      </c>
      <c r="N1039" s="496">
        <v>60</v>
      </c>
      <c r="O1039" s="333">
        <f t="shared" si="51"/>
        <v>104.27000000000001</v>
      </c>
      <c r="R1039" s="23" t="str">
        <f>VLOOKUP(C:C,'Historic Data - working'!A:B,1,FALSE)</f>
        <v>NOT024</v>
      </c>
      <c r="U1039" s="323"/>
      <c r="V1039" s="323"/>
      <c r="W1039" s="323"/>
    </row>
    <row r="1040" spans="1:23" s="23" customFormat="1" ht="14.25" hidden="1" x14ac:dyDescent="0.2">
      <c r="A1040" s="381" t="s">
        <v>3842</v>
      </c>
      <c r="B1040" s="381" t="s">
        <v>324</v>
      </c>
      <c r="C1040" s="408" t="s">
        <v>3932</v>
      </c>
      <c r="D1040" s="381" t="s">
        <v>3933</v>
      </c>
      <c r="E1040" s="383" t="s">
        <v>3934</v>
      </c>
      <c r="F1040" s="381" t="s">
        <v>3935</v>
      </c>
      <c r="G1040" s="384" t="s">
        <v>329</v>
      </c>
      <c r="H1040" s="24">
        <f>163.52+248.45+298.15+267.58+41.63+70.56+18.33</f>
        <v>1108.22</v>
      </c>
      <c r="I1040" s="24"/>
      <c r="J1040" s="25" t="str">
        <f t="shared" si="49"/>
        <v>1</v>
      </c>
      <c r="K1040" s="385"/>
      <c r="L1040" s="385"/>
      <c r="M1040" s="386">
        <f t="shared" si="50"/>
        <v>1108.22</v>
      </c>
      <c r="N1040" s="496">
        <v>130</v>
      </c>
      <c r="O1040" s="333">
        <f t="shared" si="51"/>
        <v>1238.22</v>
      </c>
      <c r="R1040" s="23" t="str">
        <f>VLOOKUP(C:C,'Historic Data - working'!A:B,1,FALSE)</f>
        <v>NOT025</v>
      </c>
      <c r="U1040" s="323"/>
      <c r="V1040" s="323"/>
      <c r="W1040" s="323"/>
    </row>
    <row r="1041" spans="1:23" s="23" customFormat="1" ht="14.25" hidden="1" x14ac:dyDescent="0.2">
      <c r="A1041" s="381" t="s">
        <v>3842</v>
      </c>
      <c r="B1041" s="381" t="s">
        <v>324</v>
      </c>
      <c r="C1041" s="408" t="s">
        <v>3936</v>
      </c>
      <c r="D1041" s="381" t="s">
        <v>3937</v>
      </c>
      <c r="E1041" s="383" t="s">
        <v>3938</v>
      </c>
      <c r="F1041" s="381" t="s">
        <v>3939</v>
      </c>
      <c r="G1041" s="384" t="s">
        <v>329</v>
      </c>
      <c r="H1041" s="24">
        <v>388.07</v>
      </c>
      <c r="I1041" s="24">
        <v>305.22000000000003</v>
      </c>
      <c r="J1041" s="25" t="str">
        <f t="shared" si="49"/>
        <v>1</v>
      </c>
      <c r="K1041" s="387" t="s">
        <v>3940</v>
      </c>
      <c r="L1041" s="385">
        <v>15.4</v>
      </c>
      <c r="M1041" s="386">
        <f t="shared" si="50"/>
        <v>403.46999999999997</v>
      </c>
      <c r="N1041" s="496">
        <v>325</v>
      </c>
      <c r="O1041" s="333">
        <f t="shared" si="51"/>
        <v>728.47</v>
      </c>
      <c r="R1041" s="23" t="str">
        <f>VLOOKUP(C:C,'Historic Data - working'!A:B,1,FALSE)</f>
        <v>NOT026</v>
      </c>
      <c r="U1041" s="323"/>
      <c r="V1041" s="323"/>
      <c r="W1041" s="323"/>
    </row>
    <row r="1042" spans="1:23" s="23" customFormat="1" ht="14.25" hidden="1" x14ac:dyDescent="0.2">
      <c r="A1042" s="381" t="s">
        <v>3842</v>
      </c>
      <c r="B1042" s="381" t="s">
        <v>324</v>
      </c>
      <c r="C1042" s="408" t="s">
        <v>3941</v>
      </c>
      <c r="D1042" s="381" t="s">
        <v>3942</v>
      </c>
      <c r="E1042" s="383" t="s">
        <v>3943</v>
      </c>
      <c r="F1042" s="381" t="s">
        <v>3944</v>
      </c>
      <c r="G1042" s="384"/>
      <c r="H1042" s="24"/>
      <c r="I1042" s="24"/>
      <c r="J1042" s="25" t="str">
        <f t="shared" si="49"/>
        <v xml:space="preserve"> </v>
      </c>
      <c r="K1042" s="385"/>
      <c r="L1042" s="385"/>
      <c r="M1042" s="386">
        <f t="shared" si="50"/>
        <v>0</v>
      </c>
      <c r="N1042" s="496"/>
      <c r="O1042" s="333">
        <f t="shared" si="51"/>
        <v>0</v>
      </c>
      <c r="R1042" s="23" t="e">
        <f>VLOOKUP(C:C,'Historic Data - working'!A:B,1,FALSE)</f>
        <v>#N/A</v>
      </c>
      <c r="U1042" s="323"/>
      <c r="V1042" s="323"/>
      <c r="W1042" s="323"/>
    </row>
    <row r="1043" spans="1:23" s="23" customFormat="1" ht="14.25" hidden="1" x14ac:dyDescent="0.2">
      <c r="A1043" s="381" t="s">
        <v>3842</v>
      </c>
      <c r="B1043" s="381" t="s">
        <v>324</v>
      </c>
      <c r="C1043" s="408" t="s">
        <v>3945</v>
      </c>
      <c r="D1043" s="381" t="s">
        <v>3946</v>
      </c>
      <c r="E1043" s="383" t="s">
        <v>31</v>
      </c>
      <c r="F1043" s="381" t="s">
        <v>3947</v>
      </c>
      <c r="G1043" s="384" t="s">
        <v>329</v>
      </c>
      <c r="H1043" s="24">
        <f>236.76+172.76+159.95+298.21+253.07+248.38+40+188.18+246.55+158.91+220.15+388.01+25+230.1+293.59+254.33+129.18+115.07</f>
        <v>3658.2000000000003</v>
      </c>
      <c r="I1043" s="24"/>
      <c r="J1043" s="25" t="str">
        <f t="shared" si="49"/>
        <v>1</v>
      </c>
      <c r="K1043" s="385"/>
      <c r="L1043" s="385"/>
      <c r="M1043" s="386">
        <f t="shared" si="50"/>
        <v>3658.2000000000003</v>
      </c>
      <c r="N1043" s="496">
        <v>50</v>
      </c>
      <c r="O1043" s="333">
        <f t="shared" si="51"/>
        <v>3708.2000000000003</v>
      </c>
      <c r="R1043" s="23" t="str">
        <f>VLOOKUP(C:C,'Historic Data - working'!A:B,1,FALSE)</f>
        <v>NOT027</v>
      </c>
      <c r="U1043" s="323"/>
      <c r="V1043" s="323"/>
      <c r="W1043" s="323"/>
    </row>
    <row r="1044" spans="1:23" s="23" customFormat="1" ht="14.25" hidden="1" x14ac:dyDescent="0.2">
      <c r="A1044" s="381" t="s">
        <v>3842</v>
      </c>
      <c r="B1044" s="381" t="s">
        <v>324</v>
      </c>
      <c r="C1044" s="408" t="s">
        <v>3948</v>
      </c>
      <c r="D1044" s="381" t="s">
        <v>3949</v>
      </c>
      <c r="E1044" s="383" t="s">
        <v>3630</v>
      </c>
      <c r="F1044" s="381" t="s">
        <v>1092</v>
      </c>
      <c r="G1044" s="384"/>
      <c r="H1044" s="24"/>
      <c r="I1044" s="24"/>
      <c r="J1044" s="25" t="str">
        <f t="shared" si="49"/>
        <v xml:space="preserve"> </v>
      </c>
      <c r="K1044" s="385" t="s">
        <v>337</v>
      </c>
      <c r="L1044" s="385">
        <v>240</v>
      </c>
      <c r="M1044" s="386">
        <f t="shared" si="50"/>
        <v>240</v>
      </c>
      <c r="N1044" s="496">
        <v>100</v>
      </c>
      <c r="O1044" s="333">
        <f t="shared" si="51"/>
        <v>340</v>
      </c>
      <c r="R1044" s="23" t="str">
        <f>VLOOKUP(C:C,'Historic Data - working'!A:B,1,FALSE)</f>
        <v>NOT028</v>
      </c>
      <c r="U1044" s="323"/>
      <c r="V1044" s="323"/>
      <c r="W1044" s="323"/>
    </row>
    <row r="1045" spans="1:23" s="23" customFormat="1" ht="14.25" hidden="1" x14ac:dyDescent="0.2">
      <c r="A1045" s="381" t="s">
        <v>3842</v>
      </c>
      <c r="B1045" s="381" t="s">
        <v>324</v>
      </c>
      <c r="C1045" s="408" t="s">
        <v>3950</v>
      </c>
      <c r="D1045" s="381" t="s">
        <v>3951</v>
      </c>
      <c r="E1045" s="383" t="s">
        <v>532</v>
      </c>
      <c r="F1045" s="381" t="s">
        <v>1092</v>
      </c>
      <c r="G1045" s="384"/>
      <c r="H1045" s="24"/>
      <c r="I1045" s="24"/>
      <c r="J1045" s="25" t="str">
        <f t="shared" si="49"/>
        <v xml:space="preserve"> </v>
      </c>
      <c r="K1045" s="385"/>
      <c r="L1045" s="385"/>
      <c r="M1045" s="386">
        <f t="shared" si="50"/>
        <v>0</v>
      </c>
      <c r="N1045" s="496">
        <v>30</v>
      </c>
      <c r="O1045" s="333">
        <f t="shared" si="51"/>
        <v>30</v>
      </c>
      <c r="R1045" s="23" t="e">
        <f>VLOOKUP(C:C,'Historic Data - working'!A:B,1,FALSE)</f>
        <v>#N/A</v>
      </c>
      <c r="U1045" s="323"/>
      <c r="V1045" s="323"/>
      <c r="W1045" s="323"/>
    </row>
    <row r="1046" spans="1:23" s="23" customFormat="1" ht="14.25" hidden="1" x14ac:dyDescent="0.2">
      <c r="A1046" s="381" t="s">
        <v>3842</v>
      </c>
      <c r="B1046" s="381" t="s">
        <v>324</v>
      </c>
      <c r="C1046" s="408" t="s">
        <v>3952</v>
      </c>
      <c r="D1046" s="381" t="s">
        <v>3953</v>
      </c>
      <c r="E1046" s="383" t="s">
        <v>66</v>
      </c>
      <c r="F1046" s="381" t="s">
        <v>3954</v>
      </c>
      <c r="G1046" s="384"/>
      <c r="H1046" s="24"/>
      <c r="I1046" s="24"/>
      <c r="J1046" s="25" t="str">
        <f t="shared" si="49"/>
        <v xml:space="preserve"> </v>
      </c>
      <c r="K1046" s="385" t="s">
        <v>337</v>
      </c>
      <c r="L1046" s="385">
        <v>113.75</v>
      </c>
      <c r="M1046" s="386">
        <f t="shared" si="50"/>
        <v>113.75</v>
      </c>
      <c r="N1046" s="496">
        <v>95</v>
      </c>
      <c r="O1046" s="333">
        <f t="shared" si="51"/>
        <v>208.75</v>
      </c>
      <c r="R1046" s="23" t="str">
        <f>VLOOKUP(C:C,'Historic Data - working'!A:B,1,FALSE)</f>
        <v>NOT029</v>
      </c>
      <c r="U1046" s="323"/>
      <c r="V1046" s="323"/>
      <c r="W1046" s="323"/>
    </row>
    <row r="1047" spans="1:23" s="23" customFormat="1" ht="14.25" hidden="1" x14ac:dyDescent="0.2">
      <c r="A1047" s="381" t="s">
        <v>3842</v>
      </c>
      <c r="B1047" s="381" t="s">
        <v>324</v>
      </c>
      <c r="C1047" s="408" t="s">
        <v>3955</v>
      </c>
      <c r="D1047" s="381" t="s">
        <v>3956</v>
      </c>
      <c r="E1047" s="383" t="s">
        <v>1087</v>
      </c>
      <c r="F1047" s="381" t="s">
        <v>3957</v>
      </c>
      <c r="G1047" s="384"/>
      <c r="H1047" s="24"/>
      <c r="I1047" s="24"/>
      <c r="J1047" s="25" t="str">
        <f t="shared" si="49"/>
        <v xml:space="preserve"> </v>
      </c>
      <c r="K1047" s="385"/>
      <c r="L1047" s="385"/>
      <c r="M1047" s="386">
        <f t="shared" si="50"/>
        <v>0</v>
      </c>
      <c r="N1047" s="496">
        <v>600.92999999999995</v>
      </c>
      <c r="O1047" s="333">
        <f t="shared" si="51"/>
        <v>600.92999999999995</v>
      </c>
      <c r="R1047" s="23" t="str">
        <f>VLOOKUP(C:C,'Historic Data - working'!A:B,1,FALSE)</f>
        <v>NOT030</v>
      </c>
      <c r="U1047" s="323"/>
      <c r="V1047" s="323"/>
      <c r="W1047" s="323"/>
    </row>
    <row r="1048" spans="1:23" s="23" customFormat="1" ht="14.25" hidden="1" x14ac:dyDescent="0.2">
      <c r="A1048" s="381" t="s">
        <v>3842</v>
      </c>
      <c r="B1048" s="381" t="s">
        <v>324</v>
      </c>
      <c r="C1048" s="408" t="s">
        <v>3958</v>
      </c>
      <c r="D1048" s="381" t="s">
        <v>3959</v>
      </c>
      <c r="E1048" s="383" t="s">
        <v>3662</v>
      </c>
      <c r="F1048" s="381" t="s">
        <v>3960</v>
      </c>
      <c r="G1048" s="384"/>
      <c r="H1048" s="24"/>
      <c r="I1048" s="24"/>
      <c r="J1048" s="25" t="str">
        <f t="shared" si="49"/>
        <v xml:space="preserve"> </v>
      </c>
      <c r="K1048" s="385"/>
      <c r="L1048" s="385"/>
      <c r="M1048" s="386">
        <f t="shared" si="50"/>
        <v>0</v>
      </c>
      <c r="N1048" s="496"/>
      <c r="O1048" s="333">
        <f t="shared" si="51"/>
        <v>0</v>
      </c>
      <c r="R1048" s="23" t="e">
        <f>VLOOKUP(C:C,'Historic Data - working'!A:B,1,FALSE)</f>
        <v>#N/A</v>
      </c>
      <c r="U1048" s="323"/>
      <c r="V1048" s="323"/>
      <c r="W1048" s="323"/>
    </row>
    <row r="1049" spans="1:23" s="23" customFormat="1" ht="14.25" hidden="1" x14ac:dyDescent="0.2">
      <c r="A1049" s="381" t="s">
        <v>3842</v>
      </c>
      <c r="B1049" s="381" t="s">
        <v>324</v>
      </c>
      <c r="C1049" s="408" t="s">
        <v>3961</v>
      </c>
      <c r="D1049" s="381" t="s">
        <v>3962</v>
      </c>
      <c r="E1049" s="383" t="s">
        <v>11</v>
      </c>
      <c r="F1049" s="381" t="s">
        <v>3963</v>
      </c>
      <c r="G1049" s="384"/>
      <c r="H1049" s="24"/>
      <c r="I1049" s="24"/>
      <c r="J1049" s="25" t="str">
        <f t="shared" si="49"/>
        <v xml:space="preserve"> </v>
      </c>
      <c r="K1049" s="385" t="s">
        <v>337</v>
      </c>
      <c r="L1049" s="385">
        <v>1052.92</v>
      </c>
      <c r="M1049" s="386">
        <f t="shared" si="50"/>
        <v>1052.92</v>
      </c>
      <c r="N1049" s="496">
        <v>125</v>
      </c>
      <c r="O1049" s="333">
        <f t="shared" si="51"/>
        <v>1177.92</v>
      </c>
      <c r="R1049" s="23" t="str">
        <f>VLOOKUP(C:C,'Historic Data - working'!A:B,1,FALSE)</f>
        <v>NOT034</v>
      </c>
      <c r="U1049" s="323"/>
      <c r="V1049" s="323"/>
      <c r="W1049" s="323"/>
    </row>
    <row r="1050" spans="1:23" s="23" customFormat="1" ht="14.25" hidden="1" x14ac:dyDescent="0.2">
      <c r="A1050" s="381" t="s">
        <v>3842</v>
      </c>
      <c r="B1050" s="381" t="s">
        <v>324</v>
      </c>
      <c r="C1050" s="408" t="s">
        <v>3964</v>
      </c>
      <c r="D1050" s="381" t="s">
        <v>3965</v>
      </c>
      <c r="E1050" s="383" t="s">
        <v>3966</v>
      </c>
      <c r="F1050" s="381" t="s">
        <v>3967</v>
      </c>
      <c r="G1050" s="384" t="s">
        <v>329</v>
      </c>
      <c r="H1050" s="24"/>
      <c r="I1050" s="24">
        <v>337.52</v>
      </c>
      <c r="J1050" s="25" t="str">
        <f t="shared" si="49"/>
        <v>1</v>
      </c>
      <c r="K1050" s="385"/>
      <c r="L1050" s="385"/>
      <c r="M1050" s="386">
        <f t="shared" si="50"/>
        <v>0</v>
      </c>
      <c r="N1050" s="496">
        <v>310</v>
      </c>
      <c r="O1050" s="333">
        <f t="shared" si="51"/>
        <v>310</v>
      </c>
      <c r="R1050" s="23" t="str">
        <f>VLOOKUP(C:C,'Historic Data - working'!A:B,1,FALSE)</f>
        <v>NOT036</v>
      </c>
      <c r="U1050" s="323"/>
      <c r="V1050" s="323"/>
      <c r="W1050" s="323"/>
    </row>
    <row r="1051" spans="1:23" s="23" customFormat="1" ht="14.25" hidden="1" x14ac:dyDescent="0.2">
      <c r="A1051" s="381" t="s">
        <v>3842</v>
      </c>
      <c r="B1051" s="381" t="s">
        <v>324</v>
      </c>
      <c r="C1051" s="408" t="s">
        <v>3968</v>
      </c>
      <c r="D1051" s="381" t="s">
        <v>3969</v>
      </c>
      <c r="E1051" s="383" t="s">
        <v>63</v>
      </c>
      <c r="F1051" s="381" t="s">
        <v>3970</v>
      </c>
      <c r="G1051" s="384" t="s">
        <v>329</v>
      </c>
      <c r="H1051" s="24">
        <f>184.9+308.7</f>
        <v>493.6</v>
      </c>
      <c r="I1051" s="24"/>
      <c r="J1051" s="25" t="str">
        <f t="shared" si="49"/>
        <v>1</v>
      </c>
      <c r="K1051" s="385" t="s">
        <v>3971</v>
      </c>
      <c r="L1051" s="385">
        <v>1</v>
      </c>
      <c r="M1051" s="386">
        <f t="shared" si="50"/>
        <v>494.6</v>
      </c>
      <c r="N1051" s="496">
        <v>65</v>
      </c>
      <c r="O1051" s="333">
        <f t="shared" si="51"/>
        <v>559.6</v>
      </c>
      <c r="R1051" s="23" t="str">
        <f>VLOOKUP(C:C,'Historic Data - working'!A:B,1,FALSE)</f>
        <v>NOT037</v>
      </c>
      <c r="U1051" s="323"/>
      <c r="V1051" s="323"/>
      <c r="W1051" s="323"/>
    </row>
    <row r="1052" spans="1:23" s="23" customFormat="1" ht="14.25" hidden="1" x14ac:dyDescent="0.2">
      <c r="A1052" s="381" t="s">
        <v>3842</v>
      </c>
      <c r="B1052" s="381" t="s">
        <v>324</v>
      </c>
      <c r="C1052" s="408" t="s">
        <v>3972</v>
      </c>
      <c r="D1052" s="381" t="s">
        <v>3973</v>
      </c>
      <c r="E1052" s="383" t="s">
        <v>3974</v>
      </c>
      <c r="F1052" s="381" t="s">
        <v>3975</v>
      </c>
      <c r="G1052" s="384" t="s">
        <v>329</v>
      </c>
      <c r="H1052" s="24">
        <v>196.27</v>
      </c>
      <c r="I1052" s="24"/>
      <c r="J1052" s="25" t="str">
        <f t="shared" si="49"/>
        <v>1</v>
      </c>
      <c r="K1052" s="387" t="s">
        <v>2751</v>
      </c>
      <c r="L1052" s="385">
        <v>-196.27</v>
      </c>
      <c r="M1052" s="386">
        <f t="shared" si="50"/>
        <v>0</v>
      </c>
      <c r="N1052" s="496">
        <v>80</v>
      </c>
      <c r="O1052" s="333">
        <f t="shared" si="51"/>
        <v>80</v>
      </c>
      <c r="R1052" s="23" t="str">
        <f>VLOOKUP(C:C,'Historic Data - working'!A:B,1,FALSE)</f>
        <v>NOT037A</v>
      </c>
      <c r="U1052" s="323"/>
      <c r="V1052" s="323"/>
      <c r="W1052" s="323"/>
    </row>
    <row r="1053" spans="1:23" s="23" customFormat="1" ht="14.25" hidden="1" x14ac:dyDescent="0.2">
      <c r="A1053" s="381" t="s">
        <v>3842</v>
      </c>
      <c r="B1053" s="381" t="s">
        <v>324</v>
      </c>
      <c r="C1053" s="408" t="s">
        <v>3976</v>
      </c>
      <c r="D1053" s="381" t="s">
        <v>3977</v>
      </c>
      <c r="E1053" s="383" t="s">
        <v>3978</v>
      </c>
      <c r="F1053" s="381" t="s">
        <v>3979</v>
      </c>
      <c r="G1053" s="384"/>
      <c r="H1053" s="24"/>
      <c r="I1053" s="24"/>
      <c r="J1053" s="25" t="str">
        <f t="shared" si="49"/>
        <v xml:space="preserve"> </v>
      </c>
      <c r="K1053" s="385"/>
      <c r="L1053" s="385"/>
      <c r="M1053" s="386">
        <f t="shared" si="50"/>
        <v>0</v>
      </c>
      <c r="N1053" s="496">
        <v>111.84</v>
      </c>
      <c r="O1053" s="333">
        <f t="shared" si="51"/>
        <v>111.84</v>
      </c>
      <c r="R1053" s="23" t="str">
        <f>VLOOKUP(C:C,'Historic Data - working'!A:B,1,FALSE)</f>
        <v>NOT039</v>
      </c>
      <c r="U1053" s="323"/>
      <c r="V1053" s="323"/>
      <c r="W1053" s="323"/>
    </row>
    <row r="1054" spans="1:23" s="23" customFormat="1" ht="14.25" hidden="1" x14ac:dyDescent="0.2">
      <c r="A1054" s="381" t="s">
        <v>3842</v>
      </c>
      <c r="B1054" s="381" t="s">
        <v>324</v>
      </c>
      <c r="C1054" s="408" t="s">
        <v>3980</v>
      </c>
      <c r="D1054" s="381" t="s">
        <v>3981</v>
      </c>
      <c r="E1054" s="383" t="s">
        <v>31</v>
      </c>
      <c r="F1054" s="381" t="s">
        <v>3982</v>
      </c>
      <c r="G1054" s="384" t="s">
        <v>329</v>
      </c>
      <c r="H1054" s="24">
        <f>614.15+30+931+30+155.63</f>
        <v>1760.7800000000002</v>
      </c>
      <c r="I1054" s="24"/>
      <c r="J1054" s="25" t="str">
        <f t="shared" si="49"/>
        <v>1</v>
      </c>
      <c r="K1054" s="387" t="s">
        <v>3983</v>
      </c>
      <c r="L1054" s="385">
        <v>-198.78</v>
      </c>
      <c r="M1054" s="386">
        <f t="shared" si="50"/>
        <v>1562.0000000000002</v>
      </c>
      <c r="N1054" s="496">
        <v>1832.63</v>
      </c>
      <c r="O1054" s="333">
        <f t="shared" si="51"/>
        <v>3394.63</v>
      </c>
      <c r="R1054" s="23" t="str">
        <f>VLOOKUP(C:C,'Historic Data - working'!A:B,1,FALSE)</f>
        <v>NOT040</v>
      </c>
      <c r="U1054" s="323"/>
      <c r="V1054" s="323"/>
      <c r="W1054" s="323"/>
    </row>
    <row r="1055" spans="1:23" s="23" customFormat="1" ht="14.25" hidden="1" x14ac:dyDescent="0.2">
      <c r="A1055" s="381" t="s">
        <v>3842</v>
      </c>
      <c r="B1055" s="381" t="s">
        <v>324</v>
      </c>
      <c r="C1055" s="408" t="s">
        <v>3984</v>
      </c>
      <c r="D1055" s="381" t="s">
        <v>3985</v>
      </c>
      <c r="E1055" s="383" t="s">
        <v>61</v>
      </c>
      <c r="F1055" s="381" t="s">
        <v>3982</v>
      </c>
      <c r="G1055" s="384" t="s">
        <v>329</v>
      </c>
      <c r="H1055" s="24">
        <f>548.25+38.36+334.14+69.99</f>
        <v>990.74</v>
      </c>
      <c r="I1055" s="24"/>
      <c r="J1055" s="25" t="str">
        <f t="shared" si="49"/>
        <v>1</v>
      </c>
      <c r="K1055" s="385"/>
      <c r="L1055" s="385"/>
      <c r="M1055" s="386">
        <f t="shared" si="50"/>
        <v>990.74</v>
      </c>
      <c r="N1055" s="496">
        <v>155</v>
      </c>
      <c r="O1055" s="333">
        <f t="shared" si="51"/>
        <v>1145.74</v>
      </c>
      <c r="R1055" s="23" t="str">
        <f>VLOOKUP(C:C,'Historic Data - working'!A:B,1,FALSE)</f>
        <v>NOT041</v>
      </c>
      <c r="U1055" s="323"/>
      <c r="V1055" s="323"/>
      <c r="W1055" s="323"/>
    </row>
    <row r="1056" spans="1:23" s="23" customFormat="1" ht="14.25" hidden="1" x14ac:dyDescent="0.2">
      <c r="A1056" s="381" t="s">
        <v>3842</v>
      </c>
      <c r="B1056" s="381" t="s">
        <v>324</v>
      </c>
      <c r="C1056" s="408" t="s">
        <v>3986</v>
      </c>
      <c r="D1056" s="381" t="s">
        <v>3987</v>
      </c>
      <c r="E1056" s="383" t="s">
        <v>3988</v>
      </c>
      <c r="F1056" s="381" t="s">
        <v>3982</v>
      </c>
      <c r="G1056" s="384" t="s">
        <v>329</v>
      </c>
      <c r="H1056" s="24"/>
      <c r="I1056" s="24">
        <v>650</v>
      </c>
      <c r="J1056" s="25" t="str">
        <f t="shared" si="49"/>
        <v>1</v>
      </c>
      <c r="K1056" s="385" t="s">
        <v>3989</v>
      </c>
      <c r="L1056" s="385"/>
      <c r="M1056" s="386">
        <f t="shared" si="50"/>
        <v>0</v>
      </c>
      <c r="N1056" s="496">
        <v>900</v>
      </c>
      <c r="O1056" s="333">
        <f t="shared" si="51"/>
        <v>900</v>
      </c>
      <c r="R1056" s="23" t="str">
        <f>VLOOKUP(C:C,'Historic Data - working'!A:B,1,FALSE)</f>
        <v>NOT042</v>
      </c>
      <c r="U1056" s="323"/>
      <c r="V1056" s="323"/>
      <c r="W1056" s="323"/>
    </row>
    <row r="1057" spans="1:23" s="23" customFormat="1" ht="14.25" hidden="1" x14ac:dyDescent="0.2">
      <c r="A1057" s="381" t="s">
        <v>3842</v>
      </c>
      <c r="B1057" s="381" t="s">
        <v>324</v>
      </c>
      <c r="C1057" s="408" t="s">
        <v>3990</v>
      </c>
      <c r="D1057" s="381" t="s">
        <v>3991</v>
      </c>
      <c r="E1057" s="383" t="s">
        <v>3992</v>
      </c>
      <c r="F1057" s="381" t="s">
        <v>3982</v>
      </c>
      <c r="G1057" s="384"/>
      <c r="H1057" s="24"/>
      <c r="I1057" s="24"/>
      <c r="J1057" s="25" t="str">
        <f t="shared" si="49"/>
        <v xml:space="preserve"> </v>
      </c>
      <c r="K1057" s="385"/>
      <c r="L1057" s="385"/>
      <c r="M1057" s="386">
        <f t="shared" si="50"/>
        <v>0</v>
      </c>
      <c r="N1057" s="496"/>
      <c r="O1057" s="333">
        <f t="shared" si="51"/>
        <v>0</v>
      </c>
      <c r="R1057" s="23" t="e">
        <f>VLOOKUP(C:C,'Historic Data - working'!A:B,1,FALSE)</f>
        <v>#N/A</v>
      </c>
      <c r="U1057" s="323"/>
      <c r="V1057" s="323"/>
      <c r="W1057" s="323"/>
    </row>
    <row r="1058" spans="1:23" s="23" customFormat="1" ht="14.25" hidden="1" x14ac:dyDescent="0.2">
      <c r="A1058" s="381" t="s">
        <v>3842</v>
      </c>
      <c r="B1058" s="381" t="s">
        <v>324</v>
      </c>
      <c r="C1058" s="408" t="s">
        <v>3993</v>
      </c>
      <c r="D1058" s="381" t="s">
        <v>3994</v>
      </c>
      <c r="E1058" s="383" t="s">
        <v>1047</v>
      </c>
      <c r="F1058" s="381" t="s">
        <v>3982</v>
      </c>
      <c r="G1058" s="384" t="s">
        <v>329</v>
      </c>
      <c r="H1058" s="24">
        <f>181.2+396.33+381.04+418.36+423.53+112.95</f>
        <v>1913.4099999999999</v>
      </c>
      <c r="I1058" s="24"/>
      <c r="J1058" s="25" t="str">
        <f t="shared" si="49"/>
        <v>1</v>
      </c>
      <c r="K1058" s="385"/>
      <c r="L1058" s="385"/>
      <c r="M1058" s="386">
        <f t="shared" si="50"/>
        <v>1913.4099999999999</v>
      </c>
      <c r="N1058" s="496">
        <v>332</v>
      </c>
      <c r="O1058" s="333">
        <f t="shared" si="51"/>
        <v>2245.41</v>
      </c>
      <c r="R1058" s="23" t="str">
        <f>VLOOKUP(C:C,'Historic Data - working'!A:B,1,FALSE)</f>
        <v>NOT043</v>
      </c>
      <c r="U1058" s="323"/>
      <c r="V1058" s="323"/>
      <c r="W1058" s="323"/>
    </row>
    <row r="1059" spans="1:23" s="23" customFormat="1" ht="14.25" hidden="1" x14ac:dyDescent="0.2">
      <c r="A1059" s="381" t="s">
        <v>3842</v>
      </c>
      <c r="B1059" s="381" t="s">
        <v>324</v>
      </c>
      <c r="C1059" s="408" t="s">
        <v>3995</v>
      </c>
      <c r="D1059" s="381" t="s">
        <v>3996</v>
      </c>
      <c r="E1059" s="383" t="s">
        <v>3997</v>
      </c>
      <c r="F1059" s="381" t="s">
        <v>3982</v>
      </c>
      <c r="G1059" s="384"/>
      <c r="H1059" s="24"/>
      <c r="I1059" s="24"/>
      <c r="J1059" s="25" t="str">
        <f t="shared" si="49"/>
        <v xml:space="preserve"> </v>
      </c>
      <c r="K1059" s="385"/>
      <c r="L1059" s="385"/>
      <c r="M1059" s="386">
        <f t="shared" si="50"/>
        <v>0</v>
      </c>
      <c r="N1059" s="496"/>
      <c r="O1059" s="333">
        <f t="shared" si="51"/>
        <v>0</v>
      </c>
      <c r="R1059" s="23" t="e">
        <f>VLOOKUP(C:C,'Historic Data - working'!A:B,1,FALSE)</f>
        <v>#N/A</v>
      </c>
      <c r="U1059" s="323"/>
      <c r="V1059" s="323"/>
      <c r="W1059" s="323"/>
    </row>
    <row r="1060" spans="1:23" s="23" customFormat="1" ht="14.25" hidden="1" x14ac:dyDescent="0.2">
      <c r="A1060" s="381" t="s">
        <v>3842</v>
      </c>
      <c r="B1060" s="381" t="s">
        <v>324</v>
      </c>
      <c r="C1060" s="408" t="s">
        <v>3998</v>
      </c>
      <c r="D1060" s="381" t="s">
        <v>3999</v>
      </c>
      <c r="E1060" s="383" t="s">
        <v>4000</v>
      </c>
      <c r="F1060" s="381" t="s">
        <v>3982</v>
      </c>
      <c r="G1060" s="384" t="s">
        <v>329</v>
      </c>
      <c r="H1060" s="24"/>
      <c r="I1060" s="24">
        <v>176.38</v>
      </c>
      <c r="J1060" s="25" t="str">
        <f t="shared" si="49"/>
        <v>1</v>
      </c>
      <c r="K1060" s="385"/>
      <c r="L1060" s="385"/>
      <c r="M1060" s="386">
        <f t="shared" si="50"/>
        <v>0</v>
      </c>
      <c r="N1060" s="496">
        <v>191.38</v>
      </c>
      <c r="O1060" s="333">
        <f t="shared" si="51"/>
        <v>191.38</v>
      </c>
      <c r="R1060" s="23" t="str">
        <f>VLOOKUP(C:C,'Historic Data - working'!A:B,1,FALSE)</f>
        <v>NOT044</v>
      </c>
      <c r="U1060" s="323"/>
      <c r="V1060" s="323"/>
      <c r="W1060" s="323"/>
    </row>
    <row r="1061" spans="1:23" s="23" customFormat="1" ht="14.25" hidden="1" x14ac:dyDescent="0.2">
      <c r="A1061" s="381" t="s">
        <v>3842</v>
      </c>
      <c r="B1061" s="381" t="s">
        <v>324</v>
      </c>
      <c r="C1061" s="408" t="s">
        <v>4001</v>
      </c>
      <c r="D1061" s="381" t="s">
        <v>4002</v>
      </c>
      <c r="E1061" s="383" t="s">
        <v>4003</v>
      </c>
      <c r="F1061" s="381" t="s">
        <v>4004</v>
      </c>
      <c r="G1061" s="384"/>
      <c r="H1061" s="24"/>
      <c r="I1061" s="24"/>
      <c r="J1061" s="25" t="str">
        <f t="shared" si="49"/>
        <v xml:space="preserve"> </v>
      </c>
      <c r="K1061" s="385"/>
      <c r="L1061" s="385"/>
      <c r="M1061" s="386">
        <f t="shared" si="50"/>
        <v>0</v>
      </c>
      <c r="N1061" s="496"/>
      <c r="O1061" s="333">
        <f t="shared" si="51"/>
        <v>0</v>
      </c>
      <c r="R1061" s="23" t="e">
        <f>VLOOKUP(C:C,'Historic Data - working'!A:B,1,FALSE)</f>
        <v>#N/A</v>
      </c>
      <c r="U1061" s="323"/>
      <c r="V1061" s="323"/>
      <c r="W1061" s="323"/>
    </row>
    <row r="1062" spans="1:23" s="23" customFormat="1" ht="14.25" hidden="1" x14ac:dyDescent="0.2">
      <c r="A1062" s="381" t="s">
        <v>3842</v>
      </c>
      <c r="B1062" s="381" t="s">
        <v>324</v>
      </c>
      <c r="C1062" s="408" t="s">
        <v>4005</v>
      </c>
      <c r="D1062" s="381" t="s">
        <v>4006</v>
      </c>
      <c r="E1062" s="383" t="s">
        <v>214</v>
      </c>
      <c r="F1062" s="381" t="s">
        <v>3982</v>
      </c>
      <c r="G1062" s="384"/>
      <c r="H1062" s="24"/>
      <c r="I1062" s="24"/>
      <c r="J1062" s="25" t="str">
        <f t="shared" si="49"/>
        <v xml:space="preserve"> </v>
      </c>
      <c r="K1062" s="385"/>
      <c r="L1062" s="385"/>
      <c r="M1062" s="386">
        <f t="shared" si="50"/>
        <v>0</v>
      </c>
      <c r="N1062" s="496">
        <v>65</v>
      </c>
      <c r="O1062" s="333">
        <f t="shared" si="51"/>
        <v>65</v>
      </c>
      <c r="R1062" s="23" t="str">
        <f>VLOOKUP(C:C,'Historic Data - working'!A:B,1,FALSE)</f>
        <v>NOT045</v>
      </c>
      <c r="U1062" s="323"/>
      <c r="V1062" s="323"/>
      <c r="W1062" s="323"/>
    </row>
    <row r="1063" spans="1:23" s="23" customFormat="1" ht="14.25" hidden="1" x14ac:dyDescent="0.2">
      <c r="A1063" s="381" t="s">
        <v>3842</v>
      </c>
      <c r="B1063" s="381" t="s">
        <v>324</v>
      </c>
      <c r="C1063" s="408" t="s">
        <v>4007</v>
      </c>
      <c r="D1063" s="381" t="s">
        <v>4008</v>
      </c>
      <c r="E1063" s="383" t="s">
        <v>238</v>
      </c>
      <c r="F1063" s="381" t="s">
        <v>3982</v>
      </c>
      <c r="G1063" s="384" t="s">
        <v>329</v>
      </c>
      <c r="H1063" s="24">
        <f>66.3+20+44.44</f>
        <v>130.74</v>
      </c>
      <c r="I1063" s="24"/>
      <c r="J1063" s="25" t="str">
        <f t="shared" si="49"/>
        <v>1</v>
      </c>
      <c r="K1063" s="385"/>
      <c r="L1063" s="385"/>
      <c r="M1063" s="386">
        <f t="shared" si="50"/>
        <v>130.74</v>
      </c>
      <c r="N1063" s="496">
        <v>369</v>
      </c>
      <c r="O1063" s="333">
        <f t="shared" si="51"/>
        <v>499.74</v>
      </c>
      <c r="R1063" s="23" t="str">
        <f>VLOOKUP(C:C,'Historic Data - working'!A:B,1,FALSE)</f>
        <v>NOT046</v>
      </c>
      <c r="U1063" s="323"/>
      <c r="V1063" s="323"/>
      <c r="W1063" s="323"/>
    </row>
    <row r="1064" spans="1:23" s="23" customFormat="1" ht="14.25" hidden="1" x14ac:dyDescent="0.2">
      <c r="A1064" s="381" t="s">
        <v>3842</v>
      </c>
      <c r="B1064" s="381" t="s">
        <v>324</v>
      </c>
      <c r="C1064" s="408" t="s">
        <v>4009</v>
      </c>
      <c r="D1064" s="381" t="s">
        <v>4010</v>
      </c>
      <c r="E1064" s="383" t="s">
        <v>942</v>
      </c>
      <c r="F1064" s="381" t="s">
        <v>4011</v>
      </c>
      <c r="G1064" s="384"/>
      <c r="H1064" s="24"/>
      <c r="I1064" s="24"/>
      <c r="J1064" s="25" t="str">
        <f t="shared" si="49"/>
        <v xml:space="preserve"> </v>
      </c>
      <c r="K1064" s="385"/>
      <c r="L1064" s="385"/>
      <c r="M1064" s="386">
        <f t="shared" si="50"/>
        <v>0</v>
      </c>
      <c r="N1064" s="496">
        <v>215</v>
      </c>
      <c r="O1064" s="333">
        <f t="shared" si="51"/>
        <v>215</v>
      </c>
      <c r="R1064" s="23" t="str">
        <f>VLOOKUP(C:C,'Historic Data - working'!A:B,1,FALSE)</f>
        <v>NOT049</v>
      </c>
      <c r="U1064" s="323"/>
      <c r="V1064" s="323"/>
      <c r="W1064" s="323"/>
    </row>
    <row r="1065" spans="1:23" s="23" customFormat="1" ht="14.25" hidden="1" x14ac:dyDescent="0.2">
      <c r="A1065" s="381" t="s">
        <v>3842</v>
      </c>
      <c r="B1065" s="381" t="s">
        <v>324</v>
      </c>
      <c r="C1065" s="408" t="s">
        <v>4012</v>
      </c>
      <c r="D1065" s="381" t="s">
        <v>4013</v>
      </c>
      <c r="E1065" s="383" t="s">
        <v>1376</v>
      </c>
      <c r="F1065" s="381" t="s">
        <v>4014</v>
      </c>
      <c r="G1065" s="384" t="s">
        <v>329</v>
      </c>
      <c r="H1065" s="24">
        <f>155+150+26</f>
        <v>331</v>
      </c>
      <c r="I1065" s="24"/>
      <c r="J1065" s="25" t="str">
        <f t="shared" si="49"/>
        <v>1</v>
      </c>
      <c r="K1065" s="385"/>
      <c r="L1065" s="385"/>
      <c r="M1065" s="386">
        <f t="shared" si="50"/>
        <v>331</v>
      </c>
      <c r="N1065" s="496">
        <v>420</v>
      </c>
      <c r="O1065" s="333">
        <f t="shared" si="51"/>
        <v>751</v>
      </c>
      <c r="R1065" s="23" t="str">
        <f>VLOOKUP(C:C,'Historic Data - working'!A:B,1,FALSE)</f>
        <v>NOT050</v>
      </c>
      <c r="U1065" s="323"/>
      <c r="V1065" s="323"/>
      <c r="W1065" s="323"/>
    </row>
    <row r="1066" spans="1:23" s="23" customFormat="1" ht="14.25" hidden="1" x14ac:dyDescent="0.2">
      <c r="A1066" s="381" t="s">
        <v>3842</v>
      </c>
      <c r="B1066" s="381" t="s">
        <v>324</v>
      </c>
      <c r="C1066" s="408" t="s">
        <v>4015</v>
      </c>
      <c r="D1066" s="381" t="s">
        <v>4016</v>
      </c>
      <c r="E1066" s="383" t="s">
        <v>4017</v>
      </c>
      <c r="F1066" s="381" t="s">
        <v>4018</v>
      </c>
      <c r="G1066" s="384" t="s">
        <v>329</v>
      </c>
      <c r="H1066" s="24">
        <f>35.05+135.8+4.68+131.76+27.2+76.24</f>
        <v>410.73</v>
      </c>
      <c r="I1066" s="24"/>
      <c r="J1066" s="25" t="str">
        <f t="shared" si="49"/>
        <v>1</v>
      </c>
      <c r="K1066" s="385"/>
      <c r="L1066" s="385"/>
      <c r="M1066" s="386">
        <f t="shared" si="50"/>
        <v>410.73</v>
      </c>
      <c r="N1066" s="496">
        <v>150</v>
      </c>
      <c r="O1066" s="333">
        <f t="shared" si="51"/>
        <v>560.73</v>
      </c>
      <c r="R1066" s="23" t="str">
        <f>VLOOKUP(C:C,'Historic Data - working'!A:B,1,FALSE)</f>
        <v>NOT051</v>
      </c>
      <c r="U1066" s="323"/>
      <c r="V1066" s="323"/>
      <c r="W1066" s="323"/>
    </row>
    <row r="1067" spans="1:23" s="23" customFormat="1" ht="14.25" hidden="1" x14ac:dyDescent="0.2">
      <c r="A1067" s="381" t="s">
        <v>3842</v>
      </c>
      <c r="B1067" s="381" t="s">
        <v>324</v>
      </c>
      <c r="C1067" s="408" t="s">
        <v>4019</v>
      </c>
      <c r="D1067" s="381" t="s">
        <v>4020</v>
      </c>
      <c r="E1067" s="383" t="s">
        <v>78</v>
      </c>
      <c r="F1067" s="381" t="s">
        <v>4021</v>
      </c>
      <c r="G1067" s="384" t="s">
        <v>329</v>
      </c>
      <c r="H1067" s="24">
        <f>369.46+324.54</f>
        <v>694</v>
      </c>
      <c r="I1067" s="24"/>
      <c r="J1067" s="25" t="str">
        <f t="shared" si="49"/>
        <v>1</v>
      </c>
      <c r="K1067" s="388"/>
      <c r="L1067" s="385"/>
      <c r="M1067" s="386">
        <f t="shared" si="50"/>
        <v>694</v>
      </c>
      <c r="N1067" s="496">
        <v>195</v>
      </c>
      <c r="O1067" s="333">
        <f t="shared" si="51"/>
        <v>889</v>
      </c>
      <c r="R1067" s="23" t="str">
        <f>VLOOKUP(C:C,'Historic Data - working'!A:B,1,FALSE)</f>
        <v>NOT053</v>
      </c>
      <c r="U1067" s="323"/>
      <c r="V1067" s="323"/>
      <c r="W1067" s="323"/>
    </row>
    <row r="1068" spans="1:23" s="23" customFormat="1" ht="14.25" hidden="1" x14ac:dyDescent="0.2">
      <c r="A1068" s="381" t="s">
        <v>3842</v>
      </c>
      <c r="B1068" s="381" t="s">
        <v>324</v>
      </c>
      <c r="C1068" s="408" t="s">
        <v>4022</v>
      </c>
      <c r="D1068" s="381" t="s">
        <v>4023</v>
      </c>
      <c r="E1068" s="383" t="s">
        <v>297</v>
      </c>
      <c r="F1068" s="381" t="s">
        <v>4024</v>
      </c>
      <c r="G1068" s="384"/>
      <c r="H1068" s="24"/>
      <c r="I1068" s="24"/>
      <c r="J1068" s="25" t="str">
        <f t="shared" ref="J1068:J1131" si="52">IF(G1068="Y","1"," ")</f>
        <v xml:space="preserve"> </v>
      </c>
      <c r="K1068" s="385"/>
      <c r="L1068" s="385"/>
      <c r="M1068" s="386">
        <f t="shared" si="50"/>
        <v>0</v>
      </c>
      <c r="N1068" s="496"/>
      <c r="O1068" s="333">
        <f t="shared" si="51"/>
        <v>0</v>
      </c>
      <c r="R1068" s="23" t="e">
        <f>VLOOKUP(C:C,'Historic Data - working'!A:B,1,FALSE)</f>
        <v>#N/A</v>
      </c>
      <c r="U1068" s="323"/>
      <c r="V1068" s="323"/>
      <c r="W1068" s="323"/>
    </row>
    <row r="1069" spans="1:23" s="23" customFormat="1" ht="14.25" hidden="1" x14ac:dyDescent="0.2">
      <c r="A1069" s="381" t="s">
        <v>3842</v>
      </c>
      <c r="B1069" s="381" t="s">
        <v>324</v>
      </c>
      <c r="C1069" s="408" t="s">
        <v>4025</v>
      </c>
      <c r="D1069" s="381" t="s">
        <v>4026</v>
      </c>
      <c r="E1069" s="383" t="s">
        <v>4027</v>
      </c>
      <c r="F1069" s="381" t="s">
        <v>4028</v>
      </c>
      <c r="G1069" s="384"/>
      <c r="H1069" s="24"/>
      <c r="I1069" s="24"/>
      <c r="J1069" s="25" t="str">
        <f t="shared" si="52"/>
        <v xml:space="preserve"> </v>
      </c>
      <c r="K1069" s="385"/>
      <c r="L1069" s="385"/>
      <c r="M1069" s="386">
        <f t="shared" si="50"/>
        <v>0</v>
      </c>
      <c r="N1069" s="496"/>
      <c r="O1069" s="333">
        <f t="shared" si="51"/>
        <v>0</v>
      </c>
      <c r="R1069" s="23" t="e">
        <f>VLOOKUP(C:C,'Historic Data - working'!A:B,1,FALSE)</f>
        <v>#N/A</v>
      </c>
      <c r="U1069" s="323"/>
      <c r="V1069" s="323"/>
      <c r="W1069" s="323"/>
    </row>
    <row r="1070" spans="1:23" s="23" customFormat="1" ht="14.25" hidden="1" x14ac:dyDescent="0.2">
      <c r="A1070" s="381" t="s">
        <v>3842</v>
      </c>
      <c r="B1070" s="381" t="s">
        <v>324</v>
      </c>
      <c r="C1070" s="408" t="s">
        <v>4029</v>
      </c>
      <c r="D1070" s="381" t="s">
        <v>4030</v>
      </c>
      <c r="E1070" s="383" t="s">
        <v>4031</v>
      </c>
      <c r="F1070" s="381" t="s">
        <v>4032</v>
      </c>
      <c r="G1070" s="384" t="s">
        <v>329</v>
      </c>
      <c r="H1070" s="24">
        <v>4375</v>
      </c>
      <c r="I1070" s="24"/>
      <c r="J1070" s="25" t="str">
        <f t="shared" si="52"/>
        <v>1</v>
      </c>
      <c r="K1070" s="385"/>
      <c r="L1070" s="385"/>
      <c r="M1070" s="386">
        <f t="shared" si="50"/>
        <v>4375</v>
      </c>
      <c r="N1070" s="496"/>
      <c r="O1070" s="333">
        <f t="shared" si="51"/>
        <v>4375</v>
      </c>
      <c r="R1070" s="23" t="str">
        <f>VLOOKUP(C:C,'Historic Data - working'!A:B,1,FALSE)</f>
        <v>NOT055</v>
      </c>
      <c r="U1070" s="323"/>
      <c r="V1070" s="323"/>
      <c r="W1070" s="323"/>
    </row>
    <row r="1071" spans="1:23" s="23" customFormat="1" ht="14.25" hidden="1" x14ac:dyDescent="0.2">
      <c r="A1071" s="381" t="s">
        <v>3842</v>
      </c>
      <c r="B1071" s="381" t="s">
        <v>324</v>
      </c>
      <c r="C1071" s="408" t="s">
        <v>4033</v>
      </c>
      <c r="D1071" s="381" t="s">
        <v>4034</v>
      </c>
      <c r="E1071" s="383" t="s">
        <v>579</v>
      </c>
      <c r="F1071" s="381" t="s">
        <v>4032</v>
      </c>
      <c r="G1071" s="384"/>
      <c r="H1071" s="24"/>
      <c r="I1071" s="24"/>
      <c r="J1071" s="25" t="str">
        <f t="shared" si="52"/>
        <v xml:space="preserve"> </v>
      </c>
      <c r="K1071" s="385" t="s">
        <v>337</v>
      </c>
      <c r="L1071" s="385">
        <v>50.09</v>
      </c>
      <c r="M1071" s="386">
        <f t="shared" si="50"/>
        <v>50.09</v>
      </c>
      <c r="N1071" s="496">
        <v>30</v>
      </c>
      <c r="O1071" s="333">
        <f t="shared" si="51"/>
        <v>80.09</v>
      </c>
      <c r="R1071" s="23" t="str">
        <f>VLOOKUP(C:C,'Historic Data - working'!A:B,1,FALSE)</f>
        <v>NOT056</v>
      </c>
      <c r="U1071" s="323"/>
      <c r="V1071" s="323"/>
      <c r="W1071" s="323"/>
    </row>
    <row r="1072" spans="1:23" s="23" customFormat="1" ht="14.25" hidden="1" x14ac:dyDescent="0.2">
      <c r="A1072" s="381" t="s">
        <v>3842</v>
      </c>
      <c r="B1072" s="381" t="s">
        <v>324</v>
      </c>
      <c r="C1072" s="408" t="s">
        <v>4035</v>
      </c>
      <c r="D1072" s="381" t="s">
        <v>4036</v>
      </c>
      <c r="E1072" s="383" t="s">
        <v>4037</v>
      </c>
      <c r="F1072" s="381" t="s">
        <v>4038</v>
      </c>
      <c r="G1072" s="384" t="s">
        <v>329</v>
      </c>
      <c r="H1072" s="24"/>
      <c r="I1072" s="24">
        <v>213.14</v>
      </c>
      <c r="J1072" s="25" t="str">
        <f t="shared" si="52"/>
        <v>1</v>
      </c>
      <c r="K1072" s="385"/>
      <c r="L1072" s="385"/>
      <c r="M1072" s="386">
        <f t="shared" si="50"/>
        <v>0</v>
      </c>
      <c r="N1072" s="496">
        <v>618.14</v>
      </c>
      <c r="O1072" s="333">
        <f t="shared" si="51"/>
        <v>618.14</v>
      </c>
      <c r="R1072" s="23" t="str">
        <f>VLOOKUP(C:C,'Historic Data - working'!A:B,1,FALSE)</f>
        <v>NOT057</v>
      </c>
      <c r="U1072" s="323"/>
      <c r="V1072" s="323"/>
      <c r="W1072" s="323"/>
    </row>
    <row r="1073" spans="1:23" s="23" customFormat="1" ht="14.25" hidden="1" x14ac:dyDescent="0.2">
      <c r="A1073" s="381" t="s">
        <v>3842</v>
      </c>
      <c r="B1073" s="381" t="s">
        <v>324</v>
      </c>
      <c r="C1073" s="408" t="s">
        <v>4039</v>
      </c>
      <c r="D1073" s="381" t="s">
        <v>4040</v>
      </c>
      <c r="E1073" s="383" t="s">
        <v>4041</v>
      </c>
      <c r="F1073" s="381" t="s">
        <v>4042</v>
      </c>
      <c r="G1073" s="384" t="s">
        <v>329</v>
      </c>
      <c r="H1073" s="24">
        <v>914.34</v>
      </c>
      <c r="I1073" s="24"/>
      <c r="J1073" s="25" t="str">
        <f t="shared" si="52"/>
        <v>1</v>
      </c>
      <c r="K1073" s="385"/>
      <c r="L1073" s="385"/>
      <c r="M1073" s="386">
        <f t="shared" si="50"/>
        <v>914.34</v>
      </c>
      <c r="N1073" s="496">
        <v>165</v>
      </c>
      <c r="O1073" s="333">
        <f t="shared" si="51"/>
        <v>1079.3400000000001</v>
      </c>
      <c r="R1073" s="23" t="str">
        <f>VLOOKUP(C:C,'Historic Data - working'!A:B,1,FALSE)</f>
        <v>NOT058</v>
      </c>
      <c r="U1073" s="323"/>
      <c r="V1073" s="323"/>
      <c r="W1073" s="323"/>
    </row>
    <row r="1074" spans="1:23" s="23" customFormat="1" ht="14.25" hidden="1" x14ac:dyDescent="0.2">
      <c r="A1074" s="381" t="s">
        <v>3842</v>
      </c>
      <c r="B1074" s="381" t="s">
        <v>324</v>
      </c>
      <c r="C1074" s="408" t="s">
        <v>4043</v>
      </c>
      <c r="D1074" s="381" t="s">
        <v>4044</v>
      </c>
      <c r="E1074" s="383" t="s">
        <v>2578</v>
      </c>
      <c r="F1074" s="385"/>
      <c r="G1074" s="384"/>
      <c r="H1074" s="24"/>
      <c r="I1074" s="24"/>
      <c r="J1074" s="25" t="str">
        <f t="shared" si="52"/>
        <v xml:space="preserve"> </v>
      </c>
      <c r="K1074" s="385"/>
      <c r="L1074" s="385"/>
      <c r="M1074" s="386">
        <f t="shared" si="50"/>
        <v>0</v>
      </c>
      <c r="N1074" s="496"/>
      <c r="O1074" s="333">
        <f t="shared" si="51"/>
        <v>0</v>
      </c>
      <c r="R1074" s="23" t="e">
        <f>VLOOKUP(C:C,'Historic Data - working'!A:B,1,FALSE)</f>
        <v>#N/A</v>
      </c>
      <c r="U1074" s="323"/>
      <c r="V1074" s="323"/>
      <c r="W1074" s="323"/>
    </row>
    <row r="1075" spans="1:23" s="23" customFormat="1" ht="14.25" hidden="1" x14ac:dyDescent="0.2">
      <c r="A1075" s="381" t="s">
        <v>3842</v>
      </c>
      <c r="B1075" s="381" t="s">
        <v>324</v>
      </c>
      <c r="C1075" s="408" t="s">
        <v>4045</v>
      </c>
      <c r="D1075" s="381" t="s">
        <v>4046</v>
      </c>
      <c r="E1075" s="383" t="s">
        <v>4047</v>
      </c>
      <c r="F1075" s="381" t="s">
        <v>4048</v>
      </c>
      <c r="G1075" s="384"/>
      <c r="H1075" s="24"/>
      <c r="I1075" s="24"/>
      <c r="J1075" s="25" t="str">
        <f t="shared" si="52"/>
        <v xml:space="preserve"> </v>
      </c>
      <c r="K1075" s="385"/>
      <c r="L1075" s="385"/>
      <c r="M1075" s="386">
        <f t="shared" si="50"/>
        <v>0</v>
      </c>
      <c r="N1075" s="496">
        <v>25</v>
      </c>
      <c r="O1075" s="333">
        <f t="shared" si="51"/>
        <v>25</v>
      </c>
      <c r="R1075" s="23" t="str">
        <f>VLOOKUP(C:C,'Historic Data - working'!A:B,1,FALSE)</f>
        <v>NOT059</v>
      </c>
      <c r="U1075" s="323"/>
      <c r="V1075" s="323"/>
      <c r="W1075" s="323"/>
    </row>
    <row r="1076" spans="1:23" s="23" customFormat="1" ht="14.25" hidden="1" x14ac:dyDescent="0.2">
      <c r="A1076" s="381" t="s">
        <v>3842</v>
      </c>
      <c r="B1076" s="381" t="s">
        <v>324</v>
      </c>
      <c r="C1076" s="408" t="s">
        <v>4049</v>
      </c>
      <c r="D1076" s="381" t="s">
        <v>4050</v>
      </c>
      <c r="E1076" s="383" t="s">
        <v>812</v>
      </c>
      <c r="F1076" s="381" t="s">
        <v>4051</v>
      </c>
      <c r="G1076" s="384" t="s">
        <v>329</v>
      </c>
      <c r="H1076" s="24">
        <v>994.59</v>
      </c>
      <c r="I1076" s="24"/>
      <c r="J1076" s="25" t="str">
        <f t="shared" si="52"/>
        <v>1</v>
      </c>
      <c r="K1076" s="385"/>
      <c r="L1076" s="385"/>
      <c r="M1076" s="386">
        <f t="shared" si="50"/>
        <v>994.59</v>
      </c>
      <c r="N1076" s="496">
        <v>405</v>
      </c>
      <c r="O1076" s="334">
        <f t="shared" si="51"/>
        <v>1399.5900000000001</v>
      </c>
      <c r="P1076" s="351"/>
      <c r="Q1076" s="331"/>
      <c r="R1076" s="331" t="e">
        <f>VLOOKUP(C:C,'Historic Data - working'!A:B,1,FALSE)</f>
        <v>#N/A</v>
      </c>
      <c r="U1076" s="323"/>
      <c r="V1076" s="323"/>
      <c r="W1076" s="323"/>
    </row>
    <row r="1077" spans="1:23" s="23" customFormat="1" ht="14.25" hidden="1" x14ac:dyDescent="0.2">
      <c r="A1077" s="381" t="s">
        <v>3842</v>
      </c>
      <c r="B1077" s="381" t="s">
        <v>324</v>
      </c>
      <c r="C1077" s="408" t="s">
        <v>4052</v>
      </c>
      <c r="D1077" s="381" t="s">
        <v>4053</v>
      </c>
      <c r="E1077" s="383" t="s">
        <v>1871</v>
      </c>
      <c r="F1077" s="381" t="s">
        <v>4054</v>
      </c>
      <c r="G1077" s="384"/>
      <c r="H1077" s="24"/>
      <c r="I1077" s="24"/>
      <c r="J1077" s="25" t="str">
        <f t="shared" si="52"/>
        <v xml:space="preserve"> </v>
      </c>
      <c r="K1077" s="385"/>
      <c r="L1077" s="385"/>
      <c r="M1077" s="386">
        <f t="shared" si="50"/>
        <v>0</v>
      </c>
      <c r="N1077" s="496">
        <v>478</v>
      </c>
      <c r="O1077" s="333">
        <f t="shared" si="51"/>
        <v>478</v>
      </c>
      <c r="R1077" s="23" t="str">
        <f>VLOOKUP(C:C,'Historic Data - working'!A:B,1,FALSE)</f>
        <v>NOT063</v>
      </c>
      <c r="U1077" s="323"/>
      <c r="V1077" s="323"/>
      <c r="W1077" s="323"/>
    </row>
    <row r="1078" spans="1:23" s="23" customFormat="1" ht="14.25" hidden="1" x14ac:dyDescent="0.2">
      <c r="A1078" s="381" t="s">
        <v>3842</v>
      </c>
      <c r="B1078" s="381" t="s">
        <v>324</v>
      </c>
      <c r="C1078" s="408" t="s">
        <v>4055</v>
      </c>
      <c r="D1078" s="381" t="s">
        <v>4056</v>
      </c>
      <c r="E1078" s="383" t="s">
        <v>216</v>
      </c>
      <c r="F1078" s="381" t="s">
        <v>4057</v>
      </c>
      <c r="G1078" s="384"/>
      <c r="H1078" s="24"/>
      <c r="I1078" s="24"/>
      <c r="J1078" s="25" t="str">
        <f t="shared" si="52"/>
        <v xml:space="preserve"> </v>
      </c>
      <c r="K1078" s="385"/>
      <c r="L1078" s="385"/>
      <c r="M1078" s="386">
        <f t="shared" si="50"/>
        <v>0</v>
      </c>
      <c r="N1078" s="496"/>
      <c r="O1078" s="333">
        <f t="shared" si="51"/>
        <v>0</v>
      </c>
      <c r="R1078" s="23" t="e">
        <f>VLOOKUP(C:C,'Historic Data - working'!A:B,1,FALSE)</f>
        <v>#N/A</v>
      </c>
      <c r="U1078" s="323"/>
      <c r="V1078" s="323"/>
      <c r="W1078" s="323"/>
    </row>
    <row r="1079" spans="1:23" s="23" customFormat="1" ht="14.25" hidden="1" x14ac:dyDescent="0.2">
      <c r="A1079" s="381" t="s">
        <v>3842</v>
      </c>
      <c r="B1079" s="381" t="s">
        <v>324</v>
      </c>
      <c r="C1079" s="408" t="s">
        <v>4058</v>
      </c>
      <c r="D1079" s="381" t="s">
        <v>4059</v>
      </c>
      <c r="E1079" s="383" t="s">
        <v>276</v>
      </c>
      <c r="F1079" s="381" t="s">
        <v>4060</v>
      </c>
      <c r="G1079" s="384" t="s">
        <v>329</v>
      </c>
      <c r="H1079" s="24">
        <f>337.6+347.44+334.68+576.94</f>
        <v>1596.66</v>
      </c>
      <c r="I1079" s="24"/>
      <c r="J1079" s="25" t="str">
        <f t="shared" si="52"/>
        <v>1</v>
      </c>
      <c r="K1079" s="385"/>
      <c r="L1079" s="385"/>
      <c r="M1079" s="386">
        <f t="shared" si="50"/>
        <v>1596.66</v>
      </c>
      <c r="N1079" s="496">
        <v>248.02</v>
      </c>
      <c r="O1079" s="333">
        <f t="shared" si="51"/>
        <v>1844.68</v>
      </c>
      <c r="R1079" s="23" t="str">
        <f>VLOOKUP(C:C,'Historic Data - working'!A:B,1,FALSE)</f>
        <v>NOT065</v>
      </c>
      <c r="U1079" s="323"/>
      <c r="V1079" s="323"/>
      <c r="W1079" s="323"/>
    </row>
    <row r="1080" spans="1:23" s="23" customFormat="1" ht="14.25" hidden="1" x14ac:dyDescent="0.2">
      <c r="A1080" s="381" t="s">
        <v>3842</v>
      </c>
      <c r="B1080" s="381" t="s">
        <v>324</v>
      </c>
      <c r="C1080" s="408" t="s">
        <v>4061</v>
      </c>
      <c r="D1080" s="381" t="s">
        <v>4062</v>
      </c>
      <c r="E1080" s="383" t="s">
        <v>1371</v>
      </c>
      <c r="F1080" s="381" t="s">
        <v>4063</v>
      </c>
      <c r="G1080" s="384"/>
      <c r="H1080" s="24"/>
      <c r="I1080" s="24"/>
      <c r="J1080" s="25" t="str">
        <f t="shared" si="52"/>
        <v xml:space="preserve"> </v>
      </c>
      <c r="K1080" s="385"/>
      <c r="L1080" s="385"/>
      <c r="M1080" s="386">
        <f t="shared" si="50"/>
        <v>0</v>
      </c>
      <c r="N1080" s="496"/>
      <c r="O1080" s="333">
        <f t="shared" si="51"/>
        <v>0</v>
      </c>
      <c r="R1080" s="23" t="str">
        <f>VLOOKUP(C:C,'Historic Data - working'!A:B,1,FALSE)</f>
        <v>NOT066</v>
      </c>
      <c r="U1080" s="323"/>
      <c r="V1080" s="323"/>
      <c r="W1080" s="323"/>
    </row>
    <row r="1081" spans="1:23" s="23" customFormat="1" ht="14.25" hidden="1" x14ac:dyDescent="0.2">
      <c r="A1081" s="381" t="s">
        <v>3842</v>
      </c>
      <c r="B1081" s="381" t="s">
        <v>324</v>
      </c>
      <c r="C1081" s="408" t="s">
        <v>4064</v>
      </c>
      <c r="D1081" s="381" t="s">
        <v>4065</v>
      </c>
      <c r="E1081" s="383" t="s">
        <v>94</v>
      </c>
      <c r="F1081" s="381" t="s">
        <v>4066</v>
      </c>
      <c r="G1081" s="384" t="s">
        <v>329</v>
      </c>
      <c r="H1081" s="24">
        <f>308.84+356.68</f>
        <v>665.52</v>
      </c>
      <c r="I1081" s="24"/>
      <c r="J1081" s="25" t="str">
        <f t="shared" si="52"/>
        <v>1</v>
      </c>
      <c r="K1081" s="385"/>
      <c r="L1081" s="385"/>
      <c r="M1081" s="386">
        <f t="shared" si="50"/>
        <v>665.52</v>
      </c>
      <c r="N1081" s="496">
        <v>157.9</v>
      </c>
      <c r="O1081" s="333">
        <f t="shared" si="51"/>
        <v>823.42</v>
      </c>
      <c r="R1081" s="23" t="str">
        <f>VLOOKUP(C:C,'Historic Data - working'!A:B,1,FALSE)</f>
        <v>NOT067</v>
      </c>
      <c r="U1081" s="323"/>
      <c r="V1081" s="323"/>
      <c r="W1081" s="323"/>
    </row>
    <row r="1082" spans="1:23" s="23" customFormat="1" ht="14.25" hidden="1" x14ac:dyDescent="0.2">
      <c r="A1082" s="381" t="s">
        <v>3842</v>
      </c>
      <c r="B1082" s="381" t="s">
        <v>324</v>
      </c>
      <c r="C1082" s="408" t="s">
        <v>4067</v>
      </c>
      <c r="D1082" s="381" t="s">
        <v>4068</v>
      </c>
      <c r="E1082" s="383" t="s">
        <v>4069</v>
      </c>
      <c r="F1082" s="381" t="s">
        <v>4070</v>
      </c>
      <c r="G1082" s="384"/>
      <c r="H1082" s="24"/>
      <c r="I1082" s="24"/>
      <c r="J1082" s="25" t="str">
        <f t="shared" si="52"/>
        <v xml:space="preserve"> </v>
      </c>
      <c r="K1082" s="385" t="s">
        <v>337</v>
      </c>
      <c r="L1082" s="385">
        <v>231.31</v>
      </c>
      <c r="M1082" s="386">
        <f t="shared" si="50"/>
        <v>231.31</v>
      </c>
      <c r="N1082" s="496">
        <v>175</v>
      </c>
      <c r="O1082" s="333">
        <f t="shared" si="51"/>
        <v>406.31</v>
      </c>
      <c r="R1082" s="23" t="str">
        <f>VLOOKUP(C:C,'Historic Data - working'!A:B,1,FALSE)</f>
        <v>NOT068</v>
      </c>
      <c r="U1082" s="323"/>
      <c r="V1082" s="323"/>
      <c r="W1082" s="323"/>
    </row>
    <row r="1083" spans="1:23" s="23" customFormat="1" ht="14.25" hidden="1" x14ac:dyDescent="0.2">
      <c r="A1083" s="381" t="s">
        <v>3842</v>
      </c>
      <c r="B1083" s="381" t="s">
        <v>324</v>
      </c>
      <c r="C1083" s="408" t="s">
        <v>4071</v>
      </c>
      <c r="D1083" s="381" t="s">
        <v>4072</v>
      </c>
      <c r="E1083" s="383" t="s">
        <v>119</v>
      </c>
      <c r="F1083" s="381" t="s">
        <v>4073</v>
      </c>
      <c r="G1083" s="384" t="s">
        <v>329</v>
      </c>
      <c r="H1083" s="24">
        <f>131+63.4</f>
        <v>194.4</v>
      </c>
      <c r="I1083" s="24"/>
      <c r="J1083" s="25" t="str">
        <f t="shared" si="52"/>
        <v>1</v>
      </c>
      <c r="K1083" s="385"/>
      <c r="L1083" s="385"/>
      <c r="M1083" s="386">
        <f t="shared" si="50"/>
        <v>194.4</v>
      </c>
      <c r="N1083" s="496"/>
      <c r="O1083" s="333">
        <f t="shared" si="51"/>
        <v>194.4</v>
      </c>
      <c r="R1083" s="23" t="str">
        <f>VLOOKUP(C:C,'Historic Data - working'!A:B,1,FALSE)</f>
        <v>NOT069</v>
      </c>
      <c r="U1083" s="323"/>
      <c r="V1083" s="323"/>
      <c r="W1083" s="323"/>
    </row>
    <row r="1084" spans="1:23" s="23" customFormat="1" ht="14.25" hidden="1" x14ac:dyDescent="0.2">
      <c r="A1084" s="381" t="s">
        <v>3842</v>
      </c>
      <c r="B1084" s="381" t="s">
        <v>324</v>
      </c>
      <c r="C1084" s="408" t="s">
        <v>4074</v>
      </c>
      <c r="D1084" s="381" t="s">
        <v>4075</v>
      </c>
      <c r="E1084" s="383" t="s">
        <v>783</v>
      </c>
      <c r="F1084" s="381" t="s">
        <v>4076</v>
      </c>
      <c r="G1084" s="384" t="s">
        <v>329</v>
      </c>
      <c r="H1084" s="24">
        <f>70+51</f>
        <v>121</v>
      </c>
      <c r="I1084" s="24"/>
      <c r="J1084" s="25" t="str">
        <f t="shared" si="52"/>
        <v>1</v>
      </c>
      <c r="K1084" s="385"/>
      <c r="L1084" s="385"/>
      <c r="M1084" s="386">
        <f t="shared" si="50"/>
        <v>121</v>
      </c>
      <c r="N1084" s="496">
        <v>90</v>
      </c>
      <c r="O1084" s="333">
        <f t="shared" si="51"/>
        <v>211</v>
      </c>
      <c r="R1084" s="23" t="str">
        <f>VLOOKUP(C:C,'Historic Data - working'!A:B,1,FALSE)</f>
        <v>NOT070</v>
      </c>
      <c r="U1084" s="323"/>
      <c r="V1084" s="323"/>
      <c r="W1084" s="323"/>
    </row>
    <row r="1085" spans="1:23" s="23" customFormat="1" ht="14.25" hidden="1" x14ac:dyDescent="0.2">
      <c r="A1085" s="381" t="s">
        <v>3842</v>
      </c>
      <c r="B1085" s="381" t="s">
        <v>324</v>
      </c>
      <c r="C1085" s="408" t="s">
        <v>4077</v>
      </c>
      <c r="D1085" s="381" t="s">
        <v>4078</v>
      </c>
      <c r="E1085" s="383" t="s">
        <v>4079</v>
      </c>
      <c r="F1085" s="381" t="s">
        <v>4080</v>
      </c>
      <c r="G1085" s="384"/>
      <c r="H1085" s="24"/>
      <c r="I1085" s="24"/>
      <c r="J1085" s="25" t="str">
        <f t="shared" si="52"/>
        <v xml:space="preserve"> </v>
      </c>
      <c r="K1085" s="385"/>
      <c r="L1085" s="385"/>
      <c r="M1085" s="386">
        <f t="shared" si="50"/>
        <v>0</v>
      </c>
      <c r="N1085" s="496">
        <v>600</v>
      </c>
      <c r="O1085" s="333">
        <f t="shared" si="51"/>
        <v>600</v>
      </c>
      <c r="R1085" s="23" t="e">
        <f>VLOOKUP(C:C,'Historic Data - working'!A:B,1,FALSE)</f>
        <v>#N/A</v>
      </c>
      <c r="U1085" s="323"/>
      <c r="V1085" s="323"/>
      <c r="W1085" s="323"/>
    </row>
    <row r="1086" spans="1:23" s="23" customFormat="1" ht="14.25" hidden="1" x14ac:dyDescent="0.2">
      <c r="A1086" s="381" t="s">
        <v>3842</v>
      </c>
      <c r="B1086" s="381" t="s">
        <v>324</v>
      </c>
      <c r="C1086" s="408" t="s">
        <v>4081</v>
      </c>
      <c r="D1086" s="381" t="s">
        <v>4082</v>
      </c>
      <c r="E1086" s="383" t="s">
        <v>4083</v>
      </c>
      <c r="F1086" s="381" t="s">
        <v>4080</v>
      </c>
      <c r="G1086" s="384"/>
      <c r="H1086" s="24"/>
      <c r="I1086" s="24"/>
      <c r="J1086" s="25" t="str">
        <f t="shared" si="52"/>
        <v xml:space="preserve"> </v>
      </c>
      <c r="K1086" s="385"/>
      <c r="L1086" s="385"/>
      <c r="M1086" s="386">
        <f t="shared" si="50"/>
        <v>0</v>
      </c>
      <c r="N1086" s="496"/>
      <c r="O1086" s="333">
        <f t="shared" si="51"/>
        <v>0</v>
      </c>
      <c r="R1086" s="23" t="e">
        <f>VLOOKUP(C:C,'Historic Data - working'!A:B,1,FALSE)</f>
        <v>#N/A</v>
      </c>
      <c r="U1086" s="323"/>
      <c r="V1086" s="323"/>
      <c r="W1086" s="323"/>
    </row>
    <row r="1087" spans="1:23" s="23" customFormat="1" ht="14.25" hidden="1" x14ac:dyDescent="0.2">
      <c r="A1087" s="381" t="s">
        <v>3842</v>
      </c>
      <c r="B1087" s="381" t="s">
        <v>324</v>
      </c>
      <c r="C1087" s="408" t="s">
        <v>4084</v>
      </c>
      <c r="D1087" s="381" t="s">
        <v>4085</v>
      </c>
      <c r="E1087" s="383" t="s">
        <v>4086</v>
      </c>
      <c r="F1087" s="381" t="s">
        <v>4080</v>
      </c>
      <c r="G1087" s="384"/>
      <c r="H1087" s="24"/>
      <c r="I1087" s="24"/>
      <c r="J1087" s="25" t="str">
        <f t="shared" si="52"/>
        <v xml:space="preserve"> </v>
      </c>
      <c r="K1087" s="385"/>
      <c r="L1087" s="385"/>
      <c r="M1087" s="386">
        <f t="shared" si="50"/>
        <v>0</v>
      </c>
      <c r="N1087" s="496">
        <v>1444.97</v>
      </c>
      <c r="O1087" s="333">
        <f t="shared" si="51"/>
        <v>1444.97</v>
      </c>
      <c r="R1087" s="23" t="str">
        <f>VLOOKUP(C:C,'Historic Data - working'!A:B,1,FALSE)</f>
        <v>NOT072</v>
      </c>
      <c r="U1087" s="323"/>
      <c r="V1087" s="323"/>
      <c r="W1087" s="323"/>
    </row>
    <row r="1088" spans="1:23" s="23" customFormat="1" ht="14.25" hidden="1" x14ac:dyDescent="0.2">
      <c r="A1088" s="381" t="s">
        <v>3842</v>
      </c>
      <c r="B1088" s="381" t="s">
        <v>324</v>
      </c>
      <c r="C1088" s="408" t="s">
        <v>4087</v>
      </c>
      <c r="D1088" s="381" t="s">
        <v>4088</v>
      </c>
      <c r="E1088" s="383" t="s">
        <v>846</v>
      </c>
      <c r="F1088" s="381" t="s">
        <v>4080</v>
      </c>
      <c r="G1088" s="384" t="s">
        <v>329</v>
      </c>
      <c r="H1088" s="24"/>
      <c r="I1088" s="24">
        <v>42.33</v>
      </c>
      <c r="J1088" s="25" t="str">
        <f t="shared" si="52"/>
        <v>1</v>
      </c>
      <c r="K1088" s="385"/>
      <c r="L1088" s="385"/>
      <c r="M1088" s="386">
        <f t="shared" si="50"/>
        <v>0</v>
      </c>
      <c r="N1088" s="496">
        <v>237.32999999999998</v>
      </c>
      <c r="O1088" s="333">
        <f t="shared" si="51"/>
        <v>237.32999999999998</v>
      </c>
      <c r="R1088" s="23" t="str">
        <f>VLOOKUP(C:C,'Historic Data - working'!A:B,1,FALSE)</f>
        <v>NOT073</v>
      </c>
      <c r="U1088" s="323"/>
      <c r="V1088" s="323"/>
      <c r="W1088" s="323"/>
    </row>
    <row r="1089" spans="1:23" s="23" customFormat="1" ht="14.25" hidden="1" x14ac:dyDescent="0.2">
      <c r="A1089" s="381" t="s">
        <v>3842</v>
      </c>
      <c r="B1089" s="381" t="s">
        <v>324</v>
      </c>
      <c r="C1089" s="408" t="s">
        <v>4089</v>
      </c>
      <c r="D1089" s="381" t="s">
        <v>4090</v>
      </c>
      <c r="E1089" s="383" t="s">
        <v>938</v>
      </c>
      <c r="F1089" s="381" t="s">
        <v>4080</v>
      </c>
      <c r="G1089" s="384"/>
      <c r="H1089" s="24"/>
      <c r="I1089" s="24"/>
      <c r="J1089" s="25" t="str">
        <f t="shared" si="52"/>
        <v xml:space="preserve"> </v>
      </c>
      <c r="K1089" s="385"/>
      <c r="L1089" s="385"/>
      <c r="M1089" s="386">
        <f t="shared" si="50"/>
        <v>0</v>
      </c>
      <c r="N1089" s="496"/>
      <c r="O1089" s="333">
        <f t="shared" si="51"/>
        <v>0</v>
      </c>
      <c r="R1089" s="23" t="e">
        <f>VLOOKUP(C:C,'Historic Data - working'!A:B,1,FALSE)</f>
        <v>#N/A</v>
      </c>
      <c r="U1089" s="323"/>
      <c r="V1089" s="323"/>
      <c r="W1089" s="323"/>
    </row>
    <row r="1090" spans="1:23" s="23" customFormat="1" ht="14.25" hidden="1" x14ac:dyDescent="0.2">
      <c r="A1090" s="381" t="s">
        <v>3842</v>
      </c>
      <c r="B1090" s="381" t="s">
        <v>324</v>
      </c>
      <c r="C1090" s="408" t="s">
        <v>4091</v>
      </c>
      <c r="D1090" s="381" t="s">
        <v>4092</v>
      </c>
      <c r="E1090" s="383" t="s">
        <v>4093</v>
      </c>
      <c r="F1090" s="381" t="s">
        <v>4080</v>
      </c>
      <c r="G1090" s="384" t="s">
        <v>329</v>
      </c>
      <c r="H1090" s="24">
        <v>331.41</v>
      </c>
      <c r="I1090" s="24"/>
      <c r="J1090" s="25" t="str">
        <f t="shared" si="52"/>
        <v>1</v>
      </c>
      <c r="K1090" s="387" t="s">
        <v>4094</v>
      </c>
      <c r="L1090" s="385">
        <v>9.58</v>
      </c>
      <c r="M1090" s="386">
        <f t="shared" ref="M1090:M1153" si="53">H1090+L1090</f>
        <v>340.99</v>
      </c>
      <c r="N1090" s="496">
        <v>370</v>
      </c>
      <c r="O1090" s="333">
        <f t="shared" ref="O1090:O1153" si="54">M1090+N1090</f>
        <v>710.99</v>
      </c>
      <c r="R1090" s="23" t="str">
        <f>VLOOKUP(C:C,'Historic Data - working'!A:B,1,FALSE)</f>
        <v>NOT074</v>
      </c>
      <c r="U1090" s="323"/>
      <c r="V1090" s="323"/>
      <c r="W1090" s="323"/>
    </row>
    <row r="1091" spans="1:23" s="23" customFormat="1" ht="14.25" hidden="1" x14ac:dyDescent="0.2">
      <c r="A1091" s="381" t="s">
        <v>3842</v>
      </c>
      <c r="B1091" s="381" t="s">
        <v>324</v>
      </c>
      <c r="C1091" s="408" t="s">
        <v>4095</v>
      </c>
      <c r="D1091" s="381" t="s">
        <v>4096</v>
      </c>
      <c r="E1091" s="383" t="s">
        <v>4017</v>
      </c>
      <c r="F1091" s="381" t="s">
        <v>4080</v>
      </c>
      <c r="G1091" s="384"/>
      <c r="H1091" s="24"/>
      <c r="I1091" s="24"/>
      <c r="J1091" s="25" t="str">
        <f t="shared" si="52"/>
        <v xml:space="preserve"> </v>
      </c>
      <c r="K1091" s="385" t="s">
        <v>337</v>
      </c>
      <c r="L1091" s="385">
        <v>65.209999999999994</v>
      </c>
      <c r="M1091" s="386">
        <f t="shared" si="53"/>
        <v>65.209999999999994</v>
      </c>
      <c r="N1091" s="496"/>
      <c r="O1091" s="333">
        <f t="shared" si="54"/>
        <v>65.209999999999994</v>
      </c>
      <c r="R1091" s="23" t="str">
        <f>VLOOKUP(C:C,'Historic Data - working'!A:B,1,FALSE)</f>
        <v>NOT075</v>
      </c>
      <c r="U1091" s="323"/>
      <c r="V1091" s="323"/>
      <c r="W1091" s="323"/>
    </row>
    <row r="1092" spans="1:23" s="23" customFormat="1" ht="14.25" hidden="1" x14ac:dyDescent="0.2">
      <c r="A1092" s="381" t="s">
        <v>3842</v>
      </c>
      <c r="B1092" s="381" t="s">
        <v>324</v>
      </c>
      <c r="C1092" s="408" t="s">
        <v>4097</v>
      </c>
      <c r="D1092" s="381" t="s">
        <v>4098</v>
      </c>
      <c r="E1092" s="383" t="s">
        <v>3771</v>
      </c>
      <c r="F1092" s="381" t="s">
        <v>4080</v>
      </c>
      <c r="G1092" s="384" t="s">
        <v>329</v>
      </c>
      <c r="H1092" s="24">
        <v>260.02</v>
      </c>
      <c r="I1092" s="24"/>
      <c r="J1092" s="25" t="str">
        <f t="shared" si="52"/>
        <v>1</v>
      </c>
      <c r="K1092" s="385"/>
      <c r="L1092" s="385"/>
      <c r="M1092" s="386">
        <f t="shared" si="53"/>
        <v>260.02</v>
      </c>
      <c r="N1092" s="496">
        <v>184</v>
      </c>
      <c r="O1092" s="333">
        <f t="shared" si="54"/>
        <v>444.02</v>
      </c>
      <c r="R1092" s="23" t="str">
        <f>VLOOKUP(C:C,'Historic Data - working'!A:B,1,FALSE)</f>
        <v>NOT076</v>
      </c>
      <c r="U1092" s="323"/>
      <c r="V1092" s="323"/>
      <c r="W1092" s="323"/>
    </row>
    <row r="1093" spans="1:23" s="23" customFormat="1" ht="14.25" hidden="1" x14ac:dyDescent="0.2">
      <c r="A1093" s="381" t="s">
        <v>3842</v>
      </c>
      <c r="B1093" s="381" t="s">
        <v>324</v>
      </c>
      <c r="C1093" s="408" t="s">
        <v>4099</v>
      </c>
      <c r="D1093" s="381" t="s">
        <v>4100</v>
      </c>
      <c r="E1093" s="383" t="s">
        <v>284</v>
      </c>
      <c r="F1093" s="381" t="s">
        <v>4080</v>
      </c>
      <c r="G1093" s="384"/>
      <c r="H1093" s="24"/>
      <c r="I1093" s="24"/>
      <c r="J1093" s="25" t="str">
        <f t="shared" si="52"/>
        <v xml:space="preserve"> </v>
      </c>
      <c r="K1093" s="385"/>
      <c r="L1093" s="385"/>
      <c r="M1093" s="386">
        <f t="shared" si="53"/>
        <v>0</v>
      </c>
      <c r="N1093" s="496"/>
      <c r="O1093" s="333">
        <f t="shared" si="54"/>
        <v>0</v>
      </c>
      <c r="R1093" s="23" t="e">
        <f>VLOOKUP(C:C,'Historic Data - working'!A:B,1,FALSE)</f>
        <v>#N/A</v>
      </c>
      <c r="U1093" s="323"/>
      <c r="V1093" s="323"/>
      <c r="W1093" s="323"/>
    </row>
    <row r="1094" spans="1:23" s="23" customFormat="1" ht="14.25" hidden="1" x14ac:dyDescent="0.2">
      <c r="A1094" s="381" t="s">
        <v>3842</v>
      </c>
      <c r="B1094" s="381" t="s">
        <v>324</v>
      </c>
      <c r="C1094" s="408" t="s">
        <v>4101</v>
      </c>
      <c r="D1094" s="381" t="s">
        <v>4102</v>
      </c>
      <c r="E1094" s="383" t="s">
        <v>61</v>
      </c>
      <c r="F1094" s="381" t="s">
        <v>4080</v>
      </c>
      <c r="G1094" s="384" t="s">
        <v>329</v>
      </c>
      <c r="H1094" s="24">
        <f>374.78+27.42+98+130+47.09+39.25+73.92+31.18+117.74</f>
        <v>939.38</v>
      </c>
      <c r="I1094" s="24"/>
      <c r="J1094" s="25" t="str">
        <f t="shared" si="52"/>
        <v>1</v>
      </c>
      <c r="K1094" s="387" t="s">
        <v>4103</v>
      </c>
      <c r="L1094" s="385">
        <v>0.85</v>
      </c>
      <c r="M1094" s="386">
        <f t="shared" si="53"/>
        <v>940.23</v>
      </c>
      <c r="N1094" s="496">
        <v>791.97</v>
      </c>
      <c r="O1094" s="333">
        <f t="shared" si="54"/>
        <v>1732.2</v>
      </c>
      <c r="R1094" s="23" t="str">
        <f>VLOOKUP(C:C,'Historic Data - working'!A:B,1,FALSE)</f>
        <v>NOT078</v>
      </c>
      <c r="U1094" s="323"/>
      <c r="V1094" s="323"/>
      <c r="W1094" s="323"/>
    </row>
    <row r="1095" spans="1:23" s="23" customFormat="1" ht="14.25" hidden="1" x14ac:dyDescent="0.2">
      <c r="A1095" s="381" t="s">
        <v>3842</v>
      </c>
      <c r="B1095" s="381" t="s">
        <v>324</v>
      </c>
      <c r="C1095" s="408" t="s">
        <v>4104</v>
      </c>
      <c r="D1095" s="381" t="s">
        <v>4105</v>
      </c>
      <c r="E1095" s="383" t="s">
        <v>4106</v>
      </c>
      <c r="F1095" s="381" t="s">
        <v>4080</v>
      </c>
      <c r="G1095" s="384"/>
      <c r="H1095" s="24"/>
      <c r="I1095" s="24"/>
      <c r="J1095" s="25" t="str">
        <f t="shared" si="52"/>
        <v xml:space="preserve"> </v>
      </c>
      <c r="K1095" s="385"/>
      <c r="L1095" s="385"/>
      <c r="M1095" s="386">
        <f t="shared" si="53"/>
        <v>0</v>
      </c>
      <c r="N1095" s="496"/>
      <c r="O1095" s="333">
        <f t="shared" si="54"/>
        <v>0</v>
      </c>
      <c r="R1095" s="23" t="e">
        <f>VLOOKUP(C:C,'Historic Data - working'!A:B,1,FALSE)</f>
        <v>#N/A</v>
      </c>
      <c r="U1095" s="323"/>
      <c r="V1095" s="323"/>
      <c r="W1095" s="323"/>
    </row>
    <row r="1096" spans="1:23" s="23" customFormat="1" ht="14.25" hidden="1" x14ac:dyDescent="0.2">
      <c r="A1096" s="381" t="s">
        <v>3842</v>
      </c>
      <c r="B1096" s="381" t="s">
        <v>324</v>
      </c>
      <c r="C1096" s="408" t="s">
        <v>4107</v>
      </c>
      <c r="D1096" s="381" t="s">
        <v>4108</v>
      </c>
      <c r="E1096" s="383" t="s">
        <v>4109</v>
      </c>
      <c r="F1096" s="381" t="s">
        <v>4080</v>
      </c>
      <c r="G1096" s="384"/>
      <c r="H1096" s="24"/>
      <c r="I1096" s="24"/>
      <c r="J1096" s="25" t="str">
        <f t="shared" si="52"/>
        <v xml:space="preserve"> </v>
      </c>
      <c r="K1096" s="385" t="s">
        <v>337</v>
      </c>
      <c r="L1096" s="385">
        <v>354.11</v>
      </c>
      <c r="M1096" s="386">
        <f t="shared" si="53"/>
        <v>354.11</v>
      </c>
      <c r="N1096" s="496">
        <v>120</v>
      </c>
      <c r="O1096" s="333">
        <f t="shared" si="54"/>
        <v>474.11</v>
      </c>
      <c r="R1096" s="23" t="str">
        <f>VLOOKUP(C:C,'Historic Data - working'!A:B,1,FALSE)</f>
        <v>NOT079</v>
      </c>
      <c r="U1096" s="323"/>
      <c r="V1096" s="323"/>
      <c r="W1096" s="323"/>
    </row>
    <row r="1097" spans="1:23" s="23" customFormat="1" ht="14.25" hidden="1" x14ac:dyDescent="0.2">
      <c r="A1097" s="381" t="s">
        <v>3842</v>
      </c>
      <c r="B1097" s="381" t="s">
        <v>324</v>
      </c>
      <c r="C1097" s="408" t="s">
        <v>4110</v>
      </c>
      <c r="D1097" s="381" t="s">
        <v>4111</v>
      </c>
      <c r="E1097" s="383" t="s">
        <v>276</v>
      </c>
      <c r="F1097" s="381" t="s">
        <v>4080</v>
      </c>
      <c r="G1097" s="384" t="s">
        <v>329</v>
      </c>
      <c r="H1097" s="24">
        <f>140.3+124.15</f>
        <v>264.45000000000005</v>
      </c>
      <c r="I1097" s="24"/>
      <c r="J1097" s="25" t="str">
        <f t="shared" si="52"/>
        <v>1</v>
      </c>
      <c r="K1097" s="385"/>
      <c r="L1097" s="385"/>
      <c r="M1097" s="386">
        <f t="shared" si="53"/>
        <v>264.45000000000005</v>
      </c>
      <c r="N1097" s="496">
        <v>52</v>
      </c>
      <c r="O1097" s="333">
        <f t="shared" si="54"/>
        <v>316.45000000000005</v>
      </c>
      <c r="R1097" s="23" t="str">
        <f>VLOOKUP(C:C,'Historic Data - working'!A:B,1,FALSE)</f>
        <v>NOT080</v>
      </c>
      <c r="U1097" s="323"/>
      <c r="V1097" s="323"/>
      <c r="W1097" s="323"/>
    </row>
    <row r="1098" spans="1:23" s="23" customFormat="1" ht="14.25" hidden="1" x14ac:dyDescent="0.2">
      <c r="A1098" s="381" t="s">
        <v>3842</v>
      </c>
      <c r="B1098" s="381" t="s">
        <v>324</v>
      </c>
      <c r="C1098" s="408" t="s">
        <v>4112</v>
      </c>
      <c r="D1098" s="381" t="s">
        <v>4113</v>
      </c>
      <c r="E1098" s="383" t="s">
        <v>4114</v>
      </c>
      <c r="F1098" s="381" t="s">
        <v>4080</v>
      </c>
      <c r="G1098" s="384" t="s">
        <v>329</v>
      </c>
      <c r="H1098" s="24">
        <f>407.82+384.36</f>
        <v>792.18000000000006</v>
      </c>
      <c r="I1098" s="24"/>
      <c r="J1098" s="25" t="str">
        <f t="shared" si="52"/>
        <v>1</v>
      </c>
      <c r="K1098" s="385"/>
      <c r="L1098" s="385"/>
      <c r="M1098" s="386">
        <f t="shared" si="53"/>
        <v>792.18000000000006</v>
      </c>
      <c r="N1098" s="496">
        <v>390</v>
      </c>
      <c r="O1098" s="333">
        <f t="shared" si="54"/>
        <v>1182.18</v>
      </c>
      <c r="R1098" s="23" t="str">
        <f>VLOOKUP(C:C,'Historic Data - working'!A:B,1,FALSE)</f>
        <v>NOT081</v>
      </c>
      <c r="U1098" s="323"/>
      <c r="V1098" s="323"/>
      <c r="W1098" s="323"/>
    </row>
    <row r="1099" spans="1:23" s="23" customFormat="1" ht="14.25" hidden="1" x14ac:dyDescent="0.2">
      <c r="A1099" s="381" t="s">
        <v>3842</v>
      </c>
      <c r="B1099" s="381" t="s">
        <v>324</v>
      </c>
      <c r="C1099" s="408" t="s">
        <v>4115</v>
      </c>
      <c r="D1099" s="381" t="s">
        <v>4116</v>
      </c>
      <c r="E1099" s="383" t="s">
        <v>4117</v>
      </c>
      <c r="F1099" s="381" t="s">
        <v>4118</v>
      </c>
      <c r="G1099" s="384" t="s">
        <v>329</v>
      </c>
      <c r="H1099" s="24">
        <v>923.85</v>
      </c>
      <c r="I1099" s="24"/>
      <c r="J1099" s="25" t="str">
        <f t="shared" si="52"/>
        <v>1</v>
      </c>
      <c r="K1099" s="409" t="s">
        <v>4119</v>
      </c>
      <c r="L1099" s="385"/>
      <c r="M1099" s="386">
        <f t="shared" si="53"/>
        <v>923.85</v>
      </c>
      <c r="N1099" s="496">
        <v>230</v>
      </c>
      <c r="O1099" s="333">
        <f t="shared" si="54"/>
        <v>1153.8499999999999</v>
      </c>
      <c r="R1099" s="23" t="str">
        <f>VLOOKUP(C:C,'Historic Data - working'!A:B,1,FALSE)</f>
        <v>NOT082</v>
      </c>
      <c r="U1099" s="323"/>
      <c r="V1099" s="323"/>
      <c r="W1099" s="323"/>
    </row>
    <row r="1100" spans="1:23" s="23" customFormat="1" ht="14.25" hidden="1" x14ac:dyDescent="0.2">
      <c r="A1100" s="381" t="s">
        <v>3842</v>
      </c>
      <c r="B1100" s="381" t="s">
        <v>324</v>
      </c>
      <c r="C1100" s="408" t="s">
        <v>4120</v>
      </c>
      <c r="D1100" s="381" t="s">
        <v>4121</v>
      </c>
      <c r="E1100" s="383" t="s">
        <v>4122</v>
      </c>
      <c r="F1100" s="381" t="s">
        <v>4123</v>
      </c>
      <c r="G1100" s="384"/>
      <c r="H1100" s="24"/>
      <c r="I1100" s="24"/>
      <c r="J1100" s="25" t="str">
        <f t="shared" si="52"/>
        <v xml:space="preserve"> </v>
      </c>
      <c r="K1100" s="385"/>
      <c r="L1100" s="385"/>
      <c r="M1100" s="386">
        <f t="shared" si="53"/>
        <v>0</v>
      </c>
      <c r="N1100" s="496"/>
      <c r="O1100" s="333">
        <f t="shared" si="54"/>
        <v>0</v>
      </c>
      <c r="R1100" s="23" t="e">
        <f>VLOOKUP(C:C,'Historic Data - working'!A:B,1,FALSE)</f>
        <v>#N/A</v>
      </c>
      <c r="U1100" s="323"/>
      <c r="V1100" s="323"/>
      <c r="W1100" s="323"/>
    </row>
    <row r="1101" spans="1:23" s="23" customFormat="1" ht="14.25" hidden="1" x14ac:dyDescent="0.2">
      <c r="A1101" s="381" t="s">
        <v>3842</v>
      </c>
      <c r="B1101" s="381" t="s">
        <v>324</v>
      </c>
      <c r="C1101" s="408" t="s">
        <v>4124</v>
      </c>
      <c r="D1101" s="381" t="s">
        <v>4125</v>
      </c>
      <c r="E1101" s="383" t="s">
        <v>4126</v>
      </c>
      <c r="F1101" s="381" t="s">
        <v>4118</v>
      </c>
      <c r="G1101" s="384" t="s">
        <v>329</v>
      </c>
      <c r="H1101" s="24">
        <f>9.07+161.64+124.43+90.51+142.87+106.85+81.79+38.64+215+150+143+142.29</f>
        <v>1406.09</v>
      </c>
      <c r="I1101" s="24"/>
      <c r="J1101" s="25" t="str">
        <f t="shared" si="52"/>
        <v>1</v>
      </c>
      <c r="K1101" s="385"/>
      <c r="L1101" s="385"/>
      <c r="M1101" s="386">
        <f t="shared" si="53"/>
        <v>1406.09</v>
      </c>
      <c r="N1101" s="496">
        <v>280</v>
      </c>
      <c r="O1101" s="333">
        <f t="shared" si="54"/>
        <v>1686.09</v>
      </c>
      <c r="R1101" s="23" t="str">
        <f>VLOOKUP(C:C,'Historic Data - working'!A:B,1,FALSE)</f>
        <v>NOT083</v>
      </c>
      <c r="U1101" s="323"/>
      <c r="V1101" s="323"/>
      <c r="W1101" s="323"/>
    </row>
    <row r="1102" spans="1:23" s="23" customFormat="1" ht="14.25" hidden="1" x14ac:dyDescent="0.2">
      <c r="A1102" s="381" t="s">
        <v>3842</v>
      </c>
      <c r="B1102" s="381" t="s">
        <v>324</v>
      </c>
      <c r="C1102" s="408" t="s">
        <v>4127</v>
      </c>
      <c r="D1102" s="381" t="s">
        <v>4128</v>
      </c>
      <c r="E1102" s="383" t="s">
        <v>942</v>
      </c>
      <c r="F1102" s="381" t="s">
        <v>4118</v>
      </c>
      <c r="G1102" s="384" t="s">
        <v>329</v>
      </c>
      <c r="H1102" s="24">
        <f>230.07+116.13+107.79</f>
        <v>453.99</v>
      </c>
      <c r="I1102" s="24"/>
      <c r="J1102" s="25" t="str">
        <f t="shared" si="52"/>
        <v>1</v>
      </c>
      <c r="K1102" s="385"/>
      <c r="L1102" s="385"/>
      <c r="M1102" s="386">
        <f t="shared" si="53"/>
        <v>453.99</v>
      </c>
      <c r="N1102" s="496">
        <v>398</v>
      </c>
      <c r="O1102" s="333">
        <f t="shared" si="54"/>
        <v>851.99</v>
      </c>
      <c r="R1102" s="23" t="str">
        <f>VLOOKUP(C:C,'Historic Data - working'!A:B,1,FALSE)</f>
        <v>NOT084</v>
      </c>
      <c r="U1102" s="323"/>
      <c r="V1102" s="323"/>
      <c r="W1102" s="323"/>
    </row>
    <row r="1103" spans="1:23" s="23" customFormat="1" ht="14.25" hidden="1" x14ac:dyDescent="0.2">
      <c r="A1103" s="381" t="s">
        <v>3842</v>
      </c>
      <c r="B1103" s="381" t="s">
        <v>324</v>
      </c>
      <c r="C1103" s="408" t="s">
        <v>4129</v>
      </c>
      <c r="D1103" s="381" t="s">
        <v>4130</v>
      </c>
      <c r="E1103" s="383" t="s">
        <v>896</v>
      </c>
      <c r="F1103" s="381" t="s">
        <v>4131</v>
      </c>
      <c r="G1103" s="384" t="s">
        <v>329</v>
      </c>
      <c r="H1103" s="24">
        <v>213.81</v>
      </c>
      <c r="I1103" s="24"/>
      <c r="J1103" s="25" t="str">
        <f t="shared" si="52"/>
        <v>1</v>
      </c>
      <c r="K1103" s="385"/>
      <c r="L1103" s="385"/>
      <c r="M1103" s="386">
        <f t="shared" si="53"/>
        <v>213.81</v>
      </c>
      <c r="N1103" s="496">
        <v>475</v>
      </c>
      <c r="O1103" s="333">
        <f t="shared" si="54"/>
        <v>688.81</v>
      </c>
      <c r="R1103" s="23" t="str">
        <f>VLOOKUP(C:C,'Historic Data - working'!A:B,1,FALSE)</f>
        <v>NOT085</v>
      </c>
      <c r="U1103" s="323"/>
      <c r="V1103" s="323"/>
      <c r="W1103" s="323"/>
    </row>
    <row r="1104" spans="1:23" s="23" customFormat="1" ht="14.25" hidden="1" x14ac:dyDescent="0.2">
      <c r="A1104" s="381" t="s">
        <v>3842</v>
      </c>
      <c r="B1104" s="381" t="s">
        <v>324</v>
      </c>
      <c r="C1104" s="408" t="s">
        <v>4132</v>
      </c>
      <c r="D1104" s="381" t="s">
        <v>4133</v>
      </c>
      <c r="E1104" s="383" t="s">
        <v>31</v>
      </c>
      <c r="F1104" s="381" t="s">
        <v>4134</v>
      </c>
      <c r="G1104" s="384" t="s">
        <v>329</v>
      </c>
      <c r="H1104" s="24">
        <v>329.81</v>
      </c>
      <c r="I1104" s="24"/>
      <c r="J1104" s="25" t="str">
        <f t="shared" si="52"/>
        <v>1</v>
      </c>
      <c r="K1104" s="385"/>
      <c r="L1104" s="385"/>
      <c r="M1104" s="386">
        <f t="shared" si="53"/>
        <v>329.81</v>
      </c>
      <c r="N1104" s="496">
        <v>183</v>
      </c>
      <c r="O1104" s="333">
        <f t="shared" si="54"/>
        <v>512.80999999999995</v>
      </c>
      <c r="R1104" s="23" t="str">
        <f>VLOOKUP(C:C,'Historic Data - working'!A:B,1,FALSE)</f>
        <v>NOT086</v>
      </c>
      <c r="U1104" s="323"/>
      <c r="V1104" s="323"/>
      <c r="W1104" s="323"/>
    </row>
    <row r="1105" spans="1:23" s="23" customFormat="1" ht="14.25" hidden="1" x14ac:dyDescent="0.2">
      <c r="A1105" s="381" t="s">
        <v>3842</v>
      </c>
      <c r="B1105" s="381" t="s">
        <v>324</v>
      </c>
      <c r="C1105" s="408" t="s">
        <v>4135</v>
      </c>
      <c r="D1105" s="381" t="s">
        <v>4136</v>
      </c>
      <c r="E1105" s="383" t="s">
        <v>3225</v>
      </c>
      <c r="F1105" s="381" t="s">
        <v>4134</v>
      </c>
      <c r="G1105" s="384" t="s">
        <v>329</v>
      </c>
      <c r="H1105" s="24">
        <f>30.23+105+45.96+20</f>
        <v>201.19</v>
      </c>
      <c r="I1105" s="24"/>
      <c r="J1105" s="25" t="str">
        <f t="shared" si="52"/>
        <v>1</v>
      </c>
      <c r="K1105" s="385"/>
      <c r="L1105" s="385"/>
      <c r="M1105" s="386">
        <f t="shared" si="53"/>
        <v>201.19</v>
      </c>
      <c r="N1105" s="496">
        <v>145</v>
      </c>
      <c r="O1105" s="333">
        <f t="shared" si="54"/>
        <v>346.19</v>
      </c>
      <c r="R1105" s="23" t="str">
        <f>VLOOKUP(C:C,'Historic Data - working'!A:B,1,FALSE)</f>
        <v>NOT087</v>
      </c>
      <c r="U1105" s="323"/>
      <c r="V1105" s="323"/>
      <c r="W1105" s="323"/>
    </row>
    <row r="1106" spans="1:23" s="23" customFormat="1" ht="14.25" hidden="1" x14ac:dyDescent="0.2">
      <c r="A1106" s="381" t="s">
        <v>3842</v>
      </c>
      <c r="B1106" s="381" t="s">
        <v>324</v>
      </c>
      <c r="C1106" s="408" t="s">
        <v>4137</v>
      </c>
      <c r="D1106" s="381" t="s">
        <v>4138</v>
      </c>
      <c r="E1106" s="383" t="s">
        <v>31</v>
      </c>
      <c r="F1106" s="381" t="s">
        <v>4139</v>
      </c>
      <c r="G1106" s="384"/>
      <c r="H1106" s="24"/>
      <c r="I1106" s="24"/>
      <c r="J1106" s="25" t="str">
        <f t="shared" si="52"/>
        <v xml:space="preserve"> </v>
      </c>
      <c r="K1106" s="385"/>
      <c r="L1106" s="385"/>
      <c r="M1106" s="386">
        <f t="shared" si="53"/>
        <v>0</v>
      </c>
      <c r="N1106" s="496">
        <v>490</v>
      </c>
      <c r="O1106" s="333">
        <f t="shared" si="54"/>
        <v>490</v>
      </c>
      <c r="R1106" s="23" t="str">
        <f>VLOOKUP(C:C,'Historic Data - working'!A:B,1,FALSE)</f>
        <v>NOT088</v>
      </c>
      <c r="U1106" s="323"/>
      <c r="V1106" s="323"/>
      <c r="W1106" s="323"/>
    </row>
    <row r="1107" spans="1:23" s="23" customFormat="1" ht="14.25" hidden="1" x14ac:dyDescent="0.2">
      <c r="A1107" s="381" t="s">
        <v>3842</v>
      </c>
      <c r="B1107" s="381" t="s">
        <v>324</v>
      </c>
      <c r="C1107" s="408" t="s">
        <v>4140</v>
      </c>
      <c r="D1107" s="381" t="s">
        <v>4141</v>
      </c>
      <c r="E1107" s="383" t="s">
        <v>4142</v>
      </c>
      <c r="F1107" s="381" t="s">
        <v>4143</v>
      </c>
      <c r="G1107" s="384" t="s">
        <v>329</v>
      </c>
      <c r="H1107" s="24">
        <f>101.67+118.46</f>
        <v>220.13</v>
      </c>
      <c r="I1107" s="24"/>
      <c r="J1107" s="25" t="str">
        <f t="shared" si="52"/>
        <v>1</v>
      </c>
      <c r="K1107" s="385"/>
      <c r="L1107" s="385"/>
      <c r="M1107" s="386">
        <f t="shared" si="53"/>
        <v>220.13</v>
      </c>
      <c r="N1107" s="496">
        <v>360</v>
      </c>
      <c r="O1107" s="333">
        <f t="shared" si="54"/>
        <v>580.13</v>
      </c>
      <c r="R1107" s="23" t="str">
        <f>VLOOKUP(C:C,'Historic Data - working'!A:B,1,FALSE)</f>
        <v>NOT089</v>
      </c>
      <c r="U1107" s="323"/>
      <c r="V1107" s="323"/>
      <c r="W1107" s="323"/>
    </row>
    <row r="1108" spans="1:23" s="23" customFormat="1" ht="14.25" hidden="1" x14ac:dyDescent="0.2">
      <c r="A1108" s="381" t="s">
        <v>3842</v>
      </c>
      <c r="B1108" s="381" t="s">
        <v>324</v>
      </c>
      <c r="C1108" s="408" t="s">
        <v>4144</v>
      </c>
      <c r="D1108" s="381" t="s">
        <v>4145</v>
      </c>
      <c r="E1108" s="383" t="s">
        <v>61</v>
      </c>
      <c r="F1108" s="381" t="s">
        <v>4146</v>
      </c>
      <c r="G1108" s="384" t="s">
        <v>329</v>
      </c>
      <c r="H1108" s="24">
        <f>234.02+336.7+261.15</f>
        <v>831.87</v>
      </c>
      <c r="I1108" s="24"/>
      <c r="J1108" s="25" t="str">
        <f t="shared" si="52"/>
        <v>1</v>
      </c>
      <c r="K1108" s="385"/>
      <c r="L1108" s="385"/>
      <c r="M1108" s="386">
        <f t="shared" si="53"/>
        <v>831.87</v>
      </c>
      <c r="N1108" s="496">
        <v>75</v>
      </c>
      <c r="O1108" s="333">
        <f t="shared" si="54"/>
        <v>906.87</v>
      </c>
      <c r="R1108" s="23" t="str">
        <f>VLOOKUP(C:C,'Historic Data - working'!A:B,1,FALSE)</f>
        <v>NOT090</v>
      </c>
      <c r="U1108" s="323"/>
      <c r="V1108" s="323"/>
      <c r="W1108" s="323"/>
    </row>
    <row r="1109" spans="1:23" s="23" customFormat="1" ht="14.25" hidden="1" x14ac:dyDescent="0.2">
      <c r="A1109" s="381" t="s">
        <v>3842</v>
      </c>
      <c r="B1109" s="381" t="s">
        <v>324</v>
      </c>
      <c r="C1109" s="408" t="s">
        <v>4147</v>
      </c>
      <c r="D1109" s="381" t="s">
        <v>4148</v>
      </c>
      <c r="E1109" s="383" t="s">
        <v>4149</v>
      </c>
      <c r="F1109" s="381" t="s">
        <v>4150</v>
      </c>
      <c r="G1109" s="384"/>
      <c r="H1109" s="24"/>
      <c r="I1109" s="24"/>
      <c r="J1109" s="25" t="str">
        <f t="shared" si="52"/>
        <v xml:space="preserve"> </v>
      </c>
      <c r="K1109" s="385"/>
      <c r="L1109" s="385"/>
      <c r="M1109" s="386">
        <f t="shared" si="53"/>
        <v>0</v>
      </c>
      <c r="N1109" s="496">
        <v>371.89</v>
      </c>
      <c r="O1109" s="333">
        <f t="shared" si="54"/>
        <v>371.89</v>
      </c>
      <c r="R1109" s="23" t="str">
        <f>VLOOKUP(C:C,'Historic Data - working'!A:B,1,FALSE)</f>
        <v>NOT091</v>
      </c>
      <c r="U1109" s="323"/>
      <c r="V1109" s="323"/>
      <c r="W1109" s="323"/>
    </row>
    <row r="1110" spans="1:23" s="23" customFormat="1" ht="14.25" hidden="1" x14ac:dyDescent="0.2">
      <c r="A1110" s="381" t="s">
        <v>3842</v>
      </c>
      <c r="B1110" s="381" t="s">
        <v>324</v>
      </c>
      <c r="C1110" s="408" t="s">
        <v>4151</v>
      </c>
      <c r="D1110" s="381" t="s">
        <v>4152</v>
      </c>
      <c r="E1110" s="383" t="s">
        <v>4153</v>
      </c>
      <c r="F1110" s="381" t="s">
        <v>4150</v>
      </c>
      <c r="G1110" s="384" t="s">
        <v>329</v>
      </c>
      <c r="H1110" s="24">
        <f>425.21+17.59</f>
        <v>442.79999999999995</v>
      </c>
      <c r="I1110" s="24"/>
      <c r="J1110" s="25" t="str">
        <f t="shared" si="52"/>
        <v>1</v>
      </c>
      <c r="K1110" s="385"/>
      <c r="L1110" s="385"/>
      <c r="M1110" s="386">
        <f t="shared" si="53"/>
        <v>442.79999999999995</v>
      </c>
      <c r="N1110" s="496">
        <v>155</v>
      </c>
      <c r="O1110" s="334">
        <f t="shared" si="54"/>
        <v>597.79999999999995</v>
      </c>
      <c r="P1110" s="351"/>
      <c r="Q1110" s="331"/>
      <c r="R1110" s="331" t="e">
        <f>VLOOKUP(C:C,'Historic Data - working'!A:B,1,FALSE)</f>
        <v>#N/A</v>
      </c>
      <c r="U1110" s="323"/>
      <c r="V1110" s="323"/>
      <c r="W1110" s="323"/>
    </row>
    <row r="1111" spans="1:23" s="23" customFormat="1" ht="14.25" hidden="1" x14ac:dyDescent="0.2">
      <c r="A1111" s="381" t="s">
        <v>3842</v>
      </c>
      <c r="B1111" s="381" t="s">
        <v>324</v>
      </c>
      <c r="C1111" s="408" t="s">
        <v>4154</v>
      </c>
      <c r="D1111" s="381" t="s">
        <v>4155</v>
      </c>
      <c r="E1111" s="383" t="s">
        <v>4156</v>
      </c>
      <c r="F1111" s="381" t="s">
        <v>4150</v>
      </c>
      <c r="G1111" s="384"/>
      <c r="H1111" s="24"/>
      <c r="I1111" s="24"/>
      <c r="J1111" s="25" t="str">
        <f t="shared" si="52"/>
        <v xml:space="preserve"> </v>
      </c>
      <c r="K1111" s="385"/>
      <c r="L1111" s="385"/>
      <c r="M1111" s="386">
        <f t="shared" si="53"/>
        <v>0</v>
      </c>
      <c r="N1111" s="496"/>
      <c r="O1111" s="333">
        <f t="shared" si="54"/>
        <v>0</v>
      </c>
      <c r="R1111" s="23" t="e">
        <f>VLOOKUP(C:C,'Historic Data - working'!A:B,1,FALSE)</f>
        <v>#N/A</v>
      </c>
      <c r="U1111" s="323"/>
      <c r="V1111" s="323"/>
      <c r="W1111" s="323"/>
    </row>
    <row r="1112" spans="1:23" s="23" customFormat="1" ht="14.25" hidden="1" x14ac:dyDescent="0.2">
      <c r="A1112" s="381" t="s">
        <v>3842</v>
      </c>
      <c r="B1112" s="381" t="s">
        <v>324</v>
      </c>
      <c r="C1112" s="408" t="s">
        <v>4157</v>
      </c>
      <c r="D1112" s="381" t="s">
        <v>4158</v>
      </c>
      <c r="E1112" s="383" t="s">
        <v>2674</v>
      </c>
      <c r="F1112" s="381" t="s">
        <v>4159</v>
      </c>
      <c r="G1112" s="384" t="s">
        <v>329</v>
      </c>
      <c r="H1112" s="24">
        <f>40+50+50+53+213+620</f>
        <v>1026</v>
      </c>
      <c r="I1112" s="24"/>
      <c r="J1112" s="25" t="str">
        <f t="shared" si="52"/>
        <v>1</v>
      </c>
      <c r="K1112" s="385" t="s">
        <v>4160</v>
      </c>
      <c r="L1112" s="385">
        <v>28</v>
      </c>
      <c r="M1112" s="386">
        <f t="shared" si="53"/>
        <v>1054</v>
      </c>
      <c r="N1112" s="496">
        <v>190</v>
      </c>
      <c r="O1112" s="333">
        <f t="shared" si="54"/>
        <v>1244</v>
      </c>
      <c r="R1112" s="23" t="str">
        <f>VLOOKUP(C:C,'Historic Data - working'!A:B,1,FALSE)</f>
        <v>NOT094</v>
      </c>
      <c r="U1112" s="323"/>
      <c r="V1112" s="323"/>
      <c r="W1112" s="323"/>
    </row>
    <row r="1113" spans="1:23" s="23" customFormat="1" ht="14.25" hidden="1" x14ac:dyDescent="0.2">
      <c r="A1113" s="381" t="s">
        <v>3842</v>
      </c>
      <c r="B1113" s="381" t="s">
        <v>324</v>
      </c>
      <c r="C1113" s="408" t="s">
        <v>4161</v>
      </c>
      <c r="D1113" s="381" t="s">
        <v>4162</v>
      </c>
      <c r="E1113" s="383" t="s">
        <v>226</v>
      </c>
      <c r="F1113" s="381" t="s">
        <v>4143</v>
      </c>
      <c r="G1113" s="384"/>
      <c r="H1113" s="24"/>
      <c r="I1113" s="24"/>
      <c r="J1113" s="25" t="str">
        <f t="shared" si="52"/>
        <v xml:space="preserve"> </v>
      </c>
      <c r="K1113" s="385"/>
      <c r="L1113" s="385"/>
      <c r="M1113" s="386">
        <f t="shared" si="53"/>
        <v>0</v>
      </c>
      <c r="N1113" s="496"/>
      <c r="O1113" s="333">
        <f t="shared" si="54"/>
        <v>0</v>
      </c>
      <c r="R1113" s="23" t="e">
        <f>VLOOKUP(C:C,'Historic Data - working'!A:B,1,FALSE)</f>
        <v>#N/A</v>
      </c>
      <c r="U1113" s="323"/>
      <c r="V1113" s="323"/>
      <c r="W1113" s="323"/>
    </row>
    <row r="1114" spans="1:23" s="23" customFormat="1" ht="14.25" hidden="1" x14ac:dyDescent="0.2">
      <c r="A1114" s="381" t="s">
        <v>3842</v>
      </c>
      <c r="B1114" s="381" t="s">
        <v>324</v>
      </c>
      <c r="C1114" s="408" t="s">
        <v>4163</v>
      </c>
      <c r="D1114" s="381" t="s">
        <v>4164</v>
      </c>
      <c r="E1114" s="383" t="s">
        <v>4165</v>
      </c>
      <c r="F1114" s="381" t="s">
        <v>4166</v>
      </c>
      <c r="G1114" s="384"/>
      <c r="H1114" s="24"/>
      <c r="I1114" s="24"/>
      <c r="J1114" s="25" t="str">
        <f t="shared" si="52"/>
        <v xml:space="preserve"> </v>
      </c>
      <c r="K1114" s="385"/>
      <c r="L1114" s="385"/>
      <c r="M1114" s="386">
        <f t="shared" si="53"/>
        <v>0</v>
      </c>
      <c r="N1114" s="496">
        <v>150</v>
      </c>
      <c r="O1114" s="333">
        <f t="shared" si="54"/>
        <v>150</v>
      </c>
      <c r="R1114" s="23" t="str">
        <f>VLOOKUP(C:C,'Historic Data - working'!A:B,1,FALSE)</f>
        <v>NOT095</v>
      </c>
      <c r="U1114" s="323"/>
      <c r="V1114" s="323"/>
      <c r="W1114" s="323"/>
    </row>
    <row r="1115" spans="1:23" s="23" customFormat="1" ht="14.25" hidden="1" x14ac:dyDescent="0.2">
      <c r="A1115" s="381" t="s">
        <v>3842</v>
      </c>
      <c r="B1115" s="381" t="s">
        <v>324</v>
      </c>
      <c r="C1115" s="408" t="s">
        <v>4167</v>
      </c>
      <c r="D1115" s="381" t="s">
        <v>4168</v>
      </c>
      <c r="E1115" s="383" t="s">
        <v>453</v>
      </c>
      <c r="F1115" s="381" t="s">
        <v>4169</v>
      </c>
      <c r="G1115" s="384"/>
      <c r="H1115" s="24"/>
      <c r="I1115" s="24"/>
      <c r="J1115" s="25" t="str">
        <f t="shared" si="52"/>
        <v xml:space="preserve"> </v>
      </c>
      <c r="K1115" s="385"/>
      <c r="L1115" s="385"/>
      <c r="M1115" s="386">
        <f t="shared" si="53"/>
        <v>0</v>
      </c>
      <c r="N1115" s="496"/>
      <c r="O1115" s="333">
        <f t="shared" si="54"/>
        <v>0</v>
      </c>
      <c r="R1115" s="23" t="e">
        <f>VLOOKUP(C:C,'Historic Data - working'!A:B,1,FALSE)</f>
        <v>#N/A</v>
      </c>
      <c r="U1115" s="323"/>
      <c r="V1115" s="323"/>
      <c r="W1115" s="323"/>
    </row>
    <row r="1116" spans="1:23" s="23" customFormat="1" ht="14.25" hidden="1" x14ac:dyDescent="0.2">
      <c r="A1116" s="381" t="s">
        <v>3842</v>
      </c>
      <c r="B1116" s="381" t="s">
        <v>324</v>
      </c>
      <c r="C1116" s="408" t="s">
        <v>4170</v>
      </c>
      <c r="D1116" s="381" t="s">
        <v>4171</v>
      </c>
      <c r="E1116" s="383" t="s">
        <v>4172</v>
      </c>
      <c r="F1116" s="381" t="s">
        <v>4166</v>
      </c>
      <c r="G1116" s="384"/>
      <c r="H1116" s="24"/>
      <c r="I1116" s="24"/>
      <c r="J1116" s="25" t="str">
        <f t="shared" si="52"/>
        <v xml:space="preserve"> </v>
      </c>
      <c r="K1116" s="385"/>
      <c r="L1116" s="385"/>
      <c r="M1116" s="386">
        <f t="shared" si="53"/>
        <v>0</v>
      </c>
      <c r="N1116" s="496"/>
      <c r="O1116" s="333">
        <f t="shared" si="54"/>
        <v>0</v>
      </c>
      <c r="R1116" s="23" t="e">
        <f>VLOOKUP(C:C,'Historic Data - working'!A:B,1,FALSE)</f>
        <v>#N/A</v>
      </c>
      <c r="U1116" s="323"/>
      <c r="V1116" s="323"/>
      <c r="W1116" s="323"/>
    </row>
    <row r="1117" spans="1:23" s="23" customFormat="1" ht="14.25" hidden="1" x14ac:dyDescent="0.2">
      <c r="A1117" s="381" t="s">
        <v>3842</v>
      </c>
      <c r="B1117" s="381" t="s">
        <v>324</v>
      </c>
      <c r="C1117" s="408" t="s">
        <v>4173</v>
      </c>
      <c r="D1117" s="381" t="s">
        <v>4174</v>
      </c>
      <c r="E1117" s="383" t="s">
        <v>4175</v>
      </c>
      <c r="F1117" s="381" t="s">
        <v>4166</v>
      </c>
      <c r="G1117" s="384"/>
      <c r="H1117" s="24"/>
      <c r="I1117" s="24"/>
      <c r="J1117" s="25" t="str">
        <f t="shared" si="52"/>
        <v xml:space="preserve"> </v>
      </c>
      <c r="K1117" s="385"/>
      <c r="L1117" s="385"/>
      <c r="M1117" s="386">
        <f t="shared" si="53"/>
        <v>0</v>
      </c>
      <c r="N1117" s="496"/>
      <c r="O1117" s="333">
        <f t="shared" si="54"/>
        <v>0</v>
      </c>
      <c r="R1117" s="23" t="e">
        <f>VLOOKUP(C:C,'Historic Data - working'!A:B,1,FALSE)</f>
        <v>#N/A</v>
      </c>
      <c r="U1117" s="323"/>
      <c r="V1117" s="323"/>
      <c r="W1117" s="323"/>
    </row>
    <row r="1118" spans="1:23" s="23" customFormat="1" ht="14.25" hidden="1" x14ac:dyDescent="0.2">
      <c r="A1118" s="381" t="s">
        <v>3842</v>
      </c>
      <c r="B1118" s="381" t="s">
        <v>324</v>
      </c>
      <c r="C1118" s="408" t="s">
        <v>4176</v>
      </c>
      <c r="D1118" s="381" t="s">
        <v>4177</v>
      </c>
      <c r="E1118" s="383" t="s">
        <v>31</v>
      </c>
      <c r="F1118" s="381" t="s">
        <v>4178</v>
      </c>
      <c r="G1118" s="384" t="s">
        <v>329</v>
      </c>
      <c r="H1118" s="24">
        <f>201.1+94.8+10.09+13.37+236.04</f>
        <v>555.4</v>
      </c>
      <c r="I1118" s="24"/>
      <c r="J1118" s="25" t="str">
        <f t="shared" si="52"/>
        <v>1</v>
      </c>
      <c r="K1118" s="385"/>
      <c r="L1118" s="385"/>
      <c r="M1118" s="386">
        <f t="shared" si="53"/>
        <v>555.4</v>
      </c>
      <c r="N1118" s="496">
        <v>285</v>
      </c>
      <c r="O1118" s="333">
        <f t="shared" si="54"/>
        <v>840.4</v>
      </c>
      <c r="R1118" s="23" t="str">
        <f>VLOOKUP(C:C,'Historic Data - working'!A:B,1,FALSE)</f>
        <v>NOT096</v>
      </c>
      <c r="U1118" s="323"/>
      <c r="V1118" s="323"/>
      <c r="W1118" s="323"/>
    </row>
    <row r="1119" spans="1:23" s="23" customFormat="1" ht="14.25" hidden="1" x14ac:dyDescent="0.2">
      <c r="A1119" s="381" t="s">
        <v>3842</v>
      </c>
      <c r="B1119" s="381" t="s">
        <v>324</v>
      </c>
      <c r="C1119" s="408" t="s">
        <v>4179</v>
      </c>
      <c r="D1119" s="381" t="s">
        <v>4180</v>
      </c>
      <c r="E1119" s="383" t="s">
        <v>173</v>
      </c>
      <c r="F1119" s="381" t="s">
        <v>4181</v>
      </c>
      <c r="G1119" s="384"/>
      <c r="H1119" s="24"/>
      <c r="I1119" s="24"/>
      <c r="J1119" s="25" t="str">
        <f t="shared" si="52"/>
        <v xml:space="preserve"> </v>
      </c>
      <c r="K1119" s="385" t="s">
        <v>337</v>
      </c>
      <c r="L1119" s="385">
        <v>210.9</v>
      </c>
      <c r="M1119" s="386">
        <f t="shared" si="53"/>
        <v>210.9</v>
      </c>
      <c r="N1119" s="496">
        <v>573.87</v>
      </c>
      <c r="O1119" s="333">
        <f t="shared" si="54"/>
        <v>784.77</v>
      </c>
      <c r="R1119" s="23" t="str">
        <f>VLOOKUP(C:C,'Historic Data - working'!A:B,1,FALSE)</f>
        <v>NOT097</v>
      </c>
      <c r="U1119" s="323"/>
      <c r="V1119" s="323"/>
      <c r="W1119" s="323"/>
    </row>
    <row r="1120" spans="1:23" s="23" customFormat="1" ht="14.25" hidden="1" x14ac:dyDescent="0.2">
      <c r="A1120" s="381" t="s">
        <v>3842</v>
      </c>
      <c r="B1120" s="381" t="s">
        <v>324</v>
      </c>
      <c r="C1120" s="408" t="s">
        <v>4182</v>
      </c>
      <c r="D1120" s="381" t="s">
        <v>4183</v>
      </c>
      <c r="E1120" s="383" t="s">
        <v>4184</v>
      </c>
      <c r="F1120" s="381" t="s">
        <v>4185</v>
      </c>
      <c r="G1120" s="384"/>
      <c r="H1120" s="24"/>
      <c r="I1120" s="24"/>
      <c r="J1120" s="25" t="str">
        <f t="shared" si="52"/>
        <v xml:space="preserve"> </v>
      </c>
      <c r="K1120" s="385"/>
      <c r="L1120" s="385"/>
      <c r="M1120" s="386">
        <f t="shared" si="53"/>
        <v>0</v>
      </c>
      <c r="N1120" s="496"/>
      <c r="O1120" s="333">
        <f t="shared" si="54"/>
        <v>0</v>
      </c>
      <c r="R1120" s="23" t="e">
        <f>VLOOKUP(C:C,'Historic Data - working'!A:B,1,FALSE)</f>
        <v>#N/A</v>
      </c>
      <c r="U1120" s="323"/>
      <c r="V1120" s="323"/>
      <c r="W1120" s="323"/>
    </row>
    <row r="1121" spans="1:23" s="23" customFormat="1" ht="28.5" hidden="1" x14ac:dyDescent="0.2">
      <c r="A1121" s="381" t="s">
        <v>3842</v>
      </c>
      <c r="B1121" s="381" t="s">
        <v>324</v>
      </c>
      <c r="C1121" s="408" t="s">
        <v>4186</v>
      </c>
      <c r="D1121" s="381" t="s">
        <v>4187</v>
      </c>
      <c r="E1121" s="383" t="s">
        <v>4188</v>
      </c>
      <c r="F1121" s="381" t="s">
        <v>4189</v>
      </c>
      <c r="G1121" s="384"/>
      <c r="H1121" s="24"/>
      <c r="I1121" s="24"/>
      <c r="J1121" s="25" t="str">
        <f t="shared" si="52"/>
        <v xml:space="preserve"> </v>
      </c>
      <c r="K1121" s="385"/>
      <c r="L1121" s="385"/>
      <c r="M1121" s="386">
        <f t="shared" si="53"/>
        <v>0</v>
      </c>
      <c r="N1121" s="496">
        <v>30</v>
      </c>
      <c r="O1121" s="333">
        <f t="shared" si="54"/>
        <v>30</v>
      </c>
      <c r="R1121" s="23" t="str">
        <f>VLOOKUP(C:C,'Historic Data - working'!A:B,1,FALSE)</f>
        <v>NOT098</v>
      </c>
      <c r="U1121" s="323"/>
      <c r="V1121" s="323"/>
      <c r="W1121" s="323"/>
    </row>
    <row r="1122" spans="1:23" s="23" customFormat="1" ht="14.25" hidden="1" x14ac:dyDescent="0.2">
      <c r="A1122" s="381" t="s">
        <v>3842</v>
      </c>
      <c r="B1122" s="381" t="s">
        <v>324</v>
      </c>
      <c r="C1122" s="408" t="s">
        <v>4190</v>
      </c>
      <c r="D1122" s="381" t="s">
        <v>4191</v>
      </c>
      <c r="E1122" s="383" t="s">
        <v>4192</v>
      </c>
      <c r="F1122" s="381" t="s">
        <v>4193</v>
      </c>
      <c r="G1122" s="384" t="s">
        <v>329</v>
      </c>
      <c r="H1122" s="24">
        <f>59+105+16+74+55+51.47+29.03+9</f>
        <v>398.5</v>
      </c>
      <c r="I1122" s="24"/>
      <c r="J1122" s="25" t="str">
        <f t="shared" si="52"/>
        <v>1</v>
      </c>
      <c r="K1122" s="385"/>
      <c r="L1122" s="385"/>
      <c r="M1122" s="386">
        <f t="shared" si="53"/>
        <v>398.5</v>
      </c>
      <c r="N1122" s="496">
        <v>110</v>
      </c>
      <c r="O1122" s="333">
        <f t="shared" si="54"/>
        <v>508.5</v>
      </c>
      <c r="R1122" s="23" t="str">
        <f>VLOOKUP(C:C,'Historic Data - working'!A:B,1,FALSE)</f>
        <v>NOT099</v>
      </c>
      <c r="U1122" s="323"/>
      <c r="V1122" s="323"/>
      <c r="W1122" s="323"/>
    </row>
    <row r="1123" spans="1:23" s="23" customFormat="1" ht="14.25" hidden="1" x14ac:dyDescent="0.2">
      <c r="A1123" s="381" t="s">
        <v>3842</v>
      </c>
      <c r="B1123" s="381" t="s">
        <v>324</v>
      </c>
      <c r="C1123" s="408" t="s">
        <v>4194</v>
      </c>
      <c r="D1123" s="381" t="s">
        <v>4195</v>
      </c>
      <c r="E1123" s="383" t="s">
        <v>4196</v>
      </c>
      <c r="F1123" s="381" t="s">
        <v>4197</v>
      </c>
      <c r="G1123" s="384"/>
      <c r="H1123" s="24"/>
      <c r="I1123" s="24"/>
      <c r="J1123" s="25" t="str">
        <f t="shared" si="52"/>
        <v xml:space="preserve"> </v>
      </c>
      <c r="K1123" s="385"/>
      <c r="L1123" s="385"/>
      <c r="M1123" s="386">
        <f t="shared" si="53"/>
        <v>0</v>
      </c>
      <c r="N1123" s="496"/>
      <c r="O1123" s="333">
        <f t="shared" si="54"/>
        <v>0</v>
      </c>
      <c r="R1123" s="23" t="e">
        <f>VLOOKUP(C:C,'Historic Data - working'!A:B,1,FALSE)</f>
        <v>#N/A</v>
      </c>
      <c r="U1123" s="323"/>
      <c r="V1123" s="323"/>
      <c r="W1123" s="323"/>
    </row>
    <row r="1124" spans="1:23" s="23" customFormat="1" ht="14.25" hidden="1" x14ac:dyDescent="0.2">
      <c r="A1124" s="381" t="s">
        <v>3842</v>
      </c>
      <c r="B1124" s="381" t="s">
        <v>324</v>
      </c>
      <c r="C1124" s="408" t="s">
        <v>4198</v>
      </c>
      <c r="D1124" s="381" t="s">
        <v>4199</v>
      </c>
      <c r="E1124" s="383" t="s">
        <v>1065</v>
      </c>
      <c r="F1124" s="381" t="s">
        <v>4200</v>
      </c>
      <c r="G1124" s="384"/>
      <c r="H1124" s="24"/>
      <c r="I1124" s="24"/>
      <c r="J1124" s="25" t="str">
        <f t="shared" si="52"/>
        <v xml:space="preserve"> </v>
      </c>
      <c r="K1124" s="385"/>
      <c r="L1124" s="385"/>
      <c r="M1124" s="386">
        <f t="shared" si="53"/>
        <v>0</v>
      </c>
      <c r="N1124" s="496">
        <v>215</v>
      </c>
      <c r="O1124" s="333">
        <f t="shared" si="54"/>
        <v>215</v>
      </c>
      <c r="R1124" s="23" t="str">
        <f>VLOOKUP(C:C,'Historic Data - working'!A:B,1,FALSE)</f>
        <v>NOT100</v>
      </c>
      <c r="U1124" s="323"/>
      <c r="V1124" s="323"/>
      <c r="W1124" s="323"/>
    </row>
    <row r="1125" spans="1:23" s="23" customFormat="1" ht="14.25" hidden="1" x14ac:dyDescent="0.2">
      <c r="A1125" s="381" t="s">
        <v>3842</v>
      </c>
      <c r="B1125" s="381" t="s">
        <v>324</v>
      </c>
      <c r="C1125" s="408" t="s">
        <v>4201</v>
      </c>
      <c r="D1125" s="381" t="s">
        <v>4202</v>
      </c>
      <c r="E1125" s="383" t="s">
        <v>1008</v>
      </c>
      <c r="F1125" s="381" t="s">
        <v>4200</v>
      </c>
      <c r="G1125" s="384"/>
      <c r="H1125" s="24"/>
      <c r="I1125" s="24"/>
      <c r="J1125" s="25" t="str">
        <f t="shared" si="52"/>
        <v xml:space="preserve"> </v>
      </c>
      <c r="K1125" s="385"/>
      <c r="L1125" s="385"/>
      <c r="M1125" s="386">
        <f t="shared" si="53"/>
        <v>0</v>
      </c>
      <c r="N1125" s="496"/>
      <c r="O1125" s="333">
        <f t="shared" si="54"/>
        <v>0</v>
      </c>
      <c r="R1125" s="23" t="e">
        <f>VLOOKUP(C:C,'Historic Data - working'!A:B,1,FALSE)</f>
        <v>#N/A</v>
      </c>
      <c r="U1125" s="323"/>
      <c r="V1125" s="323"/>
      <c r="W1125" s="323"/>
    </row>
    <row r="1126" spans="1:23" s="23" customFormat="1" ht="14.25" hidden="1" x14ac:dyDescent="0.2">
      <c r="A1126" s="381" t="s">
        <v>3842</v>
      </c>
      <c r="B1126" s="381" t="s">
        <v>324</v>
      </c>
      <c r="C1126" s="408" t="s">
        <v>4203</v>
      </c>
      <c r="D1126" s="381" t="s">
        <v>4204</v>
      </c>
      <c r="E1126" s="383" t="s">
        <v>4205</v>
      </c>
      <c r="F1126" s="381" t="s">
        <v>4200</v>
      </c>
      <c r="G1126" s="384"/>
      <c r="H1126" s="24"/>
      <c r="I1126" s="24"/>
      <c r="J1126" s="25" t="str">
        <f t="shared" si="52"/>
        <v xml:space="preserve"> </v>
      </c>
      <c r="K1126" s="385"/>
      <c r="L1126" s="385"/>
      <c r="M1126" s="386">
        <f t="shared" si="53"/>
        <v>0</v>
      </c>
      <c r="N1126" s="496"/>
      <c r="O1126" s="333">
        <f t="shared" si="54"/>
        <v>0</v>
      </c>
      <c r="R1126" s="23" t="e">
        <f>VLOOKUP(C:C,'Historic Data - working'!A:B,1,FALSE)</f>
        <v>#N/A</v>
      </c>
      <c r="U1126" s="323"/>
      <c r="V1126" s="323"/>
      <c r="W1126" s="323"/>
    </row>
    <row r="1127" spans="1:23" s="23" customFormat="1" ht="14.25" hidden="1" x14ac:dyDescent="0.2">
      <c r="A1127" s="381" t="s">
        <v>3842</v>
      </c>
      <c r="B1127" s="381" t="s">
        <v>324</v>
      </c>
      <c r="C1127" s="408" t="s">
        <v>4206</v>
      </c>
      <c r="D1127" s="381" t="s">
        <v>4207</v>
      </c>
      <c r="E1127" s="383" t="s">
        <v>1203</v>
      </c>
      <c r="F1127" s="381" t="s">
        <v>3982</v>
      </c>
      <c r="G1127" s="384" t="s">
        <v>329</v>
      </c>
      <c r="H1127" s="24">
        <v>1823.9</v>
      </c>
      <c r="I1127" s="24"/>
      <c r="J1127" s="25" t="str">
        <f t="shared" si="52"/>
        <v>1</v>
      </c>
      <c r="K1127" s="385"/>
      <c r="L1127" s="385"/>
      <c r="M1127" s="386">
        <f t="shared" si="53"/>
        <v>1823.9</v>
      </c>
      <c r="N1127" s="496">
        <v>936</v>
      </c>
      <c r="O1127" s="333">
        <f t="shared" si="54"/>
        <v>2759.9</v>
      </c>
      <c r="R1127" s="23" t="str">
        <f>VLOOKUP(C:C,'Historic Data - working'!A:B,1,FALSE)</f>
        <v>NOT102</v>
      </c>
      <c r="U1127" s="323"/>
      <c r="V1127" s="323"/>
      <c r="W1127" s="323"/>
    </row>
    <row r="1128" spans="1:23" s="23" customFormat="1" ht="14.25" hidden="1" x14ac:dyDescent="0.2">
      <c r="A1128" s="381" t="s">
        <v>3842</v>
      </c>
      <c r="B1128" s="381" t="s">
        <v>324</v>
      </c>
      <c r="C1128" s="408" t="s">
        <v>4208</v>
      </c>
      <c r="D1128" s="381" t="s">
        <v>4209</v>
      </c>
      <c r="E1128" s="383" t="s">
        <v>4210</v>
      </c>
      <c r="F1128" s="381" t="s">
        <v>3967</v>
      </c>
      <c r="G1128" s="384"/>
      <c r="H1128" s="24"/>
      <c r="I1128" s="24"/>
      <c r="J1128" s="25" t="str">
        <f t="shared" si="52"/>
        <v xml:space="preserve"> </v>
      </c>
      <c r="K1128" s="385"/>
      <c r="L1128" s="385"/>
      <c r="M1128" s="386">
        <f t="shared" si="53"/>
        <v>0</v>
      </c>
      <c r="N1128" s="496"/>
      <c r="O1128" s="333">
        <f t="shared" si="54"/>
        <v>0</v>
      </c>
      <c r="R1128" s="23" t="e">
        <f>VLOOKUP(C:C,'Historic Data - working'!A:B,1,FALSE)</f>
        <v>#N/A</v>
      </c>
      <c r="U1128" s="323"/>
      <c r="V1128" s="323"/>
      <c r="W1128" s="323"/>
    </row>
    <row r="1129" spans="1:23" s="23" customFormat="1" ht="14.25" hidden="1" x14ac:dyDescent="0.2">
      <c r="A1129" s="381" t="s">
        <v>3842</v>
      </c>
      <c r="B1129" s="381" t="s">
        <v>324</v>
      </c>
      <c r="C1129" s="408" t="s">
        <v>4211</v>
      </c>
      <c r="D1129" s="381" t="s">
        <v>4212</v>
      </c>
      <c r="E1129" s="383" t="s">
        <v>640</v>
      </c>
      <c r="F1129" s="381" t="s">
        <v>4213</v>
      </c>
      <c r="G1129" s="384" t="s">
        <v>329</v>
      </c>
      <c r="H1129" s="24">
        <f>60.88+36.67+25.19+42.14+26.67</f>
        <v>191.55</v>
      </c>
      <c r="I1129" s="24"/>
      <c r="J1129" s="25" t="str">
        <f t="shared" si="52"/>
        <v>1</v>
      </c>
      <c r="K1129" s="385" t="s">
        <v>4214</v>
      </c>
      <c r="L1129" s="385"/>
      <c r="M1129" s="386">
        <f t="shared" si="53"/>
        <v>191.55</v>
      </c>
      <c r="N1129" s="496">
        <v>165</v>
      </c>
      <c r="O1129" s="333">
        <f t="shared" si="54"/>
        <v>356.55</v>
      </c>
      <c r="R1129" s="23" t="str">
        <f>VLOOKUP(C:C,'Historic Data - working'!A:B,1,FALSE)</f>
        <v>NOT104</v>
      </c>
      <c r="U1129" s="323"/>
      <c r="V1129" s="323"/>
      <c r="W1129" s="323"/>
    </row>
    <row r="1130" spans="1:23" s="23" customFormat="1" ht="14.25" hidden="1" x14ac:dyDescent="0.2">
      <c r="A1130" s="381" t="s">
        <v>3842</v>
      </c>
      <c r="B1130" s="381" t="s">
        <v>324</v>
      </c>
      <c r="C1130" s="408" t="s">
        <v>4215</v>
      </c>
      <c r="D1130" s="381" t="s">
        <v>4216</v>
      </c>
      <c r="E1130" s="383" t="s">
        <v>1371</v>
      </c>
      <c r="F1130" s="381" t="s">
        <v>4217</v>
      </c>
      <c r="G1130" s="384" t="s">
        <v>329</v>
      </c>
      <c r="H1130" s="24">
        <v>1360.47</v>
      </c>
      <c r="I1130" s="24"/>
      <c r="J1130" s="25" t="str">
        <f t="shared" si="52"/>
        <v>1</v>
      </c>
      <c r="K1130" s="388"/>
      <c r="L1130" s="385"/>
      <c r="M1130" s="386">
        <f t="shared" si="53"/>
        <v>1360.47</v>
      </c>
      <c r="N1130" s="496">
        <v>729</v>
      </c>
      <c r="O1130" s="333">
        <f t="shared" si="54"/>
        <v>2089.4700000000003</v>
      </c>
      <c r="R1130" s="23" t="str">
        <f>VLOOKUP(C:C,'Historic Data - working'!A:B,1,FALSE)</f>
        <v>NOT105</v>
      </c>
      <c r="U1130" s="323"/>
      <c r="V1130" s="323"/>
      <c r="W1130" s="323"/>
    </row>
    <row r="1131" spans="1:23" s="23" customFormat="1" ht="14.25" hidden="1" x14ac:dyDescent="0.2">
      <c r="A1131" s="381" t="s">
        <v>3842</v>
      </c>
      <c r="B1131" s="381" t="s">
        <v>324</v>
      </c>
      <c r="C1131" s="408" t="s">
        <v>4218</v>
      </c>
      <c r="D1131" s="381" t="s">
        <v>4219</v>
      </c>
      <c r="E1131" s="383" t="s">
        <v>186</v>
      </c>
      <c r="F1131" s="381" t="s">
        <v>4220</v>
      </c>
      <c r="G1131" s="384" t="s">
        <v>329</v>
      </c>
      <c r="H1131" s="24">
        <f>500+232+25+500+130</f>
        <v>1387</v>
      </c>
      <c r="I1131" s="24"/>
      <c r="J1131" s="25" t="str">
        <f t="shared" si="52"/>
        <v>1</v>
      </c>
      <c r="K1131" s="385"/>
      <c r="L1131" s="385"/>
      <c r="M1131" s="386">
        <f t="shared" si="53"/>
        <v>1387</v>
      </c>
      <c r="N1131" s="496">
        <v>150</v>
      </c>
      <c r="O1131" s="333">
        <f t="shared" si="54"/>
        <v>1537</v>
      </c>
      <c r="R1131" s="23" t="str">
        <f>VLOOKUP(C:C,'Historic Data - working'!A:B,1,FALSE)</f>
        <v>NOT106</v>
      </c>
      <c r="U1131" s="323"/>
      <c r="V1131" s="323"/>
      <c r="W1131" s="323"/>
    </row>
    <row r="1132" spans="1:23" s="23" customFormat="1" ht="14.25" hidden="1" x14ac:dyDescent="0.2">
      <c r="A1132" s="381" t="s">
        <v>3842</v>
      </c>
      <c r="B1132" s="381" t="s">
        <v>324</v>
      </c>
      <c r="C1132" s="408" t="s">
        <v>4221</v>
      </c>
      <c r="D1132" s="381" t="s">
        <v>4222</v>
      </c>
      <c r="E1132" s="383" t="s">
        <v>4223</v>
      </c>
      <c r="F1132" s="381" t="s">
        <v>4224</v>
      </c>
      <c r="G1132" s="384"/>
      <c r="H1132" s="24"/>
      <c r="I1132" s="24"/>
      <c r="J1132" s="25" t="str">
        <f t="shared" ref="J1132:J1195" si="55">IF(G1132="Y","1"," ")</f>
        <v xml:space="preserve"> </v>
      </c>
      <c r="K1132" s="385"/>
      <c r="L1132" s="385"/>
      <c r="M1132" s="386">
        <f t="shared" si="53"/>
        <v>0</v>
      </c>
      <c r="N1132" s="496">
        <v>177.78</v>
      </c>
      <c r="O1132" s="333">
        <f t="shared" si="54"/>
        <v>177.78</v>
      </c>
      <c r="R1132" s="23" t="str">
        <f>VLOOKUP(C:C,'Historic Data - working'!A:B,1,FALSE)</f>
        <v>NOT107</v>
      </c>
      <c r="U1132" s="323"/>
      <c r="V1132" s="323"/>
      <c r="W1132" s="323"/>
    </row>
    <row r="1133" spans="1:23" s="23" customFormat="1" ht="14.25" hidden="1" x14ac:dyDescent="0.2">
      <c r="A1133" s="381" t="s">
        <v>3842</v>
      </c>
      <c r="B1133" s="381" t="s">
        <v>324</v>
      </c>
      <c r="C1133" s="408" t="s">
        <v>4225</v>
      </c>
      <c r="D1133" s="381" t="s">
        <v>4226</v>
      </c>
      <c r="E1133" s="383" t="s">
        <v>4227</v>
      </c>
      <c r="F1133" s="381" t="s">
        <v>4080</v>
      </c>
      <c r="G1133" s="384" t="s">
        <v>329</v>
      </c>
      <c r="H1133" s="24">
        <f>179.76+80.24</f>
        <v>260</v>
      </c>
      <c r="I1133" s="24"/>
      <c r="J1133" s="25" t="str">
        <f t="shared" si="55"/>
        <v>1</v>
      </c>
      <c r="K1133" s="385" t="s">
        <v>4228</v>
      </c>
      <c r="L1133" s="385">
        <v>-0.04</v>
      </c>
      <c r="M1133" s="386">
        <f t="shared" si="53"/>
        <v>259.95999999999998</v>
      </c>
      <c r="N1133" s="496">
        <v>247</v>
      </c>
      <c r="O1133" s="333">
        <f t="shared" si="54"/>
        <v>506.96</v>
      </c>
      <c r="R1133" s="23" t="str">
        <f>VLOOKUP(C:C,'Historic Data - working'!A:B,1,FALSE)</f>
        <v>NOT108</v>
      </c>
      <c r="U1133" s="323"/>
      <c r="V1133" s="323"/>
      <c r="W1133" s="323"/>
    </row>
    <row r="1134" spans="1:23" s="23" customFormat="1" ht="14.25" hidden="1" x14ac:dyDescent="0.2">
      <c r="A1134" s="381" t="s">
        <v>3842</v>
      </c>
      <c r="B1134" s="381" t="s">
        <v>324</v>
      </c>
      <c r="C1134" s="408" t="s">
        <v>4229</v>
      </c>
      <c r="D1134" s="381" t="s">
        <v>4230</v>
      </c>
      <c r="E1134" s="383" t="s">
        <v>532</v>
      </c>
      <c r="F1134" s="381" t="s">
        <v>4231</v>
      </c>
      <c r="G1134" s="384" t="s">
        <v>329</v>
      </c>
      <c r="H1134" s="24">
        <f>48.68+38.42+16.93+17.44+10.3+16.2+25.31+17.54+27.17+75.3+24.74+190.41</f>
        <v>508.44000000000005</v>
      </c>
      <c r="I1134" s="24"/>
      <c r="J1134" s="25" t="str">
        <f t="shared" si="55"/>
        <v>1</v>
      </c>
      <c r="K1134" s="386" t="s">
        <v>4232</v>
      </c>
      <c r="L1134" s="385">
        <v>-84.34</v>
      </c>
      <c r="M1134" s="386">
        <f t="shared" si="53"/>
        <v>424.1</v>
      </c>
      <c r="N1134" s="496">
        <v>465</v>
      </c>
      <c r="O1134" s="333">
        <f t="shared" si="54"/>
        <v>889.1</v>
      </c>
      <c r="R1134" s="23" t="str">
        <f>VLOOKUP(C:C,'Historic Data - working'!A:B,1,FALSE)</f>
        <v>NOT109</v>
      </c>
      <c r="U1134" s="323"/>
      <c r="V1134" s="323"/>
      <c r="W1134" s="323"/>
    </row>
    <row r="1135" spans="1:23" s="23" customFormat="1" ht="14.25" hidden="1" x14ac:dyDescent="0.2">
      <c r="A1135" s="381" t="s">
        <v>3842</v>
      </c>
      <c r="B1135" s="381" t="s">
        <v>324</v>
      </c>
      <c r="C1135" s="408" t="s">
        <v>4233</v>
      </c>
      <c r="D1135" s="381" t="s">
        <v>4234</v>
      </c>
      <c r="E1135" s="383" t="s">
        <v>78</v>
      </c>
      <c r="F1135" s="381" t="s">
        <v>4231</v>
      </c>
      <c r="G1135" s="384"/>
      <c r="H1135" s="24"/>
      <c r="I1135" s="24"/>
      <c r="J1135" s="25" t="str">
        <f t="shared" si="55"/>
        <v xml:space="preserve"> </v>
      </c>
      <c r="K1135" s="385"/>
      <c r="L1135" s="385"/>
      <c r="M1135" s="386">
        <f t="shared" si="53"/>
        <v>0</v>
      </c>
      <c r="N1135" s="496"/>
      <c r="O1135" s="333">
        <f t="shared" si="54"/>
        <v>0</v>
      </c>
      <c r="R1135" s="23" t="e">
        <f>VLOOKUP(C:C,'Historic Data - working'!A:B,1,FALSE)</f>
        <v>#N/A</v>
      </c>
      <c r="U1135" s="323"/>
      <c r="V1135" s="323"/>
      <c r="W1135" s="323"/>
    </row>
    <row r="1136" spans="1:23" s="23" customFormat="1" ht="14.25" hidden="1" x14ac:dyDescent="0.2">
      <c r="A1136" s="381" t="s">
        <v>3842</v>
      </c>
      <c r="B1136" s="381" t="s">
        <v>324</v>
      </c>
      <c r="C1136" s="408" t="s">
        <v>4235</v>
      </c>
      <c r="D1136" s="381" t="s">
        <v>4236</v>
      </c>
      <c r="E1136" s="383" t="s">
        <v>4237</v>
      </c>
      <c r="F1136" s="381" t="s">
        <v>4238</v>
      </c>
      <c r="G1136" s="384" t="s">
        <v>329</v>
      </c>
      <c r="H1136" s="24"/>
      <c r="I1136" s="24">
        <v>450</v>
      </c>
      <c r="J1136" s="25" t="str">
        <f t="shared" si="55"/>
        <v>1</v>
      </c>
      <c r="K1136" s="385"/>
      <c r="L1136" s="385"/>
      <c r="M1136" s="386">
        <f t="shared" si="53"/>
        <v>0</v>
      </c>
      <c r="N1136" s="496">
        <v>1813</v>
      </c>
      <c r="O1136" s="333">
        <f t="shared" si="54"/>
        <v>1813</v>
      </c>
      <c r="R1136" s="23" t="str">
        <f>VLOOKUP(C:C,'Historic Data - working'!A:B,1,FALSE)</f>
        <v>NOT111</v>
      </c>
      <c r="U1136" s="323"/>
      <c r="V1136" s="323"/>
      <c r="W1136" s="323"/>
    </row>
    <row r="1137" spans="1:23" s="23" customFormat="1" ht="14.25" hidden="1" x14ac:dyDescent="0.2">
      <c r="A1137" s="381" t="s">
        <v>3842</v>
      </c>
      <c r="B1137" s="381" t="s">
        <v>324</v>
      </c>
      <c r="C1137" s="408" t="s">
        <v>4239</v>
      </c>
      <c r="D1137" s="381" t="s">
        <v>4240</v>
      </c>
      <c r="E1137" s="383" t="s">
        <v>4241</v>
      </c>
      <c r="F1137" s="381" t="s">
        <v>4242</v>
      </c>
      <c r="G1137" s="384"/>
      <c r="H1137" s="24"/>
      <c r="I1137" s="24"/>
      <c r="J1137" s="25" t="str">
        <f t="shared" si="55"/>
        <v xml:space="preserve"> </v>
      </c>
      <c r="K1137" s="385"/>
      <c r="L1137" s="385"/>
      <c r="M1137" s="386">
        <f t="shared" si="53"/>
        <v>0</v>
      </c>
      <c r="N1137" s="496"/>
      <c r="O1137" s="333">
        <f t="shared" si="54"/>
        <v>0</v>
      </c>
      <c r="R1137" s="23" t="e">
        <f>VLOOKUP(C:C,'Historic Data - working'!A:B,1,FALSE)</f>
        <v>#N/A</v>
      </c>
      <c r="U1137" s="323"/>
      <c r="V1137" s="323"/>
      <c r="W1137" s="323"/>
    </row>
    <row r="1138" spans="1:23" s="23" customFormat="1" ht="14.25" hidden="1" x14ac:dyDescent="0.2">
      <c r="A1138" s="381" t="s">
        <v>3842</v>
      </c>
      <c r="B1138" s="381" t="s">
        <v>324</v>
      </c>
      <c r="C1138" s="408" t="s">
        <v>4243</v>
      </c>
      <c r="D1138" s="381" t="s">
        <v>4244</v>
      </c>
      <c r="E1138" s="383" t="s">
        <v>61</v>
      </c>
      <c r="F1138" s="381" t="s">
        <v>4245</v>
      </c>
      <c r="G1138" s="384" t="s">
        <v>329</v>
      </c>
      <c r="H1138" s="24">
        <v>216.58</v>
      </c>
      <c r="I1138" s="24"/>
      <c r="J1138" s="25" t="str">
        <f t="shared" si="55"/>
        <v>1</v>
      </c>
      <c r="K1138" s="385"/>
      <c r="L1138" s="385"/>
      <c r="M1138" s="386">
        <f t="shared" si="53"/>
        <v>216.58</v>
      </c>
      <c r="N1138" s="496">
        <v>115</v>
      </c>
      <c r="O1138" s="333">
        <f t="shared" si="54"/>
        <v>331.58000000000004</v>
      </c>
      <c r="R1138" s="23" t="str">
        <f>VLOOKUP(C:C,'Historic Data - working'!A:B,1,FALSE)</f>
        <v>NOT114</v>
      </c>
      <c r="U1138" s="323"/>
      <c r="V1138" s="323"/>
      <c r="W1138" s="323"/>
    </row>
    <row r="1139" spans="1:23" s="23" customFormat="1" ht="14.25" hidden="1" x14ac:dyDescent="0.2">
      <c r="A1139" s="381" t="s">
        <v>3842</v>
      </c>
      <c r="B1139" s="381" t="s">
        <v>324</v>
      </c>
      <c r="C1139" s="408" t="s">
        <v>4246</v>
      </c>
      <c r="D1139" s="381" t="s">
        <v>4247</v>
      </c>
      <c r="E1139" s="383" t="s">
        <v>4248</v>
      </c>
      <c r="F1139" s="381" t="s">
        <v>4249</v>
      </c>
      <c r="G1139" s="384" t="s">
        <v>329</v>
      </c>
      <c r="H1139" s="24">
        <v>3335.6</v>
      </c>
      <c r="I1139" s="24"/>
      <c r="J1139" s="25" t="str">
        <f t="shared" si="55"/>
        <v>1</v>
      </c>
      <c r="K1139" s="385"/>
      <c r="L1139" s="385"/>
      <c r="M1139" s="386">
        <f t="shared" si="53"/>
        <v>3335.6</v>
      </c>
      <c r="N1139" s="496">
        <v>385</v>
      </c>
      <c r="O1139" s="333">
        <f t="shared" si="54"/>
        <v>3720.6</v>
      </c>
      <c r="R1139" s="23" t="str">
        <f>VLOOKUP(C:C,'Historic Data - working'!A:B,1,FALSE)</f>
        <v>NOT115</v>
      </c>
      <c r="U1139" s="323"/>
      <c r="V1139" s="323"/>
      <c r="W1139" s="323"/>
    </row>
    <row r="1140" spans="1:23" s="23" customFormat="1" ht="14.25" hidden="1" x14ac:dyDescent="0.2">
      <c r="A1140" s="381" t="s">
        <v>3842</v>
      </c>
      <c r="B1140" s="381" t="s">
        <v>324</v>
      </c>
      <c r="C1140" s="408" t="s">
        <v>4250</v>
      </c>
      <c r="D1140" s="381" t="s">
        <v>4251</v>
      </c>
      <c r="E1140" s="383" t="s">
        <v>4252</v>
      </c>
      <c r="F1140" s="381" t="s">
        <v>4249</v>
      </c>
      <c r="G1140" s="384"/>
      <c r="H1140" s="24"/>
      <c r="I1140" s="24"/>
      <c r="J1140" s="25" t="str">
        <f t="shared" si="55"/>
        <v xml:space="preserve"> </v>
      </c>
      <c r="K1140" s="385"/>
      <c r="L1140" s="385"/>
      <c r="M1140" s="386">
        <f t="shared" si="53"/>
        <v>0</v>
      </c>
      <c r="N1140" s="496">
        <v>260</v>
      </c>
      <c r="O1140" s="333">
        <f t="shared" si="54"/>
        <v>260</v>
      </c>
      <c r="R1140" s="23" t="str">
        <f>VLOOKUP(C:C,'Historic Data - working'!A:B,1,FALSE)</f>
        <v>NOT116</v>
      </c>
      <c r="U1140" s="323"/>
      <c r="V1140" s="323"/>
      <c r="W1140" s="323"/>
    </row>
    <row r="1141" spans="1:23" s="23" customFormat="1" ht="14.25" hidden="1" x14ac:dyDescent="0.2">
      <c r="A1141" s="381" t="s">
        <v>3842</v>
      </c>
      <c r="B1141" s="381" t="s">
        <v>324</v>
      </c>
      <c r="C1141" s="408" t="s">
        <v>4253</v>
      </c>
      <c r="D1141" s="381" t="s">
        <v>4254</v>
      </c>
      <c r="E1141" s="383" t="s">
        <v>4255</v>
      </c>
      <c r="F1141" s="381" t="s">
        <v>4249</v>
      </c>
      <c r="G1141" s="384"/>
      <c r="H1141" s="24"/>
      <c r="I1141" s="24"/>
      <c r="J1141" s="25" t="str">
        <f t="shared" si="55"/>
        <v xml:space="preserve"> </v>
      </c>
      <c r="K1141" s="385"/>
      <c r="L1141" s="385"/>
      <c r="M1141" s="386">
        <f t="shared" si="53"/>
        <v>0</v>
      </c>
      <c r="N1141" s="496"/>
      <c r="O1141" s="333">
        <f t="shared" si="54"/>
        <v>0</v>
      </c>
      <c r="R1141" s="23" t="e">
        <f>VLOOKUP(C:C,'Historic Data - working'!A:B,1,FALSE)</f>
        <v>#N/A</v>
      </c>
      <c r="U1141" s="323"/>
      <c r="V1141" s="323"/>
      <c r="W1141" s="323"/>
    </row>
    <row r="1142" spans="1:23" s="23" customFormat="1" ht="14.25" hidden="1" x14ac:dyDescent="0.2">
      <c r="A1142" s="381" t="s">
        <v>3842</v>
      </c>
      <c r="B1142" s="381" t="s">
        <v>324</v>
      </c>
      <c r="C1142" s="408" t="s">
        <v>4256</v>
      </c>
      <c r="D1142" s="381" t="s">
        <v>4257</v>
      </c>
      <c r="E1142" s="383" t="s">
        <v>4258</v>
      </c>
      <c r="F1142" s="381" t="s">
        <v>4259</v>
      </c>
      <c r="G1142" s="384" t="s">
        <v>329</v>
      </c>
      <c r="H1142" s="24">
        <f>322.95+306.86</f>
        <v>629.80999999999995</v>
      </c>
      <c r="I1142" s="24"/>
      <c r="J1142" s="25" t="str">
        <f t="shared" si="55"/>
        <v>1</v>
      </c>
      <c r="K1142" s="385"/>
      <c r="L1142" s="385"/>
      <c r="M1142" s="386">
        <f t="shared" si="53"/>
        <v>629.80999999999995</v>
      </c>
      <c r="N1142" s="496">
        <v>120</v>
      </c>
      <c r="O1142" s="333">
        <f t="shared" si="54"/>
        <v>749.81</v>
      </c>
      <c r="R1142" s="23" t="str">
        <f>VLOOKUP(C:C,'Historic Data - working'!A:B,1,FALSE)</f>
        <v>NOT117</v>
      </c>
      <c r="U1142" s="323"/>
      <c r="V1142" s="323"/>
      <c r="W1142" s="323"/>
    </row>
    <row r="1143" spans="1:23" s="23" customFormat="1" ht="14.25" hidden="1" x14ac:dyDescent="0.2">
      <c r="A1143" s="381" t="s">
        <v>3842</v>
      </c>
      <c r="B1143" s="381" t="s">
        <v>324</v>
      </c>
      <c r="C1143" s="408" t="s">
        <v>4260</v>
      </c>
      <c r="D1143" s="381" t="s">
        <v>4261</v>
      </c>
      <c r="E1143" s="383" t="s">
        <v>61</v>
      </c>
      <c r="F1143" s="381" t="s">
        <v>4262</v>
      </c>
      <c r="G1143" s="384"/>
      <c r="H1143" s="24"/>
      <c r="I1143" s="24"/>
      <c r="J1143" s="25" t="str">
        <f t="shared" si="55"/>
        <v xml:space="preserve"> </v>
      </c>
      <c r="K1143" s="385"/>
      <c r="L1143" s="385"/>
      <c r="M1143" s="386">
        <f t="shared" si="53"/>
        <v>0</v>
      </c>
      <c r="N1143" s="496">
        <v>30</v>
      </c>
      <c r="O1143" s="333">
        <f t="shared" si="54"/>
        <v>30</v>
      </c>
      <c r="R1143" s="23" t="str">
        <f>VLOOKUP(C:C,'Historic Data - working'!A:B,1,FALSE)</f>
        <v>NOT118</v>
      </c>
      <c r="U1143" s="323"/>
      <c r="V1143" s="323"/>
      <c r="W1143" s="323"/>
    </row>
    <row r="1144" spans="1:23" s="23" customFormat="1" ht="14.25" hidden="1" x14ac:dyDescent="0.2">
      <c r="A1144" s="381" t="s">
        <v>3842</v>
      </c>
      <c r="B1144" s="381" t="s">
        <v>324</v>
      </c>
      <c r="C1144" s="408" t="s">
        <v>4263</v>
      </c>
      <c r="D1144" s="381" t="s">
        <v>4264</v>
      </c>
      <c r="E1144" s="383" t="s">
        <v>2896</v>
      </c>
      <c r="F1144" s="381" t="s">
        <v>4265</v>
      </c>
      <c r="G1144" s="384"/>
      <c r="H1144" s="24"/>
      <c r="I1144" s="24"/>
      <c r="J1144" s="25" t="str">
        <f t="shared" si="55"/>
        <v xml:space="preserve"> </v>
      </c>
      <c r="K1144" s="385"/>
      <c r="L1144" s="385"/>
      <c r="M1144" s="386">
        <f t="shared" si="53"/>
        <v>0</v>
      </c>
      <c r="N1144" s="496"/>
      <c r="O1144" s="333">
        <f t="shared" si="54"/>
        <v>0</v>
      </c>
      <c r="R1144" s="23" t="e">
        <f>VLOOKUP(C:C,'Historic Data - working'!A:B,1,FALSE)</f>
        <v>#N/A</v>
      </c>
      <c r="U1144" s="323"/>
      <c r="V1144" s="323"/>
      <c r="W1144" s="323"/>
    </row>
    <row r="1145" spans="1:23" s="23" customFormat="1" ht="14.25" hidden="1" x14ac:dyDescent="0.2">
      <c r="A1145" s="381" t="s">
        <v>3842</v>
      </c>
      <c r="B1145" s="381" t="s">
        <v>324</v>
      </c>
      <c r="C1145" s="408" t="s">
        <v>4266</v>
      </c>
      <c r="D1145" s="381" t="s">
        <v>4267</v>
      </c>
      <c r="E1145" s="383" t="s">
        <v>4268</v>
      </c>
      <c r="F1145" s="381" t="s">
        <v>4269</v>
      </c>
      <c r="G1145" s="384" t="s">
        <v>329</v>
      </c>
      <c r="H1145" s="24">
        <f>155+138.57</f>
        <v>293.57</v>
      </c>
      <c r="I1145" s="24"/>
      <c r="J1145" s="25" t="str">
        <f t="shared" si="55"/>
        <v>1</v>
      </c>
      <c r="K1145" s="385"/>
      <c r="L1145" s="385"/>
      <c r="M1145" s="386">
        <f t="shared" si="53"/>
        <v>293.57</v>
      </c>
      <c r="N1145" s="496">
        <v>369</v>
      </c>
      <c r="O1145" s="333">
        <f t="shared" si="54"/>
        <v>662.56999999999994</v>
      </c>
      <c r="R1145" s="23" t="str">
        <f>VLOOKUP(C:C,'Historic Data - working'!A:B,1,FALSE)</f>
        <v>NOT119</v>
      </c>
      <c r="U1145" s="323"/>
      <c r="V1145" s="323"/>
      <c r="W1145" s="323"/>
    </row>
    <row r="1146" spans="1:23" s="23" customFormat="1" ht="14.25" hidden="1" x14ac:dyDescent="0.2">
      <c r="A1146" s="381" t="s">
        <v>3842</v>
      </c>
      <c r="B1146" s="381" t="s">
        <v>324</v>
      </c>
      <c r="C1146" s="408" t="s">
        <v>4270</v>
      </c>
      <c r="D1146" s="381" t="s">
        <v>4271</v>
      </c>
      <c r="E1146" s="383" t="s">
        <v>1284</v>
      </c>
      <c r="F1146" s="381" t="s">
        <v>4272</v>
      </c>
      <c r="G1146" s="384"/>
      <c r="H1146" s="24"/>
      <c r="I1146" s="24"/>
      <c r="J1146" s="25" t="str">
        <f t="shared" si="55"/>
        <v xml:space="preserve"> </v>
      </c>
      <c r="K1146" s="385"/>
      <c r="L1146" s="385"/>
      <c r="M1146" s="386">
        <f t="shared" si="53"/>
        <v>0</v>
      </c>
      <c r="N1146" s="496">
        <v>206.98000000000002</v>
      </c>
      <c r="O1146" s="333">
        <f t="shared" si="54"/>
        <v>206.98000000000002</v>
      </c>
      <c r="R1146" s="23" t="str">
        <f>VLOOKUP(C:C,'Historic Data - working'!A:B,1,FALSE)</f>
        <v>NOT120</v>
      </c>
      <c r="U1146" s="323"/>
      <c r="V1146" s="323"/>
      <c r="W1146" s="323"/>
    </row>
    <row r="1147" spans="1:23" s="23" customFormat="1" ht="14.25" hidden="1" x14ac:dyDescent="0.2">
      <c r="A1147" s="381" t="s">
        <v>3842</v>
      </c>
      <c r="B1147" s="381" t="s">
        <v>324</v>
      </c>
      <c r="C1147" s="408" t="s">
        <v>4273</v>
      </c>
      <c r="D1147" s="381" t="s">
        <v>4274</v>
      </c>
      <c r="E1147" s="383" t="s">
        <v>4017</v>
      </c>
      <c r="F1147" s="381" t="s">
        <v>4275</v>
      </c>
      <c r="G1147" s="384" t="s">
        <v>329</v>
      </c>
      <c r="H1147" s="24">
        <f>87+108.32+100+127.1</f>
        <v>422.41999999999996</v>
      </c>
      <c r="I1147" s="24"/>
      <c r="J1147" s="25" t="str">
        <f t="shared" si="55"/>
        <v>1</v>
      </c>
      <c r="K1147" s="385"/>
      <c r="L1147" s="385"/>
      <c r="M1147" s="386">
        <f t="shared" si="53"/>
        <v>422.41999999999996</v>
      </c>
      <c r="N1147" s="496">
        <v>270</v>
      </c>
      <c r="O1147" s="333">
        <f t="shared" si="54"/>
        <v>692.42</v>
      </c>
      <c r="R1147" s="23" t="str">
        <f>VLOOKUP(C:C,'Historic Data - working'!A:B,1,FALSE)</f>
        <v>NOT121</v>
      </c>
      <c r="U1147" s="323"/>
      <c r="V1147" s="323"/>
      <c r="W1147" s="323"/>
    </row>
    <row r="1148" spans="1:23" s="23" customFormat="1" ht="14.25" hidden="1" x14ac:dyDescent="0.2">
      <c r="A1148" s="381" t="s">
        <v>3842</v>
      </c>
      <c r="B1148" s="381" t="s">
        <v>324</v>
      </c>
      <c r="C1148" s="408" t="s">
        <v>4276</v>
      </c>
      <c r="D1148" s="381" t="s">
        <v>4277</v>
      </c>
      <c r="E1148" s="383" t="s">
        <v>4278</v>
      </c>
      <c r="F1148" s="381" t="s">
        <v>3850</v>
      </c>
      <c r="G1148" s="384"/>
      <c r="H1148" s="24"/>
      <c r="I1148" s="24"/>
      <c r="J1148" s="25" t="str">
        <f t="shared" si="55"/>
        <v xml:space="preserve"> </v>
      </c>
      <c r="K1148" s="385"/>
      <c r="L1148" s="385"/>
      <c r="M1148" s="386">
        <f t="shared" si="53"/>
        <v>0</v>
      </c>
      <c r="N1148" s="496"/>
      <c r="O1148" s="333">
        <f t="shared" si="54"/>
        <v>0</v>
      </c>
      <c r="R1148" s="23" t="e">
        <f>VLOOKUP(C:C,'Historic Data - working'!A:B,1,FALSE)</f>
        <v>#N/A</v>
      </c>
      <c r="U1148" s="323"/>
      <c r="V1148" s="323"/>
      <c r="W1148" s="323"/>
    </row>
    <row r="1149" spans="1:23" s="23" customFormat="1" ht="14.25" hidden="1" x14ac:dyDescent="0.2">
      <c r="A1149" s="381" t="s">
        <v>3842</v>
      </c>
      <c r="B1149" s="381" t="s">
        <v>324</v>
      </c>
      <c r="C1149" s="408" t="s">
        <v>4279</v>
      </c>
      <c r="D1149" s="381" t="s">
        <v>4280</v>
      </c>
      <c r="E1149" s="383" t="s">
        <v>4281</v>
      </c>
      <c r="F1149" s="381" t="s">
        <v>4282</v>
      </c>
      <c r="G1149" s="384" t="s">
        <v>329</v>
      </c>
      <c r="H1149" s="24"/>
      <c r="I1149" s="24">
        <f>130+33.46</f>
        <v>163.46</v>
      </c>
      <c r="J1149" s="25" t="str">
        <f t="shared" si="55"/>
        <v>1</v>
      </c>
      <c r="K1149" s="385"/>
      <c r="L1149" s="385"/>
      <c r="M1149" s="386">
        <f t="shared" si="53"/>
        <v>0</v>
      </c>
      <c r="N1149" s="496">
        <v>867.8</v>
      </c>
      <c r="O1149" s="333">
        <f t="shared" si="54"/>
        <v>867.8</v>
      </c>
      <c r="R1149" s="23" t="str">
        <f>VLOOKUP(C:C,'Historic Data - working'!A:B,1,FALSE)</f>
        <v>NOT122</v>
      </c>
      <c r="U1149" s="323"/>
      <c r="V1149" s="323"/>
      <c r="W1149" s="323"/>
    </row>
    <row r="1150" spans="1:23" s="23" customFormat="1" ht="14.25" hidden="1" x14ac:dyDescent="0.2">
      <c r="A1150" s="381" t="s">
        <v>3842</v>
      </c>
      <c r="B1150" s="381" t="s">
        <v>324</v>
      </c>
      <c r="C1150" s="408" t="s">
        <v>4283</v>
      </c>
      <c r="D1150" s="381" t="s">
        <v>4284</v>
      </c>
      <c r="E1150" s="383" t="s">
        <v>4285</v>
      </c>
      <c r="F1150" s="381" t="s">
        <v>4286</v>
      </c>
      <c r="G1150" s="384" t="s">
        <v>329</v>
      </c>
      <c r="H1150" s="24">
        <f>235.01+50</f>
        <v>285.01</v>
      </c>
      <c r="I1150" s="24"/>
      <c r="J1150" s="25" t="str">
        <f t="shared" si="55"/>
        <v>1</v>
      </c>
      <c r="K1150" s="385"/>
      <c r="L1150" s="385"/>
      <c r="M1150" s="386">
        <f t="shared" si="53"/>
        <v>285.01</v>
      </c>
      <c r="N1150" s="496">
        <v>135</v>
      </c>
      <c r="O1150" s="333">
        <f t="shared" si="54"/>
        <v>420.01</v>
      </c>
      <c r="R1150" s="23" t="str">
        <f>VLOOKUP(C:C,'Historic Data - working'!A:B,1,FALSE)</f>
        <v>NOT122B</v>
      </c>
      <c r="U1150" s="323"/>
      <c r="V1150" s="323"/>
      <c r="W1150" s="323"/>
    </row>
    <row r="1151" spans="1:23" s="23" customFormat="1" ht="14.25" hidden="1" x14ac:dyDescent="0.2">
      <c r="A1151" s="381" t="s">
        <v>3842</v>
      </c>
      <c r="B1151" s="381" t="s">
        <v>324</v>
      </c>
      <c r="C1151" s="408" t="s">
        <v>4287</v>
      </c>
      <c r="D1151" s="381" t="s">
        <v>4288</v>
      </c>
      <c r="E1151" s="383" t="s">
        <v>31</v>
      </c>
      <c r="F1151" s="381" t="s">
        <v>4289</v>
      </c>
      <c r="G1151" s="384"/>
      <c r="H1151" s="24"/>
      <c r="I1151" s="24"/>
      <c r="J1151" s="25" t="str">
        <f t="shared" si="55"/>
        <v xml:space="preserve"> </v>
      </c>
      <c r="K1151" s="385"/>
      <c r="L1151" s="385"/>
      <c r="M1151" s="386">
        <f t="shared" si="53"/>
        <v>0</v>
      </c>
      <c r="N1151" s="496">
        <v>135</v>
      </c>
      <c r="O1151" s="333">
        <f t="shared" si="54"/>
        <v>135</v>
      </c>
      <c r="R1151" s="23" t="e">
        <f>VLOOKUP(C:C,'Historic Data - working'!A:B,1,FALSE)</f>
        <v>#N/A</v>
      </c>
      <c r="U1151" s="323"/>
      <c r="V1151" s="323"/>
      <c r="W1151" s="323"/>
    </row>
    <row r="1152" spans="1:23" s="23" customFormat="1" ht="14.25" hidden="1" x14ac:dyDescent="0.2">
      <c r="A1152" s="381" t="s">
        <v>3842</v>
      </c>
      <c r="B1152" s="381" t="s">
        <v>324</v>
      </c>
      <c r="C1152" s="408" t="s">
        <v>4290</v>
      </c>
      <c r="D1152" s="381" t="s">
        <v>4291</v>
      </c>
      <c r="E1152" s="383" t="s">
        <v>4292</v>
      </c>
      <c r="F1152" s="381" t="s">
        <v>4293</v>
      </c>
      <c r="G1152" s="384" t="s">
        <v>329</v>
      </c>
      <c r="H1152" s="24">
        <f>56.2+197.19+226.15+39.13+80.15+4.2</f>
        <v>603.02</v>
      </c>
      <c r="I1152" s="24"/>
      <c r="J1152" s="25" t="str">
        <f t="shared" si="55"/>
        <v>1</v>
      </c>
      <c r="K1152" s="385"/>
      <c r="L1152" s="385"/>
      <c r="M1152" s="386">
        <f t="shared" si="53"/>
        <v>603.02</v>
      </c>
      <c r="N1152" s="496">
        <v>100</v>
      </c>
      <c r="O1152" s="333">
        <f t="shared" si="54"/>
        <v>703.02</v>
      </c>
      <c r="R1152" s="23" t="str">
        <f>VLOOKUP(C:C,'Historic Data - working'!A:B,1,FALSE)</f>
        <v>NOT124</v>
      </c>
      <c r="U1152" s="323"/>
      <c r="V1152" s="323"/>
      <c r="W1152" s="323"/>
    </row>
    <row r="1153" spans="1:23" s="23" customFormat="1" ht="14.25" hidden="1" x14ac:dyDescent="0.2">
      <c r="A1153" s="381" t="s">
        <v>3842</v>
      </c>
      <c r="B1153" s="381" t="s">
        <v>324</v>
      </c>
      <c r="C1153" s="408" t="s">
        <v>4294</v>
      </c>
      <c r="D1153" s="381" t="s">
        <v>4295</v>
      </c>
      <c r="E1153" s="383" t="s">
        <v>4296</v>
      </c>
      <c r="F1153" s="381" t="s">
        <v>4297</v>
      </c>
      <c r="G1153" s="384" t="s">
        <v>329</v>
      </c>
      <c r="H1153" s="24"/>
      <c r="I1153" s="24">
        <v>41.89</v>
      </c>
      <c r="J1153" s="25" t="str">
        <f t="shared" si="55"/>
        <v>1</v>
      </c>
      <c r="K1153" s="385"/>
      <c r="L1153" s="385"/>
      <c r="M1153" s="386">
        <f t="shared" si="53"/>
        <v>0</v>
      </c>
      <c r="N1153" s="496">
        <v>941.89</v>
      </c>
      <c r="O1153" s="333">
        <f t="shared" si="54"/>
        <v>941.89</v>
      </c>
      <c r="R1153" s="23" t="str">
        <f>VLOOKUP(C:C,'Historic Data - working'!A:B,1,FALSE)</f>
        <v>NOT125</v>
      </c>
      <c r="U1153" s="323"/>
      <c r="V1153" s="323"/>
      <c r="W1153" s="323"/>
    </row>
    <row r="1154" spans="1:23" s="23" customFormat="1" ht="14.25" hidden="1" x14ac:dyDescent="0.2">
      <c r="A1154" s="381" t="s">
        <v>3842</v>
      </c>
      <c r="B1154" s="381" t="s">
        <v>324</v>
      </c>
      <c r="C1154" s="408" t="s">
        <v>4298</v>
      </c>
      <c r="D1154" s="381" t="s">
        <v>4299</v>
      </c>
      <c r="E1154" s="383" t="s">
        <v>164</v>
      </c>
      <c r="F1154" s="381" t="s">
        <v>4300</v>
      </c>
      <c r="G1154" s="384" t="s">
        <v>329</v>
      </c>
      <c r="H1154" s="24">
        <f>22.42+8.15+25.4+27.77+103.64+4.8+72.61+13.51+61.35</f>
        <v>339.65000000000003</v>
      </c>
      <c r="I1154" s="24"/>
      <c r="J1154" s="25" t="str">
        <f t="shared" si="55"/>
        <v>1</v>
      </c>
      <c r="K1154" s="385" t="s">
        <v>4301</v>
      </c>
      <c r="L1154" s="385">
        <v>-30.57</v>
      </c>
      <c r="M1154" s="386">
        <f t="shared" ref="M1154:M1218" si="56">H1154+L1154</f>
        <v>309.08000000000004</v>
      </c>
      <c r="N1154" s="496">
        <v>245</v>
      </c>
      <c r="O1154" s="333">
        <f t="shared" ref="O1154:O1217" si="57">M1154+N1154</f>
        <v>554.08000000000004</v>
      </c>
      <c r="R1154" s="23" t="str">
        <f>VLOOKUP(C:C,'Historic Data - working'!A:B,1,FALSE)</f>
        <v>NOT126</v>
      </c>
      <c r="U1154" s="323"/>
      <c r="V1154" s="323"/>
      <c r="W1154" s="323"/>
    </row>
    <row r="1155" spans="1:23" s="23" customFormat="1" ht="14.25" hidden="1" x14ac:dyDescent="0.2">
      <c r="A1155" s="381" t="s">
        <v>3842</v>
      </c>
      <c r="B1155" s="381" t="s">
        <v>324</v>
      </c>
      <c r="C1155" s="408" t="s">
        <v>4302</v>
      </c>
      <c r="D1155" s="381" t="s">
        <v>4303</v>
      </c>
      <c r="E1155" s="383" t="s">
        <v>1026</v>
      </c>
      <c r="F1155" s="381" t="s">
        <v>4304</v>
      </c>
      <c r="G1155" s="384"/>
      <c r="H1155" s="24"/>
      <c r="I1155" s="24"/>
      <c r="J1155" s="25" t="str">
        <f t="shared" si="55"/>
        <v xml:space="preserve"> </v>
      </c>
      <c r="K1155" s="385"/>
      <c r="L1155" s="385"/>
      <c r="M1155" s="386">
        <f t="shared" si="56"/>
        <v>0</v>
      </c>
      <c r="N1155" s="496">
        <v>20</v>
      </c>
      <c r="O1155" s="333">
        <f t="shared" si="57"/>
        <v>20</v>
      </c>
      <c r="R1155" s="23" t="e">
        <f>VLOOKUP(C:C,'Historic Data - working'!A:B,1,FALSE)</f>
        <v>#N/A</v>
      </c>
      <c r="U1155" s="323"/>
      <c r="V1155" s="323"/>
      <c r="W1155" s="323"/>
    </row>
    <row r="1156" spans="1:23" s="23" customFormat="1" ht="14.25" hidden="1" x14ac:dyDescent="0.2">
      <c r="A1156" s="381" t="s">
        <v>3842</v>
      </c>
      <c r="B1156" s="381" t="s">
        <v>324</v>
      </c>
      <c r="C1156" s="408" t="s">
        <v>4305</v>
      </c>
      <c r="D1156" s="381" t="s">
        <v>4306</v>
      </c>
      <c r="E1156" s="383" t="s">
        <v>4307</v>
      </c>
      <c r="F1156" s="381" t="s">
        <v>4308</v>
      </c>
      <c r="G1156" s="384"/>
      <c r="H1156" s="24"/>
      <c r="I1156" s="24"/>
      <c r="J1156" s="25" t="str">
        <f t="shared" si="55"/>
        <v xml:space="preserve"> </v>
      </c>
      <c r="K1156" s="385"/>
      <c r="L1156" s="385"/>
      <c r="M1156" s="386">
        <f t="shared" si="56"/>
        <v>0</v>
      </c>
      <c r="N1156" s="496">
        <v>235</v>
      </c>
      <c r="O1156" s="333">
        <f t="shared" si="57"/>
        <v>235</v>
      </c>
      <c r="R1156" s="23" t="str">
        <f>VLOOKUP(C:C,'Historic Data - working'!A:B,1,FALSE)</f>
        <v>NOT129</v>
      </c>
      <c r="U1156" s="323"/>
      <c r="V1156" s="323"/>
      <c r="W1156" s="323"/>
    </row>
    <row r="1157" spans="1:23" s="23" customFormat="1" ht="14.25" hidden="1" x14ac:dyDescent="0.2">
      <c r="A1157" s="381" t="s">
        <v>3842</v>
      </c>
      <c r="B1157" s="381" t="s">
        <v>324</v>
      </c>
      <c r="C1157" s="408" t="s">
        <v>4309</v>
      </c>
      <c r="D1157" s="381" t="s">
        <v>4310</v>
      </c>
      <c r="E1157" s="383" t="s">
        <v>4311</v>
      </c>
      <c r="F1157" s="381" t="s">
        <v>4312</v>
      </c>
      <c r="G1157" s="384" t="s">
        <v>329</v>
      </c>
      <c r="H1157" s="24">
        <v>329</v>
      </c>
      <c r="I1157" s="24"/>
      <c r="J1157" s="25" t="str">
        <f t="shared" si="55"/>
        <v>1</v>
      </c>
      <c r="K1157" s="385" t="s">
        <v>4313</v>
      </c>
      <c r="L1157" s="385">
        <v>10</v>
      </c>
      <c r="M1157" s="386">
        <f t="shared" si="56"/>
        <v>339</v>
      </c>
      <c r="N1157" s="496">
        <v>440</v>
      </c>
      <c r="O1157" s="333">
        <f t="shared" si="57"/>
        <v>779</v>
      </c>
      <c r="R1157" s="23" t="str">
        <f>VLOOKUP(C:C,'Historic Data - working'!A:B,1,FALSE)</f>
        <v>NOT130</v>
      </c>
      <c r="U1157" s="323"/>
      <c r="V1157" s="323"/>
      <c r="W1157" s="323"/>
    </row>
    <row r="1158" spans="1:23" s="23" customFormat="1" ht="14.25" hidden="1" x14ac:dyDescent="0.2">
      <c r="A1158" s="381" t="s">
        <v>3842</v>
      </c>
      <c r="B1158" s="381" t="s">
        <v>324</v>
      </c>
      <c r="C1158" s="408" t="s">
        <v>4314</v>
      </c>
      <c r="D1158" s="381" t="s">
        <v>4315</v>
      </c>
      <c r="E1158" s="383" t="s">
        <v>260</v>
      </c>
      <c r="F1158" s="381" t="s">
        <v>4316</v>
      </c>
      <c r="G1158" s="384"/>
      <c r="H1158" s="24"/>
      <c r="I1158" s="24"/>
      <c r="J1158" s="25" t="str">
        <f t="shared" si="55"/>
        <v xml:space="preserve"> </v>
      </c>
      <c r="K1158" s="385"/>
      <c r="L1158" s="385"/>
      <c r="M1158" s="386">
        <f t="shared" si="56"/>
        <v>0</v>
      </c>
      <c r="N1158" s="496"/>
      <c r="O1158" s="333">
        <f t="shared" si="57"/>
        <v>0</v>
      </c>
      <c r="R1158" s="23" t="e">
        <f>VLOOKUP(C:C,'Historic Data - working'!A:B,1,FALSE)</f>
        <v>#N/A</v>
      </c>
      <c r="U1158" s="323"/>
      <c r="V1158" s="323"/>
      <c r="W1158" s="323"/>
    </row>
    <row r="1159" spans="1:23" s="23" customFormat="1" ht="14.25" hidden="1" x14ac:dyDescent="0.2">
      <c r="A1159" s="381" t="s">
        <v>3842</v>
      </c>
      <c r="B1159" s="381" t="s">
        <v>324</v>
      </c>
      <c r="C1159" s="408" t="s">
        <v>4317</v>
      </c>
      <c r="D1159" s="381" t="s">
        <v>4318</v>
      </c>
      <c r="E1159" s="383" t="s">
        <v>94</v>
      </c>
      <c r="F1159" s="381" t="s">
        <v>4319</v>
      </c>
      <c r="G1159" s="384" t="s">
        <v>329</v>
      </c>
      <c r="H1159" s="24">
        <v>1592.86</v>
      </c>
      <c r="I1159" s="24"/>
      <c r="J1159" s="25" t="str">
        <f t="shared" si="55"/>
        <v>1</v>
      </c>
      <c r="K1159" s="385"/>
      <c r="L1159" s="385"/>
      <c r="M1159" s="386">
        <f t="shared" si="56"/>
        <v>1592.86</v>
      </c>
      <c r="N1159" s="496">
        <v>50</v>
      </c>
      <c r="O1159" s="333">
        <f t="shared" si="57"/>
        <v>1642.86</v>
      </c>
      <c r="R1159" s="23" t="str">
        <f>VLOOKUP(C:C,'Historic Data - working'!A:B,1,FALSE)</f>
        <v>NOT133</v>
      </c>
      <c r="U1159" s="323"/>
      <c r="V1159" s="323"/>
      <c r="W1159" s="323"/>
    </row>
    <row r="1160" spans="1:23" s="23" customFormat="1" ht="14.25" hidden="1" x14ac:dyDescent="0.2">
      <c r="A1160" s="381" t="s">
        <v>3842</v>
      </c>
      <c r="B1160" s="381" t="s">
        <v>324</v>
      </c>
      <c r="C1160" s="408" t="s">
        <v>4320</v>
      </c>
      <c r="D1160" s="381" t="s">
        <v>4321</v>
      </c>
      <c r="E1160" s="383" t="s">
        <v>2816</v>
      </c>
      <c r="F1160" s="381" t="s">
        <v>4322</v>
      </c>
      <c r="G1160" s="384" t="s">
        <v>329</v>
      </c>
      <c r="H1160" s="24">
        <f>163+96.32+170+77+37.48</f>
        <v>543.79999999999995</v>
      </c>
      <c r="I1160" s="24"/>
      <c r="J1160" s="25" t="str">
        <f t="shared" si="55"/>
        <v>1</v>
      </c>
      <c r="K1160" s="385"/>
      <c r="L1160" s="385"/>
      <c r="M1160" s="386">
        <f t="shared" si="56"/>
        <v>543.79999999999995</v>
      </c>
      <c r="N1160" s="496">
        <v>245</v>
      </c>
      <c r="O1160" s="333">
        <f t="shared" si="57"/>
        <v>788.8</v>
      </c>
      <c r="R1160" s="23" t="str">
        <f>VLOOKUP(C:C,'Historic Data - working'!A:B,1,FALSE)</f>
        <v>NOT134</v>
      </c>
      <c r="U1160" s="323"/>
      <c r="V1160" s="323"/>
      <c r="W1160" s="323"/>
    </row>
    <row r="1161" spans="1:23" s="23" customFormat="1" ht="14.25" hidden="1" x14ac:dyDescent="0.2">
      <c r="A1161" s="381" t="s">
        <v>3842</v>
      </c>
      <c r="B1161" s="381" t="s">
        <v>324</v>
      </c>
      <c r="C1161" s="408" t="s">
        <v>4323</v>
      </c>
      <c r="D1161" s="381" t="s">
        <v>4324</v>
      </c>
      <c r="E1161" s="383" t="s">
        <v>4325</v>
      </c>
      <c r="F1161" s="381" t="s">
        <v>4326</v>
      </c>
      <c r="G1161" s="384"/>
      <c r="H1161" s="24"/>
      <c r="I1161" s="24"/>
      <c r="J1161" s="25" t="str">
        <f t="shared" si="55"/>
        <v xml:space="preserve"> </v>
      </c>
      <c r="K1161" s="385"/>
      <c r="L1161" s="385"/>
      <c r="M1161" s="386">
        <f t="shared" si="56"/>
        <v>0</v>
      </c>
      <c r="N1161" s="496"/>
      <c r="O1161" s="333">
        <f t="shared" si="57"/>
        <v>0</v>
      </c>
      <c r="R1161" s="23" t="e">
        <f>VLOOKUP(C:C,'Historic Data - working'!A:B,1,FALSE)</f>
        <v>#N/A</v>
      </c>
      <c r="U1161" s="323"/>
      <c r="V1161" s="323"/>
      <c r="W1161" s="323"/>
    </row>
    <row r="1162" spans="1:23" s="23" customFormat="1" ht="14.25" hidden="1" x14ac:dyDescent="0.2">
      <c r="A1162" s="381" t="s">
        <v>3842</v>
      </c>
      <c r="B1162" s="381" t="s">
        <v>324</v>
      </c>
      <c r="C1162" s="408" t="s">
        <v>4327</v>
      </c>
      <c r="D1162" s="381" t="s">
        <v>4328</v>
      </c>
      <c r="E1162" s="383" t="s">
        <v>4329</v>
      </c>
      <c r="F1162" s="381" t="s">
        <v>4330</v>
      </c>
      <c r="G1162" s="384"/>
      <c r="H1162" s="24"/>
      <c r="I1162" s="24"/>
      <c r="J1162" s="25" t="str">
        <f t="shared" si="55"/>
        <v xml:space="preserve"> </v>
      </c>
      <c r="K1162" s="385"/>
      <c r="L1162" s="385"/>
      <c r="M1162" s="386">
        <f t="shared" si="56"/>
        <v>0</v>
      </c>
      <c r="N1162" s="496"/>
      <c r="O1162" s="333">
        <f t="shared" si="57"/>
        <v>0</v>
      </c>
      <c r="R1162" s="23" t="str">
        <f>VLOOKUP(C:C,'Historic Data - working'!A:B,1,FALSE)</f>
        <v>NOT134V</v>
      </c>
      <c r="U1162" s="323"/>
      <c r="V1162" s="323"/>
      <c r="W1162" s="323"/>
    </row>
    <row r="1163" spans="1:23" s="23" customFormat="1" ht="14.25" hidden="1" x14ac:dyDescent="0.2">
      <c r="A1163" s="381" t="s">
        <v>3842</v>
      </c>
      <c r="B1163" s="381" t="s">
        <v>324</v>
      </c>
      <c r="C1163" s="408" t="s">
        <v>4331</v>
      </c>
      <c r="D1163" s="381" t="s">
        <v>4332</v>
      </c>
      <c r="E1163" s="383" t="s">
        <v>4333</v>
      </c>
      <c r="F1163" s="381" t="s">
        <v>4334</v>
      </c>
      <c r="G1163" s="384" t="s">
        <v>329</v>
      </c>
      <c r="H1163" s="24">
        <f>51.61+74.9+63.81</f>
        <v>190.32</v>
      </c>
      <c r="I1163" s="24"/>
      <c r="J1163" s="25" t="str">
        <f t="shared" si="55"/>
        <v>1</v>
      </c>
      <c r="K1163" s="385"/>
      <c r="L1163" s="385"/>
      <c r="M1163" s="386">
        <f t="shared" si="56"/>
        <v>190.32</v>
      </c>
      <c r="N1163" s="496">
        <v>200</v>
      </c>
      <c r="O1163" s="333">
        <f t="shared" si="57"/>
        <v>390.32</v>
      </c>
      <c r="R1163" s="23" t="str">
        <f>VLOOKUP(C:C,'Historic Data - working'!A:B,1,FALSE)</f>
        <v>NOT136</v>
      </c>
      <c r="U1163" s="323"/>
      <c r="V1163" s="323"/>
      <c r="W1163" s="323"/>
    </row>
    <row r="1164" spans="1:23" s="23" customFormat="1" ht="14.25" hidden="1" x14ac:dyDescent="0.2">
      <c r="A1164" s="381" t="s">
        <v>3842</v>
      </c>
      <c r="B1164" s="381" t="s">
        <v>324</v>
      </c>
      <c r="C1164" s="408" t="s">
        <v>4335</v>
      </c>
      <c r="D1164" s="381" t="s">
        <v>4336</v>
      </c>
      <c r="E1164" s="383" t="s">
        <v>4337</v>
      </c>
      <c r="F1164" s="381" t="s">
        <v>4150</v>
      </c>
      <c r="G1164" s="384"/>
      <c r="H1164" s="24"/>
      <c r="I1164" s="24"/>
      <c r="J1164" s="25" t="str">
        <f t="shared" si="55"/>
        <v xml:space="preserve"> </v>
      </c>
      <c r="K1164" s="385"/>
      <c r="L1164" s="385"/>
      <c r="M1164" s="386">
        <f t="shared" si="56"/>
        <v>0</v>
      </c>
      <c r="N1164" s="496"/>
      <c r="O1164" s="333">
        <f t="shared" si="57"/>
        <v>0</v>
      </c>
      <c r="R1164" s="23" t="e">
        <f>VLOOKUP(C:C,'Historic Data - working'!A:B,1,FALSE)</f>
        <v>#N/A</v>
      </c>
      <c r="U1164" s="323"/>
      <c r="V1164" s="323"/>
      <c r="W1164" s="323"/>
    </row>
    <row r="1165" spans="1:23" s="23" customFormat="1" ht="14.25" hidden="1" x14ac:dyDescent="0.2">
      <c r="A1165" s="381" t="s">
        <v>3842</v>
      </c>
      <c r="B1165" s="381" t="s">
        <v>324</v>
      </c>
      <c r="C1165" s="408" t="s">
        <v>4338</v>
      </c>
      <c r="D1165" s="381" t="s">
        <v>4339</v>
      </c>
      <c r="E1165" s="383" t="s">
        <v>4340</v>
      </c>
      <c r="F1165" s="385"/>
      <c r="G1165" s="384"/>
      <c r="H1165" s="24"/>
      <c r="I1165" s="24"/>
      <c r="J1165" s="25" t="str">
        <f t="shared" si="55"/>
        <v xml:space="preserve"> </v>
      </c>
      <c r="K1165" s="385" t="s">
        <v>337</v>
      </c>
      <c r="L1165" s="396">
        <f>196.27+0.1</f>
        <v>196.37</v>
      </c>
      <c r="M1165" s="386">
        <f t="shared" si="56"/>
        <v>196.37</v>
      </c>
      <c r="N1165" s="496">
        <v>50</v>
      </c>
      <c r="O1165" s="334">
        <f t="shared" si="57"/>
        <v>246.37</v>
      </c>
      <c r="P1165" s="351"/>
      <c r="Q1165" s="331"/>
      <c r="R1165" s="331" t="e">
        <f>VLOOKUP(C:C,'Historic Data - working'!A:B,1,FALSE)</f>
        <v>#N/A</v>
      </c>
      <c r="U1165" s="323"/>
      <c r="V1165" s="323"/>
      <c r="W1165" s="323"/>
    </row>
    <row r="1166" spans="1:23" s="23" customFormat="1" ht="14.25" hidden="1" x14ac:dyDescent="0.2">
      <c r="A1166" s="381" t="s">
        <v>4341</v>
      </c>
      <c r="B1166" s="381" t="s">
        <v>324</v>
      </c>
      <c r="C1166" s="410" t="s">
        <v>4342</v>
      </c>
      <c r="D1166" s="381" t="s">
        <v>4343</v>
      </c>
      <c r="E1166" s="383" t="s">
        <v>4344</v>
      </c>
      <c r="F1166" s="381" t="s">
        <v>4345</v>
      </c>
      <c r="G1166" s="384" t="s">
        <v>329</v>
      </c>
      <c r="H1166" s="24">
        <f>399.5+652.6</f>
        <v>1052.0999999999999</v>
      </c>
      <c r="I1166" s="24"/>
      <c r="J1166" s="25" t="str">
        <f t="shared" si="55"/>
        <v>1</v>
      </c>
      <c r="K1166" s="387" t="s">
        <v>4346</v>
      </c>
      <c r="L1166" s="385">
        <v>27.57</v>
      </c>
      <c r="M1166" s="386">
        <f t="shared" si="56"/>
        <v>1079.6699999999998</v>
      </c>
      <c r="N1166" s="496">
        <v>806.81999999999994</v>
      </c>
      <c r="O1166" s="334">
        <f t="shared" si="57"/>
        <v>1886.4899999999998</v>
      </c>
      <c r="P1166" s="351"/>
      <c r="Q1166" s="331"/>
      <c r="R1166" s="331" t="e">
        <f>VLOOKUP(C:C,'Historic Data - working'!A:B,1,FALSE)</f>
        <v>#N/A</v>
      </c>
      <c r="U1166" s="323"/>
      <c r="V1166" s="323"/>
      <c r="W1166" s="323"/>
    </row>
    <row r="1167" spans="1:23" s="23" customFormat="1" ht="14.25" hidden="1" x14ac:dyDescent="0.2">
      <c r="A1167" s="381" t="s">
        <v>4341</v>
      </c>
      <c r="B1167" s="381" t="s">
        <v>324</v>
      </c>
      <c r="C1167" s="410" t="s">
        <v>4347</v>
      </c>
      <c r="D1167" s="381" t="s">
        <v>4348</v>
      </c>
      <c r="E1167" s="383" t="s">
        <v>916</v>
      </c>
      <c r="F1167" s="381" t="s">
        <v>4345</v>
      </c>
      <c r="G1167" s="384"/>
      <c r="H1167" s="24"/>
      <c r="I1167" s="24"/>
      <c r="J1167" s="25" t="str">
        <f t="shared" si="55"/>
        <v xml:space="preserve"> </v>
      </c>
      <c r="K1167" s="385"/>
      <c r="L1167" s="385"/>
      <c r="M1167" s="386">
        <f t="shared" si="56"/>
        <v>0</v>
      </c>
      <c r="N1167" s="496"/>
      <c r="O1167" s="333">
        <f t="shared" si="57"/>
        <v>0</v>
      </c>
      <c r="R1167" s="23" t="str">
        <f>VLOOKUP(C:C,'Historic Data - working'!A:B,1,FALSE)</f>
        <v>PLY002</v>
      </c>
      <c r="U1167" s="323"/>
      <c r="V1167" s="323"/>
      <c r="W1167" s="323"/>
    </row>
    <row r="1168" spans="1:23" s="23" customFormat="1" ht="14.25" hidden="1" x14ac:dyDescent="0.2">
      <c r="A1168" s="381" t="s">
        <v>4341</v>
      </c>
      <c r="B1168" s="381" t="s">
        <v>324</v>
      </c>
      <c r="C1168" s="410" t="s">
        <v>4349</v>
      </c>
      <c r="D1168" s="381" t="s">
        <v>4350</v>
      </c>
      <c r="E1168" s="383" t="s">
        <v>4351</v>
      </c>
      <c r="F1168" s="381" t="s">
        <v>4345</v>
      </c>
      <c r="G1168" s="384"/>
      <c r="H1168" s="24"/>
      <c r="I1168" s="24"/>
      <c r="J1168" s="25" t="str">
        <f t="shared" si="55"/>
        <v xml:space="preserve"> </v>
      </c>
      <c r="K1168" s="385"/>
      <c r="L1168" s="385"/>
      <c r="M1168" s="386">
        <f t="shared" si="56"/>
        <v>0</v>
      </c>
      <c r="N1168" s="496"/>
      <c r="O1168" s="333">
        <f t="shared" si="57"/>
        <v>0</v>
      </c>
      <c r="R1168" s="23" t="e">
        <f>VLOOKUP(C:C,'Historic Data - working'!A:B,1,FALSE)</f>
        <v>#N/A</v>
      </c>
      <c r="U1168" s="323"/>
      <c r="V1168" s="323"/>
      <c r="W1168" s="323"/>
    </row>
    <row r="1169" spans="1:23" s="23" customFormat="1" ht="14.25" hidden="1" x14ac:dyDescent="0.2">
      <c r="A1169" s="381" t="s">
        <v>4341</v>
      </c>
      <c r="B1169" s="381" t="s">
        <v>351</v>
      </c>
      <c r="C1169" s="410" t="s">
        <v>4352</v>
      </c>
      <c r="D1169" s="381" t="s">
        <v>4353</v>
      </c>
      <c r="E1169" s="383" t="s">
        <v>4354</v>
      </c>
      <c r="F1169" s="381" t="s">
        <v>4345</v>
      </c>
      <c r="G1169" s="384"/>
      <c r="H1169" s="24"/>
      <c r="I1169" s="24"/>
      <c r="J1169" s="25" t="str">
        <f t="shared" si="55"/>
        <v xml:space="preserve"> </v>
      </c>
      <c r="K1169" s="385" t="s">
        <v>337</v>
      </c>
      <c r="L1169" s="385">
        <v>528.20000000000005</v>
      </c>
      <c r="M1169" s="386">
        <f t="shared" si="56"/>
        <v>528.20000000000005</v>
      </c>
      <c r="N1169" s="496">
        <v>60</v>
      </c>
      <c r="O1169" s="333">
        <f t="shared" si="57"/>
        <v>588.20000000000005</v>
      </c>
      <c r="R1169" s="23" t="str">
        <f>VLOOKUP(C:C,'Historic Data - working'!A:B,1,FALSE)</f>
        <v>PLY004</v>
      </c>
      <c r="U1169" s="323"/>
      <c r="V1169" s="323"/>
      <c r="W1169" s="323"/>
    </row>
    <row r="1170" spans="1:23" s="23" customFormat="1" ht="14.25" hidden="1" x14ac:dyDescent="0.2">
      <c r="A1170" s="381" t="s">
        <v>4341</v>
      </c>
      <c r="B1170" s="381" t="s">
        <v>351</v>
      </c>
      <c r="C1170" s="410" t="s">
        <v>4355</v>
      </c>
      <c r="D1170" s="381" t="s">
        <v>4356</v>
      </c>
      <c r="E1170" s="383" t="s">
        <v>4357</v>
      </c>
      <c r="F1170" s="381" t="s">
        <v>4345</v>
      </c>
      <c r="G1170" s="384" t="s">
        <v>329</v>
      </c>
      <c r="H1170" s="24">
        <f>216.15+143.37</f>
        <v>359.52</v>
      </c>
      <c r="I1170" s="24"/>
      <c r="J1170" s="25" t="str">
        <f t="shared" si="55"/>
        <v>1</v>
      </c>
      <c r="K1170" s="385"/>
      <c r="L1170" s="385"/>
      <c r="M1170" s="386">
        <f t="shared" si="56"/>
        <v>359.52</v>
      </c>
      <c r="N1170" s="496">
        <v>170.92</v>
      </c>
      <c r="O1170" s="333">
        <f t="shared" si="57"/>
        <v>530.43999999999994</v>
      </c>
      <c r="R1170" s="23" t="str">
        <f>VLOOKUP(C:C,'Historic Data - working'!A:B,1,FALSE)</f>
        <v>PLY005</v>
      </c>
      <c r="U1170" s="323"/>
      <c r="V1170" s="323"/>
      <c r="W1170" s="323"/>
    </row>
    <row r="1171" spans="1:23" s="23" customFormat="1" ht="14.25" hidden="1" x14ac:dyDescent="0.2">
      <c r="A1171" s="381" t="s">
        <v>4341</v>
      </c>
      <c r="B1171" s="381" t="s">
        <v>324</v>
      </c>
      <c r="C1171" s="410" t="s">
        <v>4358</v>
      </c>
      <c r="D1171" s="381" t="s">
        <v>4359</v>
      </c>
      <c r="E1171" s="383" t="s">
        <v>72</v>
      </c>
      <c r="F1171" s="381" t="s">
        <v>4345</v>
      </c>
      <c r="G1171" s="384" t="s">
        <v>329</v>
      </c>
      <c r="H1171" s="24">
        <f>577.22+615.03</f>
        <v>1192.25</v>
      </c>
      <c r="I1171" s="24">
        <v>179.14</v>
      </c>
      <c r="J1171" s="25" t="str">
        <f t="shared" si="55"/>
        <v>1</v>
      </c>
      <c r="K1171" s="385" t="s">
        <v>4360</v>
      </c>
      <c r="L1171" s="385"/>
      <c r="M1171" s="386">
        <f t="shared" si="56"/>
        <v>1192.25</v>
      </c>
      <c r="N1171" s="496">
        <v>120</v>
      </c>
      <c r="O1171" s="333">
        <f t="shared" si="57"/>
        <v>1312.25</v>
      </c>
      <c r="R1171" s="23" t="str">
        <f>VLOOKUP(C:C,'Historic Data - working'!A:B,1,FALSE)</f>
        <v>PLY006</v>
      </c>
      <c r="U1171" s="323"/>
      <c r="V1171" s="323"/>
      <c r="W1171" s="323"/>
    </row>
    <row r="1172" spans="1:23" s="23" customFormat="1" ht="14.25" hidden="1" x14ac:dyDescent="0.2">
      <c r="A1172" s="381" t="s">
        <v>4341</v>
      </c>
      <c r="B1172" s="381" t="s">
        <v>324</v>
      </c>
      <c r="C1172" s="410" t="s">
        <v>4361</v>
      </c>
      <c r="D1172" s="381" t="s">
        <v>4362</v>
      </c>
      <c r="E1172" s="383" t="s">
        <v>4363</v>
      </c>
      <c r="F1172" s="381" t="s">
        <v>4345</v>
      </c>
      <c r="G1172" s="384"/>
      <c r="H1172" s="24"/>
      <c r="I1172" s="24"/>
      <c r="J1172" s="25" t="str">
        <f t="shared" si="55"/>
        <v xml:space="preserve"> </v>
      </c>
      <c r="K1172" s="385"/>
      <c r="L1172" s="385"/>
      <c r="M1172" s="386">
        <f t="shared" si="56"/>
        <v>0</v>
      </c>
      <c r="N1172" s="496">
        <v>30</v>
      </c>
      <c r="O1172" s="333">
        <f t="shared" si="57"/>
        <v>30</v>
      </c>
      <c r="R1172" s="23" t="e">
        <f>VLOOKUP(C:C,'Historic Data - working'!A:B,1,FALSE)</f>
        <v>#N/A</v>
      </c>
      <c r="U1172" s="323"/>
      <c r="V1172" s="323"/>
      <c r="W1172" s="323"/>
    </row>
    <row r="1173" spans="1:23" s="23" customFormat="1" ht="14.25" hidden="1" x14ac:dyDescent="0.2">
      <c r="A1173" s="381" t="s">
        <v>4341</v>
      </c>
      <c r="B1173" s="381" t="s">
        <v>351</v>
      </c>
      <c r="C1173" s="410" t="s">
        <v>4364</v>
      </c>
      <c r="D1173" s="381" t="s">
        <v>4365</v>
      </c>
      <c r="E1173" s="383" t="s">
        <v>4366</v>
      </c>
      <c r="F1173" s="381" t="s">
        <v>4345</v>
      </c>
      <c r="G1173" s="384" t="s">
        <v>329</v>
      </c>
      <c r="H1173" s="24">
        <f>398.65+372.42</f>
        <v>771.06999999999994</v>
      </c>
      <c r="I1173" s="24"/>
      <c r="J1173" s="25" t="str">
        <f t="shared" si="55"/>
        <v>1</v>
      </c>
      <c r="K1173" s="385"/>
      <c r="L1173" s="385"/>
      <c r="M1173" s="386">
        <f t="shared" si="56"/>
        <v>771.06999999999994</v>
      </c>
      <c r="N1173" s="496">
        <v>175</v>
      </c>
      <c r="O1173" s="333">
        <f t="shared" si="57"/>
        <v>946.06999999999994</v>
      </c>
      <c r="R1173" s="23" t="str">
        <f>VLOOKUP(C:C,'Historic Data - working'!A:B,1,FALSE)</f>
        <v>PLY008</v>
      </c>
      <c r="U1173" s="323"/>
      <c r="V1173" s="323"/>
      <c r="W1173" s="323"/>
    </row>
    <row r="1174" spans="1:23" s="23" customFormat="1" ht="14.25" hidden="1" x14ac:dyDescent="0.2">
      <c r="A1174" s="381" t="s">
        <v>4341</v>
      </c>
      <c r="B1174" s="381" t="s">
        <v>324</v>
      </c>
      <c r="C1174" s="410" t="s">
        <v>4367</v>
      </c>
      <c r="D1174" s="381" t="s">
        <v>4368</v>
      </c>
      <c r="E1174" s="383" t="s">
        <v>276</v>
      </c>
      <c r="F1174" s="381" t="s">
        <v>4345</v>
      </c>
      <c r="G1174" s="384" t="s">
        <v>329</v>
      </c>
      <c r="H1174" s="24">
        <f>160.97+100.97+169.62+214.17+109.1+64.2+94.11+117.21+102.98+92.13+137.93+103.82+85.31+38.37</f>
        <v>1590.8899999999999</v>
      </c>
      <c r="I1174" s="24"/>
      <c r="J1174" s="25" t="str">
        <f t="shared" si="55"/>
        <v>1</v>
      </c>
      <c r="K1174" s="385"/>
      <c r="L1174" s="385"/>
      <c r="M1174" s="386">
        <f t="shared" si="56"/>
        <v>1590.8899999999999</v>
      </c>
      <c r="N1174" s="496">
        <v>895</v>
      </c>
      <c r="O1174" s="333">
        <f t="shared" si="57"/>
        <v>2485.89</v>
      </c>
      <c r="R1174" s="23" t="str">
        <f>VLOOKUP(C:C,'Historic Data - working'!A:B,1,FALSE)</f>
        <v>PLY009</v>
      </c>
      <c r="U1174" s="323"/>
      <c r="V1174" s="323"/>
      <c r="W1174" s="323"/>
    </row>
    <row r="1175" spans="1:23" s="23" customFormat="1" ht="14.25" hidden="1" x14ac:dyDescent="0.2">
      <c r="A1175" s="381" t="s">
        <v>4341</v>
      </c>
      <c r="B1175" s="381" t="s">
        <v>324</v>
      </c>
      <c r="C1175" s="410" t="s">
        <v>4369</v>
      </c>
      <c r="D1175" s="381" t="s">
        <v>4370</v>
      </c>
      <c r="E1175" s="383" t="s">
        <v>4371</v>
      </c>
      <c r="F1175" s="381" t="s">
        <v>4372</v>
      </c>
      <c r="G1175" s="384" t="s">
        <v>329</v>
      </c>
      <c r="H1175" s="24">
        <v>421.74</v>
      </c>
      <c r="I1175" s="24"/>
      <c r="J1175" s="25" t="str">
        <f t="shared" si="55"/>
        <v>1</v>
      </c>
      <c r="K1175" s="385"/>
      <c r="L1175" s="385"/>
      <c r="M1175" s="386">
        <f t="shared" si="56"/>
        <v>421.74</v>
      </c>
      <c r="N1175" s="496">
        <v>35</v>
      </c>
      <c r="O1175" s="333">
        <f t="shared" si="57"/>
        <v>456.74</v>
      </c>
      <c r="R1175" s="23" t="str">
        <f>VLOOKUP(C:C,'Historic Data - working'!A:B,1,FALSE)</f>
        <v>PLY010</v>
      </c>
      <c r="U1175" s="323"/>
      <c r="V1175" s="323"/>
      <c r="W1175" s="323"/>
    </row>
    <row r="1176" spans="1:23" s="23" customFormat="1" ht="14.25" hidden="1" x14ac:dyDescent="0.2">
      <c r="A1176" s="381" t="s">
        <v>4341</v>
      </c>
      <c r="B1176" s="381" t="s">
        <v>324</v>
      </c>
      <c r="C1176" s="410" t="s">
        <v>4373</v>
      </c>
      <c r="D1176" s="381" t="s">
        <v>4374</v>
      </c>
      <c r="E1176" s="383" t="s">
        <v>56</v>
      </c>
      <c r="F1176" s="381" t="s">
        <v>4345</v>
      </c>
      <c r="G1176" s="384" t="s">
        <v>329</v>
      </c>
      <c r="H1176" s="24">
        <f>83+46.93+73.25</f>
        <v>203.18</v>
      </c>
      <c r="I1176" s="24"/>
      <c r="J1176" s="25" t="str">
        <f t="shared" si="55"/>
        <v>1</v>
      </c>
      <c r="K1176" s="385"/>
      <c r="L1176" s="385"/>
      <c r="M1176" s="386">
        <f t="shared" si="56"/>
        <v>203.18</v>
      </c>
      <c r="N1176" s="496">
        <v>20</v>
      </c>
      <c r="O1176" s="333">
        <f t="shared" si="57"/>
        <v>223.18</v>
      </c>
      <c r="R1176" s="23" t="str">
        <f>VLOOKUP(C:C,'Historic Data - working'!A:B,1,FALSE)</f>
        <v>PLY011</v>
      </c>
      <c r="U1176" s="323"/>
      <c r="V1176" s="323"/>
      <c r="W1176" s="323"/>
    </row>
    <row r="1177" spans="1:23" s="23" customFormat="1" ht="14.25" hidden="1" x14ac:dyDescent="0.2">
      <c r="A1177" s="381" t="s">
        <v>4341</v>
      </c>
      <c r="B1177" s="381" t="s">
        <v>324</v>
      </c>
      <c r="C1177" s="410" t="s">
        <v>4375</v>
      </c>
      <c r="D1177" s="381" t="s">
        <v>4376</v>
      </c>
      <c r="E1177" s="383" t="s">
        <v>193</v>
      </c>
      <c r="F1177" s="381" t="s">
        <v>4345</v>
      </c>
      <c r="G1177" s="384" t="s">
        <v>329</v>
      </c>
      <c r="H1177" s="24">
        <v>1904.95</v>
      </c>
      <c r="I1177" s="24"/>
      <c r="J1177" s="25" t="str">
        <f t="shared" si="55"/>
        <v>1</v>
      </c>
      <c r="K1177" s="385"/>
      <c r="L1177" s="385"/>
      <c r="M1177" s="386">
        <f t="shared" si="56"/>
        <v>1904.95</v>
      </c>
      <c r="N1177" s="496">
        <v>30</v>
      </c>
      <c r="O1177" s="333">
        <f t="shared" si="57"/>
        <v>1934.95</v>
      </c>
      <c r="R1177" s="23" t="str">
        <f>VLOOKUP(C:C,'Historic Data - working'!A:B,1,FALSE)</f>
        <v>PLY013</v>
      </c>
      <c r="U1177" s="323"/>
      <c r="V1177" s="323"/>
      <c r="W1177" s="323"/>
    </row>
    <row r="1178" spans="1:23" s="23" customFormat="1" ht="14.25" hidden="1" x14ac:dyDescent="0.2">
      <c r="A1178" s="381" t="s">
        <v>4341</v>
      </c>
      <c r="B1178" s="381" t="s">
        <v>324</v>
      </c>
      <c r="C1178" s="410" t="s">
        <v>4377</v>
      </c>
      <c r="D1178" s="381" t="s">
        <v>4378</v>
      </c>
      <c r="E1178" s="383" t="s">
        <v>4379</v>
      </c>
      <c r="F1178" s="381" t="s">
        <v>4345</v>
      </c>
      <c r="G1178" s="384" t="s">
        <v>329</v>
      </c>
      <c r="H1178" s="24">
        <f>497.65+450.08</f>
        <v>947.73</v>
      </c>
      <c r="I1178" s="24"/>
      <c r="J1178" s="25" t="str">
        <f t="shared" si="55"/>
        <v>1</v>
      </c>
      <c r="K1178" s="385"/>
      <c r="L1178" s="385"/>
      <c r="M1178" s="386">
        <f t="shared" si="56"/>
        <v>947.73</v>
      </c>
      <c r="N1178" s="496">
        <v>350.04</v>
      </c>
      <c r="O1178" s="333">
        <f t="shared" si="57"/>
        <v>1297.77</v>
      </c>
      <c r="R1178" s="23" t="str">
        <f>VLOOKUP(C:C,'Historic Data - working'!A:B,1,FALSE)</f>
        <v>PLY014</v>
      </c>
      <c r="U1178" s="323"/>
      <c r="V1178" s="323"/>
      <c r="W1178" s="323"/>
    </row>
    <row r="1179" spans="1:23" s="23" customFormat="1" ht="14.25" hidden="1" x14ac:dyDescent="0.2">
      <c r="A1179" s="381" t="s">
        <v>4341</v>
      </c>
      <c r="B1179" s="381" t="s">
        <v>324</v>
      </c>
      <c r="C1179" s="410" t="s">
        <v>4380</v>
      </c>
      <c r="D1179" s="381" t="s">
        <v>4381</v>
      </c>
      <c r="E1179" s="383" t="s">
        <v>31</v>
      </c>
      <c r="F1179" s="381" t="s">
        <v>4382</v>
      </c>
      <c r="G1179" s="384"/>
      <c r="H1179" s="24"/>
      <c r="I1179" s="24"/>
      <c r="J1179" s="25" t="str">
        <f t="shared" si="55"/>
        <v xml:space="preserve"> </v>
      </c>
      <c r="K1179" s="385"/>
      <c r="L1179" s="385"/>
      <c r="M1179" s="386">
        <f t="shared" si="56"/>
        <v>0</v>
      </c>
      <c r="N1179" s="496">
        <v>300</v>
      </c>
      <c r="O1179" s="333">
        <f t="shared" si="57"/>
        <v>300</v>
      </c>
      <c r="R1179" s="23" t="str">
        <f>VLOOKUP(C:C,'Historic Data - working'!A:B,1,FALSE)</f>
        <v>PLY015</v>
      </c>
      <c r="U1179" s="323"/>
      <c r="V1179" s="323"/>
      <c r="W1179" s="323"/>
    </row>
    <row r="1180" spans="1:23" s="23" customFormat="1" ht="28.5" hidden="1" x14ac:dyDescent="0.2">
      <c r="A1180" s="381" t="s">
        <v>4341</v>
      </c>
      <c r="B1180" s="381" t="s">
        <v>324</v>
      </c>
      <c r="C1180" s="410" t="s">
        <v>4383</v>
      </c>
      <c r="D1180" s="381" t="s">
        <v>4384</v>
      </c>
      <c r="E1180" s="383" t="s">
        <v>4385</v>
      </c>
      <c r="F1180" s="381" t="s">
        <v>4386</v>
      </c>
      <c r="G1180" s="384" t="s">
        <v>329</v>
      </c>
      <c r="H1180" s="24">
        <v>2317.69</v>
      </c>
      <c r="I1180" s="24"/>
      <c r="J1180" s="25" t="str">
        <f t="shared" si="55"/>
        <v>1</v>
      </c>
      <c r="K1180" s="385" t="s">
        <v>4387</v>
      </c>
      <c r="L1180" s="385">
        <v>-0.1</v>
      </c>
      <c r="M1180" s="386">
        <f t="shared" si="56"/>
        <v>2317.59</v>
      </c>
      <c r="N1180" s="496">
        <v>775</v>
      </c>
      <c r="O1180" s="334">
        <f t="shared" si="57"/>
        <v>3092.59</v>
      </c>
      <c r="P1180" s="351"/>
      <c r="Q1180" s="331"/>
      <c r="R1180" s="331" t="e">
        <f>VLOOKUP(C:C,'Historic Data - working'!A:B,1,FALSE)</f>
        <v>#N/A</v>
      </c>
      <c r="U1180" s="323"/>
      <c r="V1180" s="323"/>
      <c r="W1180" s="323"/>
    </row>
    <row r="1181" spans="1:23" s="23" customFormat="1" ht="14.25" hidden="1" x14ac:dyDescent="0.2">
      <c r="A1181" s="381" t="s">
        <v>4341</v>
      </c>
      <c r="B1181" s="381" t="s">
        <v>324</v>
      </c>
      <c r="C1181" s="410" t="s">
        <v>4388</v>
      </c>
      <c r="D1181" s="381">
        <v>443350</v>
      </c>
      <c r="E1181" s="383" t="s">
        <v>4389</v>
      </c>
      <c r="F1181" s="381" t="s">
        <v>4390</v>
      </c>
      <c r="G1181" s="384" t="s">
        <v>329</v>
      </c>
      <c r="H1181" s="24">
        <f>204.01+300.48</f>
        <v>504.49</v>
      </c>
      <c r="I1181" s="24"/>
      <c r="J1181" s="25" t="str">
        <f t="shared" si="55"/>
        <v>1</v>
      </c>
      <c r="K1181" s="385"/>
      <c r="L1181" s="385"/>
      <c r="M1181" s="386">
        <f t="shared" si="56"/>
        <v>504.49</v>
      </c>
      <c r="N1181" s="496"/>
      <c r="O1181" s="334">
        <f t="shared" si="57"/>
        <v>504.49</v>
      </c>
      <c r="P1181" s="351"/>
      <c r="Q1181" s="331"/>
      <c r="R1181" s="331" t="e">
        <f>VLOOKUP(C:C,'Historic Data - working'!A:B,1,FALSE)</f>
        <v>#N/A</v>
      </c>
      <c r="U1181" s="323"/>
      <c r="V1181" s="323"/>
      <c r="W1181" s="323"/>
    </row>
    <row r="1182" spans="1:23" s="23" customFormat="1" ht="14.25" hidden="1" x14ac:dyDescent="0.2">
      <c r="A1182" s="381" t="s">
        <v>4341</v>
      </c>
      <c r="B1182" s="381" t="s">
        <v>324</v>
      </c>
      <c r="C1182" s="410" t="s">
        <v>4391</v>
      </c>
      <c r="D1182" s="381" t="s">
        <v>4392</v>
      </c>
      <c r="E1182" s="383" t="s">
        <v>1325</v>
      </c>
      <c r="F1182" s="381" t="s">
        <v>4393</v>
      </c>
      <c r="G1182" s="384" t="s">
        <v>329</v>
      </c>
      <c r="H1182" s="24">
        <v>0</v>
      </c>
      <c r="I1182" s="24">
        <v>0</v>
      </c>
      <c r="J1182" s="25" t="str">
        <f t="shared" si="55"/>
        <v>1</v>
      </c>
      <c r="K1182" s="411" t="s">
        <v>4394</v>
      </c>
      <c r="L1182" s="385"/>
      <c r="M1182" s="386">
        <f t="shared" si="56"/>
        <v>0</v>
      </c>
      <c r="N1182" s="496"/>
      <c r="O1182" s="333">
        <f t="shared" si="57"/>
        <v>0</v>
      </c>
      <c r="R1182" s="23" t="str">
        <f>VLOOKUP(C:C,'Historic Data - working'!A:B,1,FALSE)</f>
        <v>PLY017</v>
      </c>
      <c r="U1182" s="323"/>
      <c r="V1182" s="323"/>
      <c r="W1182" s="323"/>
    </row>
    <row r="1183" spans="1:23" s="23" customFormat="1" ht="14.25" hidden="1" x14ac:dyDescent="0.2">
      <c r="A1183" s="381" t="s">
        <v>4341</v>
      </c>
      <c r="B1183" s="381" t="s">
        <v>324</v>
      </c>
      <c r="C1183" s="410" t="s">
        <v>4395</v>
      </c>
      <c r="D1183" s="381" t="s">
        <v>4396</v>
      </c>
      <c r="E1183" s="383" t="s">
        <v>47</v>
      </c>
      <c r="F1183" s="381" t="s">
        <v>4397</v>
      </c>
      <c r="G1183" s="384" t="s">
        <v>329</v>
      </c>
      <c r="H1183" s="24">
        <v>168.3</v>
      </c>
      <c r="I1183" s="24"/>
      <c r="J1183" s="25" t="str">
        <f t="shared" si="55"/>
        <v>1</v>
      </c>
      <c r="K1183" s="385"/>
      <c r="L1183" s="385"/>
      <c r="M1183" s="386">
        <f t="shared" si="56"/>
        <v>168.3</v>
      </c>
      <c r="N1183" s="496">
        <v>107</v>
      </c>
      <c r="O1183" s="333">
        <f t="shared" si="57"/>
        <v>275.3</v>
      </c>
      <c r="R1183" s="23" t="str">
        <f>VLOOKUP(C:C,'Historic Data - working'!A:B,1,FALSE)</f>
        <v>PLY018</v>
      </c>
      <c r="U1183" s="323"/>
      <c r="V1183" s="323"/>
      <c r="W1183" s="323"/>
    </row>
    <row r="1184" spans="1:23" s="23" customFormat="1" ht="14.25" hidden="1" x14ac:dyDescent="0.2">
      <c r="A1184" s="381" t="s">
        <v>4341</v>
      </c>
      <c r="B1184" s="381" t="s">
        <v>324</v>
      </c>
      <c r="C1184" s="410" t="s">
        <v>4398</v>
      </c>
      <c r="D1184" s="381" t="s">
        <v>4399</v>
      </c>
      <c r="E1184" s="383" t="s">
        <v>238</v>
      </c>
      <c r="F1184" s="381" t="s">
        <v>4400</v>
      </c>
      <c r="G1184" s="384" t="s">
        <v>329</v>
      </c>
      <c r="H1184" s="24">
        <v>596.73</v>
      </c>
      <c r="I1184" s="24"/>
      <c r="J1184" s="25" t="str">
        <f t="shared" si="55"/>
        <v>1</v>
      </c>
      <c r="K1184" s="385"/>
      <c r="L1184" s="385"/>
      <c r="M1184" s="386">
        <f t="shared" si="56"/>
        <v>596.73</v>
      </c>
      <c r="N1184" s="496"/>
      <c r="O1184" s="333">
        <f t="shared" si="57"/>
        <v>596.73</v>
      </c>
      <c r="R1184" s="23" t="str">
        <f>VLOOKUP(C:C,'Historic Data - working'!A:B,1,FALSE)</f>
        <v>PLY018A</v>
      </c>
      <c r="U1184" s="323"/>
      <c r="V1184" s="323"/>
      <c r="W1184" s="323"/>
    </row>
    <row r="1185" spans="1:23" s="23" customFormat="1" ht="14.25" hidden="1" x14ac:dyDescent="0.2">
      <c r="A1185" s="381" t="s">
        <v>4341</v>
      </c>
      <c r="B1185" s="381" t="s">
        <v>324</v>
      </c>
      <c r="C1185" s="410" t="s">
        <v>4401</v>
      </c>
      <c r="D1185" s="381" t="s">
        <v>4402</v>
      </c>
      <c r="E1185" s="383" t="s">
        <v>4403</v>
      </c>
      <c r="F1185" s="381" t="s">
        <v>4404</v>
      </c>
      <c r="G1185" s="384"/>
      <c r="H1185" s="24"/>
      <c r="I1185" s="24"/>
      <c r="J1185" s="25" t="str">
        <f t="shared" si="55"/>
        <v xml:space="preserve"> </v>
      </c>
      <c r="K1185" s="385" t="s">
        <v>337</v>
      </c>
      <c r="L1185" s="385">
        <v>333.09</v>
      </c>
      <c r="M1185" s="386">
        <f t="shared" si="56"/>
        <v>333.09</v>
      </c>
      <c r="N1185" s="496">
        <v>230</v>
      </c>
      <c r="O1185" s="333">
        <f t="shared" si="57"/>
        <v>563.08999999999992</v>
      </c>
      <c r="R1185" s="23" t="str">
        <f>VLOOKUP(C:C,'Historic Data - working'!A:B,1,FALSE)</f>
        <v>PLY019</v>
      </c>
      <c r="U1185" s="323"/>
      <c r="V1185" s="323"/>
      <c r="W1185" s="323"/>
    </row>
    <row r="1186" spans="1:23" s="23" customFormat="1" ht="14.25" hidden="1" x14ac:dyDescent="0.2">
      <c r="A1186" s="381" t="s">
        <v>4341</v>
      </c>
      <c r="B1186" s="381" t="s">
        <v>324</v>
      </c>
      <c r="C1186" s="410" t="s">
        <v>4405</v>
      </c>
      <c r="D1186" s="381" t="s">
        <v>4406</v>
      </c>
      <c r="E1186" s="383" t="s">
        <v>31</v>
      </c>
      <c r="F1186" s="381" t="s">
        <v>4407</v>
      </c>
      <c r="G1186" s="384"/>
      <c r="H1186" s="24"/>
      <c r="I1186" s="24"/>
      <c r="J1186" s="25" t="str">
        <f t="shared" si="55"/>
        <v xml:space="preserve"> </v>
      </c>
      <c r="K1186" s="385"/>
      <c r="L1186" s="385"/>
      <c r="M1186" s="386">
        <f t="shared" si="56"/>
        <v>0</v>
      </c>
      <c r="N1186" s="496">
        <v>894.02</v>
      </c>
      <c r="O1186" s="333">
        <f t="shared" si="57"/>
        <v>894.02</v>
      </c>
      <c r="R1186" s="23" t="str">
        <f>VLOOKUP(C:C,'Historic Data - working'!A:B,1,FALSE)</f>
        <v>PLY020</v>
      </c>
      <c r="U1186" s="323"/>
      <c r="V1186" s="323"/>
      <c r="W1186" s="323"/>
    </row>
    <row r="1187" spans="1:23" s="23" customFormat="1" ht="14.25" hidden="1" x14ac:dyDescent="0.2">
      <c r="A1187" s="381" t="s">
        <v>4341</v>
      </c>
      <c r="B1187" s="381" t="s">
        <v>324</v>
      </c>
      <c r="C1187" s="410" t="s">
        <v>4408</v>
      </c>
      <c r="D1187" s="381" t="s">
        <v>4409</v>
      </c>
      <c r="E1187" s="383" t="s">
        <v>4410</v>
      </c>
      <c r="F1187" s="381" t="s">
        <v>4411</v>
      </c>
      <c r="G1187" s="384" t="s">
        <v>329</v>
      </c>
      <c r="H1187" s="24">
        <v>76.41</v>
      </c>
      <c r="I1187" s="24"/>
      <c r="J1187" s="25" t="str">
        <f t="shared" si="55"/>
        <v>1</v>
      </c>
      <c r="K1187" s="387" t="s">
        <v>2751</v>
      </c>
      <c r="L1187" s="385">
        <v>-76.41</v>
      </c>
      <c r="M1187" s="386">
        <f t="shared" si="56"/>
        <v>0</v>
      </c>
      <c r="N1187" s="496">
        <v>50</v>
      </c>
      <c r="O1187" s="333">
        <f t="shared" si="57"/>
        <v>50</v>
      </c>
      <c r="R1187" s="23" t="str">
        <f>VLOOKUP(C:C,'Historic Data - working'!A:B,1,FALSE)</f>
        <v>PLY020C</v>
      </c>
      <c r="U1187" s="323"/>
      <c r="V1187" s="323"/>
      <c r="W1187" s="323"/>
    </row>
    <row r="1188" spans="1:23" s="23" customFormat="1" ht="14.25" hidden="1" x14ac:dyDescent="0.2">
      <c r="A1188" s="381" t="s">
        <v>4341</v>
      </c>
      <c r="B1188" s="381" t="s">
        <v>324</v>
      </c>
      <c r="C1188" s="410" t="s">
        <v>4412</v>
      </c>
      <c r="D1188" s="381" t="s">
        <v>4413</v>
      </c>
      <c r="E1188" s="383" t="s">
        <v>4414</v>
      </c>
      <c r="F1188" s="381" t="s">
        <v>4415</v>
      </c>
      <c r="G1188" s="384" t="s">
        <v>329</v>
      </c>
      <c r="H1188" s="24">
        <v>73.81</v>
      </c>
      <c r="I1188" s="24"/>
      <c r="J1188" s="25" t="str">
        <f t="shared" si="55"/>
        <v>1</v>
      </c>
      <c r="K1188" s="387" t="s">
        <v>4416</v>
      </c>
      <c r="L1188" s="385">
        <v>88.74</v>
      </c>
      <c r="M1188" s="386">
        <f t="shared" si="56"/>
        <v>162.55000000000001</v>
      </c>
      <c r="N1188" s="496">
        <v>105</v>
      </c>
      <c r="O1188" s="333">
        <f t="shared" si="57"/>
        <v>267.55</v>
      </c>
      <c r="R1188" s="23" t="str">
        <f>VLOOKUP(C:C,'Historic Data - working'!A:B,1,FALSE)</f>
        <v>PLY020D</v>
      </c>
      <c r="U1188" s="323"/>
      <c r="V1188" s="323"/>
      <c r="W1188" s="323"/>
    </row>
    <row r="1189" spans="1:23" s="23" customFormat="1" ht="14.25" hidden="1" x14ac:dyDescent="0.2">
      <c r="A1189" s="381" t="s">
        <v>4341</v>
      </c>
      <c r="B1189" s="381" t="s">
        <v>324</v>
      </c>
      <c r="C1189" s="410" t="s">
        <v>4417</v>
      </c>
      <c r="D1189" s="381" t="s">
        <v>4418</v>
      </c>
      <c r="E1189" s="383" t="s">
        <v>4419</v>
      </c>
      <c r="F1189" s="381" t="s">
        <v>49</v>
      </c>
      <c r="G1189" s="384"/>
      <c r="H1189" s="24"/>
      <c r="I1189" s="24"/>
      <c r="J1189" s="25" t="str">
        <f t="shared" si="55"/>
        <v xml:space="preserve"> </v>
      </c>
      <c r="K1189" s="385" t="s">
        <v>337</v>
      </c>
      <c r="L1189" s="385">
        <v>283.74</v>
      </c>
      <c r="M1189" s="386">
        <f t="shared" si="56"/>
        <v>283.74</v>
      </c>
      <c r="N1189" s="496">
        <v>145</v>
      </c>
      <c r="O1189" s="333">
        <f t="shared" si="57"/>
        <v>428.74</v>
      </c>
      <c r="R1189" s="23" t="str">
        <f>VLOOKUP(C:C,'Historic Data - working'!A:B,1,FALSE)</f>
        <v>PLY021</v>
      </c>
      <c r="U1189" s="323"/>
      <c r="V1189" s="323"/>
      <c r="W1189" s="323"/>
    </row>
    <row r="1190" spans="1:23" s="23" customFormat="1" ht="14.25" hidden="1" x14ac:dyDescent="0.2">
      <c r="A1190" s="381" t="s">
        <v>4341</v>
      </c>
      <c r="B1190" s="381" t="s">
        <v>324</v>
      </c>
      <c r="C1190" s="410" t="s">
        <v>4420</v>
      </c>
      <c r="D1190" s="381" t="s">
        <v>4421</v>
      </c>
      <c r="E1190" s="383" t="s">
        <v>4422</v>
      </c>
      <c r="F1190" s="381" t="s">
        <v>49</v>
      </c>
      <c r="G1190" s="384" t="s">
        <v>329</v>
      </c>
      <c r="H1190" s="24">
        <f>93.65+31.92+43.89</f>
        <v>169.46</v>
      </c>
      <c r="I1190" s="24"/>
      <c r="J1190" s="25" t="str">
        <f t="shared" si="55"/>
        <v>1</v>
      </c>
      <c r="K1190" s="385"/>
      <c r="L1190" s="385"/>
      <c r="M1190" s="386">
        <f t="shared" si="56"/>
        <v>169.46</v>
      </c>
      <c r="N1190" s="496">
        <v>145</v>
      </c>
      <c r="O1190" s="333">
        <f t="shared" si="57"/>
        <v>314.46000000000004</v>
      </c>
      <c r="R1190" s="23" t="str">
        <f>VLOOKUP(C:C,'Historic Data - working'!A:B,1,FALSE)</f>
        <v>PLY022</v>
      </c>
      <c r="U1190" s="323"/>
      <c r="V1190" s="323"/>
      <c r="W1190" s="323"/>
    </row>
    <row r="1191" spans="1:23" s="23" customFormat="1" ht="14.25" hidden="1" x14ac:dyDescent="0.2">
      <c r="A1191" s="381" t="s">
        <v>4341</v>
      </c>
      <c r="B1191" s="381" t="s">
        <v>324</v>
      </c>
      <c r="C1191" s="410" t="s">
        <v>4423</v>
      </c>
      <c r="D1191" s="381" t="s">
        <v>4424</v>
      </c>
      <c r="E1191" s="383" t="s">
        <v>4425</v>
      </c>
      <c r="F1191" s="381" t="s">
        <v>4426</v>
      </c>
      <c r="G1191" s="384" t="s">
        <v>329</v>
      </c>
      <c r="H1191" s="24">
        <f>223.51+98.5+67+121.97</f>
        <v>510.98</v>
      </c>
      <c r="I1191" s="24"/>
      <c r="J1191" s="25" t="str">
        <f t="shared" si="55"/>
        <v>1</v>
      </c>
      <c r="K1191" s="385"/>
      <c r="L1191" s="385"/>
      <c r="M1191" s="386">
        <f t="shared" si="56"/>
        <v>510.98</v>
      </c>
      <c r="N1191" s="496">
        <v>90</v>
      </c>
      <c r="O1191" s="333">
        <f t="shared" si="57"/>
        <v>600.98</v>
      </c>
      <c r="R1191" s="23" t="str">
        <f>VLOOKUP(C:C,'Historic Data - working'!A:B,1,FALSE)</f>
        <v>PLY023</v>
      </c>
      <c r="U1191" s="323"/>
      <c r="V1191" s="323"/>
      <c r="W1191" s="323"/>
    </row>
    <row r="1192" spans="1:23" s="23" customFormat="1" ht="14.25" hidden="1" x14ac:dyDescent="0.2">
      <c r="A1192" s="381" t="s">
        <v>4341</v>
      </c>
      <c r="B1192" s="381" t="s">
        <v>324</v>
      </c>
      <c r="C1192" s="410" t="s">
        <v>4427</v>
      </c>
      <c r="D1192" s="381" t="s">
        <v>4428</v>
      </c>
      <c r="E1192" s="383" t="s">
        <v>4429</v>
      </c>
      <c r="F1192" s="381" t="s">
        <v>4430</v>
      </c>
      <c r="G1192" s="384" t="s">
        <v>329</v>
      </c>
      <c r="H1192" s="24">
        <v>0</v>
      </c>
      <c r="I1192" s="24">
        <v>0</v>
      </c>
      <c r="J1192" s="25" t="str">
        <f t="shared" si="55"/>
        <v>1</v>
      </c>
      <c r="K1192" s="385" t="s">
        <v>4431</v>
      </c>
      <c r="L1192" s="385"/>
      <c r="M1192" s="386">
        <f t="shared" si="56"/>
        <v>0</v>
      </c>
      <c r="N1192" s="496">
        <v>70</v>
      </c>
      <c r="O1192" s="333">
        <f t="shared" si="57"/>
        <v>70</v>
      </c>
      <c r="R1192" s="23" t="e">
        <f>VLOOKUP(C:C,'Historic Data - working'!A:B,1,FALSE)</f>
        <v>#N/A</v>
      </c>
      <c r="U1192" s="323"/>
      <c r="V1192" s="323"/>
      <c r="W1192" s="323"/>
    </row>
    <row r="1193" spans="1:23" s="23" customFormat="1" ht="14.25" hidden="1" x14ac:dyDescent="0.2">
      <c r="A1193" s="381" t="s">
        <v>4341</v>
      </c>
      <c r="B1193" s="381" t="s">
        <v>324</v>
      </c>
      <c r="C1193" s="410" t="s">
        <v>4432</v>
      </c>
      <c r="D1193" s="381" t="s">
        <v>4433</v>
      </c>
      <c r="E1193" s="383" t="s">
        <v>4434</v>
      </c>
      <c r="F1193" s="381" t="s">
        <v>4435</v>
      </c>
      <c r="G1193" s="384" t="s">
        <v>329</v>
      </c>
      <c r="H1193" s="24">
        <f>390.72+148.35+316.78+188.84+132.95</f>
        <v>1177.6400000000001</v>
      </c>
      <c r="I1193" s="24"/>
      <c r="J1193" s="25" t="str">
        <f t="shared" si="55"/>
        <v>1</v>
      </c>
      <c r="K1193" s="385" t="s">
        <v>4436</v>
      </c>
      <c r="L1193" s="385"/>
      <c r="M1193" s="386">
        <f t="shared" si="56"/>
        <v>1177.6400000000001</v>
      </c>
      <c r="N1193" s="496">
        <v>460</v>
      </c>
      <c r="O1193" s="333">
        <f t="shared" si="57"/>
        <v>1637.64</v>
      </c>
      <c r="R1193" s="23" t="str">
        <f>VLOOKUP(C:C,'Historic Data - working'!A:B,1,FALSE)</f>
        <v>PLY025</v>
      </c>
      <c r="U1193" s="323"/>
      <c r="V1193" s="323"/>
      <c r="W1193" s="323"/>
    </row>
    <row r="1194" spans="1:23" s="23" customFormat="1" ht="14.25" hidden="1" x14ac:dyDescent="0.2">
      <c r="A1194" s="381" t="s">
        <v>4341</v>
      </c>
      <c r="B1194" s="381" t="s">
        <v>324</v>
      </c>
      <c r="C1194" s="410" t="s">
        <v>4437</v>
      </c>
      <c r="D1194" s="381" t="s">
        <v>4438</v>
      </c>
      <c r="E1194" s="383" t="s">
        <v>4439</v>
      </c>
      <c r="F1194" s="381" t="s">
        <v>4440</v>
      </c>
      <c r="G1194" s="384"/>
      <c r="H1194" s="24"/>
      <c r="I1194" s="24"/>
      <c r="J1194" s="25" t="str">
        <f t="shared" si="55"/>
        <v xml:space="preserve"> </v>
      </c>
      <c r="K1194" s="385"/>
      <c r="L1194" s="385"/>
      <c r="M1194" s="386">
        <f t="shared" si="56"/>
        <v>0</v>
      </c>
      <c r="N1194" s="496"/>
      <c r="O1194" s="333">
        <f t="shared" si="57"/>
        <v>0</v>
      </c>
      <c r="R1194" s="23" t="e">
        <f>VLOOKUP(C:C,'Historic Data - working'!A:B,1,FALSE)</f>
        <v>#N/A</v>
      </c>
      <c r="U1194" s="323"/>
      <c r="V1194" s="323"/>
      <c r="W1194" s="323"/>
    </row>
    <row r="1195" spans="1:23" s="23" customFormat="1" ht="14.25" hidden="1" x14ac:dyDescent="0.2">
      <c r="A1195" s="381" t="s">
        <v>4341</v>
      </c>
      <c r="B1195" s="381" t="s">
        <v>324</v>
      </c>
      <c r="C1195" s="410" t="s">
        <v>4441</v>
      </c>
      <c r="D1195" s="381" t="s">
        <v>4442</v>
      </c>
      <c r="E1195" s="383" t="s">
        <v>2120</v>
      </c>
      <c r="F1195" s="381" t="s">
        <v>4443</v>
      </c>
      <c r="G1195" s="384" t="s">
        <v>329</v>
      </c>
      <c r="H1195" s="24">
        <f>354.93+10</f>
        <v>364.93</v>
      </c>
      <c r="I1195" s="24"/>
      <c r="J1195" s="25" t="str">
        <f t="shared" si="55"/>
        <v>1</v>
      </c>
      <c r="K1195" s="385"/>
      <c r="L1195" s="385"/>
      <c r="M1195" s="386">
        <f t="shared" si="56"/>
        <v>364.93</v>
      </c>
      <c r="N1195" s="496">
        <v>30</v>
      </c>
      <c r="O1195" s="333">
        <f t="shared" si="57"/>
        <v>394.93</v>
      </c>
      <c r="R1195" s="23" t="str">
        <f>VLOOKUP(C:C,'Historic Data - working'!A:B,1,FALSE)</f>
        <v>PLY026</v>
      </c>
      <c r="U1195" s="323"/>
      <c r="V1195" s="323"/>
      <c r="W1195" s="323"/>
    </row>
    <row r="1196" spans="1:23" s="23" customFormat="1" ht="14.25" hidden="1" x14ac:dyDescent="0.2">
      <c r="A1196" s="381" t="s">
        <v>4341</v>
      </c>
      <c r="B1196" s="381" t="s">
        <v>324</v>
      </c>
      <c r="C1196" s="410" t="s">
        <v>4444</v>
      </c>
      <c r="D1196" s="381" t="s">
        <v>4445</v>
      </c>
      <c r="E1196" s="383" t="s">
        <v>4446</v>
      </c>
      <c r="F1196" s="381" t="s">
        <v>4447</v>
      </c>
      <c r="G1196" s="384" t="s">
        <v>329</v>
      </c>
      <c r="H1196" s="24">
        <f>90.47+20.85</f>
        <v>111.32</v>
      </c>
      <c r="I1196" s="24"/>
      <c r="J1196" s="25" t="str">
        <f t="shared" ref="J1196:J1260" si="58">IF(G1196="Y","1"," ")</f>
        <v>1</v>
      </c>
      <c r="K1196" s="387" t="s">
        <v>4448</v>
      </c>
      <c r="L1196" s="385">
        <v>59</v>
      </c>
      <c r="M1196" s="386">
        <f t="shared" si="56"/>
        <v>170.32</v>
      </c>
      <c r="N1196" s="496">
        <v>255</v>
      </c>
      <c r="O1196" s="333">
        <f t="shared" si="57"/>
        <v>425.32</v>
      </c>
      <c r="R1196" s="23" t="str">
        <f>VLOOKUP(C:C,'Historic Data - working'!A:B,1,FALSE)</f>
        <v>PLY027</v>
      </c>
      <c r="U1196" s="323"/>
      <c r="V1196" s="323"/>
      <c r="W1196" s="323"/>
    </row>
    <row r="1197" spans="1:23" s="23" customFormat="1" ht="14.25" hidden="1" x14ac:dyDescent="0.2">
      <c r="A1197" s="381" t="s">
        <v>4341</v>
      </c>
      <c r="B1197" s="381" t="s">
        <v>351</v>
      </c>
      <c r="C1197" s="410" t="s">
        <v>4449</v>
      </c>
      <c r="D1197" s="381" t="s">
        <v>4450</v>
      </c>
      <c r="E1197" s="383" t="s">
        <v>276</v>
      </c>
      <c r="F1197" s="381" t="s">
        <v>4451</v>
      </c>
      <c r="G1197" s="384" t="s">
        <v>329</v>
      </c>
      <c r="H1197" s="24">
        <f>670+240</f>
        <v>910</v>
      </c>
      <c r="I1197" s="24"/>
      <c r="J1197" s="25" t="str">
        <f t="shared" si="58"/>
        <v>1</v>
      </c>
      <c r="K1197" s="385"/>
      <c r="L1197" s="385"/>
      <c r="M1197" s="386">
        <f t="shared" si="56"/>
        <v>910</v>
      </c>
      <c r="N1197" s="496"/>
      <c r="O1197" s="333">
        <f t="shared" si="57"/>
        <v>910</v>
      </c>
      <c r="R1197" s="23" t="str">
        <f>VLOOKUP(C:C,'Historic Data - working'!A:B,1,FALSE)</f>
        <v>PLY028</v>
      </c>
      <c r="U1197" s="323"/>
      <c r="V1197" s="323"/>
      <c r="W1197" s="323"/>
    </row>
    <row r="1198" spans="1:23" s="23" customFormat="1" ht="14.25" hidden="1" x14ac:dyDescent="0.2">
      <c r="A1198" s="381" t="s">
        <v>4341</v>
      </c>
      <c r="B1198" s="381" t="s">
        <v>324</v>
      </c>
      <c r="C1198" s="410" t="s">
        <v>4452</v>
      </c>
      <c r="D1198" s="381" t="s">
        <v>4453</v>
      </c>
      <c r="E1198" s="383" t="s">
        <v>4454</v>
      </c>
      <c r="F1198" s="381" t="s">
        <v>4455</v>
      </c>
      <c r="G1198" s="384" t="s">
        <v>329</v>
      </c>
      <c r="H1198" s="24">
        <f>114.8+190+36.27</f>
        <v>341.07</v>
      </c>
      <c r="I1198" s="24"/>
      <c r="J1198" s="25" t="str">
        <f t="shared" si="58"/>
        <v>1</v>
      </c>
      <c r="K1198" s="385"/>
      <c r="L1198" s="385"/>
      <c r="M1198" s="386">
        <f t="shared" si="56"/>
        <v>341.07</v>
      </c>
      <c r="N1198" s="496"/>
      <c r="O1198" s="333">
        <f t="shared" si="57"/>
        <v>341.07</v>
      </c>
      <c r="R1198" s="23" t="str">
        <f>VLOOKUP(C:C,'Historic Data - working'!A:B,1,FALSE)</f>
        <v>PLY029</v>
      </c>
      <c r="U1198" s="323"/>
      <c r="V1198" s="323"/>
      <c r="W1198" s="323"/>
    </row>
    <row r="1199" spans="1:23" s="23" customFormat="1" ht="14.25" hidden="1" x14ac:dyDescent="0.2">
      <c r="A1199" s="381" t="s">
        <v>4341</v>
      </c>
      <c r="B1199" s="381" t="s">
        <v>324</v>
      </c>
      <c r="C1199" s="410" t="s">
        <v>4456</v>
      </c>
      <c r="D1199" s="381" t="s">
        <v>4457</v>
      </c>
      <c r="E1199" s="383" t="s">
        <v>4458</v>
      </c>
      <c r="F1199" s="381" t="s">
        <v>4459</v>
      </c>
      <c r="G1199" s="384" t="s">
        <v>329</v>
      </c>
      <c r="H1199" s="24">
        <f>219.84+229.65+204.02</f>
        <v>653.51</v>
      </c>
      <c r="I1199" s="24"/>
      <c r="J1199" s="25" t="str">
        <f t="shared" si="58"/>
        <v>1</v>
      </c>
      <c r="K1199" s="387" t="s">
        <v>4460</v>
      </c>
      <c r="L1199" s="385">
        <v>0.8</v>
      </c>
      <c r="M1199" s="386">
        <f t="shared" si="56"/>
        <v>654.30999999999995</v>
      </c>
      <c r="N1199" s="496"/>
      <c r="O1199" s="333">
        <f t="shared" si="57"/>
        <v>654.30999999999995</v>
      </c>
      <c r="R1199" s="23" t="str">
        <f>VLOOKUP(C:C,'Historic Data - working'!A:B,1,FALSE)</f>
        <v>PLY030</v>
      </c>
      <c r="U1199" s="323"/>
      <c r="V1199" s="323"/>
      <c r="W1199" s="323"/>
    </row>
    <row r="1200" spans="1:23" s="23" customFormat="1" ht="14.25" hidden="1" x14ac:dyDescent="0.2">
      <c r="A1200" s="381" t="s">
        <v>4341</v>
      </c>
      <c r="B1200" s="381" t="s">
        <v>324</v>
      </c>
      <c r="C1200" s="410" t="s">
        <v>4461</v>
      </c>
      <c r="D1200" s="381" t="s">
        <v>4462</v>
      </c>
      <c r="E1200" s="383" t="s">
        <v>4463</v>
      </c>
      <c r="F1200" s="381" t="s">
        <v>4426</v>
      </c>
      <c r="G1200" s="384" t="s">
        <v>329</v>
      </c>
      <c r="H1200" s="24">
        <v>85.23</v>
      </c>
      <c r="I1200" s="24"/>
      <c r="J1200" s="25" t="str">
        <f t="shared" si="58"/>
        <v>1</v>
      </c>
      <c r="K1200" s="385"/>
      <c r="L1200" s="385"/>
      <c r="M1200" s="386">
        <f t="shared" si="56"/>
        <v>85.23</v>
      </c>
      <c r="N1200" s="496"/>
      <c r="O1200" s="333">
        <f t="shared" si="57"/>
        <v>85.23</v>
      </c>
      <c r="R1200" s="23" t="str">
        <f>VLOOKUP(C:C,'Historic Data - working'!A:B,1,FALSE)</f>
        <v>PLY031</v>
      </c>
      <c r="U1200" s="323"/>
      <c r="V1200" s="323"/>
      <c r="W1200" s="323"/>
    </row>
    <row r="1201" spans="1:23" s="23" customFormat="1" ht="14.25" hidden="1" x14ac:dyDescent="0.2">
      <c r="A1201" s="381" t="s">
        <v>4341</v>
      </c>
      <c r="B1201" s="381" t="s">
        <v>324</v>
      </c>
      <c r="C1201" s="410" t="s">
        <v>4464</v>
      </c>
      <c r="D1201" s="381" t="s">
        <v>4465</v>
      </c>
      <c r="E1201" s="383" t="s">
        <v>4466</v>
      </c>
      <c r="F1201" s="381" t="s">
        <v>4467</v>
      </c>
      <c r="G1201" s="384"/>
      <c r="H1201" s="24"/>
      <c r="I1201" s="24"/>
      <c r="J1201" s="25" t="str">
        <f t="shared" si="58"/>
        <v xml:space="preserve"> </v>
      </c>
      <c r="K1201" s="385" t="s">
        <v>337</v>
      </c>
      <c r="L1201" s="385">
        <v>387</v>
      </c>
      <c r="M1201" s="386">
        <f t="shared" si="56"/>
        <v>387</v>
      </c>
      <c r="N1201" s="496"/>
      <c r="O1201" s="333">
        <f t="shared" si="57"/>
        <v>387</v>
      </c>
      <c r="R1201" s="23" t="str">
        <f>VLOOKUP(C:C,'Historic Data - working'!A:B,1,FALSE)</f>
        <v>PLY032</v>
      </c>
      <c r="U1201" s="323"/>
      <c r="V1201" s="323"/>
      <c r="W1201" s="323"/>
    </row>
    <row r="1202" spans="1:23" s="23" customFormat="1" ht="14.25" hidden="1" x14ac:dyDescent="0.2">
      <c r="A1202" s="381" t="s">
        <v>4341</v>
      </c>
      <c r="B1202" s="381" t="s">
        <v>351</v>
      </c>
      <c r="C1202" s="410" t="s">
        <v>4468</v>
      </c>
      <c r="D1202" s="381" t="s">
        <v>4469</v>
      </c>
      <c r="E1202" s="383" t="s">
        <v>4470</v>
      </c>
      <c r="F1202" s="381" t="s">
        <v>4471</v>
      </c>
      <c r="G1202" s="384"/>
      <c r="H1202" s="24"/>
      <c r="I1202" s="24"/>
      <c r="J1202" s="25" t="str">
        <f t="shared" si="58"/>
        <v xml:space="preserve"> </v>
      </c>
      <c r="K1202" s="385"/>
      <c r="L1202" s="385"/>
      <c r="M1202" s="386">
        <f t="shared" si="56"/>
        <v>0</v>
      </c>
      <c r="N1202" s="496">
        <v>5</v>
      </c>
      <c r="O1202" s="333">
        <f t="shared" si="57"/>
        <v>5</v>
      </c>
      <c r="R1202" s="23" t="str">
        <f>VLOOKUP(C:C,'Historic Data - working'!A:B,1,FALSE)</f>
        <v>PLY033</v>
      </c>
      <c r="U1202" s="323"/>
      <c r="V1202" s="323"/>
      <c r="W1202" s="323"/>
    </row>
    <row r="1203" spans="1:23" s="23" customFormat="1" ht="14.25" hidden="1" x14ac:dyDescent="0.2">
      <c r="A1203" s="381" t="s">
        <v>4341</v>
      </c>
      <c r="B1203" s="381" t="s">
        <v>324</v>
      </c>
      <c r="C1203" s="410" t="s">
        <v>4472</v>
      </c>
      <c r="D1203" s="381" t="s">
        <v>4473</v>
      </c>
      <c r="E1203" s="383" t="s">
        <v>1008</v>
      </c>
      <c r="F1203" s="381" t="s">
        <v>4474</v>
      </c>
      <c r="G1203" s="384" t="s">
        <v>329</v>
      </c>
      <c r="H1203" s="24">
        <f>77+43+46+31</f>
        <v>197</v>
      </c>
      <c r="I1203" s="24"/>
      <c r="J1203" s="25" t="str">
        <f t="shared" si="58"/>
        <v>1</v>
      </c>
      <c r="K1203" s="385"/>
      <c r="L1203" s="385"/>
      <c r="M1203" s="386">
        <f t="shared" si="56"/>
        <v>197</v>
      </c>
      <c r="N1203" s="496">
        <v>45</v>
      </c>
      <c r="O1203" s="333">
        <f t="shared" si="57"/>
        <v>242</v>
      </c>
      <c r="R1203" s="23" t="str">
        <f>VLOOKUP(C:C,'Historic Data - working'!A:B,1,FALSE)</f>
        <v>PLY034</v>
      </c>
      <c r="U1203" s="323"/>
      <c r="V1203" s="323"/>
      <c r="W1203" s="323"/>
    </row>
    <row r="1204" spans="1:23" s="23" customFormat="1" ht="14.25" hidden="1" x14ac:dyDescent="0.2">
      <c r="A1204" s="398" t="s">
        <v>4341</v>
      </c>
      <c r="B1204" s="398" t="s">
        <v>1845</v>
      </c>
      <c r="C1204" s="399" t="s">
        <v>4475</v>
      </c>
      <c r="D1204" s="381">
        <v>633</v>
      </c>
      <c r="E1204" s="383" t="s">
        <v>4476</v>
      </c>
      <c r="F1204" s="381" t="s">
        <v>4477</v>
      </c>
      <c r="G1204" s="384"/>
      <c r="H1204" s="24"/>
      <c r="I1204" s="24"/>
      <c r="J1204" s="25"/>
      <c r="K1204" s="385" t="s">
        <v>337</v>
      </c>
      <c r="L1204" s="385">
        <v>205.92</v>
      </c>
      <c r="M1204" s="386">
        <f t="shared" si="56"/>
        <v>205.92</v>
      </c>
      <c r="N1204" s="496"/>
      <c r="O1204" s="333">
        <f t="shared" si="57"/>
        <v>205.92</v>
      </c>
      <c r="P1204" s="26" t="s">
        <v>4478</v>
      </c>
      <c r="R1204" s="23" t="str">
        <f>VLOOKUP(C:C,'Historic Data - working'!A:B,1,FALSE)</f>
        <v>PLY035</v>
      </c>
      <c r="U1204" s="323"/>
      <c r="V1204" s="323"/>
      <c r="W1204" s="323"/>
    </row>
    <row r="1205" spans="1:23" s="23" customFormat="1" ht="14.25" hidden="1" x14ac:dyDescent="0.2">
      <c r="A1205" s="381" t="s">
        <v>4341</v>
      </c>
      <c r="B1205" s="381" t="s">
        <v>324</v>
      </c>
      <c r="C1205" s="410" t="s">
        <v>4479</v>
      </c>
      <c r="D1205" s="381" t="s">
        <v>4480</v>
      </c>
      <c r="E1205" s="383" t="s">
        <v>1054</v>
      </c>
      <c r="F1205" s="381" t="s">
        <v>4481</v>
      </c>
      <c r="G1205" s="384" t="s">
        <v>329</v>
      </c>
      <c r="H1205" s="24"/>
      <c r="I1205" s="24">
        <v>693.93</v>
      </c>
      <c r="J1205" s="25" t="str">
        <f t="shared" si="58"/>
        <v>1</v>
      </c>
      <c r="K1205" s="385" t="s">
        <v>337</v>
      </c>
      <c r="L1205" s="385">
        <v>18.010000000000002</v>
      </c>
      <c r="M1205" s="386">
        <f t="shared" si="56"/>
        <v>18.010000000000002</v>
      </c>
      <c r="N1205" s="496">
        <v>1138.9299999999998</v>
      </c>
      <c r="O1205" s="333">
        <f t="shared" si="57"/>
        <v>1156.9399999999998</v>
      </c>
      <c r="R1205" s="23" t="str">
        <f>VLOOKUP(C:C,'Historic Data - working'!A:B,1,FALSE)</f>
        <v>PLY036</v>
      </c>
      <c r="U1205" s="323"/>
      <c r="V1205" s="323"/>
      <c r="W1205" s="323"/>
    </row>
    <row r="1206" spans="1:23" s="23" customFormat="1" ht="14.25" hidden="1" x14ac:dyDescent="0.2">
      <c r="A1206" s="381" t="s">
        <v>4341</v>
      </c>
      <c r="B1206" s="381" t="s">
        <v>324</v>
      </c>
      <c r="C1206" s="410" t="s">
        <v>4482</v>
      </c>
      <c r="D1206" s="381" t="s">
        <v>4483</v>
      </c>
      <c r="E1206" s="383" t="s">
        <v>428</v>
      </c>
      <c r="F1206" s="381" t="s">
        <v>4484</v>
      </c>
      <c r="G1206" s="384" t="s">
        <v>329</v>
      </c>
      <c r="H1206" s="24">
        <v>352.63</v>
      </c>
      <c r="I1206" s="24"/>
      <c r="J1206" s="25" t="str">
        <f t="shared" si="58"/>
        <v>1</v>
      </c>
      <c r="K1206" s="387" t="s">
        <v>4485</v>
      </c>
      <c r="L1206" s="385">
        <v>-0.3</v>
      </c>
      <c r="M1206" s="386">
        <f t="shared" si="56"/>
        <v>352.33</v>
      </c>
      <c r="N1206" s="496">
        <v>495</v>
      </c>
      <c r="O1206" s="333">
        <f t="shared" si="57"/>
        <v>847.32999999999993</v>
      </c>
      <c r="R1206" s="23" t="str">
        <f>VLOOKUP(C:C,'Historic Data - working'!A:B,1,FALSE)</f>
        <v>PLY037</v>
      </c>
      <c r="U1206" s="323"/>
      <c r="V1206" s="323"/>
      <c r="W1206" s="323"/>
    </row>
    <row r="1207" spans="1:23" s="23" customFormat="1" ht="14.25" hidden="1" x14ac:dyDescent="0.2">
      <c r="A1207" s="381" t="s">
        <v>4341</v>
      </c>
      <c r="B1207" s="381" t="s">
        <v>324</v>
      </c>
      <c r="C1207" s="410" t="s">
        <v>4486</v>
      </c>
      <c r="D1207" s="381" t="s">
        <v>4487</v>
      </c>
      <c r="E1207" s="383" t="s">
        <v>2198</v>
      </c>
      <c r="F1207" s="381" t="s">
        <v>4484</v>
      </c>
      <c r="G1207" s="384"/>
      <c r="H1207" s="24"/>
      <c r="I1207" s="24"/>
      <c r="J1207" s="25" t="str">
        <f t="shared" si="58"/>
        <v xml:space="preserve"> </v>
      </c>
      <c r="K1207" s="385"/>
      <c r="L1207" s="385"/>
      <c r="M1207" s="386">
        <f t="shared" si="56"/>
        <v>0</v>
      </c>
      <c r="N1207" s="496">
        <v>343.21000000000004</v>
      </c>
      <c r="O1207" s="333">
        <f t="shared" si="57"/>
        <v>343.21000000000004</v>
      </c>
      <c r="R1207" s="23" t="str">
        <f>VLOOKUP(C:C,'Historic Data - working'!A:B,1,FALSE)</f>
        <v>PLY038</v>
      </c>
      <c r="U1207" s="323"/>
      <c r="V1207" s="323"/>
      <c r="W1207" s="323"/>
    </row>
    <row r="1208" spans="1:23" s="23" customFormat="1" ht="14.25" hidden="1" x14ac:dyDescent="0.2">
      <c r="A1208" s="381" t="s">
        <v>4341</v>
      </c>
      <c r="B1208" s="381" t="s">
        <v>324</v>
      </c>
      <c r="C1208" s="410" t="s">
        <v>4488</v>
      </c>
      <c r="D1208" s="381" t="s">
        <v>4489</v>
      </c>
      <c r="E1208" s="383" t="s">
        <v>4490</v>
      </c>
      <c r="F1208" s="381" t="s">
        <v>4491</v>
      </c>
      <c r="G1208" s="384" t="s">
        <v>329</v>
      </c>
      <c r="H1208" s="24">
        <f>103+35.1+75.2+31.25+125.24+59.41</f>
        <v>429.20000000000005</v>
      </c>
      <c r="I1208" s="24"/>
      <c r="J1208" s="25" t="str">
        <f t="shared" si="58"/>
        <v>1</v>
      </c>
      <c r="K1208" s="385"/>
      <c r="L1208" s="385"/>
      <c r="M1208" s="386">
        <f t="shared" si="56"/>
        <v>429.20000000000005</v>
      </c>
      <c r="N1208" s="496">
        <v>160</v>
      </c>
      <c r="O1208" s="333">
        <f t="shared" si="57"/>
        <v>589.20000000000005</v>
      </c>
      <c r="R1208" s="23" t="str">
        <f>VLOOKUP(C:C,'Historic Data - working'!A:B,1,FALSE)</f>
        <v>PLY040</v>
      </c>
      <c r="U1208" s="323"/>
      <c r="V1208" s="323"/>
      <c r="W1208" s="323"/>
    </row>
    <row r="1209" spans="1:23" s="23" customFormat="1" ht="14.25" hidden="1" x14ac:dyDescent="0.2">
      <c r="A1209" s="381" t="s">
        <v>4341</v>
      </c>
      <c r="B1209" s="381" t="s">
        <v>324</v>
      </c>
      <c r="C1209" s="410" t="s">
        <v>4492</v>
      </c>
      <c r="D1209" s="381" t="s">
        <v>4493</v>
      </c>
      <c r="E1209" s="383" t="s">
        <v>4494</v>
      </c>
      <c r="F1209" s="381" t="s">
        <v>4495</v>
      </c>
      <c r="G1209" s="384" t="s">
        <v>329</v>
      </c>
      <c r="H1209" s="24">
        <f>77.42+5.87+33.52+30.62+15.47+20.85+136.1+286.22+29.15+411.44+247.88+24.94+113.86+73.6</f>
        <v>1506.9399999999998</v>
      </c>
      <c r="I1209" s="24"/>
      <c r="J1209" s="25" t="str">
        <f t="shared" si="58"/>
        <v>1</v>
      </c>
      <c r="K1209" s="387" t="s">
        <v>4496</v>
      </c>
      <c r="L1209" s="385">
        <v>11.66</v>
      </c>
      <c r="M1209" s="386">
        <f t="shared" si="56"/>
        <v>1518.6</v>
      </c>
      <c r="N1209" s="496">
        <v>225</v>
      </c>
      <c r="O1209" s="333">
        <f t="shared" si="57"/>
        <v>1743.6</v>
      </c>
      <c r="R1209" s="23" t="str">
        <f>VLOOKUP(C:C,'Historic Data - working'!A:B,1,FALSE)</f>
        <v>PLY041</v>
      </c>
      <c r="U1209" s="323"/>
      <c r="V1209" s="323"/>
      <c r="W1209" s="323"/>
    </row>
    <row r="1210" spans="1:23" s="23" customFormat="1" ht="14.25" hidden="1" x14ac:dyDescent="0.2">
      <c r="A1210" s="381" t="s">
        <v>4341</v>
      </c>
      <c r="B1210" s="381" t="s">
        <v>324</v>
      </c>
      <c r="C1210" s="410" t="s">
        <v>4497</v>
      </c>
      <c r="D1210" s="381" t="s">
        <v>4498</v>
      </c>
      <c r="E1210" s="383" t="s">
        <v>4499</v>
      </c>
      <c r="F1210" s="381" t="s">
        <v>4495</v>
      </c>
      <c r="G1210" s="384"/>
      <c r="H1210" s="24"/>
      <c r="I1210" s="24"/>
      <c r="J1210" s="25" t="str">
        <f t="shared" si="58"/>
        <v xml:space="preserve"> </v>
      </c>
      <c r="K1210" s="385"/>
      <c r="L1210" s="385"/>
      <c r="M1210" s="386">
        <f t="shared" si="56"/>
        <v>0</v>
      </c>
      <c r="N1210" s="496"/>
      <c r="O1210" s="333">
        <f t="shared" si="57"/>
        <v>0</v>
      </c>
      <c r="R1210" s="23" t="e">
        <f>VLOOKUP(C:C,'Historic Data - working'!A:B,1,FALSE)</f>
        <v>#N/A</v>
      </c>
      <c r="U1210" s="323"/>
      <c r="V1210" s="323"/>
      <c r="W1210" s="323"/>
    </row>
    <row r="1211" spans="1:23" s="23" customFormat="1" ht="14.25" hidden="1" x14ac:dyDescent="0.2">
      <c r="A1211" s="381" t="s">
        <v>4341</v>
      </c>
      <c r="B1211" s="381" t="s">
        <v>351</v>
      </c>
      <c r="C1211" s="410" t="s">
        <v>4500</v>
      </c>
      <c r="D1211" s="381" t="s">
        <v>4501</v>
      </c>
      <c r="E1211" s="383" t="s">
        <v>4502</v>
      </c>
      <c r="F1211" s="381" t="s">
        <v>4503</v>
      </c>
      <c r="G1211" s="384"/>
      <c r="H1211" s="24"/>
      <c r="I1211" s="24"/>
      <c r="J1211" s="25" t="str">
        <f t="shared" si="58"/>
        <v xml:space="preserve"> </v>
      </c>
      <c r="K1211" s="385" t="s">
        <v>337</v>
      </c>
      <c r="L1211" s="385">
        <v>79.08</v>
      </c>
      <c r="M1211" s="386">
        <f t="shared" si="56"/>
        <v>79.08</v>
      </c>
      <c r="N1211" s="496">
        <v>70</v>
      </c>
      <c r="O1211" s="333">
        <f t="shared" si="57"/>
        <v>149.07999999999998</v>
      </c>
      <c r="R1211" s="23" t="str">
        <f>VLOOKUP(C:C,'Historic Data - working'!A:B,1,FALSE)</f>
        <v>PLY042</v>
      </c>
      <c r="U1211" s="323"/>
      <c r="V1211" s="323"/>
      <c r="W1211" s="323"/>
    </row>
    <row r="1212" spans="1:23" s="23" customFormat="1" ht="14.25" hidden="1" x14ac:dyDescent="0.2">
      <c r="A1212" s="381" t="s">
        <v>4341</v>
      </c>
      <c r="B1212" s="381" t="s">
        <v>324</v>
      </c>
      <c r="C1212" s="410" t="s">
        <v>4504</v>
      </c>
      <c r="D1212" s="381" t="s">
        <v>4505</v>
      </c>
      <c r="E1212" s="383" t="s">
        <v>1026</v>
      </c>
      <c r="F1212" s="381" t="s">
        <v>4506</v>
      </c>
      <c r="G1212" s="384"/>
      <c r="H1212" s="24"/>
      <c r="I1212" s="24"/>
      <c r="J1212" s="25" t="str">
        <f t="shared" si="58"/>
        <v xml:space="preserve"> </v>
      </c>
      <c r="K1212" s="385"/>
      <c r="L1212" s="385"/>
      <c r="M1212" s="386">
        <f t="shared" si="56"/>
        <v>0</v>
      </c>
      <c r="N1212" s="496"/>
      <c r="O1212" s="333">
        <f t="shared" si="57"/>
        <v>0</v>
      </c>
      <c r="R1212" s="23" t="e">
        <f>VLOOKUP(C:C,'Historic Data - working'!A:B,1,FALSE)</f>
        <v>#N/A</v>
      </c>
      <c r="U1212" s="323"/>
      <c r="V1212" s="323"/>
      <c r="W1212" s="323"/>
    </row>
    <row r="1213" spans="1:23" s="23" customFormat="1" ht="14.25" hidden="1" x14ac:dyDescent="0.2">
      <c r="A1213" s="381" t="s">
        <v>4341</v>
      </c>
      <c r="B1213" s="381" t="s">
        <v>324</v>
      </c>
      <c r="C1213" s="410" t="s">
        <v>4507</v>
      </c>
      <c r="D1213" s="381" t="s">
        <v>4508</v>
      </c>
      <c r="E1213" s="383" t="s">
        <v>4509</v>
      </c>
      <c r="F1213" s="381" t="s">
        <v>4495</v>
      </c>
      <c r="G1213" s="384" t="s">
        <v>329</v>
      </c>
      <c r="H1213" s="24">
        <f>311.8+212.1</f>
        <v>523.9</v>
      </c>
      <c r="I1213" s="24"/>
      <c r="J1213" s="25" t="str">
        <f t="shared" si="58"/>
        <v>1</v>
      </c>
      <c r="K1213" s="385"/>
      <c r="L1213" s="385"/>
      <c r="M1213" s="386">
        <f t="shared" si="56"/>
        <v>523.9</v>
      </c>
      <c r="N1213" s="496">
        <v>70</v>
      </c>
      <c r="O1213" s="333">
        <f t="shared" si="57"/>
        <v>593.9</v>
      </c>
      <c r="R1213" s="23" t="str">
        <f>VLOOKUP(C:C,'Historic Data - working'!A:B,1,FALSE)</f>
        <v>PLY043</v>
      </c>
      <c r="U1213" s="323"/>
      <c r="V1213" s="323"/>
      <c r="W1213" s="323"/>
    </row>
    <row r="1214" spans="1:23" s="23" customFormat="1" ht="14.25" hidden="1" x14ac:dyDescent="0.2">
      <c r="A1214" s="381" t="s">
        <v>4341</v>
      </c>
      <c r="B1214" s="381" t="s">
        <v>324</v>
      </c>
      <c r="C1214" s="410" t="s">
        <v>4510</v>
      </c>
      <c r="D1214" s="381" t="s">
        <v>4511</v>
      </c>
      <c r="E1214" s="383" t="s">
        <v>4512</v>
      </c>
      <c r="F1214" s="381" t="s">
        <v>4495</v>
      </c>
      <c r="G1214" s="384"/>
      <c r="H1214" s="24"/>
      <c r="I1214" s="24"/>
      <c r="J1214" s="25" t="str">
        <f t="shared" si="58"/>
        <v xml:space="preserve"> </v>
      </c>
      <c r="K1214" s="385"/>
      <c r="L1214" s="385"/>
      <c r="M1214" s="386">
        <f t="shared" si="56"/>
        <v>0</v>
      </c>
      <c r="N1214" s="496"/>
      <c r="O1214" s="333">
        <f t="shared" si="57"/>
        <v>0</v>
      </c>
      <c r="R1214" s="23" t="e">
        <f>VLOOKUP(C:C,'Historic Data - working'!A:B,1,FALSE)</f>
        <v>#N/A</v>
      </c>
      <c r="U1214" s="323"/>
      <c r="V1214" s="323"/>
      <c r="W1214" s="323"/>
    </row>
    <row r="1215" spans="1:23" s="23" customFormat="1" ht="14.25" hidden="1" x14ac:dyDescent="0.2">
      <c r="A1215" s="381" t="s">
        <v>4341</v>
      </c>
      <c r="B1215" s="381" t="s">
        <v>324</v>
      </c>
      <c r="C1215" s="410" t="s">
        <v>4513</v>
      </c>
      <c r="D1215" s="381" t="s">
        <v>4514</v>
      </c>
      <c r="E1215" s="383" t="s">
        <v>335</v>
      </c>
      <c r="F1215" s="381" t="s">
        <v>4515</v>
      </c>
      <c r="G1215" s="384" t="s">
        <v>329</v>
      </c>
      <c r="H1215" s="24">
        <f>81.81+51.86+54.83+18.63+24.58+45.96+30.33+29.54+22.38+55.8+91.72</f>
        <v>507.43999999999994</v>
      </c>
      <c r="I1215" s="24"/>
      <c r="J1215" s="25" t="str">
        <f t="shared" si="58"/>
        <v>1</v>
      </c>
      <c r="K1215" s="385"/>
      <c r="L1215" s="385"/>
      <c r="M1215" s="386">
        <f t="shared" si="56"/>
        <v>507.43999999999994</v>
      </c>
      <c r="N1215" s="496"/>
      <c r="O1215" s="333">
        <f t="shared" si="57"/>
        <v>507.43999999999994</v>
      </c>
      <c r="R1215" s="23" t="str">
        <f>VLOOKUP(C:C,'Historic Data - working'!A:B,1,FALSE)</f>
        <v>PLY044</v>
      </c>
      <c r="U1215" s="323"/>
      <c r="V1215" s="323"/>
      <c r="W1215" s="323"/>
    </row>
    <row r="1216" spans="1:23" s="23" customFormat="1" ht="14.25" hidden="1" x14ac:dyDescent="0.2">
      <c r="A1216" s="381" t="s">
        <v>4341</v>
      </c>
      <c r="B1216" s="381" t="s">
        <v>324</v>
      </c>
      <c r="C1216" s="410" t="s">
        <v>4516</v>
      </c>
      <c r="D1216" s="381" t="s">
        <v>4517</v>
      </c>
      <c r="E1216" s="383" t="s">
        <v>4518</v>
      </c>
      <c r="F1216" s="381" t="s">
        <v>4519</v>
      </c>
      <c r="G1216" s="384" t="s">
        <v>329</v>
      </c>
      <c r="H1216" s="24">
        <f>220.74+401.32+31.11</f>
        <v>653.16999999999996</v>
      </c>
      <c r="I1216" s="24"/>
      <c r="J1216" s="25" t="str">
        <f t="shared" si="58"/>
        <v>1</v>
      </c>
      <c r="K1216" s="387" t="s">
        <v>4520</v>
      </c>
      <c r="L1216" s="385">
        <v>0.4</v>
      </c>
      <c r="M1216" s="386">
        <f t="shared" si="56"/>
        <v>653.56999999999994</v>
      </c>
      <c r="N1216" s="496">
        <v>255</v>
      </c>
      <c r="O1216" s="333">
        <f t="shared" si="57"/>
        <v>908.56999999999994</v>
      </c>
      <c r="R1216" s="23" t="str">
        <f>VLOOKUP(C:C,'Historic Data - working'!A:B,1,FALSE)</f>
        <v>PLY045</v>
      </c>
      <c r="U1216" s="323"/>
      <c r="V1216" s="323"/>
      <c r="W1216" s="323"/>
    </row>
    <row r="1217" spans="1:23" s="23" customFormat="1" ht="14.25" hidden="1" x14ac:dyDescent="0.2">
      <c r="A1217" s="381" t="s">
        <v>4341</v>
      </c>
      <c r="B1217" s="381" t="s">
        <v>324</v>
      </c>
      <c r="C1217" s="410" t="s">
        <v>4521</v>
      </c>
      <c r="D1217" s="381" t="s">
        <v>4522</v>
      </c>
      <c r="E1217" s="383" t="s">
        <v>4523</v>
      </c>
      <c r="F1217" s="381" t="s">
        <v>4524</v>
      </c>
      <c r="G1217" s="384"/>
      <c r="H1217" s="24"/>
      <c r="I1217" s="24"/>
      <c r="J1217" s="25" t="str">
        <f t="shared" si="58"/>
        <v xml:space="preserve"> </v>
      </c>
      <c r="K1217" s="385" t="s">
        <v>337</v>
      </c>
      <c r="L1217" s="385">
        <v>16.95</v>
      </c>
      <c r="M1217" s="386">
        <f t="shared" si="56"/>
        <v>16.95</v>
      </c>
      <c r="N1217" s="496">
        <v>60</v>
      </c>
      <c r="O1217" s="333">
        <f t="shared" si="57"/>
        <v>76.95</v>
      </c>
      <c r="R1217" s="23" t="str">
        <f>VLOOKUP(C:C,'Historic Data - working'!A:B,1,FALSE)</f>
        <v>PLY046</v>
      </c>
      <c r="U1217" s="323"/>
      <c r="V1217" s="323"/>
      <c r="W1217" s="323"/>
    </row>
    <row r="1218" spans="1:23" s="23" customFormat="1" ht="14.25" hidden="1" x14ac:dyDescent="0.2">
      <c r="A1218" s="381" t="s">
        <v>4341</v>
      </c>
      <c r="B1218" s="381" t="s">
        <v>324</v>
      </c>
      <c r="C1218" s="410" t="s">
        <v>4525</v>
      </c>
      <c r="D1218" s="381" t="s">
        <v>4526</v>
      </c>
      <c r="E1218" s="383" t="s">
        <v>4527</v>
      </c>
      <c r="F1218" s="381" t="s">
        <v>4524</v>
      </c>
      <c r="G1218" s="384"/>
      <c r="H1218" s="24"/>
      <c r="I1218" s="24"/>
      <c r="J1218" s="25" t="str">
        <f t="shared" si="58"/>
        <v xml:space="preserve"> </v>
      </c>
      <c r="K1218" s="385"/>
      <c r="L1218" s="385"/>
      <c r="M1218" s="386">
        <f t="shared" si="56"/>
        <v>0</v>
      </c>
      <c r="N1218" s="496"/>
      <c r="O1218" s="333">
        <f t="shared" ref="O1218:O1281" si="59">M1218+N1218</f>
        <v>0</v>
      </c>
      <c r="R1218" s="23" t="e">
        <f>VLOOKUP(C:C,'Historic Data - working'!A:B,1,FALSE)</f>
        <v>#N/A</v>
      </c>
      <c r="U1218" s="323"/>
      <c r="V1218" s="323"/>
      <c r="W1218" s="323"/>
    </row>
    <row r="1219" spans="1:23" s="23" customFormat="1" ht="28.5" hidden="1" x14ac:dyDescent="0.2">
      <c r="A1219" s="381" t="s">
        <v>4341</v>
      </c>
      <c r="B1219" s="381" t="s">
        <v>324</v>
      </c>
      <c r="C1219" s="410" t="s">
        <v>4528</v>
      </c>
      <c r="D1219" s="381" t="s">
        <v>4529</v>
      </c>
      <c r="E1219" s="383" t="s">
        <v>4530</v>
      </c>
      <c r="F1219" s="381" t="s">
        <v>4531</v>
      </c>
      <c r="G1219" s="384" t="s">
        <v>329</v>
      </c>
      <c r="H1219" s="24">
        <v>247.67</v>
      </c>
      <c r="I1219" s="24"/>
      <c r="J1219" s="25" t="str">
        <f t="shared" si="58"/>
        <v>1</v>
      </c>
      <c r="K1219" s="385" t="s">
        <v>4532</v>
      </c>
      <c r="L1219" s="385">
        <v>2</v>
      </c>
      <c r="M1219" s="386">
        <f t="shared" ref="M1219:M1282" si="60">H1219+L1219</f>
        <v>249.67</v>
      </c>
      <c r="N1219" s="496">
        <v>180</v>
      </c>
      <c r="O1219" s="333">
        <f t="shared" si="59"/>
        <v>429.66999999999996</v>
      </c>
      <c r="R1219" s="23" t="str">
        <f>VLOOKUP(C:C,'Historic Data - working'!A:B,1,FALSE)</f>
        <v>PLY047</v>
      </c>
      <c r="U1219" s="323"/>
      <c r="V1219" s="323"/>
      <c r="W1219" s="323"/>
    </row>
    <row r="1220" spans="1:23" s="23" customFormat="1" ht="28.5" hidden="1" x14ac:dyDescent="0.2">
      <c r="A1220" s="381" t="s">
        <v>4341</v>
      </c>
      <c r="B1220" s="381" t="s">
        <v>324</v>
      </c>
      <c r="C1220" s="410" t="s">
        <v>4533</v>
      </c>
      <c r="D1220" s="381" t="s">
        <v>4534</v>
      </c>
      <c r="E1220" s="383" t="s">
        <v>4535</v>
      </c>
      <c r="F1220" s="381" t="s">
        <v>4531</v>
      </c>
      <c r="G1220" s="384"/>
      <c r="H1220" s="24"/>
      <c r="I1220" s="24"/>
      <c r="J1220" s="25" t="str">
        <f t="shared" si="58"/>
        <v xml:space="preserve"> </v>
      </c>
      <c r="K1220" s="385"/>
      <c r="L1220" s="385"/>
      <c r="M1220" s="386">
        <f t="shared" si="60"/>
        <v>0</v>
      </c>
      <c r="N1220" s="496"/>
      <c r="O1220" s="333">
        <f t="shared" si="59"/>
        <v>0</v>
      </c>
      <c r="R1220" s="23" t="e">
        <f>VLOOKUP(C:C,'Historic Data - working'!A:B,1,FALSE)</f>
        <v>#N/A</v>
      </c>
      <c r="U1220" s="323"/>
      <c r="V1220" s="323"/>
      <c r="W1220" s="323"/>
    </row>
    <row r="1221" spans="1:23" s="23" customFormat="1" ht="14.25" hidden="1" x14ac:dyDescent="0.2">
      <c r="A1221" s="381" t="s">
        <v>4341</v>
      </c>
      <c r="B1221" s="381" t="s">
        <v>351</v>
      </c>
      <c r="C1221" s="410" t="s">
        <v>4536</v>
      </c>
      <c r="D1221" s="381" t="s">
        <v>4537</v>
      </c>
      <c r="E1221" s="383" t="s">
        <v>4538</v>
      </c>
      <c r="F1221" s="381" t="s">
        <v>4451</v>
      </c>
      <c r="G1221" s="384"/>
      <c r="H1221" s="24"/>
      <c r="I1221" s="24"/>
      <c r="J1221" s="25" t="str">
        <f t="shared" si="58"/>
        <v xml:space="preserve"> </v>
      </c>
      <c r="K1221" s="385" t="s">
        <v>337</v>
      </c>
      <c r="L1221" s="385">
        <v>952.91</v>
      </c>
      <c r="M1221" s="386">
        <f t="shared" si="60"/>
        <v>952.91</v>
      </c>
      <c r="N1221" s="496">
        <v>1186.6600000000001</v>
      </c>
      <c r="O1221" s="333">
        <f t="shared" si="59"/>
        <v>2139.5700000000002</v>
      </c>
      <c r="R1221" s="23" t="str">
        <f>VLOOKUP(C:C,'Historic Data - working'!A:B,1,FALSE)</f>
        <v>PLY049</v>
      </c>
      <c r="U1221" s="323"/>
      <c r="V1221" s="323"/>
      <c r="W1221" s="323"/>
    </row>
    <row r="1222" spans="1:23" s="23" customFormat="1" ht="14.25" hidden="1" x14ac:dyDescent="0.2">
      <c r="A1222" s="381" t="s">
        <v>4341</v>
      </c>
      <c r="B1222" s="381" t="s">
        <v>351</v>
      </c>
      <c r="C1222" s="410" t="s">
        <v>4539</v>
      </c>
      <c r="D1222" s="381" t="s">
        <v>4540</v>
      </c>
      <c r="E1222" s="383" t="s">
        <v>4541</v>
      </c>
      <c r="F1222" s="381" t="s">
        <v>4542</v>
      </c>
      <c r="G1222" s="384" t="s">
        <v>329</v>
      </c>
      <c r="H1222" s="24">
        <f>23.58+155+138.51+23.14</f>
        <v>340.22999999999996</v>
      </c>
      <c r="I1222" s="24"/>
      <c r="J1222" s="25" t="str">
        <f t="shared" si="58"/>
        <v>1</v>
      </c>
      <c r="K1222" s="385" t="s">
        <v>4543</v>
      </c>
      <c r="L1222" s="385"/>
      <c r="M1222" s="386">
        <f t="shared" si="60"/>
        <v>340.22999999999996</v>
      </c>
      <c r="N1222" s="496">
        <v>10</v>
      </c>
      <c r="O1222" s="333">
        <f t="shared" si="59"/>
        <v>350.22999999999996</v>
      </c>
      <c r="R1222" s="23" t="str">
        <f>VLOOKUP(C:C,'Historic Data - working'!A:B,1,FALSE)</f>
        <v>PLY050</v>
      </c>
      <c r="U1222" s="323"/>
      <c r="V1222" s="323"/>
      <c r="W1222" s="323"/>
    </row>
    <row r="1223" spans="1:23" s="23" customFormat="1" ht="14.25" hidden="1" x14ac:dyDescent="0.2">
      <c r="A1223" s="381" t="s">
        <v>4341</v>
      </c>
      <c r="B1223" s="381" t="s">
        <v>324</v>
      </c>
      <c r="C1223" s="410" t="s">
        <v>4544</v>
      </c>
      <c r="D1223" s="381" t="s">
        <v>4545</v>
      </c>
      <c r="E1223" s="383" t="s">
        <v>4546</v>
      </c>
      <c r="F1223" s="381" t="s">
        <v>4547</v>
      </c>
      <c r="G1223" s="384" t="s">
        <v>329</v>
      </c>
      <c r="H1223" s="24">
        <v>586.28</v>
      </c>
      <c r="I1223" s="24"/>
      <c r="J1223" s="25" t="str">
        <f t="shared" si="58"/>
        <v>1</v>
      </c>
      <c r="K1223" s="385"/>
      <c r="L1223" s="385"/>
      <c r="M1223" s="386">
        <f t="shared" si="60"/>
        <v>586.28</v>
      </c>
      <c r="N1223" s="496">
        <v>160</v>
      </c>
      <c r="O1223" s="333">
        <f t="shared" si="59"/>
        <v>746.28</v>
      </c>
      <c r="R1223" s="23" t="str">
        <f>VLOOKUP(C:C,'Historic Data - working'!A:B,1,FALSE)</f>
        <v>PLY051</v>
      </c>
      <c r="U1223" s="323"/>
      <c r="V1223" s="323"/>
      <c r="W1223" s="323"/>
    </row>
    <row r="1224" spans="1:23" s="23" customFormat="1" ht="28.5" hidden="1" x14ac:dyDescent="0.2">
      <c r="A1224" s="381" t="s">
        <v>4341</v>
      </c>
      <c r="B1224" s="381" t="s">
        <v>324</v>
      </c>
      <c r="C1224" s="410" t="s">
        <v>4548</v>
      </c>
      <c r="D1224" s="381" t="s">
        <v>4549</v>
      </c>
      <c r="E1224" s="383" t="s">
        <v>4550</v>
      </c>
      <c r="F1224" s="381" t="s">
        <v>4547</v>
      </c>
      <c r="G1224" s="384"/>
      <c r="H1224" s="24"/>
      <c r="I1224" s="24"/>
      <c r="J1224" s="25" t="str">
        <f t="shared" si="58"/>
        <v xml:space="preserve"> </v>
      </c>
      <c r="K1224" s="385"/>
      <c r="L1224" s="385"/>
      <c r="M1224" s="386">
        <f t="shared" si="60"/>
        <v>0</v>
      </c>
      <c r="N1224" s="496"/>
      <c r="O1224" s="333">
        <f t="shared" si="59"/>
        <v>0</v>
      </c>
      <c r="R1224" s="23" t="e">
        <f>VLOOKUP(C:C,'Historic Data - working'!A:B,1,FALSE)</f>
        <v>#N/A</v>
      </c>
      <c r="U1224" s="323"/>
      <c r="V1224" s="323"/>
      <c r="W1224" s="323"/>
    </row>
    <row r="1225" spans="1:23" s="23" customFormat="1" ht="14.25" hidden="1" x14ac:dyDescent="0.2">
      <c r="A1225" s="381" t="s">
        <v>4341</v>
      </c>
      <c r="B1225" s="381" t="s">
        <v>324</v>
      </c>
      <c r="C1225" s="410" t="s">
        <v>4551</v>
      </c>
      <c r="D1225" s="381" t="s">
        <v>4552</v>
      </c>
      <c r="E1225" s="383" t="s">
        <v>4553</v>
      </c>
      <c r="F1225" s="381" t="s">
        <v>4554</v>
      </c>
      <c r="G1225" s="384" t="s">
        <v>329</v>
      </c>
      <c r="H1225" s="24">
        <f>100+146+115+200</f>
        <v>561</v>
      </c>
      <c r="I1225" s="24"/>
      <c r="J1225" s="25" t="str">
        <f t="shared" si="58"/>
        <v>1</v>
      </c>
      <c r="K1225" s="385"/>
      <c r="L1225" s="385"/>
      <c r="M1225" s="386">
        <f t="shared" si="60"/>
        <v>561</v>
      </c>
      <c r="N1225" s="496">
        <v>220</v>
      </c>
      <c r="O1225" s="333">
        <f t="shared" si="59"/>
        <v>781</v>
      </c>
      <c r="R1225" s="23" t="str">
        <f>VLOOKUP(C:C,'Historic Data - working'!A:B,1,FALSE)</f>
        <v>PLY052</v>
      </c>
      <c r="U1225" s="323"/>
      <c r="V1225" s="323"/>
      <c r="W1225" s="323"/>
    </row>
    <row r="1226" spans="1:23" s="23" customFormat="1" ht="14.25" hidden="1" x14ac:dyDescent="0.2">
      <c r="A1226" s="381" t="s">
        <v>4341</v>
      </c>
      <c r="B1226" s="381" t="s">
        <v>324</v>
      </c>
      <c r="C1226" s="410" t="s">
        <v>4555</v>
      </c>
      <c r="D1226" s="381" t="s">
        <v>4556</v>
      </c>
      <c r="E1226" s="383" t="s">
        <v>4557</v>
      </c>
      <c r="F1226" s="381" t="s">
        <v>4426</v>
      </c>
      <c r="G1226" s="384"/>
      <c r="H1226" s="24"/>
      <c r="I1226" s="24"/>
      <c r="J1226" s="25" t="str">
        <f t="shared" si="58"/>
        <v xml:space="preserve"> </v>
      </c>
      <c r="K1226" s="385"/>
      <c r="L1226" s="385"/>
      <c r="M1226" s="386">
        <f t="shared" si="60"/>
        <v>0</v>
      </c>
      <c r="N1226" s="496"/>
      <c r="O1226" s="333">
        <f t="shared" si="59"/>
        <v>0</v>
      </c>
      <c r="R1226" s="23" t="e">
        <f>VLOOKUP(C:C,'Historic Data - working'!A:B,1,FALSE)</f>
        <v>#N/A</v>
      </c>
      <c r="U1226" s="323"/>
      <c r="V1226" s="323"/>
      <c r="W1226" s="323"/>
    </row>
    <row r="1227" spans="1:23" s="23" customFormat="1" ht="14.25" hidden="1" x14ac:dyDescent="0.2">
      <c r="A1227" s="381" t="s">
        <v>4341</v>
      </c>
      <c r="B1227" s="381" t="s">
        <v>324</v>
      </c>
      <c r="C1227" s="410" t="s">
        <v>4558</v>
      </c>
      <c r="D1227" s="381" t="s">
        <v>4559</v>
      </c>
      <c r="E1227" s="383" t="s">
        <v>4560</v>
      </c>
      <c r="F1227" s="381" t="s">
        <v>4561</v>
      </c>
      <c r="G1227" s="384"/>
      <c r="H1227" s="24"/>
      <c r="I1227" s="24"/>
      <c r="J1227" s="25" t="str">
        <f t="shared" si="58"/>
        <v xml:space="preserve"> </v>
      </c>
      <c r="K1227" s="385" t="s">
        <v>337</v>
      </c>
      <c r="L1227" s="385">
        <v>1212.92</v>
      </c>
      <c r="M1227" s="386">
        <f t="shared" si="60"/>
        <v>1212.92</v>
      </c>
      <c r="N1227" s="496">
        <v>415</v>
      </c>
      <c r="O1227" s="333">
        <f t="shared" si="59"/>
        <v>1627.92</v>
      </c>
      <c r="R1227" s="23" t="str">
        <f>VLOOKUP(C:C,'Historic Data - working'!A:B,1,FALSE)</f>
        <v>PLY054</v>
      </c>
      <c r="U1227" s="323"/>
      <c r="V1227" s="323"/>
      <c r="W1227" s="323"/>
    </row>
    <row r="1228" spans="1:23" s="23" customFormat="1" ht="14.25" hidden="1" x14ac:dyDescent="0.2">
      <c r="A1228" s="381" t="s">
        <v>4341</v>
      </c>
      <c r="B1228" s="381" t="s">
        <v>351</v>
      </c>
      <c r="C1228" s="410" t="s">
        <v>4562</v>
      </c>
      <c r="D1228" s="381" t="s">
        <v>4563</v>
      </c>
      <c r="E1228" s="383" t="s">
        <v>4564</v>
      </c>
      <c r="F1228" s="381" t="s">
        <v>4561</v>
      </c>
      <c r="G1228" s="384"/>
      <c r="H1228" s="24"/>
      <c r="I1228" s="24"/>
      <c r="J1228" s="25" t="str">
        <f t="shared" si="58"/>
        <v xml:space="preserve"> </v>
      </c>
      <c r="K1228" s="385"/>
      <c r="L1228" s="385"/>
      <c r="M1228" s="386">
        <f t="shared" si="60"/>
        <v>0</v>
      </c>
      <c r="N1228" s="496"/>
      <c r="O1228" s="333">
        <f t="shared" si="59"/>
        <v>0</v>
      </c>
      <c r="R1228" s="23" t="e">
        <f>VLOOKUP(C:C,'Historic Data - working'!A:B,1,FALSE)</f>
        <v>#N/A</v>
      </c>
      <c r="U1228" s="323"/>
      <c r="V1228" s="323"/>
      <c r="W1228" s="323"/>
    </row>
    <row r="1229" spans="1:23" s="23" customFormat="1" ht="14.25" hidden="1" x14ac:dyDescent="0.2">
      <c r="A1229" s="381" t="s">
        <v>4341</v>
      </c>
      <c r="B1229" s="381" t="s">
        <v>351</v>
      </c>
      <c r="C1229" s="410" t="s">
        <v>4565</v>
      </c>
      <c r="D1229" s="381" t="s">
        <v>4566</v>
      </c>
      <c r="E1229" s="383" t="s">
        <v>4567</v>
      </c>
      <c r="F1229" s="381" t="s">
        <v>4568</v>
      </c>
      <c r="G1229" s="384" t="s">
        <v>329</v>
      </c>
      <c r="H1229" s="24">
        <f>30+569+3529+983+304.76</f>
        <v>5415.76</v>
      </c>
      <c r="I1229" s="24"/>
      <c r="J1229" s="25" t="str">
        <f t="shared" si="58"/>
        <v>1</v>
      </c>
      <c r="K1229" s="385"/>
      <c r="L1229" s="385"/>
      <c r="M1229" s="386">
        <f t="shared" si="60"/>
        <v>5415.76</v>
      </c>
      <c r="N1229" s="496">
        <v>4722</v>
      </c>
      <c r="O1229" s="333">
        <f t="shared" si="59"/>
        <v>10137.76</v>
      </c>
      <c r="R1229" s="23" t="str">
        <f>VLOOKUP(C:C,'Historic Data - working'!A:B,1,FALSE)</f>
        <v>PLY055</v>
      </c>
      <c r="U1229" s="323"/>
      <c r="V1229" s="323"/>
      <c r="W1229" s="323"/>
    </row>
    <row r="1230" spans="1:23" s="23" customFormat="1" ht="14.25" hidden="1" x14ac:dyDescent="0.2">
      <c r="A1230" s="381" t="s">
        <v>4341</v>
      </c>
      <c r="B1230" s="381" t="s">
        <v>324</v>
      </c>
      <c r="C1230" s="410" t="s">
        <v>4569</v>
      </c>
      <c r="D1230" s="381" t="s">
        <v>4570</v>
      </c>
      <c r="E1230" s="383" t="s">
        <v>4571</v>
      </c>
      <c r="F1230" s="381" t="s">
        <v>4568</v>
      </c>
      <c r="G1230" s="384"/>
      <c r="H1230" s="24"/>
      <c r="I1230" s="24"/>
      <c r="J1230" s="25" t="str">
        <f t="shared" si="58"/>
        <v xml:space="preserve"> </v>
      </c>
      <c r="K1230" s="385"/>
      <c r="L1230" s="385"/>
      <c r="M1230" s="386">
        <f t="shared" si="60"/>
        <v>0</v>
      </c>
      <c r="N1230" s="496"/>
      <c r="O1230" s="333">
        <f t="shared" si="59"/>
        <v>0</v>
      </c>
      <c r="R1230" s="23" t="e">
        <f>VLOOKUP(C:C,'Historic Data - working'!A:B,1,FALSE)</f>
        <v>#N/A</v>
      </c>
      <c r="U1230" s="323"/>
      <c r="V1230" s="323"/>
      <c r="W1230" s="323"/>
    </row>
    <row r="1231" spans="1:23" s="23" customFormat="1" ht="14.25" hidden="1" x14ac:dyDescent="0.2">
      <c r="A1231" s="381" t="s">
        <v>4341</v>
      </c>
      <c r="B1231" s="381" t="s">
        <v>351</v>
      </c>
      <c r="C1231" s="410" t="s">
        <v>4572</v>
      </c>
      <c r="D1231" s="381" t="s">
        <v>4573</v>
      </c>
      <c r="E1231" s="383" t="s">
        <v>61</v>
      </c>
      <c r="F1231" s="381" t="s">
        <v>4426</v>
      </c>
      <c r="G1231" s="384" t="s">
        <v>329</v>
      </c>
      <c r="H1231" s="24">
        <v>1802.04</v>
      </c>
      <c r="I1231" s="24"/>
      <c r="J1231" s="25" t="str">
        <f t="shared" si="58"/>
        <v>1</v>
      </c>
      <c r="K1231" s="385"/>
      <c r="L1231" s="385"/>
      <c r="M1231" s="386">
        <f t="shared" si="60"/>
        <v>1802.04</v>
      </c>
      <c r="N1231" s="496">
        <v>1995</v>
      </c>
      <c r="O1231" s="333">
        <f t="shared" si="59"/>
        <v>3797.04</v>
      </c>
      <c r="R1231" s="23" t="str">
        <f>VLOOKUP(C:C,'Historic Data - working'!A:B,1,FALSE)</f>
        <v>PLY056</v>
      </c>
      <c r="U1231" s="323"/>
      <c r="V1231" s="323"/>
      <c r="W1231" s="323"/>
    </row>
    <row r="1232" spans="1:23" s="23" customFormat="1" ht="14.25" hidden="1" x14ac:dyDescent="0.2">
      <c r="A1232" s="381" t="s">
        <v>4341</v>
      </c>
      <c r="B1232" s="381" t="s">
        <v>351</v>
      </c>
      <c r="C1232" s="410" t="s">
        <v>4574</v>
      </c>
      <c r="D1232" s="381" t="s">
        <v>4575</v>
      </c>
      <c r="E1232" s="383" t="s">
        <v>4576</v>
      </c>
      <c r="F1232" s="381" t="s">
        <v>4426</v>
      </c>
      <c r="G1232" s="384"/>
      <c r="H1232" s="24"/>
      <c r="I1232" s="24"/>
      <c r="J1232" s="25" t="str">
        <f t="shared" si="58"/>
        <v xml:space="preserve"> </v>
      </c>
      <c r="K1232" s="385"/>
      <c r="L1232" s="385"/>
      <c r="M1232" s="386">
        <f t="shared" si="60"/>
        <v>0</v>
      </c>
      <c r="N1232" s="496">
        <v>5</v>
      </c>
      <c r="O1232" s="333">
        <f t="shared" si="59"/>
        <v>5</v>
      </c>
      <c r="R1232" s="23" t="e">
        <f>VLOOKUP(C:C,'Historic Data - working'!A:B,1,FALSE)</f>
        <v>#N/A</v>
      </c>
      <c r="U1232" s="323"/>
      <c r="V1232" s="323"/>
      <c r="W1232" s="323"/>
    </row>
    <row r="1233" spans="1:23" s="23" customFormat="1" ht="14.25" hidden="1" x14ac:dyDescent="0.2">
      <c r="A1233" s="381" t="s">
        <v>4341</v>
      </c>
      <c r="B1233" s="381" t="s">
        <v>324</v>
      </c>
      <c r="C1233" s="410" t="s">
        <v>4577</v>
      </c>
      <c r="D1233" s="381" t="s">
        <v>4578</v>
      </c>
      <c r="E1233" s="383" t="s">
        <v>4579</v>
      </c>
      <c r="F1233" s="381" t="s">
        <v>4426</v>
      </c>
      <c r="G1233" s="384"/>
      <c r="H1233" s="24"/>
      <c r="I1233" s="24"/>
      <c r="J1233" s="25" t="str">
        <f t="shared" si="58"/>
        <v xml:space="preserve"> </v>
      </c>
      <c r="K1233" s="385"/>
      <c r="L1233" s="385"/>
      <c r="M1233" s="386">
        <f t="shared" si="60"/>
        <v>0</v>
      </c>
      <c r="N1233" s="496"/>
      <c r="O1233" s="333">
        <f t="shared" si="59"/>
        <v>0</v>
      </c>
      <c r="R1233" s="23" t="e">
        <f>VLOOKUP(C:C,'Historic Data - working'!A:B,1,FALSE)</f>
        <v>#N/A</v>
      </c>
      <c r="U1233" s="323"/>
      <c r="V1233" s="323"/>
      <c r="W1233" s="323"/>
    </row>
    <row r="1234" spans="1:23" s="23" customFormat="1" ht="14.25" hidden="1" x14ac:dyDescent="0.2">
      <c r="A1234" s="381" t="s">
        <v>4341</v>
      </c>
      <c r="B1234" s="381" t="s">
        <v>351</v>
      </c>
      <c r="C1234" s="410" t="s">
        <v>4580</v>
      </c>
      <c r="D1234" s="381" t="s">
        <v>4581</v>
      </c>
      <c r="E1234" s="383" t="s">
        <v>242</v>
      </c>
      <c r="F1234" s="381" t="s">
        <v>4582</v>
      </c>
      <c r="G1234" s="384" t="s">
        <v>329</v>
      </c>
      <c r="H1234" s="24">
        <f>60+414.59</f>
        <v>474.59</v>
      </c>
      <c r="I1234" s="24"/>
      <c r="J1234" s="25" t="str">
        <f t="shared" si="58"/>
        <v>1</v>
      </c>
      <c r="K1234" s="385"/>
      <c r="L1234" s="385"/>
      <c r="M1234" s="386">
        <f t="shared" si="60"/>
        <v>474.59</v>
      </c>
      <c r="N1234" s="496">
        <v>425</v>
      </c>
      <c r="O1234" s="333">
        <f t="shared" si="59"/>
        <v>899.58999999999992</v>
      </c>
      <c r="R1234" s="23" t="str">
        <f>VLOOKUP(C:C,'Historic Data - working'!A:B,1,FALSE)</f>
        <v>PLY057</v>
      </c>
      <c r="U1234" s="323"/>
      <c r="V1234" s="323"/>
      <c r="W1234" s="323"/>
    </row>
    <row r="1235" spans="1:23" s="23" customFormat="1" ht="14.25" hidden="1" x14ac:dyDescent="0.2">
      <c r="A1235" s="381" t="s">
        <v>4341</v>
      </c>
      <c r="B1235" s="381" t="s">
        <v>351</v>
      </c>
      <c r="C1235" s="410" t="s">
        <v>4583</v>
      </c>
      <c r="D1235" s="381" t="s">
        <v>4584</v>
      </c>
      <c r="E1235" s="383" t="s">
        <v>4585</v>
      </c>
      <c r="F1235" s="381" t="s">
        <v>4582</v>
      </c>
      <c r="G1235" s="384"/>
      <c r="H1235" s="24"/>
      <c r="I1235" s="24"/>
      <c r="J1235" s="25" t="str">
        <f t="shared" si="58"/>
        <v xml:space="preserve"> </v>
      </c>
      <c r="K1235" s="385"/>
      <c r="L1235" s="385"/>
      <c r="M1235" s="386">
        <f t="shared" si="60"/>
        <v>0</v>
      </c>
      <c r="N1235" s="496"/>
      <c r="O1235" s="333">
        <f t="shared" si="59"/>
        <v>0</v>
      </c>
      <c r="R1235" s="23" t="e">
        <f>VLOOKUP(C:C,'Historic Data - working'!A:B,1,FALSE)</f>
        <v>#N/A</v>
      </c>
      <c r="U1235" s="323"/>
      <c r="V1235" s="323"/>
      <c r="W1235" s="323"/>
    </row>
    <row r="1236" spans="1:23" s="23" customFormat="1" ht="14.25" hidden="1" x14ac:dyDescent="0.2">
      <c r="A1236" s="381" t="s">
        <v>4341</v>
      </c>
      <c r="B1236" s="381" t="s">
        <v>324</v>
      </c>
      <c r="C1236" s="410" t="s">
        <v>4586</v>
      </c>
      <c r="D1236" s="381" t="s">
        <v>4587</v>
      </c>
      <c r="E1236" s="383" t="s">
        <v>4588</v>
      </c>
      <c r="F1236" s="381" t="s">
        <v>4589</v>
      </c>
      <c r="G1236" s="384"/>
      <c r="H1236" s="24"/>
      <c r="I1236" s="24"/>
      <c r="J1236" s="25" t="str">
        <f t="shared" si="58"/>
        <v xml:space="preserve"> </v>
      </c>
      <c r="K1236" s="385" t="s">
        <v>337</v>
      </c>
      <c r="L1236" s="385">
        <v>480.69</v>
      </c>
      <c r="M1236" s="386">
        <f t="shared" si="60"/>
        <v>480.69</v>
      </c>
      <c r="N1236" s="496">
        <v>408</v>
      </c>
      <c r="O1236" s="333">
        <f t="shared" si="59"/>
        <v>888.69</v>
      </c>
      <c r="R1236" s="23" t="str">
        <f>VLOOKUP(C:C,'Historic Data - working'!A:B,1,FALSE)</f>
        <v>PLY058</v>
      </c>
      <c r="U1236" s="323"/>
      <c r="V1236" s="323"/>
      <c r="W1236" s="323"/>
    </row>
    <row r="1237" spans="1:23" s="23" customFormat="1" ht="14.25" hidden="1" x14ac:dyDescent="0.2">
      <c r="A1237" s="381" t="s">
        <v>4341</v>
      </c>
      <c r="B1237" s="381" t="s">
        <v>324</v>
      </c>
      <c r="C1237" s="410" t="s">
        <v>4590</v>
      </c>
      <c r="D1237" s="381" t="s">
        <v>4591</v>
      </c>
      <c r="E1237" s="383" t="s">
        <v>4592</v>
      </c>
      <c r="F1237" s="381" t="s">
        <v>4593</v>
      </c>
      <c r="G1237" s="384"/>
      <c r="H1237" s="24"/>
      <c r="I1237" s="24"/>
      <c r="J1237" s="25" t="str">
        <f t="shared" si="58"/>
        <v xml:space="preserve"> </v>
      </c>
      <c r="K1237" s="385"/>
      <c r="L1237" s="385"/>
      <c r="M1237" s="386">
        <f t="shared" si="60"/>
        <v>0</v>
      </c>
      <c r="N1237" s="496">
        <v>190</v>
      </c>
      <c r="O1237" s="333">
        <f t="shared" si="59"/>
        <v>190</v>
      </c>
      <c r="R1237" s="23" t="str">
        <f>VLOOKUP(C:C,'Historic Data - working'!A:B,1,FALSE)</f>
        <v>PLY059</v>
      </c>
      <c r="U1237" s="323"/>
      <c r="V1237" s="323"/>
      <c r="W1237" s="323"/>
    </row>
    <row r="1238" spans="1:23" s="23" customFormat="1" ht="28.5" hidden="1" x14ac:dyDescent="0.2">
      <c r="A1238" s="381" t="s">
        <v>4341</v>
      </c>
      <c r="B1238" s="381" t="s">
        <v>351</v>
      </c>
      <c r="C1238" s="410" t="s">
        <v>4594</v>
      </c>
      <c r="D1238" s="381" t="s">
        <v>4595</v>
      </c>
      <c r="E1238" s="383" t="s">
        <v>4596</v>
      </c>
      <c r="F1238" s="381" t="s">
        <v>4503</v>
      </c>
      <c r="G1238" s="384" t="s">
        <v>329</v>
      </c>
      <c r="H1238" s="24">
        <v>512.5</v>
      </c>
      <c r="I1238" s="24"/>
      <c r="J1238" s="25" t="str">
        <f t="shared" si="58"/>
        <v>1</v>
      </c>
      <c r="K1238" s="385" t="s">
        <v>4597</v>
      </c>
      <c r="L1238" s="385">
        <v>-196.5</v>
      </c>
      <c r="M1238" s="386">
        <f t="shared" si="60"/>
        <v>316</v>
      </c>
      <c r="N1238" s="496">
        <v>436.5</v>
      </c>
      <c r="O1238" s="334">
        <f t="shared" si="59"/>
        <v>752.5</v>
      </c>
      <c r="P1238" s="351"/>
      <c r="Q1238" s="331"/>
      <c r="R1238" s="331" t="e">
        <f>VLOOKUP(C:C,'Historic Data - working'!A:B,1,FALSE)</f>
        <v>#N/A</v>
      </c>
      <c r="U1238" s="323"/>
      <c r="V1238" s="323"/>
      <c r="W1238" s="323"/>
    </row>
    <row r="1239" spans="1:23" s="23" customFormat="1" ht="14.25" hidden="1" x14ac:dyDescent="0.2">
      <c r="A1239" s="381" t="s">
        <v>4341</v>
      </c>
      <c r="B1239" s="381" t="s">
        <v>351</v>
      </c>
      <c r="C1239" s="410" t="s">
        <v>4598</v>
      </c>
      <c r="D1239" s="381" t="s">
        <v>4599</v>
      </c>
      <c r="E1239" s="383" t="s">
        <v>4600</v>
      </c>
      <c r="F1239" s="381" t="s">
        <v>4503</v>
      </c>
      <c r="G1239" s="384"/>
      <c r="H1239" s="24"/>
      <c r="I1239" s="24"/>
      <c r="J1239" s="25" t="str">
        <f t="shared" si="58"/>
        <v xml:space="preserve"> </v>
      </c>
      <c r="K1239" s="385"/>
      <c r="L1239" s="385"/>
      <c r="M1239" s="386">
        <f t="shared" si="60"/>
        <v>0</v>
      </c>
      <c r="N1239" s="496"/>
      <c r="O1239" s="333">
        <f t="shared" si="59"/>
        <v>0</v>
      </c>
      <c r="R1239" s="23" t="e">
        <f>VLOOKUP(C:C,'Historic Data - working'!A:B,1,FALSE)</f>
        <v>#N/A</v>
      </c>
      <c r="U1239" s="323"/>
      <c r="V1239" s="323"/>
      <c r="W1239" s="323"/>
    </row>
    <row r="1240" spans="1:23" s="23" customFormat="1" ht="14.25" hidden="1" x14ac:dyDescent="0.2">
      <c r="A1240" s="381" t="s">
        <v>4341</v>
      </c>
      <c r="B1240" s="381" t="s">
        <v>351</v>
      </c>
      <c r="C1240" s="410" t="s">
        <v>4601</v>
      </c>
      <c r="D1240" s="381" t="s">
        <v>4602</v>
      </c>
      <c r="E1240" s="383" t="s">
        <v>214</v>
      </c>
      <c r="F1240" s="381" t="s">
        <v>4568</v>
      </c>
      <c r="G1240" s="384" t="s">
        <v>329</v>
      </c>
      <c r="H1240" s="24">
        <f>407.62+55.88</f>
        <v>463.5</v>
      </c>
      <c r="I1240" s="24"/>
      <c r="J1240" s="25" t="str">
        <f t="shared" si="58"/>
        <v>1</v>
      </c>
      <c r="K1240" s="385" t="s">
        <v>2751</v>
      </c>
      <c r="L1240" s="385">
        <v>-463.5</v>
      </c>
      <c r="M1240" s="386">
        <f t="shared" si="60"/>
        <v>0</v>
      </c>
      <c r="N1240" s="496"/>
      <c r="O1240" s="333">
        <f t="shared" si="59"/>
        <v>0</v>
      </c>
      <c r="R1240" s="23" t="e">
        <f>VLOOKUP(C:C,'Historic Data - working'!A:B,1,FALSE)</f>
        <v>#N/A</v>
      </c>
      <c r="U1240" s="323"/>
      <c r="V1240" s="323"/>
      <c r="W1240" s="323"/>
    </row>
    <row r="1241" spans="1:23" s="23" customFormat="1" ht="14.25" hidden="1" x14ac:dyDescent="0.2">
      <c r="A1241" s="381" t="s">
        <v>4341</v>
      </c>
      <c r="B1241" s="381" t="s">
        <v>351</v>
      </c>
      <c r="C1241" s="410" t="s">
        <v>4603</v>
      </c>
      <c r="D1241" s="381" t="s">
        <v>4604</v>
      </c>
      <c r="E1241" s="383" t="s">
        <v>31</v>
      </c>
      <c r="F1241" s="381" t="s">
        <v>4605</v>
      </c>
      <c r="G1241" s="384" t="s">
        <v>329</v>
      </c>
      <c r="H1241" s="24">
        <v>584.58000000000004</v>
      </c>
      <c r="I1241" s="24"/>
      <c r="J1241" s="25" t="str">
        <f t="shared" si="58"/>
        <v>1</v>
      </c>
      <c r="K1241" s="385"/>
      <c r="L1241" s="385"/>
      <c r="M1241" s="386">
        <f t="shared" si="60"/>
        <v>584.58000000000004</v>
      </c>
      <c r="N1241" s="496">
        <v>158.05000000000001</v>
      </c>
      <c r="O1241" s="333">
        <f t="shared" si="59"/>
        <v>742.63000000000011</v>
      </c>
      <c r="R1241" s="23" t="str">
        <f>VLOOKUP(C:C,'Historic Data - working'!A:B,1,FALSE)</f>
        <v>PLY062</v>
      </c>
      <c r="U1241" s="323"/>
      <c r="V1241" s="323"/>
      <c r="W1241" s="323"/>
    </row>
    <row r="1242" spans="1:23" s="23" customFormat="1" ht="14.25" hidden="1" x14ac:dyDescent="0.2">
      <c r="A1242" s="381" t="s">
        <v>4341</v>
      </c>
      <c r="B1242" s="381" t="s">
        <v>351</v>
      </c>
      <c r="C1242" s="410" t="s">
        <v>4606</v>
      </c>
      <c r="D1242" s="381" t="s">
        <v>4607</v>
      </c>
      <c r="E1242" s="383" t="s">
        <v>4608</v>
      </c>
      <c r="F1242" s="381" t="s">
        <v>4605</v>
      </c>
      <c r="G1242" s="384" t="s">
        <v>329</v>
      </c>
      <c r="H1242" s="24">
        <v>2105.12</v>
      </c>
      <c r="I1242" s="24"/>
      <c r="J1242" s="25" t="str">
        <f t="shared" si="58"/>
        <v>1</v>
      </c>
      <c r="K1242" s="385"/>
      <c r="L1242" s="385"/>
      <c r="M1242" s="386">
        <f t="shared" si="60"/>
        <v>2105.12</v>
      </c>
      <c r="N1242" s="496">
        <v>200</v>
      </c>
      <c r="O1242" s="333">
        <f t="shared" si="59"/>
        <v>2305.12</v>
      </c>
      <c r="R1242" s="23" t="str">
        <f>VLOOKUP(C:C,'Historic Data - working'!A:B,1,FALSE)</f>
        <v>PLY063</v>
      </c>
      <c r="U1242" s="323"/>
      <c r="V1242" s="323"/>
      <c r="W1242" s="323"/>
    </row>
    <row r="1243" spans="1:23" s="23" customFormat="1" ht="14.25" hidden="1" x14ac:dyDescent="0.2">
      <c r="A1243" s="381" t="s">
        <v>4341</v>
      </c>
      <c r="B1243" s="381" t="s">
        <v>351</v>
      </c>
      <c r="C1243" s="410" t="s">
        <v>4609</v>
      </c>
      <c r="D1243" s="381" t="s">
        <v>4610</v>
      </c>
      <c r="E1243" s="383" t="s">
        <v>740</v>
      </c>
      <c r="F1243" s="381" t="s">
        <v>4605</v>
      </c>
      <c r="G1243" s="384" t="s">
        <v>329</v>
      </c>
      <c r="H1243" s="24">
        <v>380.75</v>
      </c>
      <c r="I1243" s="24"/>
      <c r="J1243" s="25" t="str">
        <f t="shared" si="58"/>
        <v>1</v>
      </c>
      <c r="K1243" s="385"/>
      <c r="L1243" s="385"/>
      <c r="M1243" s="386">
        <f t="shared" si="60"/>
        <v>380.75</v>
      </c>
      <c r="N1243" s="496">
        <v>40</v>
      </c>
      <c r="O1243" s="333">
        <f t="shared" si="59"/>
        <v>420.75</v>
      </c>
      <c r="R1243" s="23" t="str">
        <f>VLOOKUP(C:C,'Historic Data - working'!A:B,1,FALSE)</f>
        <v>PLY064</v>
      </c>
      <c r="U1243" s="323"/>
      <c r="V1243" s="323"/>
      <c r="W1243" s="323"/>
    </row>
    <row r="1244" spans="1:23" s="23" customFormat="1" ht="14.25" hidden="1" x14ac:dyDescent="0.2">
      <c r="A1244" s="381" t="s">
        <v>4341</v>
      </c>
      <c r="B1244" s="381" t="s">
        <v>351</v>
      </c>
      <c r="C1244" s="410" t="s">
        <v>4611</v>
      </c>
      <c r="D1244" s="381" t="s">
        <v>4612</v>
      </c>
      <c r="E1244" s="383" t="s">
        <v>709</v>
      </c>
      <c r="F1244" s="381" t="s">
        <v>4605</v>
      </c>
      <c r="G1244" s="384" t="s">
        <v>329</v>
      </c>
      <c r="H1244" s="24">
        <f>153.87+120.64+574.74</f>
        <v>849.25</v>
      </c>
      <c r="I1244" s="24"/>
      <c r="J1244" s="25" t="str">
        <f t="shared" si="58"/>
        <v>1</v>
      </c>
      <c r="K1244" s="385"/>
      <c r="L1244" s="385"/>
      <c r="M1244" s="386">
        <f t="shared" si="60"/>
        <v>849.25</v>
      </c>
      <c r="N1244" s="496">
        <v>714</v>
      </c>
      <c r="O1244" s="333">
        <f t="shared" si="59"/>
        <v>1563.25</v>
      </c>
      <c r="R1244" s="23" t="str">
        <f>VLOOKUP(C:C,'Historic Data - working'!A:B,1,FALSE)</f>
        <v>PLY065</v>
      </c>
      <c r="U1244" s="323"/>
      <c r="V1244" s="323"/>
      <c r="W1244" s="323"/>
    </row>
    <row r="1245" spans="1:23" s="23" customFormat="1" ht="14.25" hidden="1" x14ac:dyDescent="0.2">
      <c r="A1245" s="381" t="s">
        <v>4341</v>
      </c>
      <c r="B1245" s="381" t="s">
        <v>324</v>
      </c>
      <c r="C1245" s="410" t="s">
        <v>4613</v>
      </c>
      <c r="D1245" s="381" t="s">
        <v>4614</v>
      </c>
      <c r="E1245" s="383" t="s">
        <v>4615</v>
      </c>
      <c r="F1245" s="381" t="s">
        <v>4459</v>
      </c>
      <c r="G1245" s="384" t="s">
        <v>329</v>
      </c>
      <c r="H1245" s="24">
        <f>520.65+80+518.09</f>
        <v>1118.74</v>
      </c>
      <c r="I1245" s="24"/>
      <c r="J1245" s="25" t="str">
        <f t="shared" si="58"/>
        <v>1</v>
      </c>
      <c r="K1245" s="385"/>
      <c r="L1245" s="385"/>
      <c r="M1245" s="386">
        <f t="shared" si="60"/>
        <v>1118.74</v>
      </c>
      <c r="N1245" s="496">
        <v>170</v>
      </c>
      <c r="O1245" s="333">
        <f t="shared" si="59"/>
        <v>1288.74</v>
      </c>
      <c r="R1245" s="23" t="str">
        <f>VLOOKUP(C:C,'Historic Data - working'!A:B,1,FALSE)</f>
        <v>PLY067</v>
      </c>
      <c r="U1245" s="323"/>
      <c r="V1245" s="323"/>
      <c r="W1245" s="323"/>
    </row>
    <row r="1246" spans="1:23" s="23" customFormat="1" ht="14.25" hidden="1" x14ac:dyDescent="0.2">
      <c r="A1246" s="381" t="s">
        <v>4341</v>
      </c>
      <c r="B1246" s="381" t="s">
        <v>351</v>
      </c>
      <c r="C1246" s="410" t="s">
        <v>4616</v>
      </c>
      <c r="D1246" s="381" t="s">
        <v>4617</v>
      </c>
      <c r="E1246" s="383" t="s">
        <v>736</v>
      </c>
      <c r="F1246" s="381" t="s">
        <v>4568</v>
      </c>
      <c r="G1246" s="384" t="s">
        <v>329</v>
      </c>
      <c r="H1246" s="24">
        <f>407.62+55.88</f>
        <v>463.5</v>
      </c>
      <c r="I1246" s="24"/>
      <c r="J1246" s="25" t="str">
        <f t="shared" si="58"/>
        <v>1</v>
      </c>
      <c r="K1246" s="385"/>
      <c r="L1246" s="385"/>
      <c r="M1246" s="386">
        <f t="shared" si="60"/>
        <v>463.5</v>
      </c>
      <c r="N1246" s="496"/>
      <c r="O1246" s="334">
        <f t="shared" si="59"/>
        <v>463.5</v>
      </c>
      <c r="P1246" s="351"/>
      <c r="Q1246" s="331"/>
      <c r="R1246" s="331" t="e">
        <f>VLOOKUP(C:C,'Historic Data - working'!A:B,1,FALSE)</f>
        <v>#N/A</v>
      </c>
      <c r="U1246" s="323"/>
      <c r="V1246" s="323"/>
      <c r="W1246" s="323"/>
    </row>
    <row r="1247" spans="1:23" s="23" customFormat="1" ht="14.25" hidden="1" x14ac:dyDescent="0.2">
      <c r="A1247" s="381" t="s">
        <v>4341</v>
      </c>
      <c r="B1247" s="381" t="s">
        <v>324</v>
      </c>
      <c r="C1247" s="410" t="s">
        <v>4618</v>
      </c>
      <c r="D1247" s="381" t="s">
        <v>4619</v>
      </c>
      <c r="E1247" s="383" t="s">
        <v>2176</v>
      </c>
      <c r="F1247" s="381" t="s">
        <v>4620</v>
      </c>
      <c r="G1247" s="384" t="s">
        <v>329</v>
      </c>
      <c r="H1247" s="24">
        <f>63.64+250.61</f>
        <v>314.25</v>
      </c>
      <c r="I1247" s="24"/>
      <c r="J1247" s="25" t="str">
        <f t="shared" si="58"/>
        <v>1</v>
      </c>
      <c r="K1247" s="385"/>
      <c r="L1247" s="385"/>
      <c r="M1247" s="386">
        <f t="shared" si="60"/>
        <v>314.25</v>
      </c>
      <c r="N1247" s="496">
        <v>145</v>
      </c>
      <c r="O1247" s="333">
        <f t="shared" si="59"/>
        <v>459.25</v>
      </c>
      <c r="R1247" s="23" t="str">
        <f>VLOOKUP(C:C,'Historic Data - working'!A:B,1,FALSE)</f>
        <v>PLY068</v>
      </c>
      <c r="U1247" s="323"/>
      <c r="V1247" s="323"/>
      <c r="W1247" s="323"/>
    </row>
    <row r="1248" spans="1:23" s="23" customFormat="1" ht="14.25" hidden="1" x14ac:dyDescent="0.2">
      <c r="A1248" s="381" t="s">
        <v>4341</v>
      </c>
      <c r="B1248" s="381" t="s">
        <v>351</v>
      </c>
      <c r="C1248" s="410" t="s">
        <v>4621</v>
      </c>
      <c r="D1248" s="381" t="s">
        <v>4622</v>
      </c>
      <c r="E1248" s="383" t="s">
        <v>4623</v>
      </c>
      <c r="F1248" s="381" t="s">
        <v>4503</v>
      </c>
      <c r="G1248" s="384"/>
      <c r="H1248" s="24"/>
      <c r="I1248" s="24"/>
      <c r="J1248" s="25" t="str">
        <f t="shared" si="58"/>
        <v xml:space="preserve"> </v>
      </c>
      <c r="K1248" s="385"/>
      <c r="L1248" s="385"/>
      <c r="M1248" s="386">
        <f t="shared" si="60"/>
        <v>0</v>
      </c>
      <c r="N1248" s="496">
        <v>690</v>
      </c>
      <c r="O1248" s="333">
        <f t="shared" si="59"/>
        <v>690</v>
      </c>
      <c r="R1248" s="23" t="str">
        <f>VLOOKUP(C:C,'Historic Data - working'!A:B,1,FALSE)</f>
        <v>PLY069</v>
      </c>
      <c r="U1248" s="323"/>
      <c r="V1248" s="323"/>
      <c r="W1248" s="323"/>
    </row>
    <row r="1249" spans="1:23" s="23" customFormat="1" ht="14.25" hidden="1" x14ac:dyDescent="0.2">
      <c r="A1249" s="381" t="s">
        <v>4341</v>
      </c>
      <c r="B1249" s="381" t="s">
        <v>351</v>
      </c>
      <c r="C1249" s="410" t="s">
        <v>4624</v>
      </c>
      <c r="D1249" s="381" t="s">
        <v>4625</v>
      </c>
      <c r="E1249" s="383" t="s">
        <v>4626</v>
      </c>
      <c r="F1249" s="381" t="s">
        <v>4627</v>
      </c>
      <c r="G1249" s="384"/>
      <c r="H1249" s="24"/>
      <c r="I1249" s="24"/>
      <c r="J1249" s="25" t="str">
        <f t="shared" si="58"/>
        <v xml:space="preserve"> </v>
      </c>
      <c r="K1249" s="385"/>
      <c r="L1249" s="385"/>
      <c r="M1249" s="386">
        <f t="shared" si="60"/>
        <v>0</v>
      </c>
      <c r="N1249" s="496"/>
      <c r="O1249" s="333">
        <f t="shared" si="59"/>
        <v>0</v>
      </c>
      <c r="R1249" s="23" t="e">
        <f>VLOOKUP(C:C,'Historic Data - working'!A:B,1,FALSE)</f>
        <v>#N/A</v>
      </c>
      <c r="U1249" s="323"/>
      <c r="V1249" s="323"/>
      <c r="W1249" s="323"/>
    </row>
    <row r="1250" spans="1:23" s="23" customFormat="1" ht="28.5" hidden="1" x14ac:dyDescent="0.2">
      <c r="A1250" s="381" t="s">
        <v>4341</v>
      </c>
      <c r="B1250" s="381" t="s">
        <v>351</v>
      </c>
      <c r="C1250" s="410" t="s">
        <v>4628</v>
      </c>
      <c r="D1250" s="381" t="s">
        <v>4629</v>
      </c>
      <c r="E1250" s="383" t="s">
        <v>4630</v>
      </c>
      <c r="F1250" s="381" t="s">
        <v>4631</v>
      </c>
      <c r="G1250" s="384" t="s">
        <v>329</v>
      </c>
      <c r="H1250" s="24">
        <f>25.73+49.69+6.73+55.29+13.7</f>
        <v>151.13999999999999</v>
      </c>
      <c r="I1250" s="24"/>
      <c r="J1250" s="25" t="str">
        <f t="shared" si="58"/>
        <v>1</v>
      </c>
      <c r="K1250" s="385"/>
      <c r="L1250" s="385"/>
      <c r="M1250" s="386">
        <f t="shared" si="60"/>
        <v>151.13999999999999</v>
      </c>
      <c r="N1250" s="496">
        <v>85</v>
      </c>
      <c r="O1250" s="333">
        <f t="shared" si="59"/>
        <v>236.14</v>
      </c>
      <c r="R1250" s="23" t="str">
        <f>VLOOKUP(C:C,'Historic Data - working'!A:B,1,FALSE)</f>
        <v>PLY071</v>
      </c>
      <c r="U1250" s="323"/>
      <c r="V1250" s="323"/>
      <c r="W1250" s="323"/>
    </row>
    <row r="1251" spans="1:23" s="23" customFormat="1" ht="28.5" hidden="1" x14ac:dyDescent="0.2">
      <c r="A1251" s="381" t="s">
        <v>4341</v>
      </c>
      <c r="B1251" s="381" t="s">
        <v>351</v>
      </c>
      <c r="C1251" s="410" t="s">
        <v>4632</v>
      </c>
      <c r="D1251" s="381" t="s">
        <v>4633</v>
      </c>
      <c r="E1251" s="383" t="s">
        <v>4634</v>
      </c>
      <c r="F1251" s="381" t="s">
        <v>4542</v>
      </c>
      <c r="G1251" s="384" t="s">
        <v>329</v>
      </c>
      <c r="H1251" s="24">
        <f>77.72+48+33+6+151.3+26.06+12.88</f>
        <v>354.96</v>
      </c>
      <c r="I1251" s="24"/>
      <c r="J1251" s="25" t="str">
        <f t="shared" si="58"/>
        <v>1</v>
      </c>
      <c r="K1251" s="385"/>
      <c r="L1251" s="385"/>
      <c r="M1251" s="386">
        <f t="shared" si="60"/>
        <v>354.96</v>
      </c>
      <c r="N1251" s="496"/>
      <c r="O1251" s="333">
        <f t="shared" si="59"/>
        <v>354.96</v>
      </c>
      <c r="R1251" s="23" t="str">
        <f>VLOOKUP(C:C,'Historic Data - working'!A:B,1,FALSE)</f>
        <v>PLY072</v>
      </c>
      <c r="U1251" s="323"/>
      <c r="V1251" s="323"/>
      <c r="W1251" s="323"/>
    </row>
    <row r="1252" spans="1:23" s="23" customFormat="1" ht="14.25" hidden="1" x14ac:dyDescent="0.2">
      <c r="A1252" s="381" t="s">
        <v>4341</v>
      </c>
      <c r="B1252" s="381" t="s">
        <v>324</v>
      </c>
      <c r="C1252" s="410" t="s">
        <v>4635</v>
      </c>
      <c r="D1252" s="381" t="s">
        <v>4636</v>
      </c>
      <c r="E1252" s="383" t="s">
        <v>2176</v>
      </c>
      <c r="F1252" s="381" t="s">
        <v>4637</v>
      </c>
      <c r="G1252" s="384"/>
      <c r="H1252" s="24"/>
      <c r="I1252" s="24"/>
      <c r="J1252" s="25" t="str">
        <f t="shared" si="58"/>
        <v xml:space="preserve"> </v>
      </c>
      <c r="K1252" s="385" t="s">
        <v>337</v>
      </c>
      <c r="L1252" s="385">
        <v>367.29</v>
      </c>
      <c r="M1252" s="386">
        <f t="shared" si="60"/>
        <v>367.29</v>
      </c>
      <c r="N1252" s="496">
        <v>270</v>
      </c>
      <c r="O1252" s="333">
        <f t="shared" si="59"/>
        <v>637.29</v>
      </c>
      <c r="R1252" s="23" t="str">
        <f>VLOOKUP(C:C,'Historic Data - working'!A:B,1,FALSE)</f>
        <v>PLY073</v>
      </c>
      <c r="U1252" s="323"/>
      <c r="V1252" s="323"/>
      <c r="W1252" s="323"/>
    </row>
    <row r="1253" spans="1:23" s="23" customFormat="1" ht="14.25" hidden="1" x14ac:dyDescent="0.2">
      <c r="A1253" s="381" t="s">
        <v>4341</v>
      </c>
      <c r="B1253" s="381" t="s">
        <v>324</v>
      </c>
      <c r="C1253" s="410" t="s">
        <v>4638</v>
      </c>
      <c r="D1253" s="381" t="s">
        <v>4639</v>
      </c>
      <c r="E1253" s="383" t="s">
        <v>4640</v>
      </c>
      <c r="F1253" s="381" t="s">
        <v>4641</v>
      </c>
      <c r="G1253" s="384" t="s">
        <v>329</v>
      </c>
      <c r="H1253" s="24"/>
      <c r="I1253" s="24">
        <v>177</v>
      </c>
      <c r="J1253" s="25" t="str">
        <f t="shared" si="58"/>
        <v>1</v>
      </c>
      <c r="K1253" s="385"/>
      <c r="L1253" s="385"/>
      <c r="M1253" s="386">
        <f t="shared" si="60"/>
        <v>0</v>
      </c>
      <c r="N1253" s="496">
        <v>262</v>
      </c>
      <c r="O1253" s="333">
        <f t="shared" si="59"/>
        <v>262</v>
      </c>
      <c r="R1253" s="23" t="str">
        <f>VLOOKUP(C:C,'Historic Data - working'!A:B,1,FALSE)</f>
        <v>PLY074</v>
      </c>
      <c r="U1253" s="323"/>
      <c r="V1253" s="323"/>
      <c r="W1253" s="323"/>
    </row>
    <row r="1254" spans="1:23" s="23" customFormat="1" ht="14.25" hidden="1" x14ac:dyDescent="0.2">
      <c r="A1254" s="381" t="s">
        <v>4341</v>
      </c>
      <c r="B1254" s="381" t="s">
        <v>324</v>
      </c>
      <c r="C1254" s="410" t="s">
        <v>4642</v>
      </c>
      <c r="D1254" s="381" t="s">
        <v>4643</v>
      </c>
      <c r="E1254" s="383" t="s">
        <v>4644</v>
      </c>
      <c r="F1254" s="381" t="s">
        <v>4645</v>
      </c>
      <c r="G1254" s="384"/>
      <c r="H1254" s="24"/>
      <c r="I1254" s="24"/>
      <c r="J1254" s="25" t="str">
        <f t="shared" si="58"/>
        <v xml:space="preserve"> </v>
      </c>
      <c r="K1254" s="385"/>
      <c r="L1254" s="385"/>
      <c r="M1254" s="386">
        <f t="shared" si="60"/>
        <v>0</v>
      </c>
      <c r="N1254" s="496"/>
      <c r="O1254" s="333">
        <f t="shared" si="59"/>
        <v>0</v>
      </c>
      <c r="R1254" s="23" t="str">
        <f>VLOOKUP(C:C,'Historic Data - working'!A:B,1,FALSE)</f>
        <v>PLY075</v>
      </c>
      <c r="U1254" s="323"/>
      <c r="V1254" s="323"/>
      <c r="W1254" s="323"/>
    </row>
    <row r="1255" spans="1:23" s="23" customFormat="1" ht="14.25" hidden="1" x14ac:dyDescent="0.2">
      <c r="A1255" s="381" t="s">
        <v>4341</v>
      </c>
      <c r="B1255" s="381" t="s">
        <v>324</v>
      </c>
      <c r="C1255" s="410" t="s">
        <v>4646</v>
      </c>
      <c r="D1255" s="381" t="s">
        <v>4647</v>
      </c>
      <c r="E1255" s="383" t="s">
        <v>4648</v>
      </c>
      <c r="F1255" s="381" t="s">
        <v>4649</v>
      </c>
      <c r="G1255" s="384" t="s">
        <v>329</v>
      </c>
      <c r="H1255" s="24">
        <f>51.81+120+40+6+83+265+55+50+111.79+70+117.52</f>
        <v>970.11999999999989</v>
      </c>
      <c r="I1255" s="24"/>
      <c r="J1255" s="25" t="str">
        <f t="shared" si="58"/>
        <v>1</v>
      </c>
      <c r="K1255" s="385" t="s">
        <v>4650</v>
      </c>
      <c r="L1255" s="385">
        <v>-5</v>
      </c>
      <c r="M1255" s="386">
        <f t="shared" si="60"/>
        <v>965.11999999999989</v>
      </c>
      <c r="N1255" s="496">
        <v>295</v>
      </c>
      <c r="O1255" s="333">
        <f t="shared" si="59"/>
        <v>1260.1199999999999</v>
      </c>
      <c r="R1255" s="23" t="str">
        <f>VLOOKUP(C:C,'Historic Data - working'!A:B,1,FALSE)</f>
        <v>PLY076</v>
      </c>
      <c r="U1255" s="323"/>
      <c r="V1255" s="323"/>
      <c r="W1255" s="323"/>
    </row>
    <row r="1256" spans="1:23" s="23" customFormat="1" ht="14.25" hidden="1" x14ac:dyDescent="0.2">
      <c r="A1256" s="381" t="s">
        <v>4341</v>
      </c>
      <c r="B1256" s="381" t="s">
        <v>324</v>
      </c>
      <c r="C1256" s="410" t="s">
        <v>4651</v>
      </c>
      <c r="D1256" s="381" t="s">
        <v>4652</v>
      </c>
      <c r="E1256" s="383" t="s">
        <v>4653</v>
      </c>
      <c r="F1256" s="381" t="s">
        <v>4654</v>
      </c>
      <c r="G1256" s="384" t="s">
        <v>329</v>
      </c>
      <c r="H1256" s="24">
        <f>74.69+481.88+599.09</f>
        <v>1155.6599999999999</v>
      </c>
      <c r="I1256" s="24"/>
      <c r="J1256" s="25" t="str">
        <f t="shared" si="58"/>
        <v>1</v>
      </c>
      <c r="K1256" s="385" t="s">
        <v>4655</v>
      </c>
      <c r="L1256" s="385">
        <v>2</v>
      </c>
      <c r="M1256" s="386">
        <f t="shared" si="60"/>
        <v>1157.6599999999999</v>
      </c>
      <c r="N1256" s="496">
        <v>85</v>
      </c>
      <c r="O1256" s="333">
        <f t="shared" si="59"/>
        <v>1242.6599999999999</v>
      </c>
      <c r="R1256" s="23" t="str">
        <f>VLOOKUP(C:C,'Historic Data - working'!A:B,1,FALSE)</f>
        <v>PLY077</v>
      </c>
      <c r="U1256" s="323"/>
      <c r="V1256" s="323"/>
      <c r="W1256" s="323"/>
    </row>
    <row r="1257" spans="1:23" s="23" customFormat="1" ht="14.25" hidden="1" x14ac:dyDescent="0.2">
      <c r="A1257" s="381" t="s">
        <v>4341</v>
      </c>
      <c r="B1257" s="381" t="s">
        <v>324</v>
      </c>
      <c r="C1257" s="410" t="s">
        <v>4656</v>
      </c>
      <c r="D1257" s="381" t="s">
        <v>4657</v>
      </c>
      <c r="E1257" s="383" t="s">
        <v>4658</v>
      </c>
      <c r="F1257" s="381" t="s">
        <v>4547</v>
      </c>
      <c r="G1257" s="384" t="s">
        <v>329</v>
      </c>
      <c r="H1257" s="24">
        <f>75.39+119.05+120+25+147+40+104+99.25+33</f>
        <v>762.69</v>
      </c>
      <c r="I1257" s="24"/>
      <c r="J1257" s="25" t="str">
        <f t="shared" si="58"/>
        <v>1</v>
      </c>
      <c r="K1257" s="385"/>
      <c r="L1257" s="385"/>
      <c r="M1257" s="386">
        <f t="shared" si="60"/>
        <v>762.69</v>
      </c>
      <c r="N1257" s="496">
        <v>85</v>
      </c>
      <c r="O1257" s="333">
        <f t="shared" si="59"/>
        <v>847.69</v>
      </c>
      <c r="R1257" s="23" t="str">
        <f>VLOOKUP(C:C,'Historic Data - working'!A:B,1,FALSE)</f>
        <v>PLY079</v>
      </c>
      <c r="U1257" s="323"/>
      <c r="V1257" s="323"/>
      <c r="W1257" s="323"/>
    </row>
    <row r="1258" spans="1:23" s="23" customFormat="1" ht="14.25" hidden="1" x14ac:dyDescent="0.2">
      <c r="A1258" s="381" t="s">
        <v>4341</v>
      </c>
      <c r="B1258" s="381" t="s">
        <v>324</v>
      </c>
      <c r="C1258" s="410" t="s">
        <v>4659</v>
      </c>
      <c r="D1258" s="381" t="s">
        <v>4660</v>
      </c>
      <c r="E1258" s="383" t="s">
        <v>127</v>
      </c>
      <c r="F1258" s="381" t="s">
        <v>4661</v>
      </c>
      <c r="G1258" s="384" t="s">
        <v>329</v>
      </c>
      <c r="H1258" s="24">
        <f>272.63+109.62</f>
        <v>382.25</v>
      </c>
      <c r="I1258" s="24"/>
      <c r="J1258" s="25" t="str">
        <f t="shared" si="58"/>
        <v>1</v>
      </c>
      <c r="K1258" s="385"/>
      <c r="L1258" s="385"/>
      <c r="M1258" s="386">
        <f t="shared" si="60"/>
        <v>382.25</v>
      </c>
      <c r="N1258" s="496">
        <v>422.5</v>
      </c>
      <c r="O1258" s="333">
        <f t="shared" si="59"/>
        <v>804.75</v>
      </c>
      <c r="R1258" s="23" t="str">
        <f>VLOOKUP(C:C,'Historic Data - working'!A:B,1,FALSE)</f>
        <v>PLY080</v>
      </c>
      <c r="U1258" s="323"/>
      <c r="V1258" s="323"/>
      <c r="W1258" s="323"/>
    </row>
    <row r="1259" spans="1:23" s="23" customFormat="1" ht="14.25" hidden="1" x14ac:dyDescent="0.2">
      <c r="A1259" s="381" t="s">
        <v>4341</v>
      </c>
      <c r="B1259" s="381" t="s">
        <v>351</v>
      </c>
      <c r="C1259" s="410" t="s">
        <v>4662</v>
      </c>
      <c r="D1259" s="381" t="s">
        <v>4663</v>
      </c>
      <c r="E1259" s="383" t="s">
        <v>2674</v>
      </c>
      <c r="F1259" s="381" t="s">
        <v>4451</v>
      </c>
      <c r="G1259" s="384" t="s">
        <v>329</v>
      </c>
      <c r="H1259" s="24">
        <v>102.34</v>
      </c>
      <c r="I1259" s="24"/>
      <c r="J1259" s="25" t="str">
        <f t="shared" si="58"/>
        <v>1</v>
      </c>
      <c r="K1259" s="385"/>
      <c r="L1259" s="385"/>
      <c r="M1259" s="386">
        <f t="shared" si="60"/>
        <v>102.34</v>
      </c>
      <c r="N1259" s="496">
        <v>30</v>
      </c>
      <c r="O1259" s="333">
        <f t="shared" si="59"/>
        <v>132.34</v>
      </c>
      <c r="R1259" s="23" t="str">
        <f>VLOOKUP(C:C,'Historic Data - working'!A:B,1,FALSE)</f>
        <v>PLY080V</v>
      </c>
      <c r="U1259" s="323"/>
      <c r="V1259" s="323"/>
      <c r="W1259" s="323"/>
    </row>
    <row r="1260" spans="1:23" s="23" customFormat="1" ht="14.25" hidden="1" x14ac:dyDescent="0.2">
      <c r="A1260" s="381" t="s">
        <v>4341</v>
      </c>
      <c r="B1260" s="381" t="s">
        <v>324</v>
      </c>
      <c r="C1260" s="412" t="s">
        <v>8427</v>
      </c>
      <c r="D1260" s="381" t="s">
        <v>4665</v>
      </c>
      <c r="E1260" s="383" t="s">
        <v>8359</v>
      </c>
      <c r="F1260" s="381" t="s">
        <v>4645</v>
      </c>
      <c r="G1260" s="384"/>
      <c r="H1260" s="24"/>
      <c r="I1260" s="24"/>
      <c r="J1260" s="25" t="str">
        <f t="shared" si="58"/>
        <v xml:space="preserve"> </v>
      </c>
      <c r="K1260" s="385"/>
      <c r="L1260" s="385"/>
      <c r="M1260" s="386">
        <f t="shared" si="60"/>
        <v>0</v>
      </c>
      <c r="N1260" s="580"/>
      <c r="O1260" s="334">
        <f t="shared" si="59"/>
        <v>0</v>
      </c>
      <c r="P1260" s="351"/>
      <c r="Q1260" s="331"/>
      <c r="R1260" s="331" t="e">
        <f>VLOOKUP(C:C,'Historic Data - working'!A:B,1,FALSE)</f>
        <v>#N/A</v>
      </c>
      <c r="U1260" s="323"/>
      <c r="V1260" s="323"/>
      <c r="W1260" s="323"/>
    </row>
    <row r="1261" spans="1:23" s="23" customFormat="1" ht="14.25" hidden="1" x14ac:dyDescent="0.2">
      <c r="A1261" s="381" t="s">
        <v>4341</v>
      </c>
      <c r="B1261" s="381" t="s">
        <v>324</v>
      </c>
      <c r="C1261" s="412" t="s">
        <v>4664</v>
      </c>
      <c r="D1261" s="381" t="s">
        <v>4667</v>
      </c>
      <c r="E1261" s="383" t="s">
        <v>4666</v>
      </c>
      <c r="F1261" s="381" t="s">
        <v>4645</v>
      </c>
      <c r="G1261" s="384" t="s">
        <v>329</v>
      </c>
      <c r="H1261" s="24">
        <v>594.88</v>
      </c>
      <c r="I1261" s="24"/>
      <c r="J1261" s="25" t="str">
        <f t="shared" ref="J1261:J1324" si="61">IF(G1261="Y","1"," ")</f>
        <v>1</v>
      </c>
      <c r="K1261" s="385"/>
      <c r="L1261" s="385"/>
      <c r="M1261" s="386">
        <f t="shared" si="60"/>
        <v>594.88</v>
      </c>
      <c r="N1261" s="496">
        <v>269.75</v>
      </c>
      <c r="O1261" s="333">
        <f t="shared" si="59"/>
        <v>864.63</v>
      </c>
      <c r="R1261" s="23" t="e">
        <f>VLOOKUP(C:C,'Historic Data - working'!A:B,1,FALSE)</f>
        <v>#N/A</v>
      </c>
      <c r="U1261" s="323"/>
      <c r="V1261" s="323"/>
      <c r="W1261" s="323"/>
    </row>
    <row r="1262" spans="1:23" s="23" customFormat="1" ht="14.25" hidden="1" x14ac:dyDescent="0.2">
      <c r="A1262" s="381" t="s">
        <v>4341</v>
      </c>
      <c r="B1262" s="381" t="s">
        <v>324</v>
      </c>
      <c r="C1262" s="410" t="s">
        <v>4668</v>
      </c>
      <c r="D1262" s="381" t="s">
        <v>4669</v>
      </c>
      <c r="E1262" s="383" t="s">
        <v>4670</v>
      </c>
      <c r="F1262" s="381" t="s">
        <v>4671</v>
      </c>
      <c r="G1262" s="384"/>
      <c r="H1262" s="24"/>
      <c r="I1262" s="24"/>
      <c r="J1262" s="25" t="str">
        <f t="shared" si="61"/>
        <v xml:space="preserve"> </v>
      </c>
      <c r="K1262" s="385"/>
      <c r="L1262" s="385"/>
      <c r="M1262" s="386">
        <f t="shared" si="60"/>
        <v>0</v>
      </c>
      <c r="N1262" s="496">
        <v>40</v>
      </c>
      <c r="O1262" s="333">
        <f t="shared" si="59"/>
        <v>40</v>
      </c>
      <c r="R1262" s="23" t="str">
        <f>VLOOKUP(C:C,'Historic Data - working'!A:B,1,FALSE)</f>
        <v>PLY083</v>
      </c>
      <c r="U1262" s="323"/>
      <c r="V1262" s="323"/>
      <c r="W1262" s="323"/>
    </row>
    <row r="1263" spans="1:23" s="23" customFormat="1" ht="14.25" hidden="1" x14ac:dyDescent="0.2">
      <c r="A1263" s="381" t="s">
        <v>4341</v>
      </c>
      <c r="B1263" s="381" t="s">
        <v>351</v>
      </c>
      <c r="C1263" s="410" t="s">
        <v>4672</v>
      </c>
      <c r="D1263" s="381" t="s">
        <v>4673</v>
      </c>
      <c r="E1263" s="383" t="s">
        <v>4674</v>
      </c>
      <c r="F1263" s="381" t="s">
        <v>4471</v>
      </c>
      <c r="G1263" s="384" t="s">
        <v>329</v>
      </c>
      <c r="H1263" s="24">
        <f>59.97+20+108.95+23.8+17+47.59+12.42+78.81+10.25+21.94+23.59+5.84+3.26+10.29</f>
        <v>443.71000000000004</v>
      </c>
      <c r="I1263" s="24"/>
      <c r="J1263" s="25" t="str">
        <f t="shared" si="61"/>
        <v>1</v>
      </c>
      <c r="K1263" s="385"/>
      <c r="L1263" s="385"/>
      <c r="M1263" s="386">
        <f t="shared" si="60"/>
        <v>443.71000000000004</v>
      </c>
      <c r="N1263" s="496">
        <v>60</v>
      </c>
      <c r="O1263" s="334">
        <f t="shared" si="59"/>
        <v>503.71000000000004</v>
      </c>
      <c r="P1263" s="351"/>
      <c r="Q1263" s="331"/>
      <c r="R1263" s="331" t="e">
        <f>VLOOKUP(C:C,'Historic Data - working'!A:B,1,FALSE)</f>
        <v>#N/A</v>
      </c>
      <c r="U1263" s="323"/>
      <c r="V1263" s="323"/>
      <c r="W1263" s="323"/>
    </row>
    <row r="1264" spans="1:23" s="23" customFormat="1" ht="14.25" hidden="1" x14ac:dyDescent="0.2">
      <c r="A1264" s="381" t="s">
        <v>4341</v>
      </c>
      <c r="B1264" s="381" t="s">
        <v>324</v>
      </c>
      <c r="C1264" s="410" t="s">
        <v>4675</v>
      </c>
      <c r="D1264" s="381" t="s">
        <v>4676</v>
      </c>
      <c r="E1264" s="383" t="s">
        <v>94</v>
      </c>
      <c r="F1264" s="381" t="s">
        <v>4484</v>
      </c>
      <c r="G1264" s="384" t="s">
        <v>329</v>
      </c>
      <c r="H1264" s="24">
        <f>240.02+23.69+134.48+5+55.51+210.72+10.08</f>
        <v>679.50000000000011</v>
      </c>
      <c r="I1264" s="24"/>
      <c r="J1264" s="25" t="str">
        <f t="shared" si="61"/>
        <v>1</v>
      </c>
      <c r="K1264" s="385"/>
      <c r="L1264" s="385"/>
      <c r="M1264" s="386">
        <f t="shared" si="60"/>
        <v>679.50000000000011</v>
      </c>
      <c r="N1264" s="496">
        <v>108</v>
      </c>
      <c r="O1264" s="333">
        <f t="shared" si="59"/>
        <v>787.50000000000011</v>
      </c>
      <c r="R1264" s="23" t="str">
        <f>VLOOKUP(C:C,'Historic Data - working'!A:B,1,FALSE)</f>
        <v>PLY085</v>
      </c>
      <c r="U1264" s="323"/>
      <c r="V1264" s="323"/>
      <c r="W1264" s="323"/>
    </row>
    <row r="1265" spans="1:23" s="23" customFormat="1" ht="14.25" hidden="1" x14ac:dyDescent="0.2">
      <c r="A1265" s="381" t="s">
        <v>4341</v>
      </c>
      <c r="B1265" s="381" t="s">
        <v>351</v>
      </c>
      <c r="C1265" s="410" t="s">
        <v>4677</v>
      </c>
      <c r="D1265" s="381" t="s">
        <v>4678</v>
      </c>
      <c r="E1265" s="383" t="s">
        <v>4679</v>
      </c>
      <c r="F1265" s="381" t="s">
        <v>4680</v>
      </c>
      <c r="G1265" s="384" t="s">
        <v>329</v>
      </c>
      <c r="H1265" s="24">
        <f>10.1+32.02+10.35</f>
        <v>52.470000000000006</v>
      </c>
      <c r="I1265" s="24"/>
      <c r="J1265" s="25" t="str">
        <f t="shared" si="61"/>
        <v>1</v>
      </c>
      <c r="K1265" s="385"/>
      <c r="L1265" s="385"/>
      <c r="M1265" s="386">
        <f t="shared" si="60"/>
        <v>52.470000000000006</v>
      </c>
      <c r="N1265" s="496"/>
      <c r="O1265" s="333">
        <f t="shared" si="59"/>
        <v>52.470000000000006</v>
      </c>
      <c r="R1265" s="23" t="str">
        <f>VLOOKUP(C:C,'Historic Data - working'!A:B,1,FALSE)</f>
        <v>PLY086</v>
      </c>
      <c r="U1265" s="323"/>
      <c r="V1265" s="323"/>
      <c r="W1265" s="323"/>
    </row>
    <row r="1266" spans="1:23" s="23" customFormat="1" ht="14.25" hidden="1" x14ac:dyDescent="0.2">
      <c r="A1266" s="381" t="s">
        <v>4341</v>
      </c>
      <c r="B1266" s="381" t="s">
        <v>324</v>
      </c>
      <c r="C1266" s="410" t="s">
        <v>4681</v>
      </c>
      <c r="D1266" s="381" t="s">
        <v>4682</v>
      </c>
      <c r="E1266" s="383" t="s">
        <v>4683</v>
      </c>
      <c r="F1266" s="381" t="s">
        <v>4684</v>
      </c>
      <c r="G1266" s="384" t="s">
        <v>329</v>
      </c>
      <c r="H1266" s="24">
        <f>568+34.7+519.08+25.04+462.81+502.1</f>
        <v>2111.73</v>
      </c>
      <c r="I1266" s="24"/>
      <c r="J1266" s="25" t="str">
        <f t="shared" si="61"/>
        <v>1</v>
      </c>
      <c r="K1266" s="385"/>
      <c r="L1266" s="385"/>
      <c r="M1266" s="386">
        <f t="shared" si="60"/>
        <v>2111.73</v>
      </c>
      <c r="N1266" s="496">
        <v>27.5</v>
      </c>
      <c r="O1266" s="333">
        <f t="shared" si="59"/>
        <v>2139.23</v>
      </c>
      <c r="R1266" s="23" t="str">
        <f>VLOOKUP(C:C,'Historic Data - working'!A:B,1,FALSE)</f>
        <v>PLY087</v>
      </c>
      <c r="U1266" s="323"/>
      <c r="V1266" s="323"/>
      <c r="W1266" s="323"/>
    </row>
    <row r="1267" spans="1:23" s="23" customFormat="1" ht="14.25" hidden="1" x14ac:dyDescent="0.2">
      <c r="A1267" s="381" t="s">
        <v>4341</v>
      </c>
      <c r="B1267" s="381" t="s">
        <v>324</v>
      </c>
      <c r="C1267" s="410" t="s">
        <v>4685</v>
      </c>
      <c r="D1267" s="381" t="s">
        <v>4686</v>
      </c>
      <c r="E1267" s="383" t="s">
        <v>4687</v>
      </c>
      <c r="F1267" s="381" t="s">
        <v>4684</v>
      </c>
      <c r="G1267" s="384"/>
      <c r="H1267" s="24"/>
      <c r="I1267" s="24"/>
      <c r="J1267" s="25" t="str">
        <f t="shared" si="61"/>
        <v xml:space="preserve"> </v>
      </c>
      <c r="K1267" s="385" t="s">
        <v>337</v>
      </c>
      <c r="L1267" s="385">
        <v>600.07000000000005</v>
      </c>
      <c r="M1267" s="386">
        <f t="shared" si="60"/>
        <v>600.07000000000005</v>
      </c>
      <c r="N1267" s="496">
        <v>170</v>
      </c>
      <c r="O1267" s="333">
        <f t="shared" si="59"/>
        <v>770.07</v>
      </c>
      <c r="R1267" s="23" t="str">
        <f>VLOOKUP(C:C,'Historic Data - working'!A:B,1,FALSE)</f>
        <v>PLY088</v>
      </c>
      <c r="U1267" s="323"/>
      <c r="V1267" s="323"/>
      <c r="W1267" s="323"/>
    </row>
    <row r="1268" spans="1:23" s="23" customFormat="1" ht="14.25" hidden="1" x14ac:dyDescent="0.2">
      <c r="A1268" s="381" t="s">
        <v>4341</v>
      </c>
      <c r="B1268" s="381" t="s">
        <v>324</v>
      </c>
      <c r="C1268" s="410" t="s">
        <v>4688</v>
      </c>
      <c r="D1268" s="381" t="s">
        <v>4689</v>
      </c>
      <c r="E1268" s="383" t="s">
        <v>4690</v>
      </c>
      <c r="F1268" s="381" t="s">
        <v>4684</v>
      </c>
      <c r="G1268" s="384"/>
      <c r="H1268" s="24"/>
      <c r="I1268" s="24"/>
      <c r="J1268" s="25" t="str">
        <f t="shared" si="61"/>
        <v xml:space="preserve"> </v>
      </c>
      <c r="K1268" s="385"/>
      <c r="L1268" s="385"/>
      <c r="M1268" s="386">
        <f t="shared" si="60"/>
        <v>0</v>
      </c>
      <c r="N1268" s="496">
        <v>284.03999999999996</v>
      </c>
      <c r="O1268" s="333">
        <f t="shared" si="59"/>
        <v>284.03999999999996</v>
      </c>
      <c r="R1268" s="23" t="str">
        <f>VLOOKUP(C:C,'Historic Data - working'!A:B,1,FALSE)</f>
        <v>PLY089</v>
      </c>
      <c r="U1268" s="323"/>
      <c r="V1268" s="323"/>
      <c r="W1268" s="323"/>
    </row>
    <row r="1269" spans="1:23" s="23" customFormat="1" ht="14.25" hidden="1" x14ac:dyDescent="0.2">
      <c r="A1269" s="381" t="s">
        <v>4341</v>
      </c>
      <c r="B1269" s="381" t="s">
        <v>324</v>
      </c>
      <c r="C1269" s="410" t="s">
        <v>4691</v>
      </c>
      <c r="D1269" s="381" t="s">
        <v>4692</v>
      </c>
      <c r="E1269" s="383" t="s">
        <v>4693</v>
      </c>
      <c r="F1269" s="381" t="s">
        <v>4694</v>
      </c>
      <c r="G1269" s="384" t="s">
        <v>329</v>
      </c>
      <c r="H1269" s="24">
        <v>631.95000000000005</v>
      </c>
      <c r="I1269" s="24"/>
      <c r="J1269" s="25" t="str">
        <f t="shared" si="61"/>
        <v>1</v>
      </c>
      <c r="K1269" s="385"/>
      <c r="L1269" s="385"/>
      <c r="M1269" s="386">
        <f t="shared" si="60"/>
        <v>631.95000000000005</v>
      </c>
      <c r="N1269" s="496">
        <v>109</v>
      </c>
      <c r="O1269" s="333">
        <f t="shared" si="59"/>
        <v>740.95</v>
      </c>
      <c r="R1269" s="23" t="str">
        <f>VLOOKUP(C:C,'Historic Data - working'!A:B,1,FALSE)</f>
        <v>PLY090</v>
      </c>
      <c r="U1269" s="323"/>
      <c r="V1269" s="323"/>
      <c r="W1269" s="323"/>
    </row>
    <row r="1270" spans="1:23" s="23" customFormat="1" ht="14.25" hidden="1" x14ac:dyDescent="0.2">
      <c r="A1270" s="381" t="s">
        <v>4341</v>
      </c>
      <c r="B1270" s="381" t="s">
        <v>351</v>
      </c>
      <c r="C1270" s="410" t="s">
        <v>4695</v>
      </c>
      <c r="D1270" s="381" t="s">
        <v>4696</v>
      </c>
      <c r="E1270" s="383" t="s">
        <v>4697</v>
      </c>
      <c r="F1270" s="381" t="s">
        <v>4627</v>
      </c>
      <c r="G1270" s="384" t="s">
        <v>329</v>
      </c>
      <c r="H1270" s="24">
        <f>181.59+80.35</f>
        <v>261.94</v>
      </c>
      <c r="I1270" s="24"/>
      <c r="J1270" s="25" t="str">
        <f t="shared" si="61"/>
        <v>1</v>
      </c>
      <c r="K1270" s="385" t="s">
        <v>4698</v>
      </c>
      <c r="L1270" s="385"/>
      <c r="M1270" s="386">
        <f t="shared" si="60"/>
        <v>261.94</v>
      </c>
      <c r="N1270" s="496">
        <v>355</v>
      </c>
      <c r="O1270" s="333">
        <f t="shared" si="59"/>
        <v>616.94000000000005</v>
      </c>
      <c r="R1270" s="23" t="str">
        <f>VLOOKUP(C:C,'Historic Data - working'!A:B,1,FALSE)</f>
        <v>PLY091</v>
      </c>
      <c r="U1270" s="323"/>
      <c r="V1270" s="323"/>
      <c r="W1270" s="323"/>
    </row>
    <row r="1271" spans="1:23" s="23" customFormat="1" ht="28.5" hidden="1" x14ac:dyDescent="0.2">
      <c r="A1271" s="381" t="s">
        <v>4341</v>
      </c>
      <c r="B1271" s="381" t="s">
        <v>324</v>
      </c>
      <c r="C1271" s="410" t="s">
        <v>4699</v>
      </c>
      <c r="D1271" s="381" t="s">
        <v>4700</v>
      </c>
      <c r="E1271" s="383" t="s">
        <v>4701</v>
      </c>
      <c r="F1271" s="381" t="s">
        <v>4547</v>
      </c>
      <c r="G1271" s="384" t="s">
        <v>329</v>
      </c>
      <c r="H1271" s="24">
        <f>628.2+423.42+282.32</f>
        <v>1333.94</v>
      </c>
      <c r="I1271" s="24"/>
      <c r="J1271" s="25" t="str">
        <f t="shared" si="61"/>
        <v>1</v>
      </c>
      <c r="K1271" s="385"/>
      <c r="L1271" s="385"/>
      <c r="M1271" s="386">
        <f t="shared" si="60"/>
        <v>1333.94</v>
      </c>
      <c r="N1271" s="496">
        <v>250</v>
      </c>
      <c r="O1271" s="333">
        <f t="shared" si="59"/>
        <v>1583.94</v>
      </c>
      <c r="R1271" s="23" t="str">
        <f>VLOOKUP(C:C,'Historic Data - working'!A:B,1,FALSE)</f>
        <v>PLY092</v>
      </c>
      <c r="U1271" s="323"/>
      <c r="V1271" s="323"/>
      <c r="W1271" s="323"/>
    </row>
    <row r="1272" spans="1:23" s="23" customFormat="1" ht="14.25" hidden="1" x14ac:dyDescent="0.2">
      <c r="A1272" s="381" t="s">
        <v>4341</v>
      </c>
      <c r="B1272" s="381" t="s">
        <v>324</v>
      </c>
      <c r="C1272" s="410" t="s">
        <v>4702</v>
      </c>
      <c r="D1272" s="381" t="s">
        <v>4703</v>
      </c>
      <c r="E1272" s="383" t="s">
        <v>4588</v>
      </c>
      <c r="F1272" s="381" t="s">
        <v>4704</v>
      </c>
      <c r="G1272" s="384" t="s">
        <v>329</v>
      </c>
      <c r="H1272" s="24">
        <f>68.95+390.67+233.25+40.93</f>
        <v>733.8</v>
      </c>
      <c r="I1272" s="24"/>
      <c r="J1272" s="25" t="str">
        <f t="shared" si="61"/>
        <v>1</v>
      </c>
      <c r="K1272" s="385"/>
      <c r="L1272" s="385"/>
      <c r="M1272" s="386">
        <f t="shared" si="60"/>
        <v>733.8</v>
      </c>
      <c r="N1272" s="496">
        <v>225</v>
      </c>
      <c r="O1272" s="333">
        <f t="shared" si="59"/>
        <v>958.8</v>
      </c>
      <c r="R1272" s="23" t="str">
        <f>VLOOKUP(C:C,'Historic Data - working'!A:B,1,FALSE)</f>
        <v>PLY093</v>
      </c>
      <c r="U1272" s="323"/>
      <c r="V1272" s="323"/>
      <c r="W1272" s="323"/>
    </row>
    <row r="1273" spans="1:23" s="23" customFormat="1" ht="14.25" hidden="1" x14ac:dyDescent="0.2">
      <c r="A1273" s="381" t="s">
        <v>4341</v>
      </c>
      <c r="B1273" s="381" t="s">
        <v>324</v>
      </c>
      <c r="C1273" s="410" t="s">
        <v>4705</v>
      </c>
      <c r="D1273" s="381" t="s">
        <v>4706</v>
      </c>
      <c r="E1273" s="383" t="s">
        <v>1546</v>
      </c>
      <c r="F1273" s="381" t="s">
        <v>4707</v>
      </c>
      <c r="G1273" s="384"/>
      <c r="H1273" s="24"/>
      <c r="I1273" s="24"/>
      <c r="J1273" s="25" t="str">
        <f t="shared" si="61"/>
        <v xml:space="preserve"> </v>
      </c>
      <c r="K1273" s="385"/>
      <c r="L1273" s="385"/>
      <c r="M1273" s="386">
        <f t="shared" si="60"/>
        <v>0</v>
      </c>
      <c r="N1273" s="496"/>
      <c r="O1273" s="333">
        <f t="shared" si="59"/>
        <v>0</v>
      </c>
      <c r="R1273" s="23" t="e">
        <f>VLOOKUP(C:C,'Historic Data - working'!A:B,1,FALSE)</f>
        <v>#N/A</v>
      </c>
      <c r="U1273" s="323"/>
      <c r="V1273" s="323"/>
      <c r="W1273" s="323"/>
    </row>
    <row r="1274" spans="1:23" s="23" customFormat="1" ht="14.25" hidden="1" x14ac:dyDescent="0.2">
      <c r="A1274" s="381" t="s">
        <v>4341</v>
      </c>
      <c r="B1274" s="381" t="s">
        <v>324</v>
      </c>
      <c r="C1274" s="410" t="s">
        <v>4708</v>
      </c>
      <c r="D1274" s="381" t="s">
        <v>4709</v>
      </c>
      <c r="E1274" s="383" t="s">
        <v>4710</v>
      </c>
      <c r="F1274" s="381" t="s">
        <v>4707</v>
      </c>
      <c r="G1274" s="384" t="s">
        <v>329</v>
      </c>
      <c r="H1274" s="24">
        <f>1308.31+1090.86</f>
        <v>2399.17</v>
      </c>
      <c r="I1274" s="24"/>
      <c r="J1274" s="25" t="str">
        <f t="shared" si="61"/>
        <v>1</v>
      </c>
      <c r="K1274" s="385"/>
      <c r="L1274" s="385"/>
      <c r="M1274" s="386">
        <f t="shared" si="60"/>
        <v>2399.17</v>
      </c>
      <c r="N1274" s="496">
        <v>295</v>
      </c>
      <c r="O1274" s="333">
        <f t="shared" si="59"/>
        <v>2694.17</v>
      </c>
      <c r="R1274" s="23" t="str">
        <f>VLOOKUP(C:C,'Historic Data - working'!A:B,1,FALSE)</f>
        <v>PLY095</v>
      </c>
      <c r="U1274" s="323"/>
      <c r="V1274" s="323"/>
      <c r="W1274" s="323"/>
    </row>
    <row r="1275" spans="1:23" s="23" customFormat="1" ht="14.25" hidden="1" x14ac:dyDescent="0.2">
      <c r="A1275" s="381" t="s">
        <v>4341</v>
      </c>
      <c r="B1275" s="381" t="s">
        <v>324</v>
      </c>
      <c r="C1275" s="410" t="s">
        <v>4711</v>
      </c>
      <c r="D1275" s="381" t="s">
        <v>4712</v>
      </c>
      <c r="E1275" s="383" t="s">
        <v>634</v>
      </c>
      <c r="F1275" s="381" t="s">
        <v>4713</v>
      </c>
      <c r="G1275" s="384" t="s">
        <v>329</v>
      </c>
      <c r="H1275" s="24">
        <f>350+258+176.34+377+425.81</f>
        <v>1587.15</v>
      </c>
      <c r="I1275" s="24"/>
      <c r="J1275" s="25" t="str">
        <f t="shared" si="61"/>
        <v>1</v>
      </c>
      <c r="K1275" s="385"/>
      <c r="L1275" s="385"/>
      <c r="M1275" s="386">
        <f t="shared" si="60"/>
        <v>1587.15</v>
      </c>
      <c r="N1275" s="496">
        <v>743</v>
      </c>
      <c r="O1275" s="333">
        <f t="shared" si="59"/>
        <v>2330.15</v>
      </c>
      <c r="R1275" s="23" t="str">
        <f>VLOOKUP(C:C,'Historic Data - working'!A:B,1,FALSE)</f>
        <v>PLY096</v>
      </c>
      <c r="U1275" s="323"/>
      <c r="V1275" s="323"/>
      <c r="W1275" s="323"/>
    </row>
    <row r="1276" spans="1:23" s="23" customFormat="1" ht="14.25" hidden="1" x14ac:dyDescent="0.2">
      <c r="A1276" s="381" t="s">
        <v>4341</v>
      </c>
      <c r="B1276" s="381" t="s">
        <v>324</v>
      </c>
      <c r="C1276" s="410" t="s">
        <v>4714</v>
      </c>
      <c r="D1276" s="381" t="s">
        <v>4715</v>
      </c>
      <c r="E1276" s="383" t="s">
        <v>94</v>
      </c>
      <c r="F1276" s="381" t="s">
        <v>4716</v>
      </c>
      <c r="G1276" s="384" t="s">
        <v>329</v>
      </c>
      <c r="H1276" s="24">
        <v>91.67</v>
      </c>
      <c r="I1276" s="24"/>
      <c r="J1276" s="25" t="str">
        <f t="shared" si="61"/>
        <v>1</v>
      </c>
      <c r="K1276" s="385"/>
      <c r="L1276" s="385"/>
      <c r="M1276" s="386">
        <f t="shared" si="60"/>
        <v>91.67</v>
      </c>
      <c r="N1276" s="496">
        <v>10</v>
      </c>
      <c r="O1276" s="333">
        <f t="shared" si="59"/>
        <v>101.67</v>
      </c>
      <c r="R1276" s="23" t="str">
        <f>VLOOKUP(C:C,'Historic Data - working'!A:B,1,FALSE)</f>
        <v>PLY097</v>
      </c>
      <c r="U1276" s="323"/>
      <c r="V1276" s="323"/>
      <c r="W1276" s="323"/>
    </row>
    <row r="1277" spans="1:23" s="23" customFormat="1" ht="14.25" hidden="1" x14ac:dyDescent="0.2">
      <c r="A1277" s="381" t="s">
        <v>4341</v>
      </c>
      <c r="B1277" s="381" t="s">
        <v>324</v>
      </c>
      <c r="C1277" s="410" t="s">
        <v>4717</v>
      </c>
      <c r="D1277" s="381" t="s">
        <v>4718</v>
      </c>
      <c r="E1277" s="383" t="s">
        <v>4719</v>
      </c>
      <c r="F1277" s="385"/>
      <c r="G1277" s="384"/>
      <c r="H1277" s="24"/>
      <c r="I1277" s="24"/>
      <c r="J1277" s="25" t="str">
        <f t="shared" si="61"/>
        <v xml:space="preserve"> </v>
      </c>
      <c r="K1277" s="385" t="s">
        <v>337</v>
      </c>
      <c r="L1277" s="396">
        <f>58.8-169.88</f>
        <v>-111.08</v>
      </c>
      <c r="M1277" s="386">
        <f t="shared" si="60"/>
        <v>-111.08</v>
      </c>
      <c r="N1277" s="496">
        <v>0</v>
      </c>
      <c r="O1277" s="333">
        <f t="shared" si="59"/>
        <v>-111.08</v>
      </c>
      <c r="R1277" s="23" t="str">
        <f>VLOOKUP(C:C,'Historic Data - working'!A:B,1,FALSE)</f>
        <v>PLY999</v>
      </c>
      <c r="U1277" s="323"/>
      <c r="V1277" s="323"/>
      <c r="W1277" s="323"/>
    </row>
    <row r="1278" spans="1:23" s="23" customFormat="1" ht="14.25" x14ac:dyDescent="0.2">
      <c r="A1278" s="381" t="s">
        <v>4720</v>
      </c>
      <c r="B1278" s="381" t="s">
        <v>324</v>
      </c>
      <c r="C1278" s="413" t="s">
        <v>7</v>
      </c>
      <c r="D1278" s="381" t="s">
        <v>4721</v>
      </c>
      <c r="E1278" s="383" t="s">
        <v>9</v>
      </c>
      <c r="F1278" s="381" t="s">
        <v>8</v>
      </c>
      <c r="G1278" s="384"/>
      <c r="H1278" s="24"/>
      <c r="I1278" s="24"/>
      <c r="J1278" s="25" t="str">
        <f t="shared" si="61"/>
        <v xml:space="preserve"> </v>
      </c>
      <c r="K1278" s="385" t="s">
        <v>337</v>
      </c>
      <c r="L1278" s="385">
        <v>1094</v>
      </c>
      <c r="M1278" s="386">
        <f t="shared" si="60"/>
        <v>1094</v>
      </c>
      <c r="N1278" s="496">
        <v>50</v>
      </c>
      <c r="O1278" s="333">
        <f t="shared" si="59"/>
        <v>1144</v>
      </c>
      <c r="R1278" s="23" t="str">
        <f>VLOOKUP(C:C,'Historic Data - working'!A:B,1,FALSE)</f>
        <v>POR001</v>
      </c>
      <c r="U1278" s="323"/>
      <c r="V1278" s="323"/>
      <c r="W1278" s="323"/>
    </row>
    <row r="1279" spans="1:23" s="23" customFormat="1" ht="28.5" x14ac:dyDescent="0.2">
      <c r="A1279" s="381" t="s">
        <v>4720</v>
      </c>
      <c r="B1279" s="381" t="s">
        <v>351</v>
      </c>
      <c r="C1279" s="399" t="s">
        <v>10</v>
      </c>
      <c r="D1279" s="398">
        <v>701</v>
      </c>
      <c r="E1279" s="383" t="s">
        <v>8433</v>
      </c>
      <c r="F1279" s="381"/>
      <c r="G1279" s="384" t="s">
        <v>329</v>
      </c>
      <c r="H1279" s="24">
        <f>+(125.54+34.1+38.45+86.06+34.5)</f>
        <v>318.65000000000003</v>
      </c>
      <c r="I1279" s="24"/>
      <c r="J1279" s="25" t="str">
        <f t="shared" si="61"/>
        <v>1</v>
      </c>
      <c r="K1279" s="385" t="s">
        <v>4722</v>
      </c>
      <c r="L1279" s="385">
        <v>-99.06</v>
      </c>
      <c r="M1279" s="386">
        <f t="shared" si="60"/>
        <v>219.59000000000003</v>
      </c>
      <c r="N1279" s="496"/>
      <c r="O1279" s="333">
        <f t="shared" si="59"/>
        <v>219.59000000000003</v>
      </c>
      <c r="R1279" s="23" t="str">
        <f>VLOOKUP(C:C,'Historic Data - working'!A:B,1,FALSE)</f>
        <v>POR002</v>
      </c>
      <c r="S1279" s="23" t="s">
        <v>4723</v>
      </c>
      <c r="U1279" s="323"/>
      <c r="V1279" s="323"/>
      <c r="W1279" s="323"/>
    </row>
    <row r="1280" spans="1:23" s="23" customFormat="1" ht="14.25" x14ac:dyDescent="0.2">
      <c r="A1280" s="381" t="s">
        <v>4720</v>
      </c>
      <c r="B1280" s="381" t="s">
        <v>324</v>
      </c>
      <c r="C1280" s="413" t="s">
        <v>12</v>
      </c>
      <c r="D1280" s="381" t="s">
        <v>4724</v>
      </c>
      <c r="E1280" s="383" t="s">
        <v>4725</v>
      </c>
      <c r="F1280" s="381" t="s">
        <v>8</v>
      </c>
      <c r="G1280" s="384" t="s">
        <v>329</v>
      </c>
      <c r="H1280" s="24">
        <f>64+159+220+105+127+197+60+162</f>
        <v>1094</v>
      </c>
      <c r="I1280" s="24"/>
      <c r="J1280" s="25" t="str">
        <f t="shared" si="61"/>
        <v>1</v>
      </c>
      <c r="K1280" s="385" t="s">
        <v>4726</v>
      </c>
      <c r="L1280" s="385">
        <v>-782.02</v>
      </c>
      <c r="M1280" s="386">
        <f t="shared" si="60"/>
        <v>311.98</v>
      </c>
      <c r="N1280" s="496">
        <v>395</v>
      </c>
      <c r="O1280" s="333">
        <f t="shared" si="59"/>
        <v>706.98</v>
      </c>
      <c r="R1280" s="23" t="str">
        <f>VLOOKUP(C:C,'Historic Data - working'!A:B,1,FALSE)</f>
        <v>POR004</v>
      </c>
      <c r="U1280" s="323"/>
      <c r="V1280" s="323"/>
      <c r="W1280" s="323"/>
    </row>
    <row r="1281" spans="1:23" s="23" customFormat="1" ht="14.25" x14ac:dyDescent="0.2">
      <c r="A1281" s="381" t="s">
        <v>4720</v>
      </c>
      <c r="B1281" s="381" t="s">
        <v>324</v>
      </c>
      <c r="C1281" s="413" t="s">
        <v>4727</v>
      </c>
      <c r="D1281" s="381" t="s">
        <v>4728</v>
      </c>
      <c r="E1281" s="383" t="s">
        <v>4729</v>
      </c>
      <c r="F1281" s="381" t="s">
        <v>8</v>
      </c>
      <c r="G1281" s="384"/>
      <c r="H1281" s="24"/>
      <c r="I1281" s="24"/>
      <c r="J1281" s="25" t="str">
        <f t="shared" si="61"/>
        <v xml:space="preserve"> </v>
      </c>
      <c r="K1281" s="385"/>
      <c r="L1281" s="385"/>
      <c r="M1281" s="386">
        <f t="shared" si="60"/>
        <v>0</v>
      </c>
      <c r="N1281" s="496"/>
      <c r="O1281" s="333">
        <f t="shared" si="59"/>
        <v>0</v>
      </c>
      <c r="R1281" s="23" t="e">
        <f>VLOOKUP(C:C,'Historic Data - working'!A:B,1,FALSE)</f>
        <v>#N/A</v>
      </c>
      <c r="U1281" s="323"/>
      <c r="V1281" s="323"/>
      <c r="W1281" s="323"/>
    </row>
    <row r="1282" spans="1:23" s="23" customFormat="1" ht="14.25" x14ac:dyDescent="0.2">
      <c r="A1282" s="381" t="s">
        <v>4720</v>
      </c>
      <c r="B1282" s="381" t="s">
        <v>351</v>
      </c>
      <c r="C1282" s="414" t="s">
        <v>14</v>
      </c>
      <c r="D1282" s="398">
        <v>704</v>
      </c>
      <c r="E1282" s="383" t="s">
        <v>4730</v>
      </c>
      <c r="F1282" s="381" t="s">
        <v>8</v>
      </c>
      <c r="G1282" s="384" t="s">
        <v>329</v>
      </c>
      <c r="H1282" s="24">
        <f>66.5+22.81+155.87+31.05+58.66+181.22+139.92</f>
        <v>656.03</v>
      </c>
      <c r="I1282" s="24"/>
      <c r="J1282" s="25" t="str">
        <f t="shared" si="61"/>
        <v>1</v>
      </c>
      <c r="K1282" s="395" t="s">
        <v>8434</v>
      </c>
      <c r="L1282" s="385"/>
      <c r="M1282" s="386">
        <f t="shared" si="60"/>
        <v>656.03</v>
      </c>
      <c r="N1282" s="496"/>
      <c r="O1282" s="333">
        <f t="shared" ref="O1282:O1345" si="62">M1282+N1282</f>
        <v>656.03</v>
      </c>
      <c r="R1282" s="23" t="str">
        <f>VLOOKUP(C:C,'Historic Data - working'!A:B,1,FALSE)</f>
        <v>POR005</v>
      </c>
      <c r="U1282" s="323"/>
      <c r="V1282" s="323"/>
      <c r="W1282" s="323"/>
    </row>
    <row r="1283" spans="1:23" s="23" customFormat="1" ht="28.5" x14ac:dyDescent="0.2">
      <c r="A1283" s="381" t="s">
        <v>4720</v>
      </c>
      <c r="B1283" s="381" t="s">
        <v>351</v>
      </c>
      <c r="C1283" s="413" t="s">
        <v>16</v>
      </c>
      <c r="D1283" s="381" t="s">
        <v>4731</v>
      </c>
      <c r="E1283" s="383" t="s">
        <v>4732</v>
      </c>
      <c r="F1283" s="381" t="s">
        <v>4733</v>
      </c>
      <c r="G1283" s="384" t="s">
        <v>329</v>
      </c>
      <c r="H1283" s="24">
        <f>449.56+539.38</f>
        <v>988.94</v>
      </c>
      <c r="I1283" s="24"/>
      <c r="J1283" s="25" t="str">
        <f t="shared" si="61"/>
        <v>1</v>
      </c>
      <c r="K1283" s="385"/>
      <c r="L1283" s="385"/>
      <c r="M1283" s="386">
        <f t="shared" ref="M1283:M1346" si="63">H1283+L1283</f>
        <v>988.94</v>
      </c>
      <c r="N1283" s="496">
        <v>339.7</v>
      </c>
      <c r="O1283" s="333">
        <f t="shared" si="62"/>
        <v>1328.64</v>
      </c>
      <c r="R1283" s="23" t="str">
        <f>VLOOKUP(C:C,'Historic Data - working'!A:B,1,FALSE)</f>
        <v>POR007</v>
      </c>
      <c r="U1283" s="323"/>
      <c r="V1283" s="323"/>
      <c r="W1283" s="323"/>
    </row>
    <row r="1284" spans="1:23" s="23" customFormat="1" ht="28.5" x14ac:dyDescent="0.2">
      <c r="A1284" s="381" t="s">
        <v>4720</v>
      </c>
      <c r="B1284" s="381" t="s">
        <v>351</v>
      </c>
      <c r="C1284" s="413" t="s">
        <v>4734</v>
      </c>
      <c r="D1284" s="381" t="s">
        <v>4735</v>
      </c>
      <c r="E1284" s="383" t="s">
        <v>4736</v>
      </c>
      <c r="F1284" s="381" t="s">
        <v>4733</v>
      </c>
      <c r="G1284" s="384"/>
      <c r="H1284" s="24"/>
      <c r="I1284" s="24"/>
      <c r="J1284" s="25" t="str">
        <f t="shared" si="61"/>
        <v xml:space="preserve"> </v>
      </c>
      <c r="K1284" s="385"/>
      <c r="L1284" s="385"/>
      <c r="M1284" s="386">
        <f t="shared" si="63"/>
        <v>0</v>
      </c>
      <c r="N1284" s="496"/>
      <c r="O1284" s="333">
        <f t="shared" si="62"/>
        <v>0</v>
      </c>
      <c r="R1284" s="23" t="e">
        <f>VLOOKUP(C:C,'Historic Data - working'!A:B,1,FALSE)</f>
        <v>#N/A</v>
      </c>
      <c r="U1284" s="323"/>
      <c r="V1284" s="323"/>
      <c r="W1284" s="323"/>
    </row>
    <row r="1285" spans="1:23" s="23" customFormat="1" ht="14.25" x14ac:dyDescent="0.2">
      <c r="A1285" s="381" t="s">
        <v>4720</v>
      </c>
      <c r="B1285" s="381" t="s">
        <v>324</v>
      </c>
      <c r="C1285" s="413" t="s">
        <v>18</v>
      </c>
      <c r="D1285" s="381" t="s">
        <v>4737</v>
      </c>
      <c r="E1285" s="383" t="s">
        <v>4738</v>
      </c>
      <c r="F1285" s="381" t="s">
        <v>19</v>
      </c>
      <c r="G1285" s="384" t="s">
        <v>329</v>
      </c>
      <c r="H1285" s="24">
        <v>906.39</v>
      </c>
      <c r="I1285" s="24"/>
      <c r="J1285" s="25" t="str">
        <f t="shared" si="61"/>
        <v>1</v>
      </c>
      <c r="K1285" s="385"/>
      <c r="L1285" s="385"/>
      <c r="M1285" s="386">
        <f t="shared" si="63"/>
        <v>906.39</v>
      </c>
      <c r="N1285" s="496">
        <v>1390</v>
      </c>
      <c r="O1285" s="333">
        <f t="shared" si="62"/>
        <v>2296.39</v>
      </c>
      <c r="R1285" s="23" t="str">
        <f>VLOOKUP(C:C,'Historic Data - working'!A:B,1,FALSE)</f>
        <v>POR008</v>
      </c>
      <c r="U1285" s="323"/>
      <c r="V1285" s="323"/>
      <c r="W1285" s="323"/>
    </row>
    <row r="1286" spans="1:23" s="23" customFormat="1" ht="14.25" x14ac:dyDescent="0.2">
      <c r="A1286" s="381" t="s">
        <v>4720</v>
      </c>
      <c r="B1286" s="381" t="s">
        <v>324</v>
      </c>
      <c r="C1286" s="413" t="s">
        <v>21</v>
      </c>
      <c r="D1286" s="381" t="s">
        <v>4739</v>
      </c>
      <c r="E1286" s="383" t="s">
        <v>4740</v>
      </c>
      <c r="F1286" s="381" t="s">
        <v>114</v>
      </c>
      <c r="G1286" s="384" t="s">
        <v>329</v>
      </c>
      <c r="H1286" s="24"/>
      <c r="I1286" s="24">
        <v>372.39</v>
      </c>
      <c r="J1286" s="25" t="str">
        <f t="shared" si="61"/>
        <v>1</v>
      </c>
      <c r="K1286" s="385"/>
      <c r="L1286" s="385"/>
      <c r="M1286" s="386">
        <f t="shared" si="63"/>
        <v>0</v>
      </c>
      <c r="N1286" s="496">
        <v>492.39</v>
      </c>
      <c r="O1286" s="333">
        <f t="shared" si="62"/>
        <v>492.39</v>
      </c>
      <c r="R1286" s="23" t="str">
        <f>VLOOKUP(C:C,'Historic Data - working'!A:B,1,FALSE)</f>
        <v>POR009</v>
      </c>
      <c r="U1286" s="323"/>
      <c r="V1286" s="323"/>
      <c r="W1286" s="323"/>
    </row>
    <row r="1287" spans="1:23" s="23" customFormat="1" ht="14.25" x14ac:dyDescent="0.2">
      <c r="A1287" s="381" t="s">
        <v>4720</v>
      </c>
      <c r="B1287" s="381" t="s">
        <v>324</v>
      </c>
      <c r="C1287" s="413" t="s">
        <v>24</v>
      </c>
      <c r="D1287" s="381" t="s">
        <v>4741</v>
      </c>
      <c r="E1287" s="383" t="s">
        <v>4742</v>
      </c>
      <c r="F1287" s="381" t="s">
        <v>25</v>
      </c>
      <c r="G1287" s="384"/>
      <c r="H1287" s="24"/>
      <c r="I1287" s="24"/>
      <c r="J1287" s="25" t="str">
        <f t="shared" si="61"/>
        <v xml:space="preserve"> </v>
      </c>
      <c r="K1287" s="385"/>
      <c r="L1287" s="385"/>
      <c r="M1287" s="386">
        <f t="shared" si="63"/>
        <v>0</v>
      </c>
      <c r="N1287" s="496">
        <v>555.5</v>
      </c>
      <c r="O1287" s="333">
        <f t="shared" si="62"/>
        <v>555.5</v>
      </c>
      <c r="R1287" s="23" t="str">
        <f>VLOOKUP(C:C,'Historic Data - working'!A:B,1,FALSE)</f>
        <v>POR010</v>
      </c>
      <c r="U1287" s="323"/>
      <c r="V1287" s="323"/>
      <c r="W1287" s="323"/>
    </row>
    <row r="1288" spans="1:23" s="23" customFormat="1" ht="14.25" x14ac:dyDescent="0.2">
      <c r="A1288" s="381" t="s">
        <v>4720</v>
      </c>
      <c r="B1288" s="381" t="s">
        <v>324</v>
      </c>
      <c r="C1288" s="413" t="s">
        <v>4743</v>
      </c>
      <c r="D1288" s="381" t="s">
        <v>4744</v>
      </c>
      <c r="E1288" s="383" t="s">
        <v>4745</v>
      </c>
      <c r="F1288" s="381" t="s">
        <v>25</v>
      </c>
      <c r="G1288" s="384"/>
      <c r="H1288" s="24"/>
      <c r="I1288" s="24"/>
      <c r="J1288" s="25" t="str">
        <f t="shared" si="61"/>
        <v xml:space="preserve"> </v>
      </c>
      <c r="K1288" s="385"/>
      <c r="L1288" s="385"/>
      <c r="M1288" s="386">
        <f t="shared" si="63"/>
        <v>0</v>
      </c>
      <c r="N1288" s="496"/>
      <c r="O1288" s="333">
        <f t="shared" si="62"/>
        <v>0</v>
      </c>
      <c r="R1288" s="23" t="e">
        <f>VLOOKUP(C:C,'Historic Data - working'!A:B,1,FALSE)</f>
        <v>#N/A</v>
      </c>
      <c r="U1288" s="323"/>
      <c r="V1288" s="323"/>
      <c r="W1288" s="323"/>
    </row>
    <row r="1289" spans="1:23" s="23" customFormat="1" ht="28.5" x14ac:dyDescent="0.2">
      <c r="A1289" s="381" t="s">
        <v>4720</v>
      </c>
      <c r="B1289" s="381" t="s">
        <v>351</v>
      </c>
      <c r="C1289" s="413" t="s">
        <v>26</v>
      </c>
      <c r="D1289" s="381" t="s">
        <v>4746</v>
      </c>
      <c r="E1289" s="383" t="s">
        <v>4747</v>
      </c>
      <c r="F1289" s="381" t="s">
        <v>4748</v>
      </c>
      <c r="G1289" s="384" t="s">
        <v>329</v>
      </c>
      <c r="H1289" s="24"/>
      <c r="I1289" s="24">
        <f>125.5+50.5+20+25+20+160+20.1+200+20+40+10.36+70+32+100+50</f>
        <v>943.46</v>
      </c>
      <c r="J1289" s="25" t="str">
        <f t="shared" si="61"/>
        <v>1</v>
      </c>
      <c r="K1289" s="385"/>
      <c r="L1289" s="385"/>
      <c r="M1289" s="386">
        <f t="shared" si="63"/>
        <v>0</v>
      </c>
      <c r="N1289" s="496">
        <v>1417.96</v>
      </c>
      <c r="O1289" s="333">
        <f t="shared" si="62"/>
        <v>1417.96</v>
      </c>
      <c r="R1289" s="23" t="str">
        <f>VLOOKUP(C:C,'Historic Data - working'!A:B,1,FALSE)</f>
        <v>POR013</v>
      </c>
      <c r="U1289" s="323"/>
      <c r="V1289" s="323"/>
      <c r="W1289" s="323"/>
    </row>
    <row r="1290" spans="1:23" s="23" customFormat="1" ht="14.25" x14ac:dyDescent="0.2">
      <c r="A1290" s="381" t="s">
        <v>4720</v>
      </c>
      <c r="B1290" s="381" t="s">
        <v>351</v>
      </c>
      <c r="C1290" s="413" t="s">
        <v>29</v>
      </c>
      <c r="D1290" s="381" t="s">
        <v>4749</v>
      </c>
      <c r="E1290" s="383" t="s">
        <v>31</v>
      </c>
      <c r="F1290" s="381" t="s">
        <v>30</v>
      </c>
      <c r="G1290" s="384" t="s">
        <v>329</v>
      </c>
      <c r="H1290" s="24">
        <v>3066.52</v>
      </c>
      <c r="I1290" s="24"/>
      <c r="J1290" s="25" t="str">
        <f t="shared" si="61"/>
        <v>1</v>
      </c>
      <c r="K1290" s="385" t="s">
        <v>4750</v>
      </c>
      <c r="L1290" s="385">
        <v>-16.63</v>
      </c>
      <c r="M1290" s="386">
        <f t="shared" si="63"/>
        <v>3049.89</v>
      </c>
      <c r="N1290" s="496">
        <v>950.75</v>
      </c>
      <c r="O1290" s="333">
        <f t="shared" si="62"/>
        <v>4000.64</v>
      </c>
      <c r="R1290" s="23" t="str">
        <f>VLOOKUP(C:C,'Historic Data - working'!A:B,1,FALSE)</f>
        <v>POR014</v>
      </c>
      <c r="U1290" s="323"/>
      <c r="V1290" s="323"/>
      <c r="W1290" s="323"/>
    </row>
    <row r="1291" spans="1:23" s="23" customFormat="1" ht="14.25" x14ac:dyDescent="0.2">
      <c r="A1291" s="381" t="s">
        <v>4720</v>
      </c>
      <c r="B1291" s="381" t="s">
        <v>351</v>
      </c>
      <c r="C1291" s="413" t="s">
        <v>4751</v>
      </c>
      <c r="D1291" s="381" t="s">
        <v>4752</v>
      </c>
      <c r="E1291" s="383" t="s">
        <v>4753</v>
      </c>
      <c r="F1291" s="381" t="s">
        <v>30</v>
      </c>
      <c r="G1291" s="384"/>
      <c r="H1291" s="24"/>
      <c r="I1291" s="24"/>
      <c r="J1291" s="25" t="str">
        <f t="shared" si="61"/>
        <v xml:space="preserve"> </v>
      </c>
      <c r="K1291" s="385"/>
      <c r="L1291" s="385"/>
      <c r="M1291" s="386">
        <f t="shared" si="63"/>
        <v>0</v>
      </c>
      <c r="N1291" s="496"/>
      <c r="O1291" s="333">
        <f t="shared" si="62"/>
        <v>0</v>
      </c>
      <c r="R1291" s="23" t="e">
        <f>VLOOKUP(C:C,'Historic Data - working'!A:B,1,FALSE)</f>
        <v>#N/A</v>
      </c>
      <c r="U1291" s="323"/>
      <c r="V1291" s="323"/>
      <c r="W1291" s="323"/>
    </row>
    <row r="1292" spans="1:23" s="23" customFormat="1" ht="14.25" x14ac:dyDescent="0.2">
      <c r="A1292" s="381" t="s">
        <v>4720</v>
      </c>
      <c r="B1292" s="381" t="s">
        <v>351</v>
      </c>
      <c r="C1292" s="413" t="s">
        <v>32</v>
      </c>
      <c r="D1292" s="381" t="s">
        <v>4754</v>
      </c>
      <c r="E1292" s="383" t="s">
        <v>4755</v>
      </c>
      <c r="F1292" s="381" t="s">
        <v>33</v>
      </c>
      <c r="G1292" s="384" t="s">
        <v>329</v>
      </c>
      <c r="H1292" s="24">
        <f>806.92+895.06+881.56+524+772.22+162+149+739.11</f>
        <v>4929.87</v>
      </c>
      <c r="I1292" s="24"/>
      <c r="J1292" s="25" t="str">
        <f t="shared" si="61"/>
        <v>1</v>
      </c>
      <c r="K1292" s="385"/>
      <c r="L1292" s="385"/>
      <c r="M1292" s="386">
        <f t="shared" si="63"/>
        <v>4929.87</v>
      </c>
      <c r="N1292" s="496">
        <v>1341</v>
      </c>
      <c r="O1292" s="333">
        <f t="shared" si="62"/>
        <v>6270.87</v>
      </c>
      <c r="R1292" s="23" t="str">
        <f>VLOOKUP(C:C,'Historic Data - working'!A:B,1,FALSE)</f>
        <v>POR016</v>
      </c>
      <c r="U1292" s="323"/>
      <c r="V1292" s="323"/>
      <c r="W1292" s="323"/>
    </row>
    <row r="1293" spans="1:23" s="23" customFormat="1" ht="14.25" x14ac:dyDescent="0.2">
      <c r="A1293" s="381" t="s">
        <v>4720</v>
      </c>
      <c r="B1293" s="381" t="s">
        <v>351</v>
      </c>
      <c r="C1293" s="413" t="s">
        <v>4756</v>
      </c>
      <c r="D1293" s="381" t="s">
        <v>4757</v>
      </c>
      <c r="E1293" s="383" t="s">
        <v>4758</v>
      </c>
      <c r="F1293" s="381" t="s">
        <v>33</v>
      </c>
      <c r="G1293" s="384"/>
      <c r="H1293" s="24"/>
      <c r="I1293" s="24"/>
      <c r="J1293" s="25" t="str">
        <f t="shared" si="61"/>
        <v xml:space="preserve"> </v>
      </c>
      <c r="K1293" s="385"/>
      <c r="L1293" s="385"/>
      <c r="M1293" s="386">
        <f t="shared" si="63"/>
        <v>0</v>
      </c>
      <c r="N1293" s="496"/>
      <c r="O1293" s="333">
        <f t="shared" si="62"/>
        <v>0</v>
      </c>
      <c r="R1293" s="23" t="e">
        <f>VLOOKUP(C:C,'Historic Data - working'!A:B,1,FALSE)</f>
        <v>#N/A</v>
      </c>
      <c r="U1293" s="323"/>
      <c r="V1293" s="323"/>
      <c r="W1293" s="323"/>
    </row>
    <row r="1294" spans="1:23" s="23" customFormat="1" ht="14.25" x14ac:dyDescent="0.2">
      <c r="A1294" s="381" t="s">
        <v>4720</v>
      </c>
      <c r="B1294" s="381" t="s">
        <v>324</v>
      </c>
      <c r="C1294" s="413" t="s">
        <v>35</v>
      </c>
      <c r="D1294" s="381" t="s">
        <v>4759</v>
      </c>
      <c r="E1294" s="383" t="s">
        <v>37</v>
      </c>
      <c r="F1294" s="381" t="s">
        <v>36</v>
      </c>
      <c r="G1294" s="384" t="s">
        <v>329</v>
      </c>
      <c r="H1294" s="24">
        <v>1068.33</v>
      </c>
      <c r="I1294" s="24"/>
      <c r="J1294" s="25" t="str">
        <f t="shared" si="61"/>
        <v>1</v>
      </c>
      <c r="K1294" s="385"/>
      <c r="L1294" s="385"/>
      <c r="M1294" s="386">
        <f t="shared" si="63"/>
        <v>1068.33</v>
      </c>
      <c r="N1294" s="496">
        <v>135</v>
      </c>
      <c r="O1294" s="333">
        <f t="shared" si="62"/>
        <v>1203.33</v>
      </c>
      <c r="R1294" s="23" t="str">
        <f>VLOOKUP(C:C,'Historic Data - working'!A:B,1,FALSE)</f>
        <v>POR017</v>
      </c>
      <c r="U1294" s="323"/>
      <c r="V1294" s="323"/>
      <c r="W1294" s="323"/>
    </row>
    <row r="1295" spans="1:23" s="23" customFormat="1" ht="14.25" x14ac:dyDescent="0.2">
      <c r="A1295" s="381" t="s">
        <v>4720</v>
      </c>
      <c r="B1295" s="381" t="s">
        <v>324</v>
      </c>
      <c r="C1295" s="413" t="s">
        <v>38</v>
      </c>
      <c r="D1295" s="381" t="s">
        <v>4760</v>
      </c>
      <c r="E1295" s="383" t="s">
        <v>4761</v>
      </c>
      <c r="F1295" s="381" t="s">
        <v>39</v>
      </c>
      <c r="G1295" s="384" t="s">
        <v>329</v>
      </c>
      <c r="H1295" s="24">
        <v>1280.6400000000001</v>
      </c>
      <c r="I1295" s="24"/>
      <c r="J1295" s="25" t="str">
        <f t="shared" si="61"/>
        <v>1</v>
      </c>
      <c r="K1295" s="385"/>
      <c r="L1295" s="385"/>
      <c r="M1295" s="386">
        <f t="shared" si="63"/>
        <v>1280.6400000000001</v>
      </c>
      <c r="N1295" s="496">
        <v>1550</v>
      </c>
      <c r="O1295" s="333">
        <f t="shared" si="62"/>
        <v>2830.6400000000003</v>
      </c>
      <c r="R1295" s="23" t="str">
        <f>VLOOKUP(C:C,'Historic Data - working'!A:B,1,FALSE)</f>
        <v>POR018</v>
      </c>
      <c r="U1295" s="323"/>
      <c r="V1295" s="323"/>
      <c r="W1295" s="323"/>
    </row>
    <row r="1296" spans="1:23" s="23" customFormat="1" ht="14.25" x14ac:dyDescent="0.2">
      <c r="A1296" s="381" t="s">
        <v>4720</v>
      </c>
      <c r="B1296" s="381" t="s">
        <v>324</v>
      </c>
      <c r="C1296" s="413" t="s">
        <v>4762</v>
      </c>
      <c r="D1296" s="381" t="s">
        <v>4763</v>
      </c>
      <c r="E1296" s="383" t="s">
        <v>4764</v>
      </c>
      <c r="F1296" s="381" t="s">
        <v>39</v>
      </c>
      <c r="G1296" s="384"/>
      <c r="H1296" s="24"/>
      <c r="I1296" s="24"/>
      <c r="J1296" s="25" t="str">
        <f t="shared" si="61"/>
        <v xml:space="preserve"> </v>
      </c>
      <c r="K1296" s="385"/>
      <c r="L1296" s="385"/>
      <c r="M1296" s="386">
        <f t="shared" si="63"/>
        <v>0</v>
      </c>
      <c r="N1296" s="496"/>
      <c r="O1296" s="333">
        <f t="shared" si="62"/>
        <v>0</v>
      </c>
      <c r="R1296" s="23" t="e">
        <f>VLOOKUP(C:C,'Historic Data - working'!A:B,1,FALSE)</f>
        <v>#N/A</v>
      </c>
      <c r="U1296" s="323"/>
      <c r="V1296" s="323"/>
      <c r="W1296" s="323"/>
    </row>
    <row r="1297" spans="1:23" s="23" customFormat="1" ht="14.25" x14ac:dyDescent="0.2">
      <c r="A1297" s="381" t="s">
        <v>4720</v>
      </c>
      <c r="B1297" s="381" t="s">
        <v>324</v>
      </c>
      <c r="C1297" s="413" t="s">
        <v>41</v>
      </c>
      <c r="D1297" s="381" t="s">
        <v>4765</v>
      </c>
      <c r="E1297" s="383" t="s">
        <v>61</v>
      </c>
      <c r="F1297" s="381" t="s">
        <v>39</v>
      </c>
      <c r="G1297" s="384" t="s">
        <v>329</v>
      </c>
      <c r="H1297" s="24">
        <f>531.09+80.97+89.47+405.12+539.18+21.45</f>
        <v>1667.28</v>
      </c>
      <c r="I1297" s="24"/>
      <c r="J1297" s="25" t="str">
        <f t="shared" si="61"/>
        <v>1</v>
      </c>
      <c r="K1297" s="385"/>
      <c r="L1297" s="385"/>
      <c r="M1297" s="386">
        <f t="shared" si="63"/>
        <v>1667.28</v>
      </c>
      <c r="N1297" s="496">
        <v>685</v>
      </c>
      <c r="O1297" s="333">
        <f t="shared" si="62"/>
        <v>2352.2799999999997</v>
      </c>
      <c r="R1297" s="23" t="str">
        <f>VLOOKUP(C:C,'Historic Data - working'!A:B,1,FALSE)</f>
        <v>POR019</v>
      </c>
      <c r="U1297" s="323"/>
      <c r="V1297" s="323"/>
      <c r="W1297" s="323"/>
    </row>
    <row r="1298" spans="1:23" s="23" customFormat="1" ht="28.5" x14ac:dyDescent="0.2">
      <c r="A1298" s="381" t="s">
        <v>4720</v>
      </c>
      <c r="B1298" s="381" t="s">
        <v>351</v>
      </c>
      <c r="C1298" s="413" t="s">
        <v>42</v>
      </c>
      <c r="D1298" s="381" t="s">
        <v>4766</v>
      </c>
      <c r="E1298" s="383" t="s">
        <v>4767</v>
      </c>
      <c r="F1298" s="381" t="s">
        <v>93</v>
      </c>
      <c r="G1298" s="384" t="s">
        <v>329</v>
      </c>
      <c r="H1298" s="24">
        <v>846.06</v>
      </c>
      <c r="I1298" s="24"/>
      <c r="J1298" s="25" t="str">
        <f t="shared" si="61"/>
        <v>1</v>
      </c>
      <c r="K1298" s="385"/>
      <c r="L1298" s="385"/>
      <c r="M1298" s="386">
        <f t="shared" si="63"/>
        <v>846.06</v>
      </c>
      <c r="N1298" s="496">
        <v>195</v>
      </c>
      <c r="O1298" s="333">
        <f t="shared" si="62"/>
        <v>1041.06</v>
      </c>
      <c r="R1298" s="23" t="str">
        <f>VLOOKUP(C:C,'Historic Data - working'!A:B,1,FALSE)</f>
        <v>POR020</v>
      </c>
      <c r="U1298" s="323"/>
      <c r="V1298" s="323"/>
      <c r="W1298" s="323"/>
    </row>
    <row r="1299" spans="1:23" s="23" customFormat="1" ht="14.25" x14ac:dyDescent="0.2">
      <c r="A1299" s="381" t="s">
        <v>4720</v>
      </c>
      <c r="B1299" s="381" t="s">
        <v>351</v>
      </c>
      <c r="C1299" s="413" t="s">
        <v>45</v>
      </c>
      <c r="D1299" s="381" t="s">
        <v>4768</v>
      </c>
      <c r="E1299" s="383" t="s">
        <v>4769</v>
      </c>
      <c r="F1299" s="381" t="s">
        <v>46</v>
      </c>
      <c r="G1299" s="384"/>
      <c r="H1299" s="24"/>
      <c r="I1299" s="24"/>
      <c r="J1299" s="25" t="str">
        <f t="shared" si="61"/>
        <v xml:space="preserve"> </v>
      </c>
      <c r="K1299" s="385" t="s">
        <v>337</v>
      </c>
      <c r="L1299" s="385">
        <v>501.83</v>
      </c>
      <c r="M1299" s="386">
        <f t="shared" si="63"/>
        <v>501.83</v>
      </c>
      <c r="N1299" s="496">
        <v>100</v>
      </c>
      <c r="O1299" s="333">
        <f t="shared" si="62"/>
        <v>601.82999999999993</v>
      </c>
      <c r="R1299" s="23" t="str">
        <f>VLOOKUP(C:C,'Historic Data - working'!A:B,1,FALSE)</f>
        <v>POR021</v>
      </c>
      <c r="U1299" s="323"/>
      <c r="V1299" s="323"/>
      <c r="W1299" s="323"/>
    </row>
    <row r="1300" spans="1:23" s="23" customFormat="1" ht="14.25" x14ac:dyDescent="0.2">
      <c r="A1300" s="381" t="s">
        <v>4720</v>
      </c>
      <c r="B1300" s="381" t="s">
        <v>324</v>
      </c>
      <c r="C1300" s="413" t="s">
        <v>48</v>
      </c>
      <c r="D1300" s="381" t="s">
        <v>4770</v>
      </c>
      <c r="E1300" s="383" t="s">
        <v>4771</v>
      </c>
      <c r="F1300" s="381" t="s">
        <v>49</v>
      </c>
      <c r="G1300" s="384"/>
      <c r="H1300" s="24"/>
      <c r="I1300" s="24"/>
      <c r="J1300" s="25" t="str">
        <f t="shared" si="61"/>
        <v xml:space="preserve"> </v>
      </c>
      <c r="K1300" s="385"/>
      <c r="L1300" s="385"/>
      <c r="M1300" s="386">
        <f t="shared" si="63"/>
        <v>0</v>
      </c>
      <c r="N1300" s="496">
        <v>355</v>
      </c>
      <c r="O1300" s="333">
        <f t="shared" si="62"/>
        <v>355</v>
      </c>
      <c r="R1300" s="23" t="str">
        <f>VLOOKUP(C:C,'Historic Data - working'!A:B,1,FALSE)</f>
        <v>POR022</v>
      </c>
      <c r="U1300" s="323"/>
      <c r="V1300" s="323"/>
      <c r="W1300" s="323"/>
    </row>
    <row r="1301" spans="1:23" s="23" customFormat="1" ht="14.25" x14ac:dyDescent="0.2">
      <c r="A1301" s="381" t="s">
        <v>4720</v>
      </c>
      <c r="B1301" s="381" t="s">
        <v>324</v>
      </c>
      <c r="C1301" s="413" t="s">
        <v>50</v>
      </c>
      <c r="D1301" s="381" t="s">
        <v>4772</v>
      </c>
      <c r="E1301" s="383" t="s">
        <v>11</v>
      </c>
      <c r="F1301" s="381" t="s">
        <v>49</v>
      </c>
      <c r="G1301" s="384" t="s">
        <v>329</v>
      </c>
      <c r="H1301" s="24">
        <f>240+55+18+23+45+86+34.5+26.4</f>
        <v>527.9</v>
      </c>
      <c r="I1301" s="24"/>
      <c r="J1301" s="25" t="str">
        <f t="shared" si="61"/>
        <v>1</v>
      </c>
      <c r="K1301" s="385"/>
      <c r="L1301" s="385"/>
      <c r="M1301" s="386">
        <f t="shared" si="63"/>
        <v>527.9</v>
      </c>
      <c r="N1301" s="496">
        <v>870</v>
      </c>
      <c r="O1301" s="333">
        <f t="shared" si="62"/>
        <v>1397.9</v>
      </c>
      <c r="R1301" s="23" t="str">
        <f>VLOOKUP(C:C,'Historic Data - working'!A:B,1,FALSE)</f>
        <v>POR023</v>
      </c>
      <c r="U1301" s="323"/>
      <c r="V1301" s="323"/>
      <c r="W1301" s="323"/>
    </row>
    <row r="1302" spans="1:23" s="23" customFormat="1" ht="14.25" x14ac:dyDescent="0.2">
      <c r="A1302" s="381" t="s">
        <v>4720</v>
      </c>
      <c r="B1302" s="381" t="s">
        <v>324</v>
      </c>
      <c r="C1302" s="413" t="s">
        <v>51</v>
      </c>
      <c r="D1302" s="381" t="s">
        <v>4773</v>
      </c>
      <c r="E1302" s="383" t="s">
        <v>4774</v>
      </c>
      <c r="F1302" s="381" t="s">
        <v>49</v>
      </c>
      <c r="G1302" s="384" t="s">
        <v>329</v>
      </c>
      <c r="H1302" s="24"/>
      <c r="I1302" s="24">
        <v>417.97</v>
      </c>
      <c r="J1302" s="25" t="str">
        <f t="shared" si="61"/>
        <v>1</v>
      </c>
      <c r="K1302" s="385"/>
      <c r="L1302" s="385"/>
      <c r="M1302" s="386">
        <f t="shared" si="63"/>
        <v>0</v>
      </c>
      <c r="N1302" s="496">
        <v>812.97</v>
      </c>
      <c r="O1302" s="333">
        <f t="shared" si="62"/>
        <v>812.97</v>
      </c>
      <c r="R1302" s="23" t="str">
        <f>VLOOKUP(C:C,'Historic Data - working'!A:B,1,FALSE)</f>
        <v>POR025</v>
      </c>
      <c r="U1302" s="323"/>
      <c r="V1302" s="323"/>
      <c r="W1302" s="323"/>
    </row>
    <row r="1303" spans="1:23" s="23" customFormat="1" ht="14.25" x14ac:dyDescent="0.2">
      <c r="A1303" s="381" t="s">
        <v>4720</v>
      </c>
      <c r="B1303" s="381" t="s">
        <v>324</v>
      </c>
      <c r="C1303" s="413" t="s">
        <v>53</v>
      </c>
      <c r="D1303" s="381" t="s">
        <v>4775</v>
      </c>
      <c r="E1303" s="383" t="s">
        <v>4776</v>
      </c>
      <c r="F1303" s="381" t="s">
        <v>49</v>
      </c>
      <c r="G1303" s="384" t="s">
        <v>329</v>
      </c>
      <c r="H1303" s="24">
        <f>574.12+566.49</f>
        <v>1140.6100000000001</v>
      </c>
      <c r="I1303" s="24"/>
      <c r="J1303" s="25" t="str">
        <f t="shared" si="61"/>
        <v>1</v>
      </c>
      <c r="K1303" s="385"/>
      <c r="L1303" s="385"/>
      <c r="M1303" s="386">
        <f t="shared" si="63"/>
        <v>1140.6100000000001</v>
      </c>
      <c r="N1303" s="496">
        <v>165</v>
      </c>
      <c r="O1303" s="333">
        <f t="shared" si="62"/>
        <v>1305.6100000000001</v>
      </c>
      <c r="R1303" s="23" t="str">
        <f>VLOOKUP(C:C,'Historic Data - working'!A:B,1,FALSE)</f>
        <v>POR026</v>
      </c>
      <c r="U1303" s="323"/>
      <c r="V1303" s="323"/>
      <c r="W1303" s="323"/>
    </row>
    <row r="1304" spans="1:23" s="23" customFormat="1" ht="14.25" x14ac:dyDescent="0.2">
      <c r="A1304" s="381" t="s">
        <v>4720</v>
      </c>
      <c r="B1304" s="381" t="s">
        <v>324</v>
      </c>
      <c r="C1304" s="413" t="s">
        <v>55</v>
      </c>
      <c r="D1304" s="381" t="s">
        <v>4777</v>
      </c>
      <c r="E1304" s="383" t="s">
        <v>56</v>
      </c>
      <c r="F1304" s="381" t="s">
        <v>49</v>
      </c>
      <c r="G1304" s="384" t="s">
        <v>329</v>
      </c>
      <c r="H1304" s="24"/>
      <c r="I1304" s="24">
        <v>677.75</v>
      </c>
      <c r="J1304" s="25" t="str">
        <f t="shared" si="61"/>
        <v>1</v>
      </c>
      <c r="K1304" s="385"/>
      <c r="L1304" s="385"/>
      <c r="M1304" s="386">
        <f t="shared" si="63"/>
        <v>0</v>
      </c>
      <c r="N1304" s="496">
        <v>817.75</v>
      </c>
      <c r="O1304" s="333">
        <f t="shared" si="62"/>
        <v>817.75</v>
      </c>
      <c r="R1304" s="23" t="str">
        <f>VLOOKUP(C:C,'Historic Data - working'!A:B,1,FALSE)</f>
        <v>POR027</v>
      </c>
      <c r="U1304" s="323"/>
      <c r="V1304" s="323"/>
      <c r="W1304" s="323"/>
    </row>
    <row r="1305" spans="1:23" s="23" customFormat="1" ht="28.5" x14ac:dyDescent="0.2">
      <c r="A1305" s="381" t="s">
        <v>4720</v>
      </c>
      <c r="B1305" s="381" t="s">
        <v>351</v>
      </c>
      <c r="C1305" s="413" t="s">
        <v>4778</v>
      </c>
      <c r="D1305" s="381" t="s">
        <v>4779</v>
      </c>
      <c r="E1305" s="383" t="s">
        <v>4780</v>
      </c>
      <c r="F1305" s="381" t="s">
        <v>49</v>
      </c>
      <c r="G1305" s="384" t="s">
        <v>329</v>
      </c>
      <c r="H1305" s="24">
        <v>1335.68</v>
      </c>
      <c r="I1305" s="24"/>
      <c r="J1305" s="25" t="str">
        <f t="shared" si="61"/>
        <v>1</v>
      </c>
      <c r="K1305" s="385"/>
      <c r="L1305" s="385"/>
      <c r="M1305" s="386">
        <f t="shared" si="63"/>
        <v>1335.68</v>
      </c>
      <c r="N1305" s="496">
        <v>170</v>
      </c>
      <c r="O1305" s="334">
        <f t="shared" si="62"/>
        <v>1505.68</v>
      </c>
      <c r="P1305" s="351"/>
      <c r="Q1305" s="331"/>
      <c r="R1305" s="331" t="e">
        <f>VLOOKUP(C:C,'Historic Data - working'!A:B,1,FALSE)</f>
        <v>#N/A</v>
      </c>
      <c r="U1305" s="323"/>
      <c r="V1305" s="323"/>
      <c r="W1305" s="323"/>
    </row>
    <row r="1306" spans="1:23" s="23" customFormat="1" ht="14.25" x14ac:dyDescent="0.2">
      <c r="A1306" s="381" t="s">
        <v>4720</v>
      </c>
      <c r="B1306" s="381" t="s">
        <v>324</v>
      </c>
      <c r="C1306" s="413" t="s">
        <v>59</v>
      </c>
      <c r="D1306" s="381" t="s">
        <v>4781</v>
      </c>
      <c r="E1306" s="383" t="s">
        <v>4782</v>
      </c>
      <c r="F1306" s="381" t="s">
        <v>60</v>
      </c>
      <c r="G1306" s="384"/>
      <c r="H1306" s="24"/>
      <c r="I1306" s="24"/>
      <c r="J1306" s="25" t="str">
        <f t="shared" si="61"/>
        <v xml:space="preserve"> </v>
      </c>
      <c r="K1306" s="385" t="s">
        <v>337</v>
      </c>
      <c r="L1306" s="385">
        <v>20.27</v>
      </c>
      <c r="M1306" s="386">
        <f t="shared" si="63"/>
        <v>20.27</v>
      </c>
      <c r="N1306" s="496">
        <v>195</v>
      </c>
      <c r="O1306" s="333">
        <f t="shared" si="62"/>
        <v>215.27</v>
      </c>
      <c r="R1306" s="23" t="str">
        <f>VLOOKUP(C:C,'Historic Data - working'!A:B,1,FALSE)</f>
        <v>POR029</v>
      </c>
      <c r="U1306" s="323"/>
      <c r="V1306" s="323"/>
      <c r="W1306" s="323"/>
    </row>
    <row r="1307" spans="1:23" s="23" customFormat="1" ht="14.25" x14ac:dyDescent="0.2">
      <c r="A1307" s="381" t="s">
        <v>4720</v>
      </c>
      <c r="B1307" s="381" t="s">
        <v>324</v>
      </c>
      <c r="C1307" s="413" t="s">
        <v>62</v>
      </c>
      <c r="D1307" s="381" t="s">
        <v>4783</v>
      </c>
      <c r="E1307" s="383" t="s">
        <v>63</v>
      </c>
      <c r="F1307" s="381" t="s">
        <v>60</v>
      </c>
      <c r="G1307" s="384"/>
      <c r="H1307" s="24"/>
      <c r="I1307" s="24"/>
      <c r="J1307" s="25" t="str">
        <f t="shared" si="61"/>
        <v xml:space="preserve"> </v>
      </c>
      <c r="K1307" s="385"/>
      <c r="L1307" s="385"/>
      <c r="M1307" s="386">
        <f t="shared" si="63"/>
        <v>0</v>
      </c>
      <c r="N1307" s="496">
        <v>50</v>
      </c>
      <c r="O1307" s="333">
        <f t="shared" si="62"/>
        <v>50</v>
      </c>
      <c r="R1307" s="23" t="str">
        <f>VLOOKUP(C:C,'Historic Data - working'!A:B,1,FALSE)</f>
        <v>POR030</v>
      </c>
      <c r="U1307" s="323"/>
      <c r="V1307" s="323"/>
      <c r="W1307" s="323"/>
    </row>
    <row r="1308" spans="1:23" s="23" customFormat="1" ht="14.25" x14ac:dyDescent="0.2">
      <c r="A1308" s="381" t="s">
        <v>4720</v>
      </c>
      <c r="B1308" s="381" t="s">
        <v>324</v>
      </c>
      <c r="C1308" s="413" t="s">
        <v>64</v>
      </c>
      <c r="D1308" s="381" t="s">
        <v>4784</v>
      </c>
      <c r="E1308" s="383" t="s">
        <v>66</v>
      </c>
      <c r="F1308" s="381" t="s">
        <v>172</v>
      </c>
      <c r="G1308" s="384" t="s">
        <v>329</v>
      </c>
      <c r="H1308" s="24">
        <f>208+154</f>
        <v>362</v>
      </c>
      <c r="I1308" s="24">
        <v>190.89</v>
      </c>
      <c r="J1308" s="25" t="str">
        <f t="shared" si="61"/>
        <v>1</v>
      </c>
      <c r="K1308" s="385"/>
      <c r="L1308" s="385"/>
      <c r="M1308" s="386">
        <f t="shared" si="63"/>
        <v>362</v>
      </c>
      <c r="N1308" s="496">
        <v>125</v>
      </c>
      <c r="O1308" s="333">
        <f t="shared" si="62"/>
        <v>487</v>
      </c>
      <c r="R1308" s="23" t="str">
        <f>VLOOKUP(C:C,'Historic Data - working'!A:B,1,FALSE)</f>
        <v>POR032</v>
      </c>
      <c r="U1308" s="323"/>
      <c r="V1308" s="323"/>
      <c r="W1308" s="323"/>
    </row>
    <row r="1309" spans="1:23" s="23" customFormat="1" ht="14.25" x14ac:dyDescent="0.2">
      <c r="A1309" s="381" t="s">
        <v>4720</v>
      </c>
      <c r="B1309" s="381" t="s">
        <v>324</v>
      </c>
      <c r="C1309" s="413" t="s">
        <v>67</v>
      </c>
      <c r="D1309" s="381" t="s">
        <v>4785</v>
      </c>
      <c r="E1309" s="383" t="s">
        <v>4786</v>
      </c>
      <c r="F1309" s="381" t="s">
        <v>4787</v>
      </c>
      <c r="G1309" s="384" t="s">
        <v>329</v>
      </c>
      <c r="H1309" s="24">
        <f>28.16+9.37+28.5+8.62+21.64+50+47+15+31.23</f>
        <v>239.52</v>
      </c>
      <c r="I1309" s="24"/>
      <c r="J1309" s="25" t="str">
        <f t="shared" si="61"/>
        <v>1</v>
      </c>
      <c r="K1309" s="385" t="s">
        <v>4788</v>
      </c>
      <c r="L1309" s="385">
        <v>16.3</v>
      </c>
      <c r="M1309" s="386">
        <f t="shared" si="63"/>
        <v>255.82000000000002</v>
      </c>
      <c r="N1309" s="496">
        <v>15</v>
      </c>
      <c r="O1309" s="333">
        <f t="shared" si="62"/>
        <v>270.82000000000005</v>
      </c>
      <c r="R1309" s="23" t="str">
        <f>VLOOKUP(C:C,'Historic Data - working'!A:B,1,FALSE)</f>
        <v>POR033</v>
      </c>
      <c r="U1309" s="323"/>
      <c r="V1309" s="323"/>
      <c r="W1309" s="323"/>
    </row>
    <row r="1310" spans="1:23" s="23" customFormat="1" ht="14.25" x14ac:dyDescent="0.2">
      <c r="A1310" s="381" t="s">
        <v>4720</v>
      </c>
      <c r="B1310" s="381" t="s">
        <v>351</v>
      </c>
      <c r="C1310" s="413" t="s">
        <v>70</v>
      </c>
      <c r="D1310" s="381" t="s">
        <v>4789</v>
      </c>
      <c r="E1310" s="383" t="s">
        <v>4790</v>
      </c>
      <c r="F1310" s="381" t="s">
        <v>93</v>
      </c>
      <c r="G1310" s="384" t="s">
        <v>329</v>
      </c>
      <c r="H1310" s="24">
        <f>40.22+349.27+373.27+302.16</f>
        <v>1064.92</v>
      </c>
      <c r="I1310" s="24"/>
      <c r="J1310" s="25" t="str">
        <f t="shared" si="61"/>
        <v>1</v>
      </c>
      <c r="K1310" s="385"/>
      <c r="L1310" s="385"/>
      <c r="M1310" s="386">
        <f t="shared" si="63"/>
        <v>1064.92</v>
      </c>
      <c r="N1310" s="496">
        <v>460</v>
      </c>
      <c r="O1310" s="333">
        <f t="shared" si="62"/>
        <v>1524.92</v>
      </c>
      <c r="R1310" s="23" t="str">
        <f>VLOOKUP(C:C,'Historic Data - working'!A:B,1,FALSE)</f>
        <v>POR034</v>
      </c>
      <c r="U1310" s="323"/>
      <c r="V1310" s="323"/>
      <c r="W1310" s="323"/>
    </row>
    <row r="1311" spans="1:23" s="23" customFormat="1" ht="14.25" x14ac:dyDescent="0.2">
      <c r="A1311" s="381" t="s">
        <v>4720</v>
      </c>
      <c r="B1311" s="381" t="s">
        <v>324</v>
      </c>
      <c r="C1311" s="413" t="s">
        <v>73</v>
      </c>
      <c r="D1311" s="381" t="s">
        <v>4791</v>
      </c>
      <c r="E1311" s="383" t="s">
        <v>75</v>
      </c>
      <c r="F1311" s="381" t="s">
        <v>74</v>
      </c>
      <c r="G1311" s="384" t="s">
        <v>329</v>
      </c>
      <c r="H1311" s="24"/>
      <c r="I1311" s="24">
        <v>372</v>
      </c>
      <c r="J1311" s="25" t="str">
        <f t="shared" si="61"/>
        <v>1</v>
      </c>
      <c r="K1311" s="385"/>
      <c r="L1311" s="385"/>
      <c r="M1311" s="386">
        <f t="shared" si="63"/>
        <v>0</v>
      </c>
      <c r="N1311" s="496">
        <v>340</v>
      </c>
      <c r="O1311" s="333">
        <f t="shared" si="62"/>
        <v>340</v>
      </c>
      <c r="R1311" s="23" t="str">
        <f>VLOOKUP(C:C,'Historic Data - working'!A:B,1,FALSE)</f>
        <v>POR035</v>
      </c>
      <c r="U1311" s="323"/>
      <c r="V1311" s="323"/>
      <c r="W1311" s="323"/>
    </row>
    <row r="1312" spans="1:23" s="23" customFormat="1" ht="14.25" x14ac:dyDescent="0.2">
      <c r="A1312" s="381" t="s">
        <v>4720</v>
      </c>
      <c r="B1312" s="381" t="s">
        <v>324</v>
      </c>
      <c r="C1312" s="413" t="s">
        <v>76</v>
      </c>
      <c r="D1312" s="381" t="s">
        <v>4792</v>
      </c>
      <c r="E1312" s="383" t="s">
        <v>78</v>
      </c>
      <c r="F1312" s="381" t="s">
        <v>77</v>
      </c>
      <c r="G1312" s="384" t="s">
        <v>329</v>
      </c>
      <c r="H1312" s="24">
        <v>263.37</v>
      </c>
      <c r="I1312" s="24"/>
      <c r="J1312" s="25" t="str">
        <f t="shared" si="61"/>
        <v>1</v>
      </c>
      <c r="K1312" s="385" t="s">
        <v>4793</v>
      </c>
      <c r="L1312" s="385">
        <v>-27</v>
      </c>
      <c r="M1312" s="386">
        <f t="shared" si="63"/>
        <v>236.37</v>
      </c>
      <c r="N1312" s="496">
        <v>25</v>
      </c>
      <c r="O1312" s="333">
        <f t="shared" si="62"/>
        <v>261.37</v>
      </c>
      <c r="R1312" s="23" t="str">
        <f>VLOOKUP(C:C,'Historic Data - working'!A:B,1,FALSE)</f>
        <v>POR036</v>
      </c>
      <c r="U1312" s="323"/>
      <c r="V1312" s="323"/>
      <c r="W1312" s="323"/>
    </row>
    <row r="1313" spans="1:23" s="23" customFormat="1" ht="28.5" x14ac:dyDescent="0.2">
      <c r="A1313" s="381" t="s">
        <v>4720</v>
      </c>
      <c r="B1313" s="381" t="s">
        <v>351</v>
      </c>
      <c r="C1313" s="413" t="s">
        <v>4794</v>
      </c>
      <c r="D1313" s="381" t="s">
        <v>4795</v>
      </c>
      <c r="E1313" s="383" t="s">
        <v>4796</v>
      </c>
      <c r="F1313" s="381" t="s">
        <v>4797</v>
      </c>
      <c r="G1313" s="384" t="s">
        <v>329</v>
      </c>
      <c r="H1313" s="24">
        <f>47.4+203.57+281.86+165.02+135.72+64.22+55.34+267.69+227.36+127.99+113.21+174.28+9.56</f>
        <v>1873.2200000000003</v>
      </c>
      <c r="I1313" s="24"/>
      <c r="J1313" s="25" t="str">
        <f t="shared" si="61"/>
        <v>1</v>
      </c>
      <c r="K1313" s="387"/>
      <c r="L1313" s="385"/>
      <c r="M1313" s="386">
        <f t="shared" si="63"/>
        <v>1873.2200000000003</v>
      </c>
      <c r="N1313" s="496">
        <v>215</v>
      </c>
      <c r="O1313" s="334">
        <f t="shared" si="62"/>
        <v>2088.2200000000003</v>
      </c>
      <c r="P1313" s="351"/>
      <c r="Q1313" s="331"/>
      <c r="R1313" s="331" t="e">
        <f>VLOOKUP(C:C,'Historic Data - working'!A:B,1,FALSE)</f>
        <v>#N/A</v>
      </c>
      <c r="U1313" s="323"/>
      <c r="V1313" s="323"/>
      <c r="W1313" s="323"/>
    </row>
    <row r="1314" spans="1:23" s="23" customFormat="1" ht="14.25" x14ac:dyDescent="0.2">
      <c r="A1314" s="381" t="s">
        <v>4720</v>
      </c>
      <c r="B1314" s="381" t="s">
        <v>351</v>
      </c>
      <c r="C1314" s="413" t="s">
        <v>79</v>
      </c>
      <c r="D1314" s="381" t="s">
        <v>4798</v>
      </c>
      <c r="E1314" s="383" t="s">
        <v>4799</v>
      </c>
      <c r="F1314" s="381" t="s">
        <v>296</v>
      </c>
      <c r="G1314" s="384" t="s">
        <v>329</v>
      </c>
      <c r="H1314" s="24">
        <v>351.59</v>
      </c>
      <c r="I1314" s="24"/>
      <c r="J1314" s="25" t="str">
        <f t="shared" si="61"/>
        <v>1</v>
      </c>
      <c r="K1314" s="385"/>
      <c r="L1314" s="385"/>
      <c r="M1314" s="386">
        <f t="shared" si="63"/>
        <v>351.59</v>
      </c>
      <c r="N1314" s="496">
        <v>380</v>
      </c>
      <c r="O1314" s="333">
        <f t="shared" si="62"/>
        <v>731.58999999999992</v>
      </c>
      <c r="R1314" s="23" t="str">
        <f>VLOOKUP(C:C,'Historic Data - working'!A:B,1,FALSE)</f>
        <v>POR038</v>
      </c>
      <c r="U1314" s="323"/>
      <c r="V1314" s="323"/>
      <c r="W1314" s="323"/>
    </row>
    <row r="1315" spans="1:23" s="23" customFormat="1" ht="14.25" x14ac:dyDescent="0.2">
      <c r="A1315" s="381" t="s">
        <v>4720</v>
      </c>
      <c r="B1315" s="381" t="s">
        <v>324</v>
      </c>
      <c r="C1315" s="413" t="s">
        <v>81</v>
      </c>
      <c r="D1315" s="381" t="s">
        <v>4800</v>
      </c>
      <c r="E1315" s="383" t="s">
        <v>83</v>
      </c>
      <c r="F1315" s="381" t="s">
        <v>82</v>
      </c>
      <c r="G1315" s="384" t="s">
        <v>329</v>
      </c>
      <c r="H1315" s="24">
        <v>1623.5</v>
      </c>
      <c r="I1315" s="24"/>
      <c r="J1315" s="25" t="str">
        <f t="shared" si="61"/>
        <v>1</v>
      </c>
      <c r="K1315" s="385"/>
      <c r="L1315" s="385"/>
      <c r="M1315" s="386">
        <f t="shared" si="63"/>
        <v>1623.5</v>
      </c>
      <c r="N1315" s="496">
        <v>430</v>
      </c>
      <c r="O1315" s="333">
        <f t="shared" si="62"/>
        <v>2053.5</v>
      </c>
      <c r="R1315" s="23" t="str">
        <f>VLOOKUP(C:C,'Historic Data - working'!A:B,1,FALSE)</f>
        <v>POR039</v>
      </c>
      <c r="U1315" s="323"/>
      <c r="V1315" s="323"/>
      <c r="W1315" s="323"/>
    </row>
    <row r="1316" spans="1:23" s="23" customFormat="1" ht="14.25" x14ac:dyDescent="0.2">
      <c r="A1316" s="381" t="s">
        <v>4720</v>
      </c>
      <c r="B1316" s="381" t="s">
        <v>324</v>
      </c>
      <c r="C1316" s="413" t="s">
        <v>84</v>
      </c>
      <c r="D1316" s="381" t="s">
        <v>4801</v>
      </c>
      <c r="E1316" s="383" t="s">
        <v>86</v>
      </c>
      <c r="F1316" s="381" t="s">
        <v>85</v>
      </c>
      <c r="G1316" s="384" t="s">
        <v>329</v>
      </c>
      <c r="H1316" s="24">
        <v>2095.0100000000002</v>
      </c>
      <c r="I1316" s="24"/>
      <c r="J1316" s="25" t="str">
        <f t="shared" si="61"/>
        <v>1</v>
      </c>
      <c r="K1316" s="385" t="s">
        <v>4802</v>
      </c>
      <c r="L1316" s="385">
        <v>0.01</v>
      </c>
      <c r="M1316" s="386">
        <f t="shared" si="63"/>
        <v>2095.0200000000004</v>
      </c>
      <c r="N1316" s="496">
        <v>2208.1999999999998</v>
      </c>
      <c r="O1316" s="333">
        <f t="shared" si="62"/>
        <v>4303.22</v>
      </c>
      <c r="R1316" s="23" t="str">
        <f>VLOOKUP(C:C,'Historic Data - working'!A:B,1,FALSE)</f>
        <v>POR040</v>
      </c>
      <c r="U1316" s="323"/>
      <c r="V1316" s="323"/>
      <c r="W1316" s="323"/>
    </row>
    <row r="1317" spans="1:23" s="23" customFormat="1" ht="14.25" x14ac:dyDescent="0.2">
      <c r="A1317" s="381" t="s">
        <v>4720</v>
      </c>
      <c r="B1317" s="381" t="s">
        <v>324</v>
      </c>
      <c r="C1317" s="413" t="s">
        <v>87</v>
      </c>
      <c r="D1317" s="381" t="s">
        <v>4803</v>
      </c>
      <c r="E1317" s="383" t="s">
        <v>3420</v>
      </c>
      <c r="F1317" s="381" t="s">
        <v>88</v>
      </c>
      <c r="G1317" s="384"/>
      <c r="H1317" s="24"/>
      <c r="I1317" s="24"/>
      <c r="J1317" s="25" t="str">
        <f t="shared" si="61"/>
        <v xml:space="preserve"> </v>
      </c>
      <c r="K1317" s="385"/>
      <c r="L1317" s="385"/>
      <c r="M1317" s="386">
        <f t="shared" si="63"/>
        <v>0</v>
      </c>
      <c r="N1317" s="496">
        <v>120</v>
      </c>
      <c r="O1317" s="333">
        <f t="shared" si="62"/>
        <v>120</v>
      </c>
      <c r="R1317" s="23" t="str">
        <f>VLOOKUP(C:C,'Historic Data - working'!A:B,1,FALSE)</f>
        <v>POR041</v>
      </c>
      <c r="U1317" s="323"/>
      <c r="V1317" s="323"/>
      <c r="W1317" s="323"/>
    </row>
    <row r="1318" spans="1:23" s="23" customFormat="1" ht="14.25" x14ac:dyDescent="0.2">
      <c r="A1318" s="381" t="s">
        <v>4720</v>
      </c>
      <c r="B1318" s="381" t="s">
        <v>324</v>
      </c>
      <c r="C1318" s="413" t="s">
        <v>4804</v>
      </c>
      <c r="D1318" s="381" t="s">
        <v>4805</v>
      </c>
      <c r="E1318" s="383" t="s">
        <v>4806</v>
      </c>
      <c r="F1318" s="381" t="s">
        <v>4807</v>
      </c>
      <c r="G1318" s="384"/>
      <c r="H1318" s="24"/>
      <c r="I1318" s="24"/>
      <c r="J1318" s="25" t="str">
        <f t="shared" si="61"/>
        <v xml:space="preserve"> </v>
      </c>
      <c r="K1318" s="385"/>
      <c r="L1318" s="385"/>
      <c r="M1318" s="386">
        <f t="shared" si="63"/>
        <v>0</v>
      </c>
      <c r="N1318" s="496"/>
      <c r="O1318" s="333">
        <f t="shared" si="62"/>
        <v>0</v>
      </c>
      <c r="R1318" s="23" t="e">
        <f>VLOOKUP(C:C,'Historic Data - working'!A:B,1,FALSE)</f>
        <v>#N/A</v>
      </c>
      <c r="U1318" s="323"/>
      <c r="V1318" s="323"/>
      <c r="W1318" s="323"/>
    </row>
    <row r="1319" spans="1:23" s="23" customFormat="1" ht="14.25" x14ac:dyDescent="0.2">
      <c r="A1319" s="381" t="s">
        <v>4720</v>
      </c>
      <c r="B1319" s="381" t="s">
        <v>351</v>
      </c>
      <c r="C1319" s="413" t="s">
        <v>90</v>
      </c>
      <c r="D1319" s="381" t="s">
        <v>4808</v>
      </c>
      <c r="E1319" s="383" t="s">
        <v>4809</v>
      </c>
      <c r="F1319" s="381" t="s">
        <v>269</v>
      </c>
      <c r="G1319" s="384" t="s">
        <v>394</v>
      </c>
      <c r="H1319" s="24">
        <f>412.15+420.04</f>
        <v>832.19</v>
      </c>
      <c r="I1319" s="24"/>
      <c r="J1319" s="25" t="str">
        <f t="shared" si="61"/>
        <v>1</v>
      </c>
      <c r="K1319" s="385"/>
      <c r="L1319" s="385"/>
      <c r="M1319" s="386">
        <f t="shared" si="63"/>
        <v>832.19</v>
      </c>
      <c r="N1319" s="496">
        <v>1608</v>
      </c>
      <c r="O1319" s="333">
        <f t="shared" si="62"/>
        <v>2440.19</v>
      </c>
      <c r="R1319" s="23" t="str">
        <f>VLOOKUP(C:C,'Historic Data - working'!A:B,1,FALSE)</f>
        <v>POR042</v>
      </c>
      <c r="U1319" s="323"/>
      <c r="V1319" s="323"/>
      <c r="W1319" s="323"/>
    </row>
    <row r="1320" spans="1:23" s="23" customFormat="1" ht="14.25" x14ac:dyDescent="0.2">
      <c r="A1320" s="381" t="s">
        <v>4720</v>
      </c>
      <c r="B1320" s="381" t="s">
        <v>351</v>
      </c>
      <c r="C1320" s="413" t="s">
        <v>4810</v>
      </c>
      <c r="D1320" s="381" t="s">
        <v>4811</v>
      </c>
      <c r="E1320" s="383" t="s">
        <v>4812</v>
      </c>
      <c r="F1320" s="381" t="s">
        <v>269</v>
      </c>
      <c r="G1320" s="384"/>
      <c r="H1320" s="24"/>
      <c r="I1320" s="24"/>
      <c r="J1320" s="25" t="str">
        <f t="shared" si="61"/>
        <v xml:space="preserve"> </v>
      </c>
      <c r="K1320" s="385"/>
      <c r="L1320" s="385"/>
      <c r="M1320" s="386">
        <f t="shared" si="63"/>
        <v>0</v>
      </c>
      <c r="N1320" s="496"/>
      <c r="O1320" s="333">
        <f t="shared" si="62"/>
        <v>0</v>
      </c>
      <c r="R1320" s="23" t="e">
        <f>VLOOKUP(C:C,'Historic Data - working'!A:B,1,FALSE)</f>
        <v>#N/A</v>
      </c>
      <c r="U1320" s="323"/>
      <c r="V1320" s="323"/>
      <c r="W1320" s="323"/>
    </row>
    <row r="1321" spans="1:23" s="23" customFormat="1" ht="14.25" x14ac:dyDescent="0.2">
      <c r="A1321" s="381" t="s">
        <v>4720</v>
      </c>
      <c r="B1321" s="381" t="s">
        <v>351</v>
      </c>
      <c r="C1321" s="413" t="s">
        <v>92</v>
      </c>
      <c r="D1321" s="381" t="s">
        <v>4813</v>
      </c>
      <c r="E1321" s="383" t="s">
        <v>4814</v>
      </c>
      <c r="F1321" s="381" t="s">
        <v>93</v>
      </c>
      <c r="G1321" s="384" t="s">
        <v>329</v>
      </c>
      <c r="H1321" s="24">
        <f>65.99+88.94+100.21+63.51</f>
        <v>318.64999999999998</v>
      </c>
      <c r="I1321" s="24"/>
      <c r="J1321" s="25" t="str">
        <f t="shared" si="61"/>
        <v>1</v>
      </c>
      <c r="K1321" s="385" t="s">
        <v>4815</v>
      </c>
      <c r="L1321" s="385">
        <v>43.65</v>
      </c>
      <c r="M1321" s="386">
        <f t="shared" si="63"/>
        <v>362.29999999999995</v>
      </c>
      <c r="N1321" s="496"/>
      <c r="O1321" s="333">
        <f t="shared" si="62"/>
        <v>362.29999999999995</v>
      </c>
      <c r="R1321" s="23" t="str">
        <f>VLOOKUP(C:C,'Historic Data - working'!A:B,1,FALSE)</f>
        <v>POR043</v>
      </c>
      <c r="U1321" s="323"/>
      <c r="V1321" s="323"/>
      <c r="W1321" s="323"/>
    </row>
    <row r="1322" spans="1:23" s="23" customFormat="1" ht="14.25" x14ac:dyDescent="0.2">
      <c r="A1322" s="381" t="s">
        <v>4720</v>
      </c>
      <c r="B1322" s="381" t="s">
        <v>351</v>
      </c>
      <c r="C1322" s="413" t="s">
        <v>4816</v>
      </c>
      <c r="D1322" s="381" t="s">
        <v>4817</v>
      </c>
      <c r="E1322" s="383" t="s">
        <v>4818</v>
      </c>
      <c r="F1322" s="381" t="s">
        <v>93</v>
      </c>
      <c r="G1322" s="384"/>
      <c r="H1322" s="24"/>
      <c r="I1322" s="24"/>
      <c r="J1322" s="25" t="str">
        <f t="shared" si="61"/>
        <v xml:space="preserve"> </v>
      </c>
      <c r="K1322" s="385"/>
      <c r="L1322" s="385"/>
      <c r="M1322" s="386">
        <f t="shared" si="63"/>
        <v>0</v>
      </c>
      <c r="N1322" s="496"/>
      <c r="O1322" s="333">
        <f t="shared" si="62"/>
        <v>0</v>
      </c>
      <c r="R1322" s="23" t="e">
        <f>VLOOKUP(C:C,'Historic Data - working'!A:B,1,FALSE)</f>
        <v>#N/A</v>
      </c>
      <c r="U1322" s="323"/>
      <c r="V1322" s="323"/>
      <c r="W1322" s="323"/>
    </row>
    <row r="1323" spans="1:23" s="23" customFormat="1" ht="28.5" x14ac:dyDescent="0.2">
      <c r="A1323" s="381" t="s">
        <v>4720</v>
      </c>
      <c r="B1323" s="381" t="s">
        <v>324</v>
      </c>
      <c r="C1323" s="413" t="s">
        <v>95</v>
      </c>
      <c r="D1323" s="381" t="s">
        <v>4819</v>
      </c>
      <c r="E1323" s="383" t="s">
        <v>4820</v>
      </c>
      <c r="F1323" s="381" t="s">
        <v>96</v>
      </c>
      <c r="G1323" s="384" t="s">
        <v>329</v>
      </c>
      <c r="H1323" s="24">
        <v>2387.14</v>
      </c>
      <c r="I1323" s="24"/>
      <c r="J1323" s="25" t="str">
        <f t="shared" si="61"/>
        <v>1</v>
      </c>
      <c r="K1323" s="385" t="s">
        <v>4821</v>
      </c>
      <c r="L1323" s="385">
        <v>285.2</v>
      </c>
      <c r="M1323" s="386">
        <f t="shared" si="63"/>
        <v>2672.3399999999997</v>
      </c>
      <c r="N1323" s="496">
        <v>780</v>
      </c>
      <c r="O1323" s="333">
        <f t="shared" si="62"/>
        <v>3452.3399999999997</v>
      </c>
      <c r="R1323" s="23" t="str">
        <f>VLOOKUP(C:C,'Historic Data - working'!A:B,1,FALSE)</f>
        <v>POR044</v>
      </c>
      <c r="U1323" s="323"/>
      <c r="V1323" s="323"/>
      <c r="W1323" s="323"/>
    </row>
    <row r="1324" spans="1:23" s="23" customFormat="1" ht="28.5" x14ac:dyDescent="0.2">
      <c r="A1324" s="381" t="s">
        <v>4720</v>
      </c>
      <c r="B1324" s="381" t="s">
        <v>351</v>
      </c>
      <c r="C1324" s="413" t="s">
        <v>4822</v>
      </c>
      <c r="D1324" s="381" t="s">
        <v>4823</v>
      </c>
      <c r="E1324" s="383" t="s">
        <v>4824</v>
      </c>
      <c r="F1324" s="381" t="s">
        <v>96</v>
      </c>
      <c r="G1324" s="384" t="s">
        <v>394</v>
      </c>
      <c r="H1324" s="24">
        <v>0</v>
      </c>
      <c r="I1324" s="24">
        <v>0</v>
      </c>
      <c r="J1324" s="25" t="str">
        <f t="shared" si="61"/>
        <v>1</v>
      </c>
      <c r="K1324" s="385" t="s">
        <v>4825</v>
      </c>
      <c r="L1324" s="385"/>
      <c r="M1324" s="386">
        <f t="shared" si="63"/>
        <v>0</v>
      </c>
      <c r="N1324" s="496"/>
      <c r="O1324" s="333">
        <f t="shared" si="62"/>
        <v>0</v>
      </c>
      <c r="R1324" s="23" t="e">
        <f>VLOOKUP(C:C,'Historic Data - working'!A:B,1,FALSE)</f>
        <v>#N/A</v>
      </c>
      <c r="U1324" s="323"/>
      <c r="V1324" s="323"/>
      <c r="W1324" s="323"/>
    </row>
    <row r="1325" spans="1:23" s="23" customFormat="1" ht="28.5" x14ac:dyDescent="0.2">
      <c r="A1325" s="381" t="s">
        <v>4720</v>
      </c>
      <c r="B1325" s="381" t="s">
        <v>351</v>
      </c>
      <c r="C1325" s="413" t="s">
        <v>4826</v>
      </c>
      <c r="D1325" s="381" t="s">
        <v>4827</v>
      </c>
      <c r="E1325" s="383" t="s">
        <v>4828</v>
      </c>
      <c r="F1325" s="381" t="s">
        <v>96</v>
      </c>
      <c r="G1325" s="384"/>
      <c r="H1325" s="24"/>
      <c r="I1325" s="24"/>
      <c r="J1325" s="25" t="str">
        <f t="shared" ref="J1325:J1388" si="64">IF(G1325="Y","1"," ")</f>
        <v xml:space="preserve"> </v>
      </c>
      <c r="K1325" s="385"/>
      <c r="L1325" s="385"/>
      <c r="M1325" s="386">
        <f t="shared" si="63"/>
        <v>0</v>
      </c>
      <c r="N1325" s="496"/>
      <c r="O1325" s="333">
        <f t="shared" si="62"/>
        <v>0</v>
      </c>
      <c r="R1325" s="23" t="e">
        <f>VLOOKUP(C:C,'Historic Data - working'!A:B,1,FALSE)</f>
        <v>#N/A</v>
      </c>
      <c r="U1325" s="323"/>
      <c r="V1325" s="323"/>
      <c r="W1325" s="323"/>
    </row>
    <row r="1326" spans="1:23" s="23" customFormat="1" ht="14.25" x14ac:dyDescent="0.2">
      <c r="A1326" s="381" t="s">
        <v>4720</v>
      </c>
      <c r="B1326" s="381" t="s">
        <v>324</v>
      </c>
      <c r="C1326" s="413" t="s">
        <v>98</v>
      </c>
      <c r="D1326" s="381" t="s">
        <v>4829</v>
      </c>
      <c r="E1326" s="383" t="s">
        <v>977</v>
      </c>
      <c r="F1326" s="381" t="s">
        <v>99</v>
      </c>
      <c r="G1326" s="384" t="s">
        <v>329</v>
      </c>
      <c r="H1326" s="24">
        <f>455.31+87.77+269.22</f>
        <v>812.30000000000007</v>
      </c>
      <c r="I1326" s="24"/>
      <c r="J1326" s="25" t="str">
        <f t="shared" si="64"/>
        <v>1</v>
      </c>
      <c r="K1326" s="385"/>
      <c r="L1326" s="385"/>
      <c r="M1326" s="386">
        <f t="shared" si="63"/>
        <v>812.30000000000007</v>
      </c>
      <c r="N1326" s="496">
        <v>220</v>
      </c>
      <c r="O1326" s="333">
        <f t="shared" si="62"/>
        <v>1032.3000000000002</v>
      </c>
      <c r="R1326" s="23" t="str">
        <f>VLOOKUP(C:C,'Historic Data - working'!A:B,1,FALSE)</f>
        <v>POR045</v>
      </c>
      <c r="U1326" s="323"/>
      <c r="V1326" s="323"/>
      <c r="W1326" s="323"/>
    </row>
    <row r="1327" spans="1:23" s="23" customFormat="1" ht="14.25" x14ac:dyDescent="0.2">
      <c r="A1327" s="381" t="s">
        <v>4720</v>
      </c>
      <c r="B1327" s="381" t="s">
        <v>324</v>
      </c>
      <c r="C1327" s="413" t="s">
        <v>101</v>
      </c>
      <c r="D1327" s="381" t="s">
        <v>4830</v>
      </c>
      <c r="E1327" s="383" t="s">
        <v>102</v>
      </c>
      <c r="F1327" s="381" t="s">
        <v>99</v>
      </c>
      <c r="G1327" s="384" t="s">
        <v>329</v>
      </c>
      <c r="H1327" s="24">
        <v>1262.94</v>
      </c>
      <c r="I1327" s="24"/>
      <c r="J1327" s="25" t="str">
        <f t="shared" si="64"/>
        <v>1</v>
      </c>
      <c r="K1327" s="385"/>
      <c r="L1327" s="385"/>
      <c r="M1327" s="386">
        <f t="shared" si="63"/>
        <v>1262.94</v>
      </c>
      <c r="N1327" s="496">
        <v>300</v>
      </c>
      <c r="O1327" s="333">
        <f t="shared" si="62"/>
        <v>1562.94</v>
      </c>
      <c r="R1327" s="23" t="str">
        <f>VLOOKUP(C:C,'Historic Data - working'!A:B,1,FALSE)</f>
        <v>POR046</v>
      </c>
      <c r="U1327" s="323"/>
      <c r="V1327" s="323"/>
      <c r="W1327" s="323"/>
    </row>
    <row r="1328" spans="1:23" s="23" customFormat="1" ht="14.25" x14ac:dyDescent="0.2">
      <c r="A1328" s="381" t="s">
        <v>4720</v>
      </c>
      <c r="B1328" s="381" t="s">
        <v>324</v>
      </c>
      <c r="C1328" s="413" t="s">
        <v>4831</v>
      </c>
      <c r="D1328" s="381" t="s">
        <v>4832</v>
      </c>
      <c r="E1328" s="383" t="s">
        <v>4833</v>
      </c>
      <c r="F1328" s="381" t="s">
        <v>99</v>
      </c>
      <c r="G1328" s="384"/>
      <c r="H1328" s="24"/>
      <c r="I1328" s="24"/>
      <c r="J1328" s="25" t="str">
        <f t="shared" si="64"/>
        <v xml:space="preserve"> </v>
      </c>
      <c r="K1328" s="385"/>
      <c r="L1328" s="385"/>
      <c r="M1328" s="386">
        <f t="shared" si="63"/>
        <v>0</v>
      </c>
      <c r="N1328" s="496"/>
      <c r="O1328" s="333">
        <f t="shared" si="62"/>
        <v>0</v>
      </c>
      <c r="R1328" s="23" t="e">
        <f>VLOOKUP(C:C,'Historic Data - working'!A:B,1,FALSE)</f>
        <v>#N/A</v>
      </c>
      <c r="U1328" s="323"/>
      <c r="V1328" s="323"/>
      <c r="W1328" s="323"/>
    </row>
    <row r="1329" spans="1:23" s="23" customFormat="1" ht="28.5" x14ac:dyDescent="0.2">
      <c r="A1329" s="381" t="s">
        <v>4720</v>
      </c>
      <c r="B1329" s="381" t="s">
        <v>351</v>
      </c>
      <c r="C1329" s="413" t="s">
        <v>4834</v>
      </c>
      <c r="D1329" s="381" t="s">
        <v>4835</v>
      </c>
      <c r="E1329" s="383" t="s">
        <v>4836</v>
      </c>
      <c r="F1329" s="381" t="s">
        <v>4797</v>
      </c>
      <c r="G1329" s="384" t="s">
        <v>329</v>
      </c>
      <c r="H1329" s="24">
        <f>378+735.42+1185.89</f>
        <v>2299.3100000000004</v>
      </c>
      <c r="I1329" s="24"/>
      <c r="J1329" s="25" t="str">
        <f t="shared" si="64"/>
        <v>1</v>
      </c>
      <c r="K1329" s="387"/>
      <c r="L1329" s="385"/>
      <c r="M1329" s="386">
        <f t="shared" si="63"/>
        <v>2299.3100000000004</v>
      </c>
      <c r="N1329" s="496">
        <v>405</v>
      </c>
      <c r="O1329" s="334">
        <f t="shared" si="62"/>
        <v>2704.3100000000004</v>
      </c>
      <c r="P1329" s="351"/>
      <c r="Q1329" s="331"/>
      <c r="R1329" s="331" t="e">
        <f>VLOOKUP(C:C,'Historic Data - working'!A:B,1,FALSE)</f>
        <v>#N/A</v>
      </c>
      <c r="U1329" s="323"/>
      <c r="V1329" s="323"/>
      <c r="W1329" s="323"/>
    </row>
    <row r="1330" spans="1:23" s="23" customFormat="1" ht="14.25" x14ac:dyDescent="0.2">
      <c r="A1330" s="381" t="s">
        <v>4720</v>
      </c>
      <c r="B1330" s="381" t="s">
        <v>324</v>
      </c>
      <c r="C1330" s="413" t="s">
        <v>106</v>
      </c>
      <c r="D1330" s="381" t="s">
        <v>4837</v>
      </c>
      <c r="E1330" s="383" t="s">
        <v>108</v>
      </c>
      <c r="F1330" s="381" t="s">
        <v>107</v>
      </c>
      <c r="G1330" s="384" t="s">
        <v>329</v>
      </c>
      <c r="H1330" s="24">
        <v>488.18</v>
      </c>
      <c r="I1330" s="24"/>
      <c r="J1330" s="25" t="str">
        <f t="shared" si="64"/>
        <v>1</v>
      </c>
      <c r="K1330" s="385"/>
      <c r="L1330" s="385"/>
      <c r="M1330" s="386">
        <f t="shared" si="63"/>
        <v>488.18</v>
      </c>
      <c r="N1330" s="496">
        <v>708.5</v>
      </c>
      <c r="O1330" s="333">
        <f t="shared" si="62"/>
        <v>1196.68</v>
      </c>
      <c r="R1330" s="23" t="str">
        <f>VLOOKUP(C:C,'Historic Data - working'!A:B,1,FALSE)</f>
        <v>POR050</v>
      </c>
      <c r="U1330" s="323"/>
      <c r="V1330" s="323"/>
      <c r="W1330" s="323"/>
    </row>
    <row r="1331" spans="1:23" s="23" customFormat="1" ht="14.25" x14ac:dyDescent="0.2">
      <c r="A1331" s="381" t="s">
        <v>4720</v>
      </c>
      <c r="B1331" s="381" t="s">
        <v>324</v>
      </c>
      <c r="C1331" s="413" t="s">
        <v>109</v>
      </c>
      <c r="D1331" s="381" t="s">
        <v>4838</v>
      </c>
      <c r="E1331" s="383" t="s">
        <v>4839</v>
      </c>
      <c r="F1331" s="381" t="s">
        <v>110</v>
      </c>
      <c r="G1331" s="384"/>
      <c r="H1331" s="24"/>
      <c r="I1331" s="24"/>
      <c r="J1331" s="25" t="str">
        <f t="shared" si="64"/>
        <v xml:space="preserve"> </v>
      </c>
      <c r="K1331" s="385"/>
      <c r="L1331" s="385"/>
      <c r="M1331" s="386">
        <f t="shared" si="63"/>
        <v>0</v>
      </c>
      <c r="N1331" s="496">
        <v>175</v>
      </c>
      <c r="O1331" s="333">
        <f t="shared" si="62"/>
        <v>175</v>
      </c>
      <c r="R1331" s="23" t="str">
        <f>VLOOKUP(C:C,'Historic Data - working'!A:B,1,FALSE)</f>
        <v>POR051</v>
      </c>
      <c r="U1331" s="323"/>
      <c r="V1331" s="323"/>
      <c r="W1331" s="323"/>
    </row>
    <row r="1332" spans="1:23" s="23" customFormat="1" ht="14.25" x14ac:dyDescent="0.2">
      <c r="A1332" s="381" t="s">
        <v>4720</v>
      </c>
      <c r="B1332" s="381" t="s">
        <v>351</v>
      </c>
      <c r="C1332" s="413" t="s">
        <v>111</v>
      </c>
      <c r="D1332" s="381" t="s">
        <v>4840</v>
      </c>
      <c r="E1332" s="383" t="s">
        <v>4841</v>
      </c>
      <c r="F1332" s="381" t="s">
        <v>46</v>
      </c>
      <c r="G1332" s="384" t="s">
        <v>329</v>
      </c>
      <c r="H1332" s="24">
        <f>52.71+25.43+60.44</f>
        <v>138.57999999999998</v>
      </c>
      <c r="I1332" s="24"/>
      <c r="J1332" s="25" t="str">
        <f t="shared" si="64"/>
        <v>1</v>
      </c>
      <c r="K1332" s="385"/>
      <c r="L1332" s="385"/>
      <c r="M1332" s="386">
        <f t="shared" si="63"/>
        <v>138.57999999999998</v>
      </c>
      <c r="N1332" s="496">
        <v>95</v>
      </c>
      <c r="O1332" s="333">
        <f t="shared" si="62"/>
        <v>233.57999999999998</v>
      </c>
      <c r="R1332" s="23" t="str">
        <f>VLOOKUP(C:C,'Historic Data - working'!A:B,1,FALSE)</f>
        <v>POR052</v>
      </c>
      <c r="U1332" s="323"/>
      <c r="V1332" s="323"/>
      <c r="W1332" s="323"/>
    </row>
    <row r="1333" spans="1:23" s="23" customFormat="1" ht="28.5" x14ac:dyDescent="0.2">
      <c r="A1333" s="381" t="s">
        <v>4720</v>
      </c>
      <c r="B1333" s="381" t="s">
        <v>351</v>
      </c>
      <c r="C1333" s="413" t="s">
        <v>116</v>
      </c>
      <c r="D1333" s="381" t="s">
        <v>4842</v>
      </c>
      <c r="E1333" s="383" t="s">
        <v>4843</v>
      </c>
      <c r="F1333" s="381" t="s">
        <v>114</v>
      </c>
      <c r="G1333" s="384"/>
      <c r="H1333" s="24"/>
      <c r="I1333" s="24"/>
      <c r="J1333" s="25" t="str">
        <f t="shared" si="64"/>
        <v xml:space="preserve"> </v>
      </c>
      <c r="K1333" s="385"/>
      <c r="L1333" s="385"/>
      <c r="M1333" s="386">
        <f t="shared" si="63"/>
        <v>0</v>
      </c>
      <c r="N1333" s="496">
        <v>100</v>
      </c>
      <c r="O1333" s="333">
        <f t="shared" si="62"/>
        <v>100</v>
      </c>
      <c r="R1333" s="23" t="str">
        <f>VLOOKUP(C:C,'Historic Data - working'!A:B,1,FALSE)</f>
        <v>POR054</v>
      </c>
      <c r="U1333" s="323"/>
      <c r="V1333" s="323"/>
      <c r="W1333" s="323"/>
    </row>
    <row r="1334" spans="1:23" s="23" customFormat="1" ht="28.5" x14ac:dyDescent="0.2">
      <c r="A1334" s="381" t="s">
        <v>4720</v>
      </c>
      <c r="B1334" s="381" t="s">
        <v>351</v>
      </c>
      <c r="C1334" s="413" t="s">
        <v>113</v>
      </c>
      <c r="D1334" s="381" t="s">
        <v>4844</v>
      </c>
      <c r="E1334" s="383" t="s">
        <v>8285</v>
      </c>
      <c r="F1334" s="381" t="s">
        <v>114</v>
      </c>
      <c r="G1334" s="384" t="s">
        <v>329</v>
      </c>
      <c r="H1334" s="24">
        <f>297.19+261.9+244.81+247.81+221.84+288.15+194.7+116.48+383.48+744.54+48.79+260.41+415+67.58+207.43+167.29+373.09+214.98</f>
        <v>4755.4699999999993</v>
      </c>
      <c r="I1334" s="24"/>
      <c r="J1334" s="25" t="str">
        <f t="shared" si="64"/>
        <v>1</v>
      </c>
      <c r="K1334" s="385" t="s">
        <v>4846</v>
      </c>
      <c r="L1334" s="385">
        <v>-297.19</v>
      </c>
      <c r="M1334" s="386">
        <f t="shared" si="63"/>
        <v>4458.28</v>
      </c>
      <c r="N1334" s="496"/>
      <c r="O1334" s="333">
        <f t="shared" si="62"/>
        <v>4458.28</v>
      </c>
      <c r="R1334" s="23" t="str">
        <f>VLOOKUP(C:C,'Historic Data - working'!A:B,1,FALSE)</f>
        <v>POR053</v>
      </c>
      <c r="U1334" s="323"/>
      <c r="V1334" s="323"/>
      <c r="W1334" s="323"/>
    </row>
    <row r="1335" spans="1:23" s="23" customFormat="1" ht="28.5" x14ac:dyDescent="0.2">
      <c r="A1335" s="381" t="s">
        <v>4720</v>
      </c>
      <c r="B1335" s="381" t="s">
        <v>351</v>
      </c>
      <c r="C1335" s="413" t="s">
        <v>118</v>
      </c>
      <c r="D1335" s="381" t="s">
        <v>4847</v>
      </c>
      <c r="E1335" s="383" t="s">
        <v>4845</v>
      </c>
      <c r="F1335" s="381" t="s">
        <v>114</v>
      </c>
      <c r="G1335" s="384"/>
      <c r="H1335" s="24"/>
      <c r="I1335" s="24"/>
      <c r="J1335" s="25" t="str">
        <f t="shared" si="64"/>
        <v xml:space="preserve"> </v>
      </c>
      <c r="K1335" s="385"/>
      <c r="L1335" s="385"/>
      <c r="M1335" s="386">
        <f t="shared" si="63"/>
        <v>0</v>
      </c>
      <c r="N1335" s="496">
        <v>750</v>
      </c>
      <c r="O1335" s="333">
        <f t="shared" si="62"/>
        <v>750</v>
      </c>
      <c r="R1335" s="23" t="str">
        <f>VLOOKUP(C:C,'Historic Data - working'!A:B,1,FALSE)</f>
        <v>POR055</v>
      </c>
      <c r="U1335" s="323"/>
      <c r="V1335" s="323"/>
      <c r="W1335" s="323"/>
    </row>
    <row r="1336" spans="1:23" s="23" customFormat="1" ht="14.25" x14ac:dyDescent="0.2">
      <c r="A1336" s="381" t="s">
        <v>4720</v>
      </c>
      <c r="B1336" s="381" t="s">
        <v>351</v>
      </c>
      <c r="C1336" s="413" t="s">
        <v>120</v>
      </c>
      <c r="D1336" s="381" t="s">
        <v>4848</v>
      </c>
      <c r="E1336" s="383" t="s">
        <v>4849</v>
      </c>
      <c r="F1336" s="381" t="s">
        <v>4850</v>
      </c>
      <c r="G1336" s="384" t="s">
        <v>329</v>
      </c>
      <c r="H1336" s="24">
        <f>640.04+32.71+220.94+66.74+260.64+223.14+104.48+128</f>
        <v>1676.69</v>
      </c>
      <c r="I1336" s="24"/>
      <c r="J1336" s="25" t="str">
        <f t="shared" si="64"/>
        <v>1</v>
      </c>
      <c r="K1336" s="385"/>
      <c r="L1336" s="385"/>
      <c r="M1336" s="386">
        <f t="shared" si="63"/>
        <v>1676.69</v>
      </c>
      <c r="N1336" s="496">
        <v>667.5</v>
      </c>
      <c r="O1336" s="333">
        <f t="shared" si="62"/>
        <v>2344.19</v>
      </c>
      <c r="R1336" s="23" t="str">
        <f>VLOOKUP(C:C,'Historic Data - working'!A:B,1,FALSE)</f>
        <v>POR056</v>
      </c>
      <c r="U1336" s="323"/>
      <c r="V1336" s="323"/>
      <c r="W1336" s="323"/>
    </row>
    <row r="1337" spans="1:23" s="23" customFormat="1" ht="28.5" x14ac:dyDescent="0.2">
      <c r="A1337" s="381" t="s">
        <v>4720</v>
      </c>
      <c r="B1337" s="381" t="s">
        <v>351</v>
      </c>
      <c r="C1337" s="413" t="s">
        <v>4851</v>
      </c>
      <c r="D1337" s="381" t="s">
        <v>4852</v>
      </c>
      <c r="E1337" s="383" t="s">
        <v>4853</v>
      </c>
      <c r="F1337" s="381" t="s">
        <v>4850</v>
      </c>
      <c r="G1337" s="384"/>
      <c r="H1337" s="24"/>
      <c r="I1337" s="24"/>
      <c r="J1337" s="25" t="str">
        <f t="shared" si="64"/>
        <v xml:space="preserve"> </v>
      </c>
      <c r="K1337" s="385"/>
      <c r="L1337" s="385"/>
      <c r="M1337" s="386">
        <f t="shared" si="63"/>
        <v>0</v>
      </c>
      <c r="N1337" s="496"/>
      <c r="O1337" s="333">
        <f t="shared" si="62"/>
        <v>0</v>
      </c>
      <c r="R1337" s="23" t="e">
        <f>VLOOKUP(C:C,'Historic Data - working'!A:B,1,FALSE)</f>
        <v>#N/A</v>
      </c>
      <c r="U1337" s="323"/>
      <c r="V1337" s="323"/>
      <c r="W1337" s="323"/>
    </row>
    <row r="1338" spans="1:23" s="23" customFormat="1" ht="14.25" x14ac:dyDescent="0.2">
      <c r="A1338" s="381" t="s">
        <v>4720</v>
      </c>
      <c r="B1338" s="381" t="s">
        <v>324</v>
      </c>
      <c r="C1338" s="413" t="s">
        <v>122</v>
      </c>
      <c r="D1338" s="381" t="s">
        <v>4854</v>
      </c>
      <c r="E1338" s="383" t="s">
        <v>124</v>
      </c>
      <c r="F1338" s="381" t="s">
        <v>123</v>
      </c>
      <c r="G1338" s="384" t="s">
        <v>329</v>
      </c>
      <c r="H1338" s="24"/>
      <c r="I1338" s="24">
        <v>407.19</v>
      </c>
      <c r="J1338" s="25" t="str">
        <f t="shared" si="64"/>
        <v>1</v>
      </c>
      <c r="K1338" s="385"/>
      <c r="L1338" s="385"/>
      <c r="M1338" s="386">
        <f t="shared" si="63"/>
        <v>0</v>
      </c>
      <c r="N1338" s="496">
        <v>647.19000000000005</v>
      </c>
      <c r="O1338" s="333">
        <f t="shared" si="62"/>
        <v>647.19000000000005</v>
      </c>
      <c r="R1338" s="23" t="str">
        <f>VLOOKUP(C:C,'Historic Data - working'!A:B,1,FALSE)</f>
        <v>POR058</v>
      </c>
      <c r="U1338" s="323"/>
      <c r="V1338" s="323"/>
      <c r="W1338" s="323"/>
    </row>
    <row r="1339" spans="1:23" s="23" customFormat="1" ht="14.25" x14ac:dyDescent="0.2">
      <c r="A1339" s="381" t="s">
        <v>4720</v>
      </c>
      <c r="B1339" s="381" t="s">
        <v>351</v>
      </c>
      <c r="C1339" s="413" t="s">
        <v>125</v>
      </c>
      <c r="D1339" s="381" t="s">
        <v>4855</v>
      </c>
      <c r="E1339" s="383" t="s">
        <v>4856</v>
      </c>
      <c r="F1339" s="381" t="s">
        <v>233</v>
      </c>
      <c r="G1339" s="384" t="s">
        <v>329</v>
      </c>
      <c r="H1339" s="24">
        <v>66.5</v>
      </c>
      <c r="I1339" s="24"/>
      <c r="J1339" s="25" t="str">
        <f t="shared" si="64"/>
        <v>1</v>
      </c>
      <c r="K1339" s="385"/>
      <c r="L1339" s="385"/>
      <c r="M1339" s="386">
        <f t="shared" si="63"/>
        <v>66.5</v>
      </c>
      <c r="N1339" s="496">
        <v>160</v>
      </c>
      <c r="O1339" s="333">
        <f t="shared" si="62"/>
        <v>226.5</v>
      </c>
      <c r="R1339" s="23" t="str">
        <f>VLOOKUP(C:C,'Historic Data - working'!A:B,1,FALSE)</f>
        <v>POR059</v>
      </c>
      <c r="U1339" s="323"/>
      <c r="V1339" s="323"/>
      <c r="W1339" s="323"/>
    </row>
    <row r="1340" spans="1:23" s="23" customFormat="1" ht="14.25" x14ac:dyDescent="0.2">
      <c r="A1340" s="381" t="s">
        <v>4720</v>
      </c>
      <c r="B1340" s="381" t="s">
        <v>351</v>
      </c>
      <c r="C1340" s="413" t="s">
        <v>4857</v>
      </c>
      <c r="D1340" s="381" t="s">
        <v>4858</v>
      </c>
      <c r="E1340" s="383" t="s">
        <v>4859</v>
      </c>
      <c r="F1340" s="381" t="s">
        <v>233</v>
      </c>
      <c r="G1340" s="384"/>
      <c r="H1340" s="24"/>
      <c r="I1340" s="24"/>
      <c r="J1340" s="25" t="str">
        <f t="shared" si="64"/>
        <v xml:space="preserve"> </v>
      </c>
      <c r="K1340" s="385"/>
      <c r="L1340" s="385"/>
      <c r="M1340" s="386">
        <f t="shared" si="63"/>
        <v>0</v>
      </c>
      <c r="N1340" s="496"/>
      <c r="O1340" s="333">
        <f t="shared" si="62"/>
        <v>0</v>
      </c>
      <c r="R1340" s="23" t="e">
        <f>VLOOKUP(C:C,'Historic Data - working'!A:B,1,FALSE)</f>
        <v>#N/A</v>
      </c>
      <c r="U1340" s="323"/>
      <c r="V1340" s="323"/>
      <c r="W1340" s="323"/>
    </row>
    <row r="1341" spans="1:23" s="23" customFormat="1" ht="14.25" x14ac:dyDescent="0.2">
      <c r="A1341" s="381" t="s">
        <v>4720</v>
      </c>
      <c r="B1341" s="381" t="s">
        <v>324</v>
      </c>
      <c r="C1341" s="413" t="s">
        <v>128</v>
      </c>
      <c r="D1341" s="381" t="s">
        <v>4860</v>
      </c>
      <c r="E1341" s="383" t="s">
        <v>130</v>
      </c>
      <c r="F1341" s="381" t="s">
        <v>74</v>
      </c>
      <c r="G1341" s="384" t="s">
        <v>329</v>
      </c>
      <c r="H1341" s="24">
        <f>640.08+477.82+503.32+70</f>
        <v>1691.22</v>
      </c>
      <c r="I1341" s="24"/>
      <c r="J1341" s="25" t="str">
        <f t="shared" si="64"/>
        <v>1</v>
      </c>
      <c r="K1341" s="385"/>
      <c r="L1341" s="385"/>
      <c r="M1341" s="386">
        <f t="shared" si="63"/>
        <v>1691.22</v>
      </c>
      <c r="N1341" s="496"/>
      <c r="O1341" s="333">
        <f t="shared" si="62"/>
        <v>1691.22</v>
      </c>
      <c r="R1341" s="23" t="str">
        <f>VLOOKUP(C:C,'Historic Data - working'!A:B,1,FALSE)</f>
        <v>POR060</v>
      </c>
      <c r="U1341" s="323"/>
      <c r="V1341" s="323"/>
      <c r="W1341" s="323"/>
    </row>
    <row r="1342" spans="1:23" s="23" customFormat="1" ht="14.25" x14ac:dyDescent="0.2">
      <c r="A1342" s="381" t="s">
        <v>4720</v>
      </c>
      <c r="B1342" s="381" t="s">
        <v>351</v>
      </c>
      <c r="C1342" s="413" t="s">
        <v>131</v>
      </c>
      <c r="D1342" s="381" t="s">
        <v>4861</v>
      </c>
      <c r="E1342" s="383" t="s">
        <v>4862</v>
      </c>
      <c r="F1342" s="381" t="s">
        <v>4863</v>
      </c>
      <c r="G1342" s="384" t="s">
        <v>329</v>
      </c>
      <c r="H1342" s="24">
        <f>495.91+436.2</f>
        <v>932.11</v>
      </c>
      <c r="I1342" s="24"/>
      <c r="J1342" s="25" t="str">
        <f t="shared" si="64"/>
        <v>1</v>
      </c>
      <c r="K1342" s="385"/>
      <c r="L1342" s="385"/>
      <c r="M1342" s="386">
        <f t="shared" si="63"/>
        <v>932.11</v>
      </c>
      <c r="N1342" s="496">
        <v>120</v>
      </c>
      <c r="O1342" s="333">
        <f t="shared" si="62"/>
        <v>1052.1100000000001</v>
      </c>
      <c r="R1342" s="23" t="str">
        <f>VLOOKUP(C:C,'Historic Data - working'!A:B,1,FALSE)</f>
        <v>POR061</v>
      </c>
      <c r="U1342" s="323"/>
      <c r="V1342" s="323"/>
      <c r="W1342" s="323"/>
    </row>
    <row r="1343" spans="1:23" s="23" customFormat="1" ht="14.25" x14ac:dyDescent="0.2">
      <c r="A1343" s="381" t="s">
        <v>4720</v>
      </c>
      <c r="B1343" s="381" t="s">
        <v>351</v>
      </c>
      <c r="C1343" s="413" t="s">
        <v>4864</v>
      </c>
      <c r="D1343" s="381" t="s">
        <v>4865</v>
      </c>
      <c r="E1343" s="383" t="s">
        <v>4866</v>
      </c>
      <c r="F1343" s="381" t="s">
        <v>233</v>
      </c>
      <c r="G1343" s="384"/>
      <c r="H1343" s="24"/>
      <c r="I1343" s="24"/>
      <c r="J1343" s="25" t="str">
        <f t="shared" si="64"/>
        <v xml:space="preserve"> </v>
      </c>
      <c r="K1343" s="385"/>
      <c r="L1343" s="385"/>
      <c r="M1343" s="386">
        <f t="shared" si="63"/>
        <v>0</v>
      </c>
      <c r="N1343" s="496"/>
      <c r="O1343" s="333">
        <f t="shared" si="62"/>
        <v>0</v>
      </c>
      <c r="R1343" s="23" t="e">
        <f>VLOOKUP(C:C,'Historic Data - working'!A:B,1,FALSE)</f>
        <v>#N/A</v>
      </c>
      <c r="U1343" s="323"/>
      <c r="V1343" s="323"/>
      <c r="W1343" s="323"/>
    </row>
    <row r="1344" spans="1:23" s="23" customFormat="1" ht="14.25" x14ac:dyDescent="0.2">
      <c r="A1344" s="381" t="s">
        <v>4720</v>
      </c>
      <c r="B1344" s="381" t="s">
        <v>324</v>
      </c>
      <c r="C1344" s="413" t="s">
        <v>134</v>
      </c>
      <c r="D1344" s="381" t="s">
        <v>4867</v>
      </c>
      <c r="E1344" s="383" t="s">
        <v>428</v>
      </c>
      <c r="F1344" s="381" t="s">
        <v>135</v>
      </c>
      <c r="G1344" s="384"/>
      <c r="H1344" s="24"/>
      <c r="I1344" s="24"/>
      <c r="J1344" s="25" t="str">
        <f t="shared" si="64"/>
        <v xml:space="preserve"> </v>
      </c>
      <c r="K1344" s="385"/>
      <c r="L1344" s="385"/>
      <c r="M1344" s="386">
        <f t="shared" si="63"/>
        <v>0</v>
      </c>
      <c r="N1344" s="496">
        <v>395</v>
      </c>
      <c r="O1344" s="333">
        <f t="shared" si="62"/>
        <v>395</v>
      </c>
      <c r="R1344" s="23" t="str">
        <f>VLOOKUP(C:C,'Historic Data - working'!A:B,1,FALSE)</f>
        <v>POR062</v>
      </c>
      <c r="U1344" s="323"/>
      <c r="V1344" s="323"/>
      <c r="W1344" s="323"/>
    </row>
    <row r="1345" spans="1:23" s="23" customFormat="1" ht="28.5" x14ac:dyDescent="0.2">
      <c r="A1345" s="381" t="s">
        <v>4720</v>
      </c>
      <c r="B1345" s="381" t="s">
        <v>351</v>
      </c>
      <c r="C1345" s="413" t="s">
        <v>137</v>
      </c>
      <c r="D1345" s="381" t="s">
        <v>4868</v>
      </c>
      <c r="E1345" s="383" t="s">
        <v>4869</v>
      </c>
      <c r="F1345" s="381" t="s">
        <v>293</v>
      </c>
      <c r="G1345" s="384"/>
      <c r="H1345" s="24"/>
      <c r="I1345" s="24"/>
      <c r="J1345" s="25" t="str">
        <f t="shared" si="64"/>
        <v xml:space="preserve"> </v>
      </c>
      <c r="K1345" s="385" t="s">
        <v>337</v>
      </c>
      <c r="L1345" s="385">
        <v>223.15</v>
      </c>
      <c r="M1345" s="386">
        <f t="shared" si="63"/>
        <v>223.15</v>
      </c>
      <c r="N1345" s="496">
        <v>50</v>
      </c>
      <c r="O1345" s="333">
        <f t="shared" si="62"/>
        <v>273.14999999999998</v>
      </c>
      <c r="R1345" s="23" t="str">
        <f>VLOOKUP(C:C,'Historic Data - working'!A:B,1,FALSE)</f>
        <v>POR062A</v>
      </c>
      <c r="U1345" s="323"/>
      <c r="V1345" s="323"/>
      <c r="W1345" s="323"/>
    </row>
    <row r="1346" spans="1:23" s="23" customFormat="1" ht="14.25" x14ac:dyDescent="0.2">
      <c r="A1346" s="381" t="s">
        <v>4720</v>
      </c>
      <c r="B1346" s="381" t="s">
        <v>324</v>
      </c>
      <c r="C1346" s="413" t="s">
        <v>139</v>
      </c>
      <c r="D1346" s="381" t="s">
        <v>4870</v>
      </c>
      <c r="E1346" s="383" t="s">
        <v>141</v>
      </c>
      <c r="F1346" s="381" t="s">
        <v>140</v>
      </c>
      <c r="G1346" s="384" t="s">
        <v>329</v>
      </c>
      <c r="H1346" s="24">
        <f>235.97+50+565.89+41.76</f>
        <v>893.62</v>
      </c>
      <c r="I1346" s="24"/>
      <c r="J1346" s="25" t="str">
        <f t="shared" si="64"/>
        <v>1</v>
      </c>
      <c r="K1346" s="385"/>
      <c r="L1346" s="385"/>
      <c r="M1346" s="386">
        <f t="shared" si="63"/>
        <v>893.62</v>
      </c>
      <c r="N1346" s="496">
        <v>90</v>
      </c>
      <c r="O1346" s="333">
        <f t="shared" ref="O1346:O1409" si="65">M1346+N1346</f>
        <v>983.62</v>
      </c>
      <c r="R1346" s="23" t="str">
        <f>VLOOKUP(C:C,'Historic Data - working'!A:B,1,FALSE)</f>
        <v>POR063</v>
      </c>
      <c r="U1346" s="323"/>
      <c r="V1346" s="323"/>
      <c r="W1346" s="323"/>
    </row>
    <row r="1347" spans="1:23" s="23" customFormat="1" ht="28.5" x14ac:dyDescent="0.2">
      <c r="A1347" s="381" t="s">
        <v>4720</v>
      </c>
      <c r="B1347" s="381" t="s">
        <v>351</v>
      </c>
      <c r="C1347" s="413" t="s">
        <v>142</v>
      </c>
      <c r="D1347" s="381" t="s">
        <v>4871</v>
      </c>
      <c r="E1347" s="383" t="s">
        <v>4872</v>
      </c>
      <c r="F1347" s="381" t="s">
        <v>143</v>
      </c>
      <c r="G1347" s="384" t="s">
        <v>329</v>
      </c>
      <c r="H1347" s="24">
        <v>1158.24</v>
      </c>
      <c r="I1347" s="24"/>
      <c r="J1347" s="25" t="str">
        <f t="shared" si="64"/>
        <v>1</v>
      </c>
      <c r="K1347" s="385" t="s">
        <v>4873</v>
      </c>
      <c r="L1347" s="385"/>
      <c r="M1347" s="386">
        <f t="shared" ref="M1347:M1410" si="66">H1347+L1347</f>
        <v>1158.24</v>
      </c>
      <c r="N1347" s="496">
        <v>880</v>
      </c>
      <c r="O1347" s="333">
        <f t="shared" si="65"/>
        <v>2038.24</v>
      </c>
      <c r="R1347" s="23" t="str">
        <f>VLOOKUP(C:C,'Historic Data - working'!A:B,1,FALSE)</f>
        <v>POR065</v>
      </c>
      <c r="U1347" s="323"/>
      <c r="V1347" s="323"/>
      <c r="W1347" s="323"/>
    </row>
    <row r="1348" spans="1:23" s="23" customFormat="1" ht="14.25" x14ac:dyDescent="0.2">
      <c r="A1348" s="381" t="s">
        <v>4720</v>
      </c>
      <c r="B1348" s="381" t="s">
        <v>351</v>
      </c>
      <c r="C1348" s="413" t="s">
        <v>145</v>
      </c>
      <c r="D1348" s="381" t="s">
        <v>4874</v>
      </c>
      <c r="E1348" s="383" t="s">
        <v>4875</v>
      </c>
      <c r="F1348" s="381" t="s">
        <v>143</v>
      </c>
      <c r="G1348" s="384" t="s">
        <v>329</v>
      </c>
      <c r="H1348" s="24">
        <v>0</v>
      </c>
      <c r="I1348" s="24">
        <v>0</v>
      </c>
      <c r="J1348" s="25" t="str">
        <f t="shared" si="64"/>
        <v>1</v>
      </c>
      <c r="K1348" s="385" t="s">
        <v>4876</v>
      </c>
      <c r="L1348" s="385"/>
      <c r="M1348" s="386">
        <f t="shared" si="66"/>
        <v>0</v>
      </c>
      <c r="N1348" s="496">
        <v>285</v>
      </c>
      <c r="O1348" s="333">
        <f t="shared" si="65"/>
        <v>285</v>
      </c>
      <c r="R1348" s="23" t="str">
        <f>VLOOKUP(C:C,'Historic Data - working'!A:B,1,FALSE)</f>
        <v>POR066</v>
      </c>
      <c r="U1348" s="323"/>
      <c r="V1348" s="323"/>
      <c r="W1348" s="323"/>
    </row>
    <row r="1349" spans="1:23" s="23" customFormat="1" ht="14.25" x14ac:dyDescent="0.2">
      <c r="A1349" s="381" t="s">
        <v>4720</v>
      </c>
      <c r="B1349" s="381" t="s">
        <v>324</v>
      </c>
      <c r="C1349" s="413" t="s">
        <v>4877</v>
      </c>
      <c r="D1349" s="381" t="s">
        <v>4878</v>
      </c>
      <c r="E1349" s="383" t="s">
        <v>4879</v>
      </c>
      <c r="F1349" s="381" t="s">
        <v>143</v>
      </c>
      <c r="G1349" s="384"/>
      <c r="H1349" s="24"/>
      <c r="I1349" s="24"/>
      <c r="J1349" s="25" t="str">
        <f t="shared" si="64"/>
        <v xml:space="preserve"> </v>
      </c>
      <c r="K1349" s="385"/>
      <c r="L1349" s="385"/>
      <c r="M1349" s="386">
        <f t="shared" si="66"/>
        <v>0</v>
      </c>
      <c r="N1349" s="496"/>
      <c r="O1349" s="333">
        <f t="shared" si="65"/>
        <v>0</v>
      </c>
      <c r="R1349" s="23" t="e">
        <f>VLOOKUP(C:C,'Historic Data - working'!A:B,1,FALSE)</f>
        <v>#N/A</v>
      </c>
      <c r="U1349" s="323"/>
      <c r="V1349" s="323"/>
      <c r="W1349" s="323"/>
    </row>
    <row r="1350" spans="1:23" s="23" customFormat="1" ht="14.25" x14ac:dyDescent="0.2">
      <c r="A1350" s="381" t="s">
        <v>4720</v>
      </c>
      <c r="B1350" s="381" t="s">
        <v>351</v>
      </c>
      <c r="C1350" s="413" t="s">
        <v>148</v>
      </c>
      <c r="D1350" s="381" t="s">
        <v>4880</v>
      </c>
      <c r="E1350" s="383" t="s">
        <v>4881</v>
      </c>
      <c r="F1350" s="381" t="s">
        <v>143</v>
      </c>
      <c r="G1350" s="384"/>
      <c r="H1350" s="24"/>
      <c r="I1350" s="24"/>
      <c r="J1350" s="25" t="str">
        <f t="shared" si="64"/>
        <v xml:space="preserve"> </v>
      </c>
      <c r="K1350" s="385"/>
      <c r="L1350" s="385"/>
      <c r="M1350" s="386">
        <f t="shared" si="66"/>
        <v>0</v>
      </c>
      <c r="N1350" s="496">
        <v>275</v>
      </c>
      <c r="O1350" s="333">
        <f t="shared" si="65"/>
        <v>275</v>
      </c>
      <c r="R1350" s="23" t="str">
        <f>VLOOKUP(C:C,'Historic Data - working'!A:B,1,FALSE)</f>
        <v>POR067</v>
      </c>
      <c r="U1350" s="323"/>
      <c r="V1350" s="323"/>
      <c r="W1350" s="323"/>
    </row>
    <row r="1351" spans="1:23" s="23" customFormat="1" ht="14.25" x14ac:dyDescent="0.2">
      <c r="A1351" s="381" t="s">
        <v>4720</v>
      </c>
      <c r="B1351" s="381" t="s">
        <v>351</v>
      </c>
      <c r="C1351" s="413" t="s">
        <v>4882</v>
      </c>
      <c r="D1351" s="381" t="s">
        <v>4883</v>
      </c>
      <c r="E1351" s="383" t="s">
        <v>4884</v>
      </c>
      <c r="F1351" s="381" t="s">
        <v>143</v>
      </c>
      <c r="G1351" s="384"/>
      <c r="H1351" s="24"/>
      <c r="I1351" s="24"/>
      <c r="J1351" s="25" t="str">
        <f t="shared" si="64"/>
        <v xml:space="preserve"> </v>
      </c>
      <c r="K1351" s="385"/>
      <c r="L1351" s="385"/>
      <c r="M1351" s="386">
        <f t="shared" si="66"/>
        <v>0</v>
      </c>
      <c r="N1351" s="496"/>
      <c r="O1351" s="333">
        <f t="shared" si="65"/>
        <v>0</v>
      </c>
      <c r="R1351" s="23" t="e">
        <f>VLOOKUP(C:C,'Historic Data - working'!A:B,1,FALSE)</f>
        <v>#N/A</v>
      </c>
      <c r="U1351" s="323"/>
      <c r="V1351" s="323"/>
      <c r="W1351" s="323"/>
    </row>
    <row r="1352" spans="1:23" s="23" customFormat="1" ht="28.5" x14ac:dyDescent="0.2">
      <c r="A1352" s="381" t="s">
        <v>4720</v>
      </c>
      <c r="B1352" s="381" t="s">
        <v>351</v>
      </c>
      <c r="C1352" s="413" t="s">
        <v>151</v>
      </c>
      <c r="D1352" s="381" t="s">
        <v>4885</v>
      </c>
      <c r="E1352" s="383" t="s">
        <v>4886</v>
      </c>
      <c r="F1352" s="381" t="s">
        <v>143</v>
      </c>
      <c r="G1352" s="384" t="s">
        <v>329</v>
      </c>
      <c r="H1352" s="24">
        <f>100+74+67+126+90+160</f>
        <v>617</v>
      </c>
      <c r="I1352" s="24"/>
      <c r="J1352" s="25" t="str">
        <f t="shared" si="64"/>
        <v>1</v>
      </c>
      <c r="K1352" s="385"/>
      <c r="L1352" s="385"/>
      <c r="M1352" s="386">
        <f t="shared" si="66"/>
        <v>617</v>
      </c>
      <c r="N1352" s="496">
        <v>85</v>
      </c>
      <c r="O1352" s="333">
        <f t="shared" si="65"/>
        <v>702</v>
      </c>
      <c r="R1352" s="23" t="str">
        <f>VLOOKUP(C:C,'Historic Data - working'!A:B,1,FALSE)</f>
        <v>POR068</v>
      </c>
      <c r="U1352" s="323"/>
      <c r="V1352" s="323"/>
      <c r="W1352" s="323"/>
    </row>
    <row r="1353" spans="1:23" s="23" customFormat="1" ht="14.25" x14ac:dyDescent="0.2">
      <c r="A1353" s="381" t="s">
        <v>4720</v>
      </c>
      <c r="B1353" s="381" t="s">
        <v>351</v>
      </c>
      <c r="C1353" s="413" t="s">
        <v>153</v>
      </c>
      <c r="D1353" s="381" t="s">
        <v>4887</v>
      </c>
      <c r="E1353" s="383" t="s">
        <v>4888</v>
      </c>
      <c r="F1353" s="381" t="s">
        <v>143</v>
      </c>
      <c r="G1353" s="384" t="s">
        <v>329</v>
      </c>
      <c r="H1353" s="24">
        <v>427.5</v>
      </c>
      <c r="I1353" s="24"/>
      <c r="J1353" s="25" t="str">
        <f t="shared" si="64"/>
        <v>1</v>
      </c>
      <c r="K1353" s="385" t="s">
        <v>4889</v>
      </c>
      <c r="L1353" s="385">
        <v>-6</v>
      </c>
      <c r="M1353" s="386">
        <f t="shared" si="66"/>
        <v>421.5</v>
      </c>
      <c r="N1353" s="496">
        <v>316</v>
      </c>
      <c r="O1353" s="333">
        <f t="shared" si="65"/>
        <v>737.5</v>
      </c>
      <c r="R1353" s="23" t="str">
        <f>VLOOKUP(C:C,'Historic Data - working'!A:B,1,FALSE)</f>
        <v>POR069</v>
      </c>
      <c r="U1353" s="323"/>
      <c r="V1353" s="323"/>
      <c r="W1353" s="323"/>
    </row>
    <row r="1354" spans="1:23" s="23" customFormat="1" ht="14.25" x14ac:dyDescent="0.2">
      <c r="A1354" s="381" t="s">
        <v>4720</v>
      </c>
      <c r="B1354" s="381" t="s">
        <v>351</v>
      </c>
      <c r="C1354" s="413" t="s">
        <v>156</v>
      </c>
      <c r="D1354" s="381" t="s">
        <v>4890</v>
      </c>
      <c r="E1354" s="383" t="s">
        <v>4891</v>
      </c>
      <c r="F1354" s="381" t="s">
        <v>143</v>
      </c>
      <c r="G1354" s="384" t="s">
        <v>329</v>
      </c>
      <c r="H1354" s="24">
        <f>56.11+259.35+552.57+377.46+100</f>
        <v>1345.49</v>
      </c>
      <c r="I1354" s="24"/>
      <c r="J1354" s="25" t="str">
        <f t="shared" si="64"/>
        <v>1</v>
      </c>
      <c r="K1354" s="385"/>
      <c r="L1354" s="385"/>
      <c r="M1354" s="386">
        <f t="shared" si="66"/>
        <v>1345.49</v>
      </c>
      <c r="N1354" s="496">
        <v>230</v>
      </c>
      <c r="O1354" s="333">
        <f t="shared" si="65"/>
        <v>1575.49</v>
      </c>
      <c r="R1354" s="23" t="str">
        <f>VLOOKUP(C:C,'Historic Data - working'!A:B,1,FALSE)</f>
        <v>POR070</v>
      </c>
      <c r="U1354" s="323"/>
      <c r="V1354" s="323"/>
      <c r="W1354" s="323"/>
    </row>
    <row r="1355" spans="1:23" s="23" customFormat="1" ht="14.25" x14ac:dyDescent="0.2">
      <c r="A1355" s="381" t="s">
        <v>4720</v>
      </c>
      <c r="B1355" s="381" t="s">
        <v>351</v>
      </c>
      <c r="C1355" s="413" t="s">
        <v>159</v>
      </c>
      <c r="D1355" s="381" t="s">
        <v>4892</v>
      </c>
      <c r="E1355" s="383" t="s">
        <v>4893</v>
      </c>
      <c r="F1355" s="381" t="s">
        <v>269</v>
      </c>
      <c r="G1355" s="384" t="s">
        <v>329</v>
      </c>
      <c r="H1355" s="24">
        <f>27.41+184.74+23.04+39.85+71.51</f>
        <v>346.55</v>
      </c>
      <c r="I1355" s="24"/>
      <c r="J1355" s="25" t="str">
        <f t="shared" si="64"/>
        <v>1</v>
      </c>
      <c r="K1355" s="385"/>
      <c r="L1355" s="385"/>
      <c r="M1355" s="386">
        <f t="shared" si="66"/>
        <v>346.55</v>
      </c>
      <c r="N1355" s="496">
        <v>157.19999999999999</v>
      </c>
      <c r="O1355" s="333">
        <f t="shared" si="65"/>
        <v>503.75</v>
      </c>
      <c r="R1355" s="23" t="str">
        <f>VLOOKUP(C:C,'Historic Data - working'!A:B,1,FALSE)</f>
        <v>POR072</v>
      </c>
      <c r="U1355" s="323"/>
      <c r="V1355" s="323"/>
      <c r="W1355" s="323"/>
    </row>
    <row r="1356" spans="1:23" s="23" customFormat="1" ht="14.25" x14ac:dyDescent="0.2">
      <c r="A1356" s="381" t="s">
        <v>4720</v>
      </c>
      <c r="B1356" s="381" t="s">
        <v>351</v>
      </c>
      <c r="C1356" s="413" t="s">
        <v>4894</v>
      </c>
      <c r="D1356" s="381" t="s">
        <v>4895</v>
      </c>
      <c r="E1356" s="383" t="s">
        <v>4896</v>
      </c>
      <c r="F1356" s="381" t="s">
        <v>4897</v>
      </c>
      <c r="G1356" s="384"/>
      <c r="H1356" s="24"/>
      <c r="I1356" s="24"/>
      <c r="J1356" s="25" t="str">
        <f t="shared" si="64"/>
        <v xml:space="preserve"> </v>
      </c>
      <c r="K1356" s="385"/>
      <c r="L1356" s="385"/>
      <c r="M1356" s="386">
        <f t="shared" si="66"/>
        <v>0</v>
      </c>
      <c r="N1356" s="496">
        <v>20</v>
      </c>
      <c r="O1356" s="333">
        <f t="shared" si="65"/>
        <v>20</v>
      </c>
      <c r="R1356" s="23" t="e">
        <f>VLOOKUP(C:C,'Historic Data - working'!A:B,1,FALSE)</f>
        <v>#N/A</v>
      </c>
      <c r="U1356" s="323"/>
      <c r="V1356" s="323"/>
      <c r="W1356" s="323"/>
    </row>
    <row r="1357" spans="1:23" s="23" customFormat="1" ht="14.25" x14ac:dyDescent="0.2">
      <c r="A1357" s="381" t="s">
        <v>4720</v>
      </c>
      <c r="B1357" s="381" t="s">
        <v>351</v>
      </c>
      <c r="C1357" s="413" t="s">
        <v>162</v>
      </c>
      <c r="D1357" s="381" t="s">
        <v>4898</v>
      </c>
      <c r="E1357" s="383" t="s">
        <v>4899</v>
      </c>
      <c r="F1357" s="381" t="s">
        <v>4900</v>
      </c>
      <c r="G1357" s="384"/>
      <c r="H1357" s="24"/>
      <c r="I1357" s="24"/>
      <c r="J1357" s="25" t="str">
        <f t="shared" si="64"/>
        <v xml:space="preserve"> </v>
      </c>
      <c r="K1357" s="385"/>
      <c r="L1357" s="385"/>
      <c r="M1357" s="386">
        <f t="shared" si="66"/>
        <v>0</v>
      </c>
      <c r="N1357" s="496">
        <v>1434.6</v>
      </c>
      <c r="O1357" s="333">
        <f t="shared" si="65"/>
        <v>1434.6</v>
      </c>
      <c r="R1357" s="23" t="str">
        <f>VLOOKUP(C:C,'Historic Data - working'!A:B,1,FALSE)</f>
        <v>POR075</v>
      </c>
      <c r="U1357" s="323"/>
      <c r="V1357" s="323"/>
      <c r="W1357" s="323"/>
    </row>
    <row r="1358" spans="1:23" s="23" customFormat="1" ht="14.25" x14ac:dyDescent="0.2">
      <c r="A1358" s="381" t="s">
        <v>4720</v>
      </c>
      <c r="B1358" s="381" t="s">
        <v>324</v>
      </c>
      <c r="C1358" s="413" t="s">
        <v>165</v>
      </c>
      <c r="D1358" s="381" t="s">
        <v>4901</v>
      </c>
      <c r="E1358" s="383" t="s">
        <v>167</v>
      </c>
      <c r="F1358" s="381" t="s">
        <v>4850</v>
      </c>
      <c r="G1358" s="384" t="s">
        <v>329</v>
      </c>
      <c r="H1358" s="24">
        <f>253.1+134.62</f>
        <v>387.72</v>
      </c>
      <c r="I1358" s="24">
        <f>327.46+123.43+15.75</f>
        <v>466.64</v>
      </c>
      <c r="J1358" s="25" t="str">
        <f t="shared" si="64"/>
        <v>1</v>
      </c>
      <c r="K1358" s="385" t="s">
        <v>4902</v>
      </c>
      <c r="L1358" s="385">
        <v>-0.1</v>
      </c>
      <c r="M1358" s="386">
        <f t="shared" si="66"/>
        <v>387.62</v>
      </c>
      <c r="N1358" s="496">
        <v>565.89</v>
      </c>
      <c r="O1358" s="333">
        <f t="shared" si="65"/>
        <v>953.51</v>
      </c>
      <c r="R1358" s="23" t="str">
        <f>VLOOKUP(C:C,'Historic Data - working'!A:B,1,FALSE)</f>
        <v>POR076</v>
      </c>
      <c r="U1358" s="323"/>
      <c r="V1358" s="323"/>
      <c r="W1358" s="323"/>
    </row>
    <row r="1359" spans="1:23" s="23" customFormat="1" ht="14.25" x14ac:dyDescent="0.2">
      <c r="A1359" s="381" t="s">
        <v>4720</v>
      </c>
      <c r="B1359" s="381" t="s">
        <v>351</v>
      </c>
      <c r="C1359" s="413" t="s">
        <v>168</v>
      </c>
      <c r="D1359" s="381" t="s">
        <v>4903</v>
      </c>
      <c r="E1359" s="383" t="s">
        <v>4904</v>
      </c>
      <c r="F1359" s="381" t="s">
        <v>46</v>
      </c>
      <c r="G1359" s="384" t="s">
        <v>329</v>
      </c>
      <c r="H1359" s="24">
        <v>83.64</v>
      </c>
      <c r="I1359" s="24"/>
      <c r="J1359" s="25" t="str">
        <f t="shared" si="64"/>
        <v>1</v>
      </c>
      <c r="K1359" s="385"/>
      <c r="L1359" s="385"/>
      <c r="M1359" s="386">
        <f t="shared" si="66"/>
        <v>83.64</v>
      </c>
      <c r="N1359" s="496"/>
      <c r="O1359" s="333">
        <f t="shared" si="65"/>
        <v>83.64</v>
      </c>
      <c r="R1359" s="23" t="str">
        <f>VLOOKUP(C:C,'Historic Data - working'!A:B,1,FALSE)</f>
        <v>POR077</v>
      </c>
      <c r="U1359" s="323"/>
      <c r="V1359" s="323"/>
      <c r="W1359" s="323"/>
    </row>
    <row r="1360" spans="1:23" s="23" customFormat="1" ht="14.25" x14ac:dyDescent="0.2">
      <c r="A1360" s="381" t="s">
        <v>4720</v>
      </c>
      <c r="B1360" s="381" t="s">
        <v>324</v>
      </c>
      <c r="C1360" s="413" t="s">
        <v>171</v>
      </c>
      <c r="D1360" s="381" t="s">
        <v>4905</v>
      </c>
      <c r="E1360" s="383" t="s">
        <v>4906</v>
      </c>
      <c r="F1360" s="381" t="s">
        <v>172</v>
      </c>
      <c r="G1360" s="384" t="s">
        <v>329</v>
      </c>
      <c r="H1360" s="24">
        <v>1074.74</v>
      </c>
      <c r="I1360" s="24"/>
      <c r="J1360" s="25" t="str">
        <f t="shared" si="64"/>
        <v>1</v>
      </c>
      <c r="K1360" s="385"/>
      <c r="L1360" s="385"/>
      <c r="M1360" s="386">
        <f t="shared" si="66"/>
        <v>1074.74</v>
      </c>
      <c r="N1360" s="496">
        <v>5900</v>
      </c>
      <c r="O1360" s="333">
        <f t="shared" si="65"/>
        <v>6974.74</v>
      </c>
      <c r="R1360" s="23" t="str">
        <f>VLOOKUP(C:C,'Historic Data - working'!A:B,1,FALSE)</f>
        <v>POR078</v>
      </c>
      <c r="U1360" s="323"/>
      <c r="V1360" s="323"/>
      <c r="W1360" s="323"/>
    </row>
    <row r="1361" spans="1:23" s="23" customFormat="1" ht="28.5" x14ac:dyDescent="0.2">
      <c r="A1361" s="381" t="s">
        <v>4720</v>
      </c>
      <c r="B1361" s="381" t="s">
        <v>351</v>
      </c>
      <c r="C1361" s="413" t="s">
        <v>174</v>
      </c>
      <c r="D1361" s="381" t="s">
        <v>4907</v>
      </c>
      <c r="E1361" s="383" t="s">
        <v>4908</v>
      </c>
      <c r="F1361" s="381" t="s">
        <v>175</v>
      </c>
      <c r="G1361" s="384" t="s">
        <v>329</v>
      </c>
      <c r="H1361" s="24">
        <f>229.26+51.66+290.91</f>
        <v>571.82999999999993</v>
      </c>
      <c r="I1361" s="24">
        <v>20</v>
      </c>
      <c r="J1361" s="25" t="str">
        <f t="shared" si="64"/>
        <v>1</v>
      </c>
      <c r="K1361" s="385" t="s">
        <v>4909</v>
      </c>
      <c r="L1361" s="385"/>
      <c r="M1361" s="386">
        <f t="shared" si="66"/>
        <v>571.82999999999993</v>
      </c>
      <c r="N1361" s="496">
        <v>70</v>
      </c>
      <c r="O1361" s="333">
        <f t="shared" si="65"/>
        <v>641.82999999999993</v>
      </c>
      <c r="R1361" s="23" t="str">
        <f>VLOOKUP(C:C,'Historic Data - working'!A:B,1,FALSE)</f>
        <v>POR079</v>
      </c>
      <c r="U1361" s="323"/>
      <c r="V1361" s="323"/>
      <c r="W1361" s="323"/>
    </row>
    <row r="1362" spans="1:23" s="23" customFormat="1" ht="14.25" x14ac:dyDescent="0.2">
      <c r="A1362" s="381" t="s">
        <v>4720</v>
      </c>
      <c r="B1362" s="381" t="s">
        <v>324</v>
      </c>
      <c r="C1362" s="413" t="s">
        <v>177</v>
      </c>
      <c r="D1362" s="381" t="s">
        <v>4910</v>
      </c>
      <c r="E1362" s="383" t="s">
        <v>4911</v>
      </c>
      <c r="F1362" s="381" t="s">
        <v>178</v>
      </c>
      <c r="G1362" s="384" t="s">
        <v>329</v>
      </c>
      <c r="H1362" s="24">
        <v>1789.33</v>
      </c>
      <c r="I1362" s="24"/>
      <c r="J1362" s="25" t="str">
        <f t="shared" si="64"/>
        <v>1</v>
      </c>
      <c r="K1362" s="385"/>
      <c r="L1362" s="385"/>
      <c r="M1362" s="386">
        <f t="shared" si="66"/>
        <v>1789.33</v>
      </c>
      <c r="N1362" s="496">
        <v>1800</v>
      </c>
      <c r="O1362" s="333">
        <f t="shared" si="65"/>
        <v>3589.33</v>
      </c>
      <c r="R1362" s="23" t="str">
        <f>VLOOKUP(C:C,'Historic Data - working'!A:B,1,FALSE)</f>
        <v>POR080</v>
      </c>
      <c r="U1362" s="323"/>
      <c r="V1362" s="323"/>
      <c r="W1362" s="323"/>
    </row>
    <row r="1363" spans="1:23" s="23" customFormat="1" ht="14.25" x14ac:dyDescent="0.2">
      <c r="A1363" s="381" t="s">
        <v>4720</v>
      </c>
      <c r="B1363" s="381" t="s">
        <v>324</v>
      </c>
      <c r="C1363" s="413" t="s">
        <v>179</v>
      </c>
      <c r="D1363" s="381" t="s">
        <v>4912</v>
      </c>
      <c r="E1363" s="383" t="s">
        <v>180</v>
      </c>
      <c r="F1363" s="381" t="s">
        <v>178</v>
      </c>
      <c r="G1363" s="384" t="s">
        <v>329</v>
      </c>
      <c r="H1363" s="24">
        <v>1129.1300000000001</v>
      </c>
      <c r="I1363" s="24"/>
      <c r="J1363" s="25" t="str">
        <f t="shared" si="64"/>
        <v>1</v>
      </c>
      <c r="K1363" s="385" t="s">
        <v>4913</v>
      </c>
      <c r="L1363" s="385">
        <v>3</v>
      </c>
      <c r="M1363" s="386">
        <f t="shared" si="66"/>
        <v>1132.1300000000001</v>
      </c>
      <c r="N1363" s="496">
        <v>252.4</v>
      </c>
      <c r="O1363" s="333">
        <f t="shared" si="65"/>
        <v>1384.5300000000002</v>
      </c>
      <c r="R1363" s="23" t="str">
        <f>VLOOKUP(C:C,'Historic Data - working'!A:B,1,FALSE)</f>
        <v>POR081</v>
      </c>
      <c r="U1363" s="323"/>
      <c r="V1363" s="323"/>
      <c r="W1363" s="323"/>
    </row>
    <row r="1364" spans="1:23" s="23" customFormat="1" ht="14.25" x14ac:dyDescent="0.2">
      <c r="A1364" s="381" t="s">
        <v>4720</v>
      </c>
      <c r="B1364" s="381" t="s">
        <v>324</v>
      </c>
      <c r="C1364" s="413" t="s">
        <v>181</v>
      </c>
      <c r="D1364" s="381" t="s">
        <v>4914</v>
      </c>
      <c r="E1364" s="383" t="s">
        <v>183</v>
      </c>
      <c r="F1364" s="381" t="s">
        <v>172</v>
      </c>
      <c r="G1364" s="384" t="s">
        <v>329</v>
      </c>
      <c r="H1364" s="24"/>
      <c r="I1364" s="24">
        <v>160</v>
      </c>
      <c r="J1364" s="25" t="str">
        <f t="shared" si="64"/>
        <v>1</v>
      </c>
      <c r="K1364" s="385" t="s">
        <v>4915</v>
      </c>
      <c r="L1364" s="385"/>
      <c r="M1364" s="386">
        <f t="shared" si="66"/>
        <v>0</v>
      </c>
      <c r="N1364" s="496">
        <v>580</v>
      </c>
      <c r="O1364" s="333">
        <f t="shared" si="65"/>
        <v>580</v>
      </c>
      <c r="R1364" s="23" t="str">
        <f>VLOOKUP(C:C,'Historic Data - working'!A:B,1,FALSE)</f>
        <v>POR082</v>
      </c>
      <c r="U1364" s="323"/>
      <c r="V1364" s="323"/>
      <c r="W1364" s="323"/>
    </row>
    <row r="1365" spans="1:23" s="23" customFormat="1" ht="14.25" x14ac:dyDescent="0.2">
      <c r="A1365" s="381" t="s">
        <v>4720</v>
      </c>
      <c r="B1365" s="381" t="s">
        <v>324</v>
      </c>
      <c r="C1365" s="413" t="s">
        <v>184</v>
      </c>
      <c r="D1365" s="381" t="s">
        <v>4916</v>
      </c>
      <c r="E1365" s="383" t="s">
        <v>4917</v>
      </c>
      <c r="F1365" s="381" t="s">
        <v>233</v>
      </c>
      <c r="G1365" s="384"/>
      <c r="H1365" s="24"/>
      <c r="I1365" s="24"/>
      <c r="J1365" s="25" t="str">
        <f t="shared" si="64"/>
        <v xml:space="preserve"> </v>
      </c>
      <c r="K1365" s="385" t="s">
        <v>337</v>
      </c>
      <c r="L1365" s="385">
        <v>149.47</v>
      </c>
      <c r="M1365" s="386">
        <f t="shared" si="66"/>
        <v>149.47</v>
      </c>
      <c r="N1365" s="496">
        <v>215</v>
      </c>
      <c r="O1365" s="333">
        <f t="shared" si="65"/>
        <v>364.47</v>
      </c>
      <c r="R1365" s="23" t="str">
        <f>VLOOKUP(C:C,'Historic Data - working'!A:B,1,FALSE)</f>
        <v>POR083</v>
      </c>
      <c r="U1365" s="323"/>
      <c r="V1365" s="323"/>
      <c r="W1365" s="323"/>
    </row>
    <row r="1366" spans="1:23" s="23" customFormat="1" ht="14.25" x14ac:dyDescent="0.2">
      <c r="A1366" s="381" t="s">
        <v>4720</v>
      </c>
      <c r="B1366" s="381" t="s">
        <v>324</v>
      </c>
      <c r="C1366" s="413" t="s">
        <v>187</v>
      </c>
      <c r="D1366" s="381" t="s">
        <v>4918</v>
      </c>
      <c r="E1366" s="383" t="s">
        <v>61</v>
      </c>
      <c r="F1366" s="381" t="s">
        <v>188</v>
      </c>
      <c r="G1366" s="384" t="s">
        <v>329</v>
      </c>
      <c r="H1366" s="24">
        <v>2078.79</v>
      </c>
      <c r="I1366" s="24"/>
      <c r="J1366" s="25" t="str">
        <f t="shared" si="64"/>
        <v>1</v>
      </c>
      <c r="K1366" s="385" t="s">
        <v>4919</v>
      </c>
      <c r="L1366" s="385">
        <v>50</v>
      </c>
      <c r="M1366" s="386">
        <f t="shared" si="66"/>
        <v>2128.79</v>
      </c>
      <c r="N1366" s="496">
        <v>98</v>
      </c>
      <c r="O1366" s="333">
        <f t="shared" si="65"/>
        <v>2226.79</v>
      </c>
      <c r="R1366" s="23" t="str">
        <f>VLOOKUP(C:C,'Historic Data - working'!A:B,1,FALSE)</f>
        <v>POR084</v>
      </c>
      <c r="U1366" s="323"/>
      <c r="V1366" s="323"/>
      <c r="W1366" s="323"/>
    </row>
    <row r="1367" spans="1:23" s="23" customFormat="1" ht="14.25" x14ac:dyDescent="0.2">
      <c r="A1367" s="381" t="s">
        <v>4720</v>
      </c>
      <c r="B1367" s="381" t="s">
        <v>324</v>
      </c>
      <c r="C1367" s="413" t="s">
        <v>189</v>
      </c>
      <c r="D1367" s="381" t="s">
        <v>4920</v>
      </c>
      <c r="E1367" s="383" t="s">
        <v>190</v>
      </c>
      <c r="F1367" s="381" t="s">
        <v>4921</v>
      </c>
      <c r="G1367" s="384"/>
      <c r="H1367" s="24"/>
      <c r="I1367" s="24"/>
      <c r="J1367" s="25" t="str">
        <f t="shared" si="64"/>
        <v xml:space="preserve"> </v>
      </c>
      <c r="K1367" s="385"/>
      <c r="L1367" s="385"/>
      <c r="M1367" s="386">
        <f t="shared" si="66"/>
        <v>0</v>
      </c>
      <c r="N1367" s="496">
        <v>516.9</v>
      </c>
      <c r="O1367" s="333">
        <f t="shared" si="65"/>
        <v>516.9</v>
      </c>
      <c r="R1367" s="23" t="str">
        <f>VLOOKUP(C:C,'Historic Data - working'!A:B,1,FALSE)</f>
        <v>POR085</v>
      </c>
      <c r="U1367" s="323"/>
      <c r="V1367" s="323"/>
      <c r="W1367" s="323"/>
    </row>
    <row r="1368" spans="1:23" s="23" customFormat="1" ht="14.25" x14ac:dyDescent="0.2">
      <c r="A1368" s="381" t="s">
        <v>4720</v>
      </c>
      <c r="B1368" s="381" t="s">
        <v>324</v>
      </c>
      <c r="C1368" s="413" t="s">
        <v>191</v>
      </c>
      <c r="D1368" s="381" t="s">
        <v>4922</v>
      </c>
      <c r="E1368" s="383" t="s">
        <v>193</v>
      </c>
      <c r="F1368" s="381" t="s">
        <v>192</v>
      </c>
      <c r="G1368" s="384"/>
      <c r="H1368" s="24"/>
      <c r="I1368" s="24"/>
      <c r="J1368" s="25" t="str">
        <f t="shared" si="64"/>
        <v xml:space="preserve"> </v>
      </c>
      <c r="K1368" s="385" t="s">
        <v>337</v>
      </c>
      <c r="L1368" s="385">
        <v>280.2</v>
      </c>
      <c r="M1368" s="386">
        <f t="shared" si="66"/>
        <v>280.2</v>
      </c>
      <c r="N1368" s="496">
        <v>495</v>
      </c>
      <c r="O1368" s="333">
        <f t="shared" si="65"/>
        <v>775.2</v>
      </c>
      <c r="R1368" s="23" t="str">
        <f>VLOOKUP(C:C,'Historic Data - working'!A:B,1,FALSE)</f>
        <v>POR086</v>
      </c>
      <c r="U1368" s="323"/>
      <c r="V1368" s="323"/>
      <c r="W1368" s="323"/>
    </row>
    <row r="1369" spans="1:23" s="23" customFormat="1" ht="14.25" x14ac:dyDescent="0.2">
      <c r="A1369" s="381" t="s">
        <v>4720</v>
      </c>
      <c r="B1369" s="381" t="s">
        <v>324</v>
      </c>
      <c r="C1369" s="413" t="s">
        <v>194</v>
      </c>
      <c r="D1369" s="381" t="s">
        <v>4923</v>
      </c>
      <c r="E1369" s="383" t="s">
        <v>78</v>
      </c>
      <c r="F1369" s="381" t="s">
        <v>195</v>
      </c>
      <c r="G1369" s="384" t="s">
        <v>329</v>
      </c>
      <c r="H1369" s="24">
        <v>560.9</v>
      </c>
      <c r="I1369" s="24"/>
      <c r="J1369" s="25" t="str">
        <f t="shared" si="64"/>
        <v>1</v>
      </c>
      <c r="K1369" s="385" t="s">
        <v>4924</v>
      </c>
      <c r="L1369" s="385">
        <v>31.83</v>
      </c>
      <c r="M1369" s="386">
        <f t="shared" si="66"/>
        <v>592.73</v>
      </c>
      <c r="N1369" s="496">
        <v>370</v>
      </c>
      <c r="O1369" s="333">
        <f t="shared" si="65"/>
        <v>962.73</v>
      </c>
      <c r="R1369" s="23" t="str">
        <f>VLOOKUP(C:C,'Historic Data - working'!A:B,1,FALSE)</f>
        <v>POR087</v>
      </c>
      <c r="U1369" s="323"/>
      <c r="V1369" s="323"/>
      <c r="W1369" s="323"/>
    </row>
    <row r="1370" spans="1:23" s="23" customFormat="1" ht="14.25" x14ac:dyDescent="0.2">
      <c r="A1370" s="381" t="s">
        <v>4720</v>
      </c>
      <c r="B1370" s="381" t="s">
        <v>351</v>
      </c>
      <c r="C1370" s="413" t="s">
        <v>196</v>
      </c>
      <c r="D1370" s="381" t="s">
        <v>4925</v>
      </c>
      <c r="E1370" s="383" t="s">
        <v>4926</v>
      </c>
      <c r="F1370" s="381" t="s">
        <v>1394</v>
      </c>
      <c r="G1370" s="384" t="s">
        <v>329</v>
      </c>
      <c r="H1370" s="24">
        <f>48.5+40.85+30+55.34+49.33+84.47+12.73+15.3+2.59+74.53+51.6+68+36.03+21.88</f>
        <v>591.15</v>
      </c>
      <c r="I1370" s="24"/>
      <c r="J1370" s="25" t="str">
        <f t="shared" si="64"/>
        <v>1</v>
      </c>
      <c r="K1370" s="385"/>
      <c r="L1370" s="385"/>
      <c r="M1370" s="386">
        <f t="shared" si="66"/>
        <v>591.15</v>
      </c>
      <c r="N1370" s="496">
        <v>429</v>
      </c>
      <c r="O1370" s="333">
        <f t="shared" si="65"/>
        <v>1020.15</v>
      </c>
      <c r="R1370" s="23" t="str">
        <f>VLOOKUP(C:C,'Historic Data - working'!A:B,1,FALSE)</f>
        <v>POR089</v>
      </c>
      <c r="U1370" s="323"/>
      <c r="V1370" s="323"/>
      <c r="W1370" s="323"/>
    </row>
    <row r="1371" spans="1:23" s="23" customFormat="1" ht="14.25" x14ac:dyDescent="0.2">
      <c r="A1371" s="381" t="s">
        <v>4720</v>
      </c>
      <c r="B1371" s="381" t="s">
        <v>351</v>
      </c>
      <c r="C1371" s="413" t="s">
        <v>4927</v>
      </c>
      <c r="D1371" s="381" t="s">
        <v>4928</v>
      </c>
      <c r="E1371" s="383" t="s">
        <v>4929</v>
      </c>
      <c r="F1371" s="381" t="s">
        <v>1394</v>
      </c>
      <c r="G1371" s="384"/>
      <c r="H1371" s="24"/>
      <c r="I1371" s="24"/>
      <c r="J1371" s="25" t="str">
        <f t="shared" si="64"/>
        <v xml:space="preserve"> </v>
      </c>
      <c r="K1371" s="385"/>
      <c r="L1371" s="385"/>
      <c r="M1371" s="386">
        <f t="shared" si="66"/>
        <v>0</v>
      </c>
      <c r="N1371" s="496"/>
      <c r="O1371" s="333">
        <f t="shared" si="65"/>
        <v>0</v>
      </c>
      <c r="R1371" s="23" t="e">
        <f>VLOOKUP(C:C,'Historic Data - working'!A:B,1,FALSE)</f>
        <v>#N/A</v>
      </c>
      <c r="U1371" s="323"/>
      <c r="V1371" s="323"/>
      <c r="W1371" s="323"/>
    </row>
    <row r="1372" spans="1:23" s="23" customFormat="1" ht="14.25" x14ac:dyDescent="0.2">
      <c r="A1372" s="381" t="s">
        <v>4720</v>
      </c>
      <c r="B1372" s="381" t="s">
        <v>324</v>
      </c>
      <c r="C1372" s="413" t="s">
        <v>199</v>
      </c>
      <c r="D1372" s="381" t="s">
        <v>4930</v>
      </c>
      <c r="E1372" s="383" t="s">
        <v>4379</v>
      </c>
      <c r="F1372" s="381" t="s">
        <v>4931</v>
      </c>
      <c r="G1372" s="384" t="s">
        <v>329</v>
      </c>
      <c r="H1372" s="24">
        <v>1324.06</v>
      </c>
      <c r="I1372" s="24"/>
      <c r="J1372" s="25" t="str">
        <f t="shared" si="64"/>
        <v>1</v>
      </c>
      <c r="K1372" s="385" t="s">
        <v>4932</v>
      </c>
      <c r="L1372" s="385">
        <v>201.2</v>
      </c>
      <c r="M1372" s="386">
        <f t="shared" si="66"/>
        <v>1525.26</v>
      </c>
      <c r="N1372" s="496">
        <v>375</v>
      </c>
      <c r="O1372" s="333">
        <f t="shared" si="65"/>
        <v>1900.26</v>
      </c>
      <c r="R1372" s="23" t="str">
        <f>VLOOKUP(C:C,'Historic Data - working'!A:B,1,FALSE)</f>
        <v>POR092</v>
      </c>
      <c r="U1372" s="323"/>
      <c r="V1372" s="323"/>
      <c r="W1372" s="323"/>
    </row>
    <row r="1373" spans="1:23" s="23" customFormat="1" ht="14.25" x14ac:dyDescent="0.2">
      <c r="A1373" s="381" t="s">
        <v>4720</v>
      </c>
      <c r="B1373" s="381" t="s">
        <v>324</v>
      </c>
      <c r="C1373" s="413" t="s">
        <v>202</v>
      </c>
      <c r="D1373" s="381" t="s">
        <v>4933</v>
      </c>
      <c r="E1373" s="383" t="s">
        <v>4934</v>
      </c>
      <c r="F1373" s="381" t="s">
        <v>4935</v>
      </c>
      <c r="G1373" s="384" t="s">
        <v>329</v>
      </c>
      <c r="H1373" s="24">
        <f>97.3+100+397.87+417.54+50</f>
        <v>1062.71</v>
      </c>
      <c r="I1373" s="24"/>
      <c r="J1373" s="25" t="str">
        <f t="shared" si="64"/>
        <v>1</v>
      </c>
      <c r="K1373" s="385"/>
      <c r="L1373" s="385"/>
      <c r="M1373" s="386">
        <f t="shared" si="66"/>
        <v>1062.71</v>
      </c>
      <c r="N1373" s="496">
        <v>460</v>
      </c>
      <c r="O1373" s="333">
        <f t="shared" si="65"/>
        <v>1522.71</v>
      </c>
      <c r="R1373" s="23" t="str">
        <f>VLOOKUP(C:C,'Historic Data - working'!A:B,1,FALSE)</f>
        <v>POR093</v>
      </c>
      <c r="U1373" s="323"/>
      <c r="V1373" s="323"/>
      <c r="W1373" s="323"/>
    </row>
    <row r="1374" spans="1:23" s="23" customFormat="1" ht="14.25" x14ac:dyDescent="0.2">
      <c r="A1374" s="381" t="s">
        <v>4720</v>
      </c>
      <c r="B1374" s="381" t="s">
        <v>324</v>
      </c>
      <c r="C1374" s="413" t="s">
        <v>4936</v>
      </c>
      <c r="D1374" s="381" t="s">
        <v>4937</v>
      </c>
      <c r="E1374" s="383" t="s">
        <v>4938</v>
      </c>
      <c r="F1374" s="381" t="s">
        <v>4939</v>
      </c>
      <c r="G1374" s="384"/>
      <c r="H1374" s="24"/>
      <c r="I1374" s="24"/>
      <c r="J1374" s="25" t="str">
        <f t="shared" si="64"/>
        <v xml:space="preserve"> </v>
      </c>
      <c r="K1374" s="385"/>
      <c r="L1374" s="385"/>
      <c r="M1374" s="386">
        <f t="shared" si="66"/>
        <v>0</v>
      </c>
      <c r="N1374" s="496"/>
      <c r="O1374" s="333">
        <f t="shared" si="65"/>
        <v>0</v>
      </c>
      <c r="R1374" s="23" t="e">
        <f>VLOOKUP(C:C,'Historic Data - working'!A:B,1,FALSE)</f>
        <v>#N/A</v>
      </c>
      <c r="U1374" s="323"/>
      <c r="V1374" s="323"/>
      <c r="W1374" s="323"/>
    </row>
    <row r="1375" spans="1:23" s="23" customFormat="1" ht="14.25" x14ac:dyDescent="0.2">
      <c r="A1375" s="381" t="s">
        <v>4720</v>
      </c>
      <c r="B1375" s="381" t="s">
        <v>324</v>
      </c>
      <c r="C1375" s="413" t="s">
        <v>205</v>
      </c>
      <c r="D1375" s="381" t="s">
        <v>4940</v>
      </c>
      <c r="E1375" s="383" t="s">
        <v>4941</v>
      </c>
      <c r="F1375" s="381" t="s">
        <v>96</v>
      </c>
      <c r="G1375" s="384"/>
      <c r="H1375" s="24"/>
      <c r="I1375" s="24"/>
      <c r="J1375" s="25" t="str">
        <f t="shared" si="64"/>
        <v xml:space="preserve"> </v>
      </c>
      <c r="K1375" s="385"/>
      <c r="L1375" s="385"/>
      <c r="M1375" s="386">
        <f t="shared" si="66"/>
        <v>0</v>
      </c>
      <c r="N1375" s="496">
        <v>45</v>
      </c>
      <c r="O1375" s="333">
        <f t="shared" si="65"/>
        <v>45</v>
      </c>
      <c r="R1375" s="23" t="str">
        <f>VLOOKUP(C:C,'Historic Data - working'!A:B,1,FALSE)</f>
        <v>POR094</v>
      </c>
      <c r="U1375" s="323"/>
      <c r="V1375" s="323"/>
      <c r="W1375" s="323"/>
    </row>
    <row r="1376" spans="1:23" s="23" customFormat="1" ht="14.25" x14ac:dyDescent="0.2">
      <c r="A1376" s="381" t="s">
        <v>4720</v>
      </c>
      <c r="B1376" s="381" t="s">
        <v>324</v>
      </c>
      <c r="C1376" s="413" t="s">
        <v>208</v>
      </c>
      <c r="D1376" s="381" t="s">
        <v>4942</v>
      </c>
      <c r="E1376" s="383" t="s">
        <v>4943</v>
      </c>
      <c r="F1376" s="381" t="s">
        <v>225</v>
      </c>
      <c r="G1376" s="384"/>
      <c r="H1376" s="24"/>
      <c r="I1376" s="24"/>
      <c r="J1376" s="25" t="str">
        <f t="shared" si="64"/>
        <v xml:space="preserve"> </v>
      </c>
      <c r="K1376" s="385"/>
      <c r="L1376" s="385"/>
      <c r="M1376" s="386">
        <f t="shared" si="66"/>
        <v>0</v>
      </c>
      <c r="N1376" s="496">
        <v>65</v>
      </c>
      <c r="O1376" s="333">
        <f t="shared" si="65"/>
        <v>65</v>
      </c>
      <c r="R1376" s="23" t="str">
        <f>VLOOKUP(C:C,'Historic Data - working'!A:B,1,FALSE)</f>
        <v>POR095</v>
      </c>
      <c r="U1376" s="323"/>
      <c r="V1376" s="323"/>
      <c r="W1376" s="323"/>
    </row>
    <row r="1377" spans="1:23" s="23" customFormat="1" ht="14.25" x14ac:dyDescent="0.2">
      <c r="A1377" s="381" t="s">
        <v>4720</v>
      </c>
      <c r="B1377" s="381" t="s">
        <v>351</v>
      </c>
      <c r="C1377" s="413" t="s">
        <v>211</v>
      </c>
      <c r="D1377" s="381" t="s">
        <v>4944</v>
      </c>
      <c r="E1377" s="383" t="s">
        <v>4945</v>
      </c>
      <c r="F1377" s="381" t="s">
        <v>85</v>
      </c>
      <c r="G1377" s="384" t="s">
        <v>329</v>
      </c>
      <c r="H1377" s="24">
        <v>1045.21</v>
      </c>
      <c r="I1377" s="24"/>
      <c r="J1377" s="25" t="str">
        <f t="shared" si="64"/>
        <v>1</v>
      </c>
      <c r="K1377" s="385"/>
      <c r="L1377" s="385"/>
      <c r="M1377" s="386">
        <f t="shared" si="66"/>
        <v>1045.21</v>
      </c>
      <c r="N1377" s="496">
        <v>852</v>
      </c>
      <c r="O1377" s="333">
        <f t="shared" si="65"/>
        <v>1897.21</v>
      </c>
      <c r="R1377" s="23" t="str">
        <f>VLOOKUP(C:C,'Historic Data - working'!A:B,1,FALSE)</f>
        <v>POR096</v>
      </c>
      <c r="U1377" s="323"/>
      <c r="V1377" s="323"/>
      <c r="W1377" s="323"/>
    </row>
    <row r="1378" spans="1:23" s="23" customFormat="1" ht="14.25" x14ac:dyDescent="0.2">
      <c r="A1378" s="381" t="s">
        <v>4720</v>
      </c>
      <c r="B1378" s="381" t="s">
        <v>324</v>
      </c>
      <c r="C1378" s="413" t="s">
        <v>213</v>
      </c>
      <c r="D1378" s="381" t="s">
        <v>4946</v>
      </c>
      <c r="E1378" s="383" t="s">
        <v>214</v>
      </c>
      <c r="F1378" s="381" t="s">
        <v>85</v>
      </c>
      <c r="G1378" s="384" t="s">
        <v>329</v>
      </c>
      <c r="H1378" s="24">
        <f>365+120.27+70.39+247.5+158+139.4</f>
        <v>1100.56</v>
      </c>
      <c r="I1378" s="24"/>
      <c r="J1378" s="25" t="str">
        <f t="shared" si="64"/>
        <v>1</v>
      </c>
      <c r="K1378" s="385"/>
      <c r="L1378" s="385"/>
      <c r="M1378" s="386">
        <f t="shared" si="66"/>
        <v>1100.56</v>
      </c>
      <c r="N1378" s="496">
        <v>90</v>
      </c>
      <c r="O1378" s="333">
        <f t="shared" si="65"/>
        <v>1190.56</v>
      </c>
      <c r="R1378" s="23" t="str">
        <f>VLOOKUP(C:C,'Historic Data - working'!A:B,1,FALSE)</f>
        <v>POR097</v>
      </c>
      <c r="U1378" s="323"/>
      <c r="V1378" s="323"/>
      <c r="W1378" s="323"/>
    </row>
    <row r="1379" spans="1:23" s="23" customFormat="1" ht="14.25" x14ac:dyDescent="0.2">
      <c r="A1379" s="381" t="s">
        <v>4720</v>
      </c>
      <c r="B1379" s="381" t="s">
        <v>324</v>
      </c>
      <c r="C1379" s="413" t="s">
        <v>215</v>
      </c>
      <c r="D1379" s="381" t="s">
        <v>4947</v>
      </c>
      <c r="E1379" s="383" t="s">
        <v>216</v>
      </c>
      <c r="F1379" s="381" t="s">
        <v>85</v>
      </c>
      <c r="G1379" s="384" t="s">
        <v>329</v>
      </c>
      <c r="H1379" s="24">
        <v>4039</v>
      </c>
      <c r="I1379" s="24"/>
      <c r="J1379" s="25" t="str">
        <f t="shared" si="64"/>
        <v>1</v>
      </c>
      <c r="K1379" s="385"/>
      <c r="L1379" s="385"/>
      <c r="M1379" s="386">
        <f t="shared" si="66"/>
        <v>4039</v>
      </c>
      <c r="N1379" s="496">
        <v>516.29999999999995</v>
      </c>
      <c r="O1379" s="333">
        <f t="shared" si="65"/>
        <v>4555.3</v>
      </c>
      <c r="R1379" s="23" t="str">
        <f>VLOOKUP(C:C,'Historic Data - working'!A:B,1,FALSE)</f>
        <v>POR098</v>
      </c>
      <c r="U1379" s="323"/>
      <c r="V1379" s="323"/>
      <c r="W1379" s="323"/>
    </row>
    <row r="1380" spans="1:23" s="23" customFormat="1" ht="14.25" x14ac:dyDescent="0.2">
      <c r="A1380" s="381" t="s">
        <v>4720</v>
      </c>
      <c r="B1380" s="381" t="s">
        <v>324</v>
      </c>
      <c r="C1380" s="413" t="s">
        <v>217</v>
      </c>
      <c r="D1380" s="381" t="s">
        <v>4948</v>
      </c>
      <c r="E1380" s="383" t="s">
        <v>61</v>
      </c>
      <c r="F1380" s="381" t="s">
        <v>85</v>
      </c>
      <c r="G1380" s="384"/>
      <c r="H1380" s="24"/>
      <c r="I1380" s="24"/>
      <c r="J1380" s="25" t="str">
        <f t="shared" si="64"/>
        <v xml:space="preserve"> </v>
      </c>
      <c r="K1380" s="385" t="s">
        <v>337</v>
      </c>
      <c r="L1380" s="385">
        <v>108.87</v>
      </c>
      <c r="M1380" s="386">
        <f t="shared" si="66"/>
        <v>108.87</v>
      </c>
      <c r="N1380" s="496">
        <v>155</v>
      </c>
      <c r="O1380" s="333">
        <f t="shared" si="65"/>
        <v>263.87</v>
      </c>
      <c r="R1380" s="23" t="str">
        <f>VLOOKUP(C:C,'Historic Data - working'!A:B,1,FALSE)</f>
        <v>POR099</v>
      </c>
      <c r="U1380" s="323"/>
      <c r="V1380" s="323"/>
      <c r="W1380" s="323"/>
    </row>
    <row r="1381" spans="1:23" s="23" customFormat="1" ht="14.25" x14ac:dyDescent="0.2">
      <c r="A1381" s="381" t="s">
        <v>4720</v>
      </c>
      <c r="B1381" s="381" t="s">
        <v>324</v>
      </c>
      <c r="C1381" s="413" t="s">
        <v>218</v>
      </c>
      <c r="D1381" s="381" t="s">
        <v>4949</v>
      </c>
      <c r="E1381" s="383" t="s">
        <v>220</v>
      </c>
      <c r="F1381" s="381" t="s">
        <v>219</v>
      </c>
      <c r="G1381" s="384" t="s">
        <v>329</v>
      </c>
      <c r="H1381" s="24">
        <v>1011.56</v>
      </c>
      <c r="I1381" s="24"/>
      <c r="J1381" s="25" t="str">
        <f t="shared" si="64"/>
        <v>1</v>
      </c>
      <c r="K1381" s="385" t="s">
        <v>4950</v>
      </c>
      <c r="L1381" s="385">
        <v>100.63</v>
      </c>
      <c r="M1381" s="386">
        <f t="shared" si="66"/>
        <v>1112.19</v>
      </c>
      <c r="N1381" s="496"/>
      <c r="O1381" s="333">
        <f t="shared" si="65"/>
        <v>1112.19</v>
      </c>
      <c r="R1381" s="23" t="str">
        <f>VLOOKUP(C:C,'Historic Data - working'!A:B,1,FALSE)</f>
        <v>POR102</v>
      </c>
      <c r="U1381" s="323"/>
      <c r="V1381" s="323"/>
      <c r="W1381" s="323"/>
    </row>
    <row r="1382" spans="1:23" s="23" customFormat="1" ht="14.25" x14ac:dyDescent="0.2">
      <c r="A1382" s="381" t="s">
        <v>4720</v>
      </c>
      <c r="B1382" s="381" t="s">
        <v>351</v>
      </c>
      <c r="C1382" s="413" t="s">
        <v>221</v>
      </c>
      <c r="D1382" s="381" t="s">
        <v>4951</v>
      </c>
      <c r="E1382" s="383" t="s">
        <v>4952</v>
      </c>
      <c r="F1382" s="381" t="s">
        <v>93</v>
      </c>
      <c r="G1382" s="384"/>
      <c r="H1382" s="24"/>
      <c r="I1382" s="24"/>
      <c r="J1382" s="25" t="str">
        <f t="shared" si="64"/>
        <v xml:space="preserve"> </v>
      </c>
      <c r="K1382" s="385" t="s">
        <v>337</v>
      </c>
      <c r="L1382" s="385">
        <v>333.2</v>
      </c>
      <c r="M1382" s="386">
        <f t="shared" si="66"/>
        <v>333.2</v>
      </c>
      <c r="N1382" s="496">
        <v>410</v>
      </c>
      <c r="O1382" s="333">
        <f t="shared" si="65"/>
        <v>743.2</v>
      </c>
      <c r="R1382" s="23" t="str">
        <f>VLOOKUP(C:C,'Historic Data - working'!A:B,1,FALSE)</f>
        <v>POR103</v>
      </c>
      <c r="U1382" s="323"/>
      <c r="V1382" s="323"/>
      <c r="W1382" s="323"/>
    </row>
    <row r="1383" spans="1:23" s="23" customFormat="1" ht="14.25" x14ac:dyDescent="0.2">
      <c r="A1383" s="381" t="s">
        <v>4720</v>
      </c>
      <c r="B1383" s="381" t="s">
        <v>351</v>
      </c>
      <c r="C1383" s="413" t="s">
        <v>4953</v>
      </c>
      <c r="D1383" s="381" t="s">
        <v>4954</v>
      </c>
      <c r="E1383" s="383" t="s">
        <v>4955</v>
      </c>
      <c r="F1383" s="381" t="s">
        <v>93</v>
      </c>
      <c r="G1383" s="384"/>
      <c r="H1383" s="24"/>
      <c r="I1383" s="24"/>
      <c r="J1383" s="25" t="str">
        <f t="shared" si="64"/>
        <v xml:space="preserve"> </v>
      </c>
      <c r="K1383" s="385"/>
      <c r="L1383" s="385"/>
      <c r="M1383" s="386">
        <f t="shared" si="66"/>
        <v>0</v>
      </c>
      <c r="N1383" s="496"/>
      <c r="O1383" s="333">
        <f t="shared" si="65"/>
        <v>0</v>
      </c>
      <c r="R1383" s="23" t="e">
        <f>VLOOKUP(C:C,'Historic Data - working'!A:B,1,FALSE)</f>
        <v>#N/A</v>
      </c>
      <c r="U1383" s="323"/>
      <c r="V1383" s="323"/>
      <c r="W1383" s="323"/>
    </row>
    <row r="1384" spans="1:23" s="23" customFormat="1" ht="14.25" x14ac:dyDescent="0.2">
      <c r="A1384" s="381" t="s">
        <v>4720</v>
      </c>
      <c r="B1384" s="381" t="s">
        <v>351</v>
      </c>
      <c r="C1384" s="413" t="s">
        <v>224</v>
      </c>
      <c r="D1384" s="381" t="s">
        <v>4956</v>
      </c>
      <c r="E1384" s="383" t="s">
        <v>4957</v>
      </c>
      <c r="F1384" s="381" t="s">
        <v>225</v>
      </c>
      <c r="G1384" s="384"/>
      <c r="H1384" s="24"/>
      <c r="I1384" s="24"/>
      <c r="J1384" s="25" t="str">
        <f t="shared" si="64"/>
        <v xml:space="preserve"> </v>
      </c>
      <c r="K1384" s="385"/>
      <c r="L1384" s="385"/>
      <c r="M1384" s="386">
        <f t="shared" si="66"/>
        <v>0</v>
      </c>
      <c r="N1384" s="496">
        <v>375</v>
      </c>
      <c r="O1384" s="333">
        <f t="shared" si="65"/>
        <v>375</v>
      </c>
      <c r="R1384" s="23" t="str">
        <f>VLOOKUP(C:C,'Historic Data - working'!A:B,1,FALSE)</f>
        <v>POR105</v>
      </c>
      <c r="U1384" s="323"/>
      <c r="V1384" s="323"/>
      <c r="W1384" s="323"/>
    </row>
    <row r="1385" spans="1:23" s="23" customFormat="1" ht="14.25" x14ac:dyDescent="0.2">
      <c r="A1385" s="381" t="s">
        <v>4720</v>
      </c>
      <c r="B1385" s="381" t="s">
        <v>351</v>
      </c>
      <c r="C1385" s="413" t="s">
        <v>4958</v>
      </c>
      <c r="D1385" s="381" t="s">
        <v>4959</v>
      </c>
      <c r="E1385" s="383" t="s">
        <v>4960</v>
      </c>
      <c r="F1385" s="381" t="s">
        <v>4807</v>
      </c>
      <c r="G1385" s="384"/>
      <c r="H1385" s="24"/>
      <c r="I1385" s="24"/>
      <c r="J1385" s="25" t="str">
        <f t="shared" si="64"/>
        <v xml:space="preserve"> </v>
      </c>
      <c r="K1385" s="385"/>
      <c r="L1385" s="385"/>
      <c r="M1385" s="386">
        <f t="shared" si="66"/>
        <v>0</v>
      </c>
      <c r="N1385" s="496"/>
      <c r="O1385" s="333">
        <f t="shared" si="65"/>
        <v>0</v>
      </c>
      <c r="R1385" s="23" t="e">
        <f>VLOOKUP(C:C,'Historic Data - working'!A:B,1,FALSE)</f>
        <v>#N/A</v>
      </c>
      <c r="U1385" s="323"/>
      <c r="V1385" s="323"/>
      <c r="W1385" s="323"/>
    </row>
    <row r="1386" spans="1:23" s="23" customFormat="1" ht="14.25" x14ac:dyDescent="0.2">
      <c r="A1386" s="381" t="s">
        <v>4720</v>
      </c>
      <c r="B1386" s="381" t="s">
        <v>351</v>
      </c>
      <c r="C1386" s="413" t="s">
        <v>227</v>
      </c>
      <c r="D1386" s="381" t="s">
        <v>4961</v>
      </c>
      <c r="E1386" s="383" t="s">
        <v>4962</v>
      </c>
      <c r="F1386" s="381" t="s">
        <v>230</v>
      </c>
      <c r="G1386" s="384" t="s">
        <v>329</v>
      </c>
      <c r="H1386" s="24">
        <f>14.38+15.96+7.81+85+80+20.5</f>
        <v>223.65</v>
      </c>
      <c r="I1386" s="24"/>
      <c r="J1386" s="25" t="str">
        <f t="shared" si="64"/>
        <v>1</v>
      </c>
      <c r="K1386" s="385" t="s">
        <v>4963</v>
      </c>
      <c r="L1386" s="385">
        <v>-14.38</v>
      </c>
      <c r="M1386" s="386">
        <f t="shared" si="66"/>
        <v>209.27</v>
      </c>
      <c r="N1386" s="496">
        <v>120</v>
      </c>
      <c r="O1386" s="333">
        <f t="shared" si="65"/>
        <v>329.27</v>
      </c>
      <c r="R1386" s="23" t="str">
        <f>VLOOKUP(C:C,'Historic Data - working'!A:B,1,FALSE)</f>
        <v>POR106</v>
      </c>
      <c r="U1386" s="323"/>
      <c r="V1386" s="323"/>
      <c r="W1386" s="323"/>
    </row>
    <row r="1387" spans="1:23" s="23" customFormat="1" ht="14.25" x14ac:dyDescent="0.2">
      <c r="A1387" s="381" t="s">
        <v>4720</v>
      </c>
      <c r="B1387" s="381" t="s">
        <v>351</v>
      </c>
      <c r="C1387" s="413" t="s">
        <v>229</v>
      </c>
      <c r="D1387" s="381" t="s">
        <v>4964</v>
      </c>
      <c r="E1387" s="383" t="s">
        <v>4965</v>
      </c>
      <c r="F1387" s="381" t="s">
        <v>230</v>
      </c>
      <c r="G1387" s="384"/>
      <c r="H1387" s="24"/>
      <c r="I1387" s="24"/>
      <c r="J1387" s="25" t="str">
        <f t="shared" si="64"/>
        <v xml:space="preserve"> </v>
      </c>
      <c r="K1387" s="385"/>
      <c r="L1387" s="385"/>
      <c r="M1387" s="386">
        <f t="shared" si="66"/>
        <v>0</v>
      </c>
      <c r="N1387" s="496">
        <v>8686.91</v>
      </c>
      <c r="O1387" s="333">
        <f t="shared" si="65"/>
        <v>8686.91</v>
      </c>
      <c r="R1387" s="23" t="str">
        <f>VLOOKUP(C:C,'Historic Data - working'!A:B,1,FALSE)</f>
        <v>POR107</v>
      </c>
      <c r="U1387" s="323"/>
      <c r="V1387" s="323"/>
      <c r="W1387" s="323"/>
    </row>
    <row r="1388" spans="1:23" s="23" customFormat="1" ht="14.25" x14ac:dyDescent="0.2">
      <c r="A1388" s="381" t="s">
        <v>4720</v>
      </c>
      <c r="B1388" s="381" t="s">
        <v>324</v>
      </c>
      <c r="C1388" s="413" t="s">
        <v>4966</v>
      </c>
      <c r="D1388" s="381" t="s">
        <v>4967</v>
      </c>
      <c r="E1388" s="383" t="s">
        <v>158</v>
      </c>
      <c r="F1388" s="381" t="s">
        <v>4968</v>
      </c>
      <c r="G1388" s="384"/>
      <c r="H1388" s="24"/>
      <c r="I1388" s="24"/>
      <c r="J1388" s="25" t="str">
        <f t="shared" si="64"/>
        <v xml:space="preserve"> </v>
      </c>
      <c r="K1388" s="385"/>
      <c r="L1388" s="385"/>
      <c r="M1388" s="386">
        <f t="shared" si="66"/>
        <v>0</v>
      </c>
      <c r="N1388" s="496"/>
      <c r="O1388" s="333">
        <f t="shared" si="65"/>
        <v>0</v>
      </c>
      <c r="R1388" s="23" t="e">
        <f>VLOOKUP(C:C,'Historic Data - working'!A:B,1,FALSE)</f>
        <v>#N/A</v>
      </c>
      <c r="U1388" s="323"/>
      <c r="V1388" s="323"/>
      <c r="W1388" s="323"/>
    </row>
    <row r="1389" spans="1:23" s="23" customFormat="1" ht="14.25" x14ac:dyDescent="0.2">
      <c r="A1389" s="381" t="s">
        <v>4720</v>
      </c>
      <c r="B1389" s="381" t="s">
        <v>351</v>
      </c>
      <c r="C1389" s="413" t="s">
        <v>232</v>
      </c>
      <c r="D1389" s="381" t="s">
        <v>4969</v>
      </c>
      <c r="E1389" s="383" t="s">
        <v>4970</v>
      </c>
      <c r="F1389" s="381" t="s">
        <v>233</v>
      </c>
      <c r="G1389" s="384"/>
      <c r="H1389" s="24"/>
      <c r="I1389" s="24"/>
      <c r="J1389" s="25" t="str">
        <f t="shared" ref="J1389:J1452" si="67">IF(G1389="Y","1"," ")</f>
        <v xml:space="preserve"> </v>
      </c>
      <c r="K1389" s="385" t="s">
        <v>337</v>
      </c>
      <c r="L1389" s="385">
        <v>388.4</v>
      </c>
      <c r="M1389" s="386">
        <f t="shared" si="66"/>
        <v>388.4</v>
      </c>
      <c r="N1389" s="496">
        <v>938</v>
      </c>
      <c r="O1389" s="333">
        <f t="shared" si="65"/>
        <v>1326.4</v>
      </c>
      <c r="R1389" s="23" t="str">
        <f>VLOOKUP(C:C,'Historic Data - working'!A:B,1,FALSE)</f>
        <v>POR109</v>
      </c>
      <c r="U1389" s="323"/>
      <c r="V1389" s="323"/>
      <c r="W1389" s="323"/>
    </row>
    <row r="1390" spans="1:23" s="23" customFormat="1" ht="14.25" x14ac:dyDescent="0.2">
      <c r="A1390" s="381" t="s">
        <v>4720</v>
      </c>
      <c r="B1390" s="381" t="s">
        <v>351</v>
      </c>
      <c r="C1390" s="413" t="s">
        <v>4971</v>
      </c>
      <c r="D1390" s="381" t="s">
        <v>4972</v>
      </c>
      <c r="E1390" s="383" t="s">
        <v>4973</v>
      </c>
      <c r="F1390" s="381" t="s">
        <v>233</v>
      </c>
      <c r="G1390" s="384"/>
      <c r="H1390" s="24"/>
      <c r="I1390" s="24"/>
      <c r="J1390" s="25" t="str">
        <f t="shared" si="67"/>
        <v xml:space="preserve"> </v>
      </c>
      <c r="K1390" s="385"/>
      <c r="L1390" s="385"/>
      <c r="M1390" s="386">
        <f t="shared" si="66"/>
        <v>0</v>
      </c>
      <c r="N1390" s="496"/>
      <c r="O1390" s="333">
        <f t="shared" si="65"/>
        <v>0</v>
      </c>
      <c r="R1390" s="23" t="e">
        <f>VLOOKUP(C:C,'Historic Data - working'!A:B,1,FALSE)</f>
        <v>#N/A</v>
      </c>
      <c r="U1390" s="323"/>
      <c r="V1390" s="323"/>
      <c r="W1390" s="323"/>
    </row>
    <row r="1391" spans="1:23" s="23" customFormat="1" ht="14.25" x14ac:dyDescent="0.2">
      <c r="A1391" s="381" t="s">
        <v>4720</v>
      </c>
      <c r="B1391" s="381" t="s">
        <v>324</v>
      </c>
      <c r="C1391" s="413" t="s">
        <v>235</v>
      </c>
      <c r="D1391" s="381" t="s">
        <v>4974</v>
      </c>
      <c r="E1391" s="383" t="s">
        <v>236</v>
      </c>
      <c r="F1391" s="381" t="s">
        <v>233</v>
      </c>
      <c r="G1391" s="384" t="s">
        <v>329</v>
      </c>
      <c r="H1391" s="24">
        <v>1361.62</v>
      </c>
      <c r="I1391" s="24"/>
      <c r="J1391" s="25" t="str">
        <f t="shared" si="67"/>
        <v>1</v>
      </c>
      <c r="K1391" s="385"/>
      <c r="L1391" s="385"/>
      <c r="M1391" s="386">
        <f t="shared" si="66"/>
        <v>1361.62</v>
      </c>
      <c r="N1391" s="496">
        <v>140</v>
      </c>
      <c r="O1391" s="333">
        <f t="shared" si="65"/>
        <v>1501.62</v>
      </c>
      <c r="R1391" s="23" t="str">
        <f>VLOOKUP(C:C,'Historic Data - working'!A:B,1,FALSE)</f>
        <v>POR111</v>
      </c>
      <c r="U1391" s="323"/>
      <c r="V1391" s="323"/>
      <c r="W1391" s="323"/>
    </row>
    <row r="1392" spans="1:23" s="23" customFormat="1" ht="14.25" x14ac:dyDescent="0.2">
      <c r="A1392" s="381" t="s">
        <v>4720</v>
      </c>
      <c r="B1392" s="381" t="s">
        <v>324</v>
      </c>
      <c r="C1392" s="413" t="s">
        <v>237</v>
      </c>
      <c r="D1392" s="381" t="s">
        <v>4975</v>
      </c>
      <c r="E1392" s="383" t="s">
        <v>238</v>
      </c>
      <c r="F1392" s="381" t="s">
        <v>233</v>
      </c>
      <c r="G1392" s="384"/>
      <c r="H1392" s="24"/>
      <c r="I1392" s="24"/>
      <c r="J1392" s="25" t="str">
        <f t="shared" si="67"/>
        <v xml:space="preserve"> </v>
      </c>
      <c r="K1392" s="385"/>
      <c r="L1392" s="385"/>
      <c r="M1392" s="386">
        <f t="shared" si="66"/>
        <v>0</v>
      </c>
      <c r="N1392" s="496">
        <v>70</v>
      </c>
      <c r="O1392" s="333">
        <f t="shared" si="65"/>
        <v>70</v>
      </c>
      <c r="R1392" s="23" t="str">
        <f>VLOOKUP(C:C,'Historic Data - working'!A:B,1,FALSE)</f>
        <v>POR112</v>
      </c>
      <c r="U1392" s="323"/>
      <c r="V1392" s="323"/>
      <c r="W1392" s="323"/>
    </row>
    <row r="1393" spans="1:23" s="23" customFormat="1" ht="14.25" x14ac:dyDescent="0.2">
      <c r="A1393" s="381" t="s">
        <v>4720</v>
      </c>
      <c r="B1393" s="381" t="s">
        <v>324</v>
      </c>
      <c r="C1393" s="413" t="s">
        <v>239</v>
      </c>
      <c r="D1393" s="381" t="s">
        <v>4976</v>
      </c>
      <c r="E1393" s="383" t="s">
        <v>249</v>
      </c>
      <c r="F1393" s="381" t="s">
        <v>233</v>
      </c>
      <c r="G1393" s="384"/>
      <c r="H1393" s="24"/>
      <c r="I1393" s="24"/>
      <c r="J1393" s="25" t="str">
        <f t="shared" si="67"/>
        <v xml:space="preserve"> </v>
      </c>
      <c r="K1393" s="385" t="s">
        <v>337</v>
      </c>
      <c r="L1393" s="385">
        <v>716.1</v>
      </c>
      <c r="M1393" s="386">
        <f t="shared" si="66"/>
        <v>716.1</v>
      </c>
      <c r="N1393" s="496">
        <v>90</v>
      </c>
      <c r="O1393" s="333">
        <f t="shared" si="65"/>
        <v>806.1</v>
      </c>
      <c r="R1393" s="23" t="str">
        <f>VLOOKUP(C:C,'Historic Data - working'!A:B,1,FALSE)</f>
        <v>POR113</v>
      </c>
      <c r="U1393" s="323"/>
      <c r="V1393" s="323"/>
      <c r="W1393" s="323"/>
    </row>
    <row r="1394" spans="1:23" s="23" customFormat="1" ht="14.25" x14ac:dyDescent="0.2">
      <c r="A1394" s="381" t="s">
        <v>4720</v>
      </c>
      <c r="B1394" s="381" t="s">
        <v>324</v>
      </c>
      <c r="C1394" s="413" t="s">
        <v>241</v>
      </c>
      <c r="D1394" s="381" t="s">
        <v>4977</v>
      </c>
      <c r="E1394" s="383" t="s">
        <v>242</v>
      </c>
      <c r="F1394" s="381" t="s">
        <v>233</v>
      </c>
      <c r="G1394" s="384"/>
      <c r="H1394" s="24"/>
      <c r="I1394" s="24"/>
      <c r="J1394" s="25" t="str">
        <f t="shared" si="67"/>
        <v xml:space="preserve"> </v>
      </c>
      <c r="K1394" s="385" t="s">
        <v>337</v>
      </c>
      <c r="L1394" s="385">
        <v>448.23</v>
      </c>
      <c r="M1394" s="386">
        <f t="shared" si="66"/>
        <v>448.23</v>
      </c>
      <c r="N1394" s="496">
        <v>170</v>
      </c>
      <c r="O1394" s="333">
        <f t="shared" si="65"/>
        <v>618.23</v>
      </c>
      <c r="R1394" s="23" t="str">
        <f>VLOOKUP(C:C,'Historic Data - working'!A:B,1,FALSE)</f>
        <v>POR114</v>
      </c>
      <c r="U1394" s="323"/>
      <c r="V1394" s="323"/>
      <c r="W1394" s="323"/>
    </row>
    <row r="1395" spans="1:23" s="23" customFormat="1" ht="14.25" x14ac:dyDescent="0.2">
      <c r="A1395" s="381" t="s">
        <v>4720</v>
      </c>
      <c r="B1395" s="381" t="s">
        <v>324</v>
      </c>
      <c r="C1395" s="413" t="s">
        <v>243</v>
      </c>
      <c r="D1395" s="381" t="s">
        <v>4978</v>
      </c>
      <c r="E1395" s="383" t="s">
        <v>124</v>
      </c>
      <c r="F1395" s="381" t="s">
        <v>233</v>
      </c>
      <c r="G1395" s="384" t="s">
        <v>329</v>
      </c>
      <c r="H1395" s="24">
        <f>326+298.41+255+463.7</f>
        <v>1343.1100000000001</v>
      </c>
      <c r="I1395" s="24"/>
      <c r="J1395" s="25" t="str">
        <f t="shared" si="67"/>
        <v>1</v>
      </c>
      <c r="K1395" s="385"/>
      <c r="L1395" s="385"/>
      <c r="M1395" s="386">
        <f t="shared" si="66"/>
        <v>1343.1100000000001</v>
      </c>
      <c r="N1395" s="496"/>
      <c r="O1395" s="333">
        <f t="shared" si="65"/>
        <v>1343.1100000000001</v>
      </c>
      <c r="R1395" s="23" t="str">
        <f>VLOOKUP(C:C,'Historic Data - working'!A:B,1,FALSE)</f>
        <v>POR116</v>
      </c>
      <c r="U1395" s="323"/>
      <c r="V1395" s="323"/>
      <c r="W1395" s="323"/>
    </row>
    <row r="1396" spans="1:23" s="23" customFormat="1" ht="14.25" x14ac:dyDescent="0.2">
      <c r="A1396" s="381" t="s">
        <v>4720</v>
      </c>
      <c r="B1396" s="381" t="s">
        <v>324</v>
      </c>
      <c r="C1396" s="413" t="s">
        <v>245</v>
      </c>
      <c r="D1396" s="381" t="s">
        <v>4979</v>
      </c>
      <c r="E1396" s="383" t="s">
        <v>246</v>
      </c>
      <c r="F1396" s="381" t="s">
        <v>233</v>
      </c>
      <c r="G1396" s="384" t="s">
        <v>329</v>
      </c>
      <c r="H1396" s="24">
        <v>456.23</v>
      </c>
      <c r="I1396" s="24"/>
      <c r="J1396" s="25" t="str">
        <f t="shared" si="67"/>
        <v>1</v>
      </c>
      <c r="K1396" s="385" t="s">
        <v>4980</v>
      </c>
      <c r="L1396" s="385">
        <v>36.68</v>
      </c>
      <c r="M1396" s="386">
        <f t="shared" si="66"/>
        <v>492.91</v>
      </c>
      <c r="N1396" s="496">
        <v>360</v>
      </c>
      <c r="O1396" s="333">
        <f t="shared" si="65"/>
        <v>852.91000000000008</v>
      </c>
      <c r="R1396" s="23" t="str">
        <f>VLOOKUP(C:C,'Historic Data - working'!A:B,1,FALSE)</f>
        <v>POR117</v>
      </c>
      <c r="U1396" s="323"/>
      <c r="V1396" s="323"/>
      <c r="W1396" s="323"/>
    </row>
    <row r="1397" spans="1:23" s="23" customFormat="1" ht="28.5" x14ac:dyDescent="0.2">
      <c r="A1397" s="381" t="s">
        <v>4720</v>
      </c>
      <c r="B1397" s="381" t="s">
        <v>351</v>
      </c>
      <c r="C1397" s="413" t="s">
        <v>247</v>
      </c>
      <c r="D1397" s="381" t="s">
        <v>4981</v>
      </c>
      <c r="E1397" s="383" t="s">
        <v>4982</v>
      </c>
      <c r="F1397" s="381" t="s">
        <v>96</v>
      </c>
      <c r="G1397" s="384"/>
      <c r="H1397" s="24"/>
      <c r="I1397" s="24"/>
      <c r="J1397" s="25" t="str">
        <f t="shared" si="67"/>
        <v xml:space="preserve"> </v>
      </c>
      <c r="K1397" s="385"/>
      <c r="L1397" s="385"/>
      <c r="M1397" s="386">
        <f t="shared" si="66"/>
        <v>0</v>
      </c>
      <c r="N1397" s="496">
        <v>421</v>
      </c>
      <c r="O1397" s="333">
        <f t="shared" si="65"/>
        <v>421</v>
      </c>
      <c r="R1397" s="23" t="str">
        <f>VLOOKUP(C:C,'Historic Data - working'!A:B,1,FALSE)</f>
        <v>POR119</v>
      </c>
      <c r="U1397" s="323"/>
      <c r="V1397" s="323"/>
      <c r="W1397" s="323"/>
    </row>
    <row r="1398" spans="1:23" s="23" customFormat="1" ht="14.25" x14ac:dyDescent="0.2">
      <c r="A1398" s="381" t="s">
        <v>4720</v>
      </c>
      <c r="B1398" s="381" t="s">
        <v>351</v>
      </c>
      <c r="C1398" s="413" t="s">
        <v>250</v>
      </c>
      <c r="D1398" s="381" t="s">
        <v>4983</v>
      </c>
      <c r="E1398" s="383" t="s">
        <v>4984</v>
      </c>
      <c r="F1398" s="381" t="s">
        <v>4985</v>
      </c>
      <c r="G1398" s="384" t="s">
        <v>329</v>
      </c>
      <c r="H1398" s="24">
        <v>486.52</v>
      </c>
      <c r="I1398" s="24">
        <v>100</v>
      </c>
      <c r="J1398" s="25" t="str">
        <f t="shared" si="67"/>
        <v>1</v>
      </c>
      <c r="K1398" s="385" t="s">
        <v>4986</v>
      </c>
      <c r="L1398" s="385"/>
      <c r="M1398" s="386">
        <f t="shared" si="66"/>
        <v>486.52</v>
      </c>
      <c r="N1398" s="496">
        <v>270</v>
      </c>
      <c r="O1398" s="333">
        <f t="shared" si="65"/>
        <v>756.52</v>
      </c>
      <c r="R1398" s="23" t="str">
        <f>VLOOKUP(C:C,'Historic Data - working'!A:B,1,FALSE)</f>
        <v>POR120</v>
      </c>
      <c r="U1398" s="323"/>
      <c r="V1398" s="323"/>
      <c r="W1398" s="323"/>
    </row>
    <row r="1399" spans="1:23" s="23" customFormat="1" ht="14.25" x14ac:dyDescent="0.2">
      <c r="A1399" s="381" t="s">
        <v>4720</v>
      </c>
      <c r="B1399" s="381" t="s">
        <v>324</v>
      </c>
      <c r="C1399" s="413" t="s">
        <v>4987</v>
      </c>
      <c r="D1399" s="381" t="s">
        <v>4988</v>
      </c>
      <c r="E1399" s="383" t="s">
        <v>4989</v>
      </c>
      <c r="F1399" s="381" t="s">
        <v>4990</v>
      </c>
      <c r="G1399" s="384"/>
      <c r="H1399" s="24"/>
      <c r="I1399" s="24"/>
      <c r="J1399" s="25" t="str">
        <f t="shared" si="67"/>
        <v xml:space="preserve"> </v>
      </c>
      <c r="K1399" s="385"/>
      <c r="L1399" s="385"/>
      <c r="M1399" s="386">
        <f t="shared" si="66"/>
        <v>0</v>
      </c>
      <c r="N1399" s="496"/>
      <c r="O1399" s="333">
        <f t="shared" si="65"/>
        <v>0</v>
      </c>
      <c r="R1399" s="23" t="e">
        <f>VLOOKUP(C:C,'Historic Data - working'!A:B,1,FALSE)</f>
        <v>#N/A</v>
      </c>
      <c r="U1399" s="323"/>
      <c r="V1399" s="323"/>
      <c r="W1399" s="323"/>
    </row>
    <row r="1400" spans="1:23" s="23" customFormat="1" ht="14.25" x14ac:dyDescent="0.2">
      <c r="A1400" s="381" t="s">
        <v>4720</v>
      </c>
      <c r="B1400" s="381" t="s">
        <v>351</v>
      </c>
      <c r="C1400" s="413" t="s">
        <v>4991</v>
      </c>
      <c r="D1400" s="381" t="s">
        <v>4992</v>
      </c>
      <c r="E1400" s="383" t="s">
        <v>4993</v>
      </c>
      <c r="F1400" s="381" t="s">
        <v>288</v>
      </c>
      <c r="G1400" s="384"/>
      <c r="H1400" s="24"/>
      <c r="I1400" s="24"/>
      <c r="J1400" s="25" t="str">
        <f t="shared" si="67"/>
        <v xml:space="preserve"> </v>
      </c>
      <c r="K1400" s="385"/>
      <c r="L1400" s="385"/>
      <c r="M1400" s="386">
        <f t="shared" si="66"/>
        <v>0</v>
      </c>
      <c r="N1400" s="496">
        <v>60</v>
      </c>
      <c r="O1400" s="333">
        <f t="shared" si="65"/>
        <v>60</v>
      </c>
      <c r="R1400" s="23" t="e">
        <f>VLOOKUP(C:C,'Historic Data - working'!A:B,1,FALSE)</f>
        <v>#N/A</v>
      </c>
      <c r="U1400" s="323"/>
      <c r="V1400" s="323"/>
      <c r="W1400" s="323"/>
    </row>
    <row r="1401" spans="1:23" s="23" customFormat="1" ht="14.25" x14ac:dyDescent="0.2">
      <c r="A1401" s="381" t="s">
        <v>4720</v>
      </c>
      <c r="B1401" s="381" t="s">
        <v>324</v>
      </c>
      <c r="C1401" s="413" t="s">
        <v>253</v>
      </c>
      <c r="D1401" s="381" t="s">
        <v>4994</v>
      </c>
      <c r="E1401" s="383" t="s">
        <v>127</v>
      </c>
      <c r="F1401" s="381" t="s">
        <v>4995</v>
      </c>
      <c r="G1401" s="384"/>
      <c r="H1401" s="24"/>
      <c r="I1401" s="24"/>
      <c r="J1401" s="25" t="str">
        <f t="shared" si="67"/>
        <v xml:space="preserve"> </v>
      </c>
      <c r="K1401" s="385"/>
      <c r="L1401" s="385"/>
      <c r="M1401" s="386">
        <f t="shared" si="66"/>
        <v>0</v>
      </c>
      <c r="N1401" s="496">
        <v>1057</v>
      </c>
      <c r="O1401" s="333">
        <f t="shared" si="65"/>
        <v>1057</v>
      </c>
      <c r="R1401" s="23" t="str">
        <f>VLOOKUP(C:C,'Historic Data - working'!A:B,1,FALSE)</f>
        <v>POR121</v>
      </c>
      <c r="U1401" s="323"/>
      <c r="V1401" s="323"/>
      <c r="W1401" s="323"/>
    </row>
    <row r="1402" spans="1:23" s="23" customFormat="1" ht="14.25" x14ac:dyDescent="0.2">
      <c r="A1402" s="381" t="s">
        <v>4720</v>
      </c>
      <c r="B1402" s="381" t="s">
        <v>324</v>
      </c>
      <c r="C1402" s="413" t="s">
        <v>255</v>
      </c>
      <c r="D1402" s="381" t="s">
        <v>4996</v>
      </c>
      <c r="E1402" s="383" t="s">
        <v>257</v>
      </c>
      <c r="F1402" s="381" t="s">
        <v>256</v>
      </c>
      <c r="G1402" s="384"/>
      <c r="H1402" s="24"/>
      <c r="I1402" s="24"/>
      <c r="J1402" s="25" t="str">
        <f t="shared" si="67"/>
        <v xml:space="preserve"> </v>
      </c>
      <c r="K1402" s="385"/>
      <c r="L1402" s="385"/>
      <c r="M1402" s="386">
        <f t="shared" si="66"/>
        <v>0</v>
      </c>
      <c r="N1402" s="496">
        <v>470</v>
      </c>
      <c r="O1402" s="333">
        <f t="shared" si="65"/>
        <v>470</v>
      </c>
      <c r="R1402" s="23" t="str">
        <f>VLOOKUP(C:C,'Historic Data - working'!A:B,1,FALSE)</f>
        <v>POR122</v>
      </c>
      <c r="U1402" s="323"/>
      <c r="V1402" s="323"/>
      <c r="W1402" s="323"/>
    </row>
    <row r="1403" spans="1:23" s="23" customFormat="1" ht="28.5" x14ac:dyDescent="0.2">
      <c r="A1403" s="381" t="s">
        <v>4720</v>
      </c>
      <c r="B1403" s="381" t="s">
        <v>351</v>
      </c>
      <c r="C1403" s="413" t="s">
        <v>258</v>
      </c>
      <c r="D1403" s="381" t="s">
        <v>4997</v>
      </c>
      <c r="E1403" s="383" t="s">
        <v>4998</v>
      </c>
      <c r="F1403" s="381" t="s">
        <v>233</v>
      </c>
      <c r="G1403" s="384" t="s">
        <v>329</v>
      </c>
      <c r="H1403" s="24">
        <v>542.47</v>
      </c>
      <c r="I1403" s="24"/>
      <c r="J1403" s="25" t="str">
        <f t="shared" si="67"/>
        <v>1</v>
      </c>
      <c r="K1403" s="385"/>
      <c r="L1403" s="385"/>
      <c r="M1403" s="386">
        <f t="shared" si="66"/>
        <v>542.47</v>
      </c>
      <c r="N1403" s="496">
        <v>300</v>
      </c>
      <c r="O1403" s="333">
        <f t="shared" si="65"/>
        <v>842.47</v>
      </c>
      <c r="R1403" s="23" t="str">
        <f>VLOOKUP(C:C,'Historic Data - working'!A:B,1,FALSE)</f>
        <v>POR123</v>
      </c>
      <c r="U1403" s="323"/>
      <c r="V1403" s="323"/>
      <c r="W1403" s="323"/>
    </row>
    <row r="1404" spans="1:23" s="23" customFormat="1" ht="14.25" x14ac:dyDescent="0.2">
      <c r="A1404" s="381" t="s">
        <v>4720</v>
      </c>
      <c r="B1404" s="381" t="s">
        <v>324</v>
      </c>
      <c r="C1404" s="413" t="s">
        <v>261</v>
      </c>
      <c r="D1404" s="381" t="s">
        <v>4999</v>
      </c>
      <c r="E1404" s="383" t="s">
        <v>5000</v>
      </c>
      <c r="F1404" s="381" t="s">
        <v>85</v>
      </c>
      <c r="G1404" s="384" t="s">
        <v>329</v>
      </c>
      <c r="H1404" s="24">
        <f>120.4+149.71+189.25+60.67+9.88+121.26+25.89+159.45+18.88+124.72+346.81+10</f>
        <v>1336.92</v>
      </c>
      <c r="I1404" s="24"/>
      <c r="J1404" s="25" t="str">
        <f t="shared" si="67"/>
        <v>1</v>
      </c>
      <c r="K1404" s="385"/>
      <c r="L1404" s="385"/>
      <c r="M1404" s="386">
        <f t="shared" si="66"/>
        <v>1336.92</v>
      </c>
      <c r="N1404" s="496">
        <v>155</v>
      </c>
      <c r="O1404" s="333">
        <f t="shared" si="65"/>
        <v>1491.92</v>
      </c>
      <c r="R1404" s="23" t="str">
        <f>VLOOKUP(C:C,'Historic Data - working'!A:B,1,FALSE)</f>
        <v>POR124</v>
      </c>
      <c r="U1404" s="323"/>
      <c r="V1404" s="323"/>
      <c r="W1404" s="323"/>
    </row>
    <row r="1405" spans="1:23" s="23" customFormat="1" ht="14.25" x14ac:dyDescent="0.2">
      <c r="A1405" s="381" t="s">
        <v>4720</v>
      </c>
      <c r="B1405" s="381" t="s">
        <v>324</v>
      </c>
      <c r="C1405" s="413" t="s">
        <v>5001</v>
      </c>
      <c r="D1405" s="381" t="s">
        <v>5002</v>
      </c>
      <c r="E1405" s="383" t="s">
        <v>5003</v>
      </c>
      <c r="F1405" s="381" t="s">
        <v>5004</v>
      </c>
      <c r="G1405" s="384"/>
      <c r="H1405" s="24"/>
      <c r="I1405" s="24"/>
      <c r="J1405" s="25" t="str">
        <f t="shared" si="67"/>
        <v xml:space="preserve"> </v>
      </c>
      <c r="K1405" s="385"/>
      <c r="L1405" s="385"/>
      <c r="M1405" s="386">
        <f t="shared" si="66"/>
        <v>0</v>
      </c>
      <c r="N1405" s="496"/>
      <c r="O1405" s="333">
        <f t="shared" si="65"/>
        <v>0</v>
      </c>
      <c r="R1405" s="23" t="e">
        <f>VLOOKUP(C:C,'Historic Data - working'!A:B,1,FALSE)</f>
        <v>#N/A</v>
      </c>
      <c r="U1405" s="323"/>
      <c r="V1405" s="323"/>
      <c r="W1405" s="323"/>
    </row>
    <row r="1406" spans="1:23" s="23" customFormat="1" ht="14.25" x14ac:dyDescent="0.2">
      <c r="A1406" s="381" t="s">
        <v>4720</v>
      </c>
      <c r="B1406" s="381" t="s">
        <v>351</v>
      </c>
      <c r="C1406" s="413" t="s">
        <v>263</v>
      </c>
      <c r="D1406" s="381" t="s">
        <v>5005</v>
      </c>
      <c r="E1406" s="383" t="s">
        <v>5006</v>
      </c>
      <c r="F1406" s="381" t="s">
        <v>230</v>
      </c>
      <c r="G1406" s="384"/>
      <c r="H1406" s="24"/>
      <c r="I1406" s="24"/>
      <c r="J1406" s="25" t="str">
        <f t="shared" si="67"/>
        <v xml:space="preserve"> </v>
      </c>
      <c r="K1406" s="385"/>
      <c r="L1406" s="385"/>
      <c r="M1406" s="386">
        <f t="shared" si="66"/>
        <v>0</v>
      </c>
      <c r="N1406" s="496">
        <v>239</v>
      </c>
      <c r="O1406" s="333">
        <f t="shared" si="65"/>
        <v>239</v>
      </c>
      <c r="R1406" s="23" t="str">
        <f>VLOOKUP(C:C,'Historic Data - working'!A:B,1,FALSE)</f>
        <v>POR126</v>
      </c>
      <c r="U1406" s="323"/>
      <c r="V1406" s="323"/>
      <c r="W1406" s="323"/>
    </row>
    <row r="1407" spans="1:23" s="23" customFormat="1" ht="14.25" x14ac:dyDescent="0.2">
      <c r="A1407" s="381" t="s">
        <v>4720</v>
      </c>
      <c r="B1407" s="381" t="s">
        <v>324</v>
      </c>
      <c r="C1407" s="413" t="s">
        <v>266</v>
      </c>
      <c r="D1407" s="381" t="s">
        <v>5007</v>
      </c>
      <c r="E1407" s="383" t="s">
        <v>164</v>
      </c>
      <c r="F1407" s="381" t="s">
        <v>82</v>
      </c>
      <c r="G1407" s="384" t="s">
        <v>329</v>
      </c>
      <c r="H1407" s="24"/>
      <c r="I1407" s="24">
        <f>177.4+277</f>
        <v>454.4</v>
      </c>
      <c r="J1407" s="25" t="str">
        <f t="shared" si="67"/>
        <v>1</v>
      </c>
      <c r="K1407" s="385"/>
      <c r="L1407" s="385"/>
      <c r="M1407" s="386">
        <f t="shared" si="66"/>
        <v>0</v>
      </c>
      <c r="N1407" s="496">
        <v>1014.4</v>
      </c>
      <c r="O1407" s="333">
        <f t="shared" si="65"/>
        <v>1014.4</v>
      </c>
      <c r="R1407" s="23" t="str">
        <f>VLOOKUP(C:C,'Historic Data - working'!A:B,1,FALSE)</f>
        <v>POR127</v>
      </c>
      <c r="U1407" s="323"/>
      <c r="V1407" s="323"/>
      <c r="W1407" s="323"/>
    </row>
    <row r="1408" spans="1:23" s="23" customFormat="1" ht="14.25" x14ac:dyDescent="0.2">
      <c r="A1408" s="381" t="s">
        <v>4720</v>
      </c>
      <c r="B1408" s="381" t="s">
        <v>324</v>
      </c>
      <c r="C1408" s="413" t="s">
        <v>268</v>
      </c>
      <c r="D1408" s="381" t="s">
        <v>5008</v>
      </c>
      <c r="E1408" s="383" t="s">
        <v>270</v>
      </c>
      <c r="F1408" s="381" t="s">
        <v>269</v>
      </c>
      <c r="G1408" s="384" t="s">
        <v>329</v>
      </c>
      <c r="H1408" s="24">
        <f>468+429+251</f>
        <v>1148</v>
      </c>
      <c r="I1408" s="24"/>
      <c r="J1408" s="25" t="str">
        <f t="shared" si="67"/>
        <v>1</v>
      </c>
      <c r="K1408" s="385"/>
      <c r="L1408" s="385"/>
      <c r="M1408" s="386">
        <f t="shared" si="66"/>
        <v>1148</v>
      </c>
      <c r="N1408" s="496">
        <v>77.2</v>
      </c>
      <c r="O1408" s="333">
        <f t="shared" si="65"/>
        <v>1225.2</v>
      </c>
      <c r="R1408" s="23" t="str">
        <f>VLOOKUP(C:C,'Historic Data - working'!A:B,1,FALSE)</f>
        <v>POR128</v>
      </c>
      <c r="U1408" s="323"/>
      <c r="V1408" s="323"/>
      <c r="W1408" s="323"/>
    </row>
    <row r="1409" spans="1:23" s="23" customFormat="1" ht="14.25" x14ac:dyDescent="0.2">
      <c r="A1409" s="381" t="s">
        <v>4720</v>
      </c>
      <c r="B1409" s="381" t="s">
        <v>324</v>
      </c>
      <c r="C1409" s="413" t="s">
        <v>271</v>
      </c>
      <c r="D1409" s="381" t="s">
        <v>5009</v>
      </c>
      <c r="E1409" s="383" t="s">
        <v>273</v>
      </c>
      <c r="F1409" s="381" t="s">
        <v>272</v>
      </c>
      <c r="G1409" s="384"/>
      <c r="H1409" s="24"/>
      <c r="I1409" s="24"/>
      <c r="J1409" s="25" t="str">
        <f t="shared" si="67"/>
        <v xml:space="preserve"> </v>
      </c>
      <c r="K1409" s="385" t="s">
        <v>3511</v>
      </c>
      <c r="L1409" s="385"/>
      <c r="M1409" s="386">
        <f t="shared" si="66"/>
        <v>0</v>
      </c>
      <c r="N1409" s="496">
        <v>719.27</v>
      </c>
      <c r="O1409" s="333">
        <f t="shared" si="65"/>
        <v>719.27</v>
      </c>
      <c r="R1409" s="23" t="str">
        <f>VLOOKUP(C:C,'Historic Data - working'!A:B,1,FALSE)</f>
        <v>POR129</v>
      </c>
      <c r="U1409" s="323"/>
      <c r="V1409" s="323"/>
      <c r="W1409" s="323"/>
    </row>
    <row r="1410" spans="1:23" s="23" customFormat="1" ht="28.5" x14ac:dyDescent="0.2">
      <c r="A1410" s="381" t="s">
        <v>4720</v>
      </c>
      <c r="B1410" s="381" t="s">
        <v>324</v>
      </c>
      <c r="C1410" s="413" t="s">
        <v>274</v>
      </c>
      <c r="D1410" s="381" t="s">
        <v>5010</v>
      </c>
      <c r="E1410" s="383" t="s">
        <v>5011</v>
      </c>
      <c r="F1410" s="381" t="s">
        <v>4748</v>
      </c>
      <c r="G1410" s="384"/>
      <c r="H1410" s="24"/>
      <c r="I1410" s="24"/>
      <c r="J1410" s="25" t="str">
        <f t="shared" si="67"/>
        <v xml:space="preserve"> </v>
      </c>
      <c r="K1410" s="385" t="s">
        <v>337</v>
      </c>
      <c r="L1410" s="385">
        <v>945.21</v>
      </c>
      <c r="M1410" s="386">
        <f t="shared" si="66"/>
        <v>945.21</v>
      </c>
      <c r="N1410" s="496">
        <v>1077.8900000000001</v>
      </c>
      <c r="O1410" s="333">
        <f t="shared" ref="O1410:O1473" si="68">M1410+N1410</f>
        <v>2023.1000000000001</v>
      </c>
      <c r="R1410" s="23" t="str">
        <f>VLOOKUP(C:C,'Historic Data - working'!A:B,1,FALSE)</f>
        <v>POR131</v>
      </c>
      <c r="U1410" s="323"/>
      <c r="V1410" s="323"/>
      <c r="W1410" s="323"/>
    </row>
    <row r="1411" spans="1:23" s="23" customFormat="1" ht="28.5" x14ac:dyDescent="0.2">
      <c r="A1411" s="381" t="s">
        <v>4720</v>
      </c>
      <c r="B1411" s="381" t="s">
        <v>351</v>
      </c>
      <c r="C1411" s="413" t="s">
        <v>5012</v>
      </c>
      <c r="D1411" s="381" t="s">
        <v>5013</v>
      </c>
      <c r="E1411" s="383" t="s">
        <v>5014</v>
      </c>
      <c r="F1411" s="381" t="s">
        <v>4748</v>
      </c>
      <c r="G1411" s="384"/>
      <c r="H1411" s="24"/>
      <c r="I1411" s="24"/>
      <c r="J1411" s="25" t="str">
        <f t="shared" si="67"/>
        <v xml:space="preserve"> </v>
      </c>
      <c r="K1411" s="385"/>
      <c r="L1411" s="385"/>
      <c r="M1411" s="386">
        <f t="shared" ref="M1411:M1474" si="69">H1411+L1411</f>
        <v>0</v>
      </c>
      <c r="N1411" s="496"/>
      <c r="O1411" s="333">
        <f t="shared" si="68"/>
        <v>0</v>
      </c>
      <c r="R1411" s="23" t="e">
        <f>VLOOKUP(C:C,'Historic Data - working'!A:B,1,FALSE)</f>
        <v>#N/A</v>
      </c>
      <c r="U1411" s="323"/>
      <c r="V1411" s="323"/>
      <c r="W1411" s="323"/>
    </row>
    <row r="1412" spans="1:23" s="23" customFormat="1" ht="14.25" x14ac:dyDescent="0.2">
      <c r="A1412" s="381" t="s">
        <v>4720</v>
      </c>
      <c r="B1412" s="381" t="s">
        <v>351</v>
      </c>
      <c r="C1412" s="413" t="s">
        <v>5015</v>
      </c>
      <c r="D1412" s="381" t="s">
        <v>5016</v>
      </c>
      <c r="E1412" s="383" t="s">
        <v>5017</v>
      </c>
      <c r="F1412" s="381" t="s">
        <v>4748</v>
      </c>
      <c r="G1412" s="384"/>
      <c r="H1412" s="24"/>
      <c r="I1412" s="24"/>
      <c r="J1412" s="25" t="str">
        <f t="shared" si="67"/>
        <v xml:space="preserve"> </v>
      </c>
      <c r="K1412" s="385"/>
      <c r="L1412" s="385"/>
      <c r="M1412" s="386">
        <f t="shared" si="69"/>
        <v>0</v>
      </c>
      <c r="N1412" s="496"/>
      <c r="O1412" s="333">
        <f t="shared" si="68"/>
        <v>0</v>
      </c>
      <c r="R1412" s="23" t="e">
        <f>VLOOKUP(C:C,'Historic Data - working'!A:B,1,FALSE)</f>
        <v>#N/A</v>
      </c>
      <c r="U1412" s="323"/>
      <c r="V1412" s="323"/>
      <c r="W1412" s="323"/>
    </row>
    <row r="1413" spans="1:23" s="23" customFormat="1" ht="14.25" x14ac:dyDescent="0.2">
      <c r="A1413" s="381" t="s">
        <v>4720</v>
      </c>
      <c r="B1413" s="381" t="s">
        <v>351</v>
      </c>
      <c r="C1413" s="413" t="s">
        <v>277</v>
      </c>
      <c r="D1413" s="381" t="s">
        <v>5018</v>
      </c>
      <c r="E1413" s="383" t="s">
        <v>5019</v>
      </c>
      <c r="F1413" s="381" t="s">
        <v>278</v>
      </c>
      <c r="G1413" s="384"/>
      <c r="H1413" s="24"/>
      <c r="I1413" s="24"/>
      <c r="J1413" s="25" t="str">
        <f t="shared" si="67"/>
        <v xml:space="preserve"> </v>
      </c>
      <c r="K1413" s="385" t="s">
        <v>337</v>
      </c>
      <c r="L1413" s="385">
        <v>266.07</v>
      </c>
      <c r="M1413" s="386">
        <f t="shared" si="69"/>
        <v>266.07</v>
      </c>
      <c r="N1413" s="496">
        <v>1101.48</v>
      </c>
      <c r="O1413" s="333">
        <f t="shared" si="68"/>
        <v>1367.55</v>
      </c>
      <c r="R1413" s="23" t="str">
        <f>VLOOKUP(C:C,'Historic Data - working'!A:B,1,FALSE)</f>
        <v>POR134</v>
      </c>
      <c r="U1413" s="323"/>
      <c r="V1413" s="323"/>
      <c r="W1413" s="323"/>
    </row>
    <row r="1414" spans="1:23" s="23" customFormat="1" ht="14.25" x14ac:dyDescent="0.2">
      <c r="A1414" s="381" t="s">
        <v>4720</v>
      </c>
      <c r="B1414" s="381" t="s">
        <v>351</v>
      </c>
      <c r="C1414" s="413" t="s">
        <v>5020</v>
      </c>
      <c r="D1414" s="381" t="s">
        <v>5021</v>
      </c>
      <c r="E1414" s="383" t="s">
        <v>5022</v>
      </c>
      <c r="F1414" s="381" t="s">
        <v>278</v>
      </c>
      <c r="G1414" s="384"/>
      <c r="H1414" s="24"/>
      <c r="I1414" s="24"/>
      <c r="J1414" s="25" t="str">
        <f t="shared" si="67"/>
        <v xml:space="preserve"> </v>
      </c>
      <c r="K1414" s="385"/>
      <c r="L1414" s="385"/>
      <c r="M1414" s="386">
        <f t="shared" si="69"/>
        <v>0</v>
      </c>
      <c r="N1414" s="496"/>
      <c r="O1414" s="333">
        <f t="shared" si="68"/>
        <v>0</v>
      </c>
      <c r="R1414" s="23" t="e">
        <f>VLOOKUP(C:C,'Historic Data - working'!A:B,1,FALSE)</f>
        <v>#N/A</v>
      </c>
      <c r="U1414" s="323"/>
      <c r="V1414" s="323"/>
      <c r="W1414" s="323"/>
    </row>
    <row r="1415" spans="1:23" s="23" customFormat="1" ht="14.25" x14ac:dyDescent="0.2">
      <c r="A1415" s="381" t="s">
        <v>4720</v>
      </c>
      <c r="B1415" s="381" t="s">
        <v>324</v>
      </c>
      <c r="C1415" s="413" t="s">
        <v>280</v>
      </c>
      <c r="D1415" s="381" t="s">
        <v>5023</v>
      </c>
      <c r="E1415" s="383" t="s">
        <v>11</v>
      </c>
      <c r="F1415" s="381" t="s">
        <v>5024</v>
      </c>
      <c r="G1415" s="384" t="s">
        <v>329</v>
      </c>
      <c r="H1415" s="24">
        <f>45.56+34.49+243.98+39.04+76.07+67.85+132.29+90+43.14+51.67+24.55+170.5+7.64+86.77+53.72+37.78+14.6+12.04+18.74+2.83+7.6</f>
        <v>1260.8599999999997</v>
      </c>
      <c r="I1415" s="24"/>
      <c r="J1415" s="25" t="str">
        <f t="shared" si="67"/>
        <v>1</v>
      </c>
      <c r="K1415" s="385"/>
      <c r="L1415" s="385"/>
      <c r="M1415" s="386">
        <f t="shared" si="69"/>
        <v>1260.8599999999997</v>
      </c>
      <c r="N1415" s="496">
        <v>1030</v>
      </c>
      <c r="O1415" s="333">
        <f t="shared" si="68"/>
        <v>2290.8599999999997</v>
      </c>
      <c r="R1415" s="23" t="str">
        <f>VLOOKUP(C:C,'Historic Data - working'!A:B,1,FALSE)</f>
        <v>POR135</v>
      </c>
      <c r="U1415" s="323"/>
      <c r="V1415" s="323"/>
      <c r="W1415" s="323"/>
    </row>
    <row r="1416" spans="1:23" s="23" customFormat="1" ht="14.25" x14ac:dyDescent="0.2">
      <c r="A1416" s="381" t="s">
        <v>4720</v>
      </c>
      <c r="B1416" s="381" t="s">
        <v>324</v>
      </c>
      <c r="C1416" s="413" t="s">
        <v>282</v>
      </c>
      <c r="D1416" s="381" t="s">
        <v>5025</v>
      </c>
      <c r="E1416" s="383" t="s">
        <v>5026</v>
      </c>
      <c r="F1416" s="381" t="s">
        <v>85</v>
      </c>
      <c r="G1416" s="384" t="s">
        <v>329</v>
      </c>
      <c r="H1416" s="24">
        <f>200+52.07+966.1+101.9+440.51+616.75</f>
        <v>2377.33</v>
      </c>
      <c r="I1416" s="24"/>
      <c r="J1416" s="25" t="str">
        <f t="shared" si="67"/>
        <v>1</v>
      </c>
      <c r="K1416" s="385" t="s">
        <v>5027</v>
      </c>
      <c r="L1416" s="385">
        <v>-5.63</v>
      </c>
      <c r="M1416" s="386">
        <f t="shared" si="69"/>
        <v>2371.6999999999998</v>
      </c>
      <c r="N1416" s="496">
        <v>630</v>
      </c>
      <c r="O1416" s="333">
        <f t="shared" si="68"/>
        <v>3001.7</v>
      </c>
      <c r="R1416" s="23" t="str">
        <f>VLOOKUP(C:C,'Historic Data - working'!A:B,1,FALSE)</f>
        <v>POR136</v>
      </c>
      <c r="U1416" s="323"/>
      <c r="V1416" s="323"/>
      <c r="W1416" s="323"/>
    </row>
    <row r="1417" spans="1:23" s="23" customFormat="1" ht="14.25" x14ac:dyDescent="0.2">
      <c r="A1417" s="381" t="s">
        <v>4720</v>
      </c>
      <c r="B1417" s="381" t="s">
        <v>351</v>
      </c>
      <c r="C1417" s="413" t="s">
        <v>285</v>
      </c>
      <c r="D1417" s="381" t="s">
        <v>5028</v>
      </c>
      <c r="E1417" s="383" t="s">
        <v>5029</v>
      </c>
      <c r="F1417" s="381" t="s">
        <v>85</v>
      </c>
      <c r="G1417" s="384" t="s">
        <v>329</v>
      </c>
      <c r="H1417" s="24">
        <v>264.39999999999998</v>
      </c>
      <c r="I1417" s="24"/>
      <c r="J1417" s="25" t="str">
        <f t="shared" si="67"/>
        <v>1</v>
      </c>
      <c r="K1417" s="385"/>
      <c r="L1417" s="385"/>
      <c r="M1417" s="386">
        <f t="shared" si="69"/>
        <v>264.39999999999998</v>
      </c>
      <c r="N1417" s="496">
        <v>820</v>
      </c>
      <c r="O1417" s="333">
        <f t="shared" si="68"/>
        <v>1084.4000000000001</v>
      </c>
      <c r="R1417" s="23" t="str">
        <f>VLOOKUP(C:C,'Historic Data - working'!A:B,1,FALSE)</f>
        <v>POR137</v>
      </c>
      <c r="U1417" s="323"/>
      <c r="V1417" s="323"/>
      <c r="W1417" s="323"/>
    </row>
    <row r="1418" spans="1:23" s="23" customFormat="1" ht="14.25" x14ac:dyDescent="0.2">
      <c r="A1418" s="381" t="s">
        <v>4720</v>
      </c>
      <c r="B1418" s="381" t="s">
        <v>324</v>
      </c>
      <c r="C1418" s="413" t="s">
        <v>287</v>
      </c>
      <c r="D1418" s="381" t="s">
        <v>5030</v>
      </c>
      <c r="E1418" s="383" t="s">
        <v>5031</v>
      </c>
      <c r="F1418" s="381" t="s">
        <v>85</v>
      </c>
      <c r="G1418" s="384" t="s">
        <v>329</v>
      </c>
      <c r="H1418" s="24">
        <v>215.54</v>
      </c>
      <c r="I1418" s="24"/>
      <c r="J1418" s="25" t="str">
        <f t="shared" si="67"/>
        <v>1</v>
      </c>
      <c r="K1418" s="385"/>
      <c r="L1418" s="385"/>
      <c r="M1418" s="386">
        <f t="shared" si="69"/>
        <v>215.54</v>
      </c>
      <c r="N1418" s="496"/>
      <c r="O1418" s="333">
        <f t="shared" si="68"/>
        <v>215.54</v>
      </c>
      <c r="R1418" s="23" t="str">
        <f>VLOOKUP(C:C,'Historic Data - working'!A:B,1,FALSE)</f>
        <v>POR138</v>
      </c>
      <c r="U1418" s="323"/>
      <c r="V1418" s="323"/>
      <c r="W1418" s="323"/>
    </row>
    <row r="1419" spans="1:23" s="23" customFormat="1" ht="14.25" x14ac:dyDescent="0.2">
      <c r="A1419" s="381" t="s">
        <v>4720</v>
      </c>
      <c r="B1419" s="381" t="s">
        <v>351</v>
      </c>
      <c r="C1419" s="413" t="s">
        <v>290</v>
      </c>
      <c r="D1419" s="381" t="s">
        <v>5032</v>
      </c>
      <c r="E1419" s="383" t="s">
        <v>5033</v>
      </c>
      <c r="F1419" s="381" t="s">
        <v>5034</v>
      </c>
      <c r="G1419" s="384" t="s">
        <v>329</v>
      </c>
      <c r="H1419" s="24">
        <v>129</v>
      </c>
      <c r="I1419" s="24"/>
      <c r="J1419" s="25" t="str">
        <f t="shared" si="67"/>
        <v>1</v>
      </c>
      <c r="K1419" s="385"/>
      <c r="L1419" s="385"/>
      <c r="M1419" s="386">
        <f t="shared" si="69"/>
        <v>129</v>
      </c>
      <c r="N1419" s="496">
        <v>40</v>
      </c>
      <c r="O1419" s="333">
        <f t="shared" si="68"/>
        <v>169</v>
      </c>
      <c r="R1419" s="23" t="str">
        <f>VLOOKUP(C:C,'Historic Data - working'!A:B,1,FALSE)</f>
        <v>POR139</v>
      </c>
      <c r="U1419" s="323"/>
      <c r="V1419" s="323"/>
      <c r="W1419" s="323"/>
    </row>
    <row r="1420" spans="1:23" s="23" customFormat="1" ht="14.25" x14ac:dyDescent="0.2">
      <c r="A1420" s="381" t="s">
        <v>4720</v>
      </c>
      <c r="B1420" s="381" t="s">
        <v>351</v>
      </c>
      <c r="C1420" s="413" t="s">
        <v>292</v>
      </c>
      <c r="D1420" s="381" t="s">
        <v>5035</v>
      </c>
      <c r="E1420" s="383" t="s">
        <v>5036</v>
      </c>
      <c r="F1420" s="381" t="s">
        <v>293</v>
      </c>
      <c r="G1420" s="384"/>
      <c r="H1420" s="24"/>
      <c r="I1420" s="24"/>
      <c r="J1420" s="25" t="str">
        <f t="shared" si="67"/>
        <v xml:space="preserve"> </v>
      </c>
      <c r="K1420" s="385" t="s">
        <v>337</v>
      </c>
      <c r="L1420" s="385">
        <v>289.01</v>
      </c>
      <c r="M1420" s="386">
        <f t="shared" si="69"/>
        <v>289.01</v>
      </c>
      <c r="N1420" s="496">
        <v>230</v>
      </c>
      <c r="O1420" s="333">
        <f t="shared" si="68"/>
        <v>519.01</v>
      </c>
      <c r="R1420" s="23" t="str">
        <f>VLOOKUP(C:C,'Historic Data - working'!A:B,1,FALSE)</f>
        <v>POR140</v>
      </c>
      <c r="U1420" s="323"/>
      <c r="V1420" s="323"/>
      <c r="W1420" s="323"/>
    </row>
    <row r="1421" spans="1:23" s="23" customFormat="1" ht="28.5" x14ac:dyDescent="0.2">
      <c r="A1421" s="381" t="s">
        <v>4720</v>
      </c>
      <c r="B1421" s="381" t="s">
        <v>351</v>
      </c>
      <c r="C1421" s="413" t="s">
        <v>295</v>
      </c>
      <c r="D1421" s="381" t="s">
        <v>5037</v>
      </c>
      <c r="E1421" s="383" t="s">
        <v>5038</v>
      </c>
      <c r="F1421" s="381" t="s">
        <v>296</v>
      </c>
      <c r="G1421" s="384" t="s">
        <v>329</v>
      </c>
      <c r="H1421" s="24">
        <f>299.99+549.5+204+145.32+443.23</f>
        <v>1642.04</v>
      </c>
      <c r="I1421" s="24"/>
      <c r="J1421" s="25" t="str">
        <f t="shared" si="67"/>
        <v>1</v>
      </c>
      <c r="K1421" s="385"/>
      <c r="L1421" s="385"/>
      <c r="M1421" s="386">
        <f t="shared" si="69"/>
        <v>1642.04</v>
      </c>
      <c r="N1421" s="496">
        <v>230</v>
      </c>
      <c r="O1421" s="333">
        <f t="shared" si="68"/>
        <v>1872.04</v>
      </c>
      <c r="R1421" s="23" t="str">
        <f>VLOOKUP(C:C,'Historic Data - working'!A:B,1,FALSE)</f>
        <v>POR141</v>
      </c>
      <c r="U1421" s="323"/>
      <c r="V1421" s="323"/>
      <c r="W1421" s="323"/>
    </row>
    <row r="1422" spans="1:23" s="23" customFormat="1" ht="14.25" x14ac:dyDescent="0.2">
      <c r="A1422" s="381" t="s">
        <v>4720</v>
      </c>
      <c r="B1422" s="381" t="s">
        <v>351</v>
      </c>
      <c r="C1422" s="413" t="s">
        <v>298</v>
      </c>
      <c r="D1422" s="381" t="s">
        <v>5039</v>
      </c>
      <c r="E1422" s="383" t="s">
        <v>5040</v>
      </c>
      <c r="F1422" s="381" t="s">
        <v>85</v>
      </c>
      <c r="G1422" s="384" t="s">
        <v>329</v>
      </c>
      <c r="H1422" s="24">
        <f>117.47+16+25.46</f>
        <v>158.93</v>
      </c>
      <c r="I1422" s="24"/>
      <c r="J1422" s="25" t="str">
        <f t="shared" si="67"/>
        <v>1</v>
      </c>
      <c r="K1422" s="385" t="s">
        <v>5041</v>
      </c>
      <c r="L1422" s="385">
        <v>0.5</v>
      </c>
      <c r="M1422" s="386">
        <f t="shared" si="69"/>
        <v>159.43</v>
      </c>
      <c r="N1422" s="496"/>
      <c r="O1422" s="333">
        <f t="shared" si="68"/>
        <v>159.43</v>
      </c>
      <c r="R1422" s="23" t="str">
        <f>VLOOKUP(C:C,'Historic Data - working'!A:B,1,FALSE)</f>
        <v>POR142</v>
      </c>
      <c r="U1422" s="323"/>
      <c r="V1422" s="323"/>
      <c r="W1422" s="323"/>
    </row>
    <row r="1423" spans="1:23" s="23" customFormat="1" ht="14.25" x14ac:dyDescent="0.2">
      <c r="A1423" s="381" t="s">
        <v>4720</v>
      </c>
      <c r="B1423" s="381" t="s">
        <v>324</v>
      </c>
      <c r="C1423" s="413" t="s">
        <v>300</v>
      </c>
      <c r="D1423" s="381" t="s">
        <v>5042</v>
      </c>
      <c r="E1423" s="383" t="s">
        <v>5043</v>
      </c>
      <c r="F1423" s="381" t="s">
        <v>110</v>
      </c>
      <c r="G1423" s="384" t="s">
        <v>329</v>
      </c>
      <c r="H1423" s="24">
        <f>514.45+508.47</f>
        <v>1022.9200000000001</v>
      </c>
      <c r="I1423" s="24">
        <v>662.98</v>
      </c>
      <c r="J1423" s="25" t="str">
        <f t="shared" si="67"/>
        <v>1</v>
      </c>
      <c r="K1423" s="385"/>
      <c r="L1423" s="385"/>
      <c r="M1423" s="386">
        <f t="shared" si="69"/>
        <v>1022.9200000000001</v>
      </c>
      <c r="N1423" s="496">
        <v>662.98</v>
      </c>
      <c r="O1423" s="333">
        <f t="shared" si="68"/>
        <v>1685.9</v>
      </c>
      <c r="R1423" s="23" t="str">
        <f>VLOOKUP(C:C,'Historic Data - working'!A:B,1,FALSE)</f>
        <v>POR143</v>
      </c>
      <c r="U1423" s="323"/>
      <c r="V1423" s="323"/>
      <c r="W1423" s="323"/>
    </row>
    <row r="1424" spans="1:23" s="23" customFormat="1" ht="14.25" x14ac:dyDescent="0.2">
      <c r="A1424" s="381" t="s">
        <v>4720</v>
      </c>
      <c r="B1424" s="381" t="s">
        <v>324</v>
      </c>
      <c r="C1424" s="413" t="s">
        <v>302</v>
      </c>
      <c r="D1424" s="381" t="s">
        <v>5044</v>
      </c>
      <c r="E1424" s="383" t="s">
        <v>303</v>
      </c>
      <c r="F1424" s="381" t="s">
        <v>5034</v>
      </c>
      <c r="G1424" s="384"/>
      <c r="H1424" s="24"/>
      <c r="I1424" s="24"/>
      <c r="J1424" s="25" t="str">
        <f t="shared" si="67"/>
        <v xml:space="preserve"> </v>
      </c>
      <c r="K1424" s="385"/>
      <c r="L1424" s="385"/>
      <c r="M1424" s="386">
        <f t="shared" si="69"/>
        <v>0</v>
      </c>
      <c r="N1424" s="496"/>
      <c r="O1424" s="333">
        <f t="shared" si="68"/>
        <v>0</v>
      </c>
      <c r="R1424" s="23" t="str">
        <f>VLOOKUP(C:C,'Historic Data - working'!A:B,1,FALSE)</f>
        <v>POR144</v>
      </c>
      <c r="U1424" s="323"/>
      <c r="V1424" s="323"/>
      <c r="W1424" s="323"/>
    </row>
    <row r="1425" spans="1:23" s="23" customFormat="1" ht="14.25" x14ac:dyDescent="0.2">
      <c r="A1425" s="381" t="s">
        <v>4720</v>
      </c>
      <c r="B1425" s="381" t="s">
        <v>324</v>
      </c>
      <c r="C1425" s="413" t="s">
        <v>5045</v>
      </c>
      <c r="D1425" s="381" t="s">
        <v>5046</v>
      </c>
      <c r="E1425" s="383" t="s">
        <v>5047</v>
      </c>
      <c r="F1425" s="381" t="s">
        <v>5048</v>
      </c>
      <c r="G1425" s="384"/>
      <c r="H1425" s="24"/>
      <c r="I1425" s="24"/>
      <c r="J1425" s="25" t="str">
        <f t="shared" si="67"/>
        <v xml:space="preserve"> </v>
      </c>
      <c r="K1425" s="385"/>
      <c r="L1425" s="385"/>
      <c r="M1425" s="386">
        <f t="shared" si="69"/>
        <v>0</v>
      </c>
      <c r="N1425" s="496"/>
      <c r="O1425" s="333">
        <f t="shared" si="68"/>
        <v>0</v>
      </c>
      <c r="R1425" s="23" t="e">
        <f>VLOOKUP(C:C,'Historic Data - working'!A:B,1,FALSE)</f>
        <v>#N/A</v>
      </c>
      <c r="U1425" s="323"/>
      <c r="V1425" s="323"/>
      <c r="W1425" s="323"/>
    </row>
    <row r="1426" spans="1:23" s="23" customFormat="1" ht="28.5" x14ac:dyDescent="0.2">
      <c r="A1426" s="381" t="s">
        <v>4720</v>
      </c>
      <c r="B1426" s="381" t="s">
        <v>351</v>
      </c>
      <c r="C1426" s="413" t="s">
        <v>5049</v>
      </c>
      <c r="D1426" s="381" t="s">
        <v>5050</v>
      </c>
      <c r="E1426" s="383" t="s">
        <v>5051</v>
      </c>
      <c r="F1426" s="381" t="s">
        <v>85</v>
      </c>
      <c r="G1426" s="384"/>
      <c r="H1426" s="24"/>
      <c r="I1426" s="24"/>
      <c r="J1426" s="25" t="str">
        <f t="shared" si="67"/>
        <v xml:space="preserve"> </v>
      </c>
      <c r="K1426" s="385"/>
      <c r="L1426" s="385"/>
      <c r="M1426" s="386">
        <f t="shared" si="69"/>
        <v>0</v>
      </c>
      <c r="N1426" s="496"/>
      <c r="O1426" s="333">
        <f t="shared" si="68"/>
        <v>0</v>
      </c>
      <c r="R1426" s="23" t="e">
        <f>VLOOKUP(C:C,'Historic Data - working'!A:B,1,FALSE)</f>
        <v>#N/A</v>
      </c>
      <c r="U1426" s="323"/>
      <c r="V1426" s="323"/>
      <c r="W1426" s="323"/>
    </row>
    <row r="1427" spans="1:23" s="23" customFormat="1" ht="14.25" x14ac:dyDescent="0.2">
      <c r="A1427" s="381" t="s">
        <v>4720</v>
      </c>
      <c r="B1427" s="381" t="s">
        <v>324</v>
      </c>
      <c r="C1427" s="413" t="s">
        <v>5052</v>
      </c>
      <c r="D1427" s="381" t="s">
        <v>5053</v>
      </c>
      <c r="E1427" s="383" t="s">
        <v>5054</v>
      </c>
      <c r="F1427" s="385"/>
      <c r="G1427" s="384"/>
      <c r="H1427" s="24"/>
      <c r="I1427" s="24"/>
      <c r="J1427" s="25" t="str">
        <f t="shared" si="67"/>
        <v xml:space="preserve"> </v>
      </c>
      <c r="K1427" s="385" t="s">
        <v>827</v>
      </c>
      <c r="L1427" s="396">
        <f>186.78-51.05</f>
        <v>135.73000000000002</v>
      </c>
      <c r="M1427" s="386">
        <f t="shared" si="69"/>
        <v>135.73000000000002</v>
      </c>
      <c r="N1427" s="496">
        <v>105</v>
      </c>
      <c r="O1427" s="334">
        <f t="shared" si="68"/>
        <v>240.73000000000002</v>
      </c>
      <c r="P1427" s="351"/>
      <c r="Q1427" s="331"/>
      <c r="R1427" s="331" t="e">
        <f>VLOOKUP(C:C,'Historic Data - working'!A:B,1,FALSE)</f>
        <v>#N/A</v>
      </c>
      <c r="U1427" s="323"/>
      <c r="V1427" s="323"/>
      <c r="W1427" s="323"/>
    </row>
    <row r="1428" spans="1:23" s="23" customFormat="1" ht="28.5" hidden="1" x14ac:dyDescent="0.2">
      <c r="A1428" s="381" t="s">
        <v>5055</v>
      </c>
      <c r="B1428" s="381" t="s">
        <v>324</v>
      </c>
      <c r="C1428" s="415" t="s">
        <v>5056</v>
      </c>
      <c r="D1428" s="381" t="s">
        <v>5057</v>
      </c>
      <c r="E1428" s="383" t="s">
        <v>5058</v>
      </c>
      <c r="F1428" s="381" t="s">
        <v>5059</v>
      </c>
      <c r="G1428" s="384" t="s">
        <v>329</v>
      </c>
      <c r="H1428" s="24">
        <f>183.12+110.63+103+131.91+156.67+94</f>
        <v>779.32999999999993</v>
      </c>
      <c r="I1428" s="24"/>
      <c r="J1428" s="25" t="str">
        <f t="shared" si="67"/>
        <v>1</v>
      </c>
      <c r="K1428" s="385" t="s">
        <v>5060</v>
      </c>
      <c r="L1428" s="385">
        <v>-15</v>
      </c>
      <c r="M1428" s="386">
        <f t="shared" si="69"/>
        <v>764.32999999999993</v>
      </c>
      <c r="N1428" s="496">
        <v>755</v>
      </c>
      <c r="O1428" s="333">
        <f t="shared" si="68"/>
        <v>1519.33</v>
      </c>
      <c r="R1428" s="23" t="str">
        <f>VLOOKUP(C:C,'Historic Data - working'!A:B,1,FALSE)</f>
        <v>SHR001</v>
      </c>
      <c r="U1428" s="323"/>
      <c r="V1428" s="323"/>
      <c r="W1428" s="323"/>
    </row>
    <row r="1429" spans="1:23" s="23" customFormat="1" ht="14.25" hidden="1" x14ac:dyDescent="0.2">
      <c r="A1429" s="381" t="s">
        <v>5055</v>
      </c>
      <c r="B1429" s="381" t="s">
        <v>324</v>
      </c>
      <c r="C1429" s="415" t="s">
        <v>5061</v>
      </c>
      <c r="D1429" s="381" t="s">
        <v>5062</v>
      </c>
      <c r="E1429" s="383" t="s">
        <v>5063</v>
      </c>
      <c r="F1429" s="381" t="s">
        <v>5059</v>
      </c>
      <c r="G1429" s="384" t="s">
        <v>329</v>
      </c>
      <c r="H1429" s="24">
        <f>348.42+461.14</f>
        <v>809.56</v>
      </c>
      <c r="I1429" s="24"/>
      <c r="J1429" s="25" t="str">
        <f t="shared" si="67"/>
        <v>1</v>
      </c>
      <c r="K1429" s="385"/>
      <c r="L1429" s="385"/>
      <c r="M1429" s="386">
        <f t="shared" si="69"/>
        <v>809.56</v>
      </c>
      <c r="N1429" s="496">
        <v>25</v>
      </c>
      <c r="O1429" s="333">
        <f t="shared" si="68"/>
        <v>834.56</v>
      </c>
      <c r="R1429" s="23" t="str">
        <f>VLOOKUP(C:C,'Historic Data - working'!A:B,1,FALSE)</f>
        <v>SHR002</v>
      </c>
      <c r="U1429" s="323"/>
      <c r="V1429" s="323"/>
      <c r="W1429" s="323"/>
    </row>
    <row r="1430" spans="1:23" s="23" customFormat="1" ht="14.25" hidden="1" x14ac:dyDescent="0.2">
      <c r="A1430" s="381" t="s">
        <v>5055</v>
      </c>
      <c r="B1430" s="381" t="s">
        <v>324</v>
      </c>
      <c r="C1430" s="415" t="s">
        <v>5064</v>
      </c>
      <c r="D1430" s="381" t="s">
        <v>5065</v>
      </c>
      <c r="E1430" s="383" t="s">
        <v>5066</v>
      </c>
      <c r="F1430" s="381" t="s">
        <v>5059</v>
      </c>
      <c r="G1430" s="384" t="s">
        <v>329</v>
      </c>
      <c r="H1430" s="24">
        <v>515.79</v>
      </c>
      <c r="I1430" s="24"/>
      <c r="J1430" s="25" t="str">
        <f t="shared" si="67"/>
        <v>1</v>
      </c>
      <c r="K1430" s="385"/>
      <c r="L1430" s="385"/>
      <c r="M1430" s="386">
        <f t="shared" si="69"/>
        <v>515.79</v>
      </c>
      <c r="N1430" s="496">
        <v>70</v>
      </c>
      <c r="O1430" s="333">
        <f t="shared" si="68"/>
        <v>585.79</v>
      </c>
      <c r="R1430" s="23" t="str">
        <f>VLOOKUP(C:C,'Historic Data - working'!A:B,1,FALSE)</f>
        <v>SHR003</v>
      </c>
      <c r="U1430" s="323"/>
      <c r="V1430" s="323"/>
      <c r="W1430" s="323"/>
    </row>
    <row r="1431" spans="1:23" s="23" customFormat="1" ht="14.25" hidden="1" x14ac:dyDescent="0.2">
      <c r="A1431" s="381" t="s">
        <v>5055</v>
      </c>
      <c r="B1431" s="381" t="s">
        <v>324</v>
      </c>
      <c r="C1431" s="415" t="s">
        <v>5067</v>
      </c>
      <c r="D1431" s="381" t="s">
        <v>5068</v>
      </c>
      <c r="E1431" s="383" t="s">
        <v>5069</v>
      </c>
      <c r="F1431" s="381" t="s">
        <v>5070</v>
      </c>
      <c r="G1431" s="384" t="s">
        <v>329</v>
      </c>
      <c r="H1431" s="24">
        <f>34.5+38+80.84+43.98+6.63+38+41</f>
        <v>282.95</v>
      </c>
      <c r="I1431" s="24"/>
      <c r="J1431" s="25" t="str">
        <f t="shared" si="67"/>
        <v>1</v>
      </c>
      <c r="K1431" s="385" t="s">
        <v>5071</v>
      </c>
      <c r="L1431" s="385">
        <v>-0.18</v>
      </c>
      <c r="M1431" s="386">
        <f t="shared" si="69"/>
        <v>282.77</v>
      </c>
      <c r="N1431" s="496">
        <v>170</v>
      </c>
      <c r="O1431" s="333">
        <f t="shared" si="68"/>
        <v>452.77</v>
      </c>
      <c r="R1431" s="23" t="str">
        <f>VLOOKUP(C:C,'Historic Data - working'!A:B,1,FALSE)</f>
        <v>SHR004</v>
      </c>
      <c r="U1431" s="323"/>
      <c r="V1431" s="323"/>
      <c r="W1431" s="323"/>
    </row>
    <row r="1432" spans="1:23" s="23" customFormat="1" ht="14.25" hidden="1" x14ac:dyDescent="0.2">
      <c r="A1432" s="381" t="s">
        <v>5055</v>
      </c>
      <c r="B1432" s="381" t="s">
        <v>324</v>
      </c>
      <c r="C1432" s="415" t="s">
        <v>5072</v>
      </c>
      <c r="D1432" s="381" t="s">
        <v>5073</v>
      </c>
      <c r="E1432" s="383" t="s">
        <v>5074</v>
      </c>
      <c r="F1432" s="381" t="s">
        <v>5075</v>
      </c>
      <c r="G1432" s="384" t="s">
        <v>329</v>
      </c>
      <c r="H1432" s="24">
        <f>35.02+687.5+22+17.85+375+5.45+105.01+66.92+40+512.78+350.35+119.87+68.51+294.1+73.18+500+91.1+120.59+59.84+320.83+94.29</f>
        <v>3960.19</v>
      </c>
      <c r="I1432" s="24"/>
      <c r="J1432" s="25" t="str">
        <f t="shared" si="67"/>
        <v>1</v>
      </c>
      <c r="K1432" s="385" t="s">
        <v>5076</v>
      </c>
      <c r="L1432" s="385">
        <v>174.52</v>
      </c>
      <c r="M1432" s="386">
        <f t="shared" si="69"/>
        <v>4134.71</v>
      </c>
      <c r="N1432" s="496">
        <v>472</v>
      </c>
      <c r="O1432" s="333">
        <f t="shared" si="68"/>
        <v>4606.71</v>
      </c>
      <c r="R1432" s="23" t="str">
        <f>VLOOKUP(C:C,'Historic Data - working'!A:B,1,FALSE)</f>
        <v>SHR005</v>
      </c>
      <c r="U1432" s="323"/>
      <c r="V1432" s="323"/>
      <c r="W1432" s="323"/>
    </row>
    <row r="1433" spans="1:23" s="23" customFormat="1" ht="14.25" hidden="1" x14ac:dyDescent="0.2">
      <c r="A1433" s="381" t="s">
        <v>5055</v>
      </c>
      <c r="B1433" s="381" t="s">
        <v>324</v>
      </c>
      <c r="C1433" s="415" t="s">
        <v>5077</v>
      </c>
      <c r="D1433" s="381" t="s">
        <v>5078</v>
      </c>
      <c r="E1433" s="383" t="s">
        <v>5079</v>
      </c>
      <c r="F1433" s="381" t="s">
        <v>5080</v>
      </c>
      <c r="G1433" s="384" t="s">
        <v>329</v>
      </c>
      <c r="H1433" s="24">
        <v>2403.37</v>
      </c>
      <c r="I1433" s="24"/>
      <c r="J1433" s="25" t="str">
        <f t="shared" si="67"/>
        <v>1</v>
      </c>
      <c r="K1433" s="385" t="s">
        <v>5081</v>
      </c>
      <c r="L1433" s="385">
        <v>0.02</v>
      </c>
      <c r="M1433" s="386">
        <f t="shared" si="69"/>
        <v>2403.39</v>
      </c>
      <c r="N1433" s="496">
        <v>815</v>
      </c>
      <c r="O1433" s="333">
        <f t="shared" si="68"/>
        <v>3218.39</v>
      </c>
      <c r="R1433" s="23" t="str">
        <f>VLOOKUP(C:C,'Historic Data - working'!A:B,1,FALSE)</f>
        <v>SHR006</v>
      </c>
      <c r="U1433" s="323"/>
      <c r="V1433" s="323"/>
      <c r="W1433" s="323"/>
    </row>
    <row r="1434" spans="1:23" s="23" customFormat="1" ht="14.25" hidden="1" x14ac:dyDescent="0.2">
      <c r="A1434" s="381" t="s">
        <v>5055</v>
      </c>
      <c r="B1434" s="381" t="s">
        <v>324</v>
      </c>
      <c r="C1434" s="415" t="s">
        <v>5082</v>
      </c>
      <c r="D1434" s="381" t="s">
        <v>5083</v>
      </c>
      <c r="E1434" s="383" t="s">
        <v>246</v>
      </c>
      <c r="F1434" s="381" t="s">
        <v>5080</v>
      </c>
      <c r="G1434" s="384" t="s">
        <v>329</v>
      </c>
      <c r="H1434" s="24">
        <f>1474.61+1378.39+1311.58+1525.85+36.38</f>
        <v>5726.81</v>
      </c>
      <c r="I1434" s="24"/>
      <c r="J1434" s="25" t="str">
        <f t="shared" si="67"/>
        <v>1</v>
      </c>
      <c r="K1434" s="385"/>
      <c r="L1434" s="385"/>
      <c r="M1434" s="386">
        <f t="shared" si="69"/>
        <v>5726.81</v>
      </c>
      <c r="N1434" s="496">
        <v>1109</v>
      </c>
      <c r="O1434" s="333">
        <f t="shared" si="68"/>
        <v>6835.81</v>
      </c>
      <c r="R1434" s="23" t="str">
        <f>VLOOKUP(C:C,'Historic Data - working'!A:B,1,FALSE)</f>
        <v>SHR008</v>
      </c>
      <c r="U1434" s="323"/>
      <c r="V1434" s="323"/>
      <c r="W1434" s="323"/>
    </row>
    <row r="1435" spans="1:23" s="23" customFormat="1" ht="14.25" hidden="1" x14ac:dyDescent="0.2">
      <c r="A1435" s="381" t="s">
        <v>5055</v>
      </c>
      <c r="B1435" s="381" t="s">
        <v>324</v>
      </c>
      <c r="C1435" s="415" t="s">
        <v>5084</v>
      </c>
      <c r="D1435" s="381" t="s">
        <v>5085</v>
      </c>
      <c r="E1435" s="383" t="s">
        <v>5086</v>
      </c>
      <c r="F1435" s="381" t="s">
        <v>5087</v>
      </c>
      <c r="G1435" s="384" t="s">
        <v>329</v>
      </c>
      <c r="H1435" s="24">
        <f>145.19+64.05+129.9</f>
        <v>339.14</v>
      </c>
      <c r="I1435" s="24"/>
      <c r="J1435" s="25" t="str">
        <f t="shared" si="67"/>
        <v>1</v>
      </c>
      <c r="K1435" s="385" t="s">
        <v>5088</v>
      </c>
      <c r="L1435" s="385">
        <v>0.02</v>
      </c>
      <c r="M1435" s="386">
        <f t="shared" si="69"/>
        <v>339.15999999999997</v>
      </c>
      <c r="N1435" s="496">
        <v>84</v>
      </c>
      <c r="O1435" s="333">
        <f t="shared" si="68"/>
        <v>423.15999999999997</v>
      </c>
      <c r="R1435" s="23" t="str">
        <f>VLOOKUP(C:C,'Historic Data - working'!A:B,1,FALSE)</f>
        <v>SHR009</v>
      </c>
      <c r="U1435" s="323"/>
      <c r="V1435" s="323"/>
      <c r="W1435" s="323"/>
    </row>
    <row r="1436" spans="1:23" s="23" customFormat="1" ht="14.25" hidden="1" x14ac:dyDescent="0.2">
      <c r="A1436" s="381" t="s">
        <v>5055</v>
      </c>
      <c r="B1436" s="381" t="s">
        <v>324</v>
      </c>
      <c r="C1436" s="415" t="s">
        <v>5089</v>
      </c>
      <c r="D1436" s="381" t="s">
        <v>5090</v>
      </c>
      <c r="E1436" s="383" t="s">
        <v>5091</v>
      </c>
      <c r="F1436" s="381" t="s">
        <v>5092</v>
      </c>
      <c r="G1436" s="384" t="s">
        <v>329</v>
      </c>
      <c r="H1436" s="24">
        <v>1656.16</v>
      </c>
      <c r="I1436" s="24"/>
      <c r="J1436" s="25" t="str">
        <f t="shared" si="67"/>
        <v>1</v>
      </c>
      <c r="K1436" s="385"/>
      <c r="L1436" s="385"/>
      <c r="M1436" s="386">
        <f t="shared" si="69"/>
        <v>1656.16</v>
      </c>
      <c r="N1436" s="496">
        <v>265</v>
      </c>
      <c r="O1436" s="333">
        <f t="shared" si="68"/>
        <v>1921.16</v>
      </c>
      <c r="R1436" s="23" t="str">
        <f>VLOOKUP(C:C,'Historic Data - working'!A:B,1,FALSE)</f>
        <v>SHR009X</v>
      </c>
      <c r="U1436" s="323"/>
      <c r="V1436" s="323"/>
      <c r="W1436" s="323"/>
    </row>
    <row r="1437" spans="1:23" s="23" customFormat="1" ht="14.25" hidden="1" x14ac:dyDescent="0.2">
      <c r="A1437" s="381" t="s">
        <v>5055</v>
      </c>
      <c r="B1437" s="381" t="s">
        <v>324</v>
      </c>
      <c r="C1437" s="415" t="s">
        <v>5093</v>
      </c>
      <c r="D1437" s="381" t="s">
        <v>5094</v>
      </c>
      <c r="E1437" s="383" t="s">
        <v>5095</v>
      </c>
      <c r="F1437" s="381" t="s">
        <v>5096</v>
      </c>
      <c r="G1437" s="384"/>
      <c r="H1437" s="24"/>
      <c r="I1437" s="24"/>
      <c r="J1437" s="25" t="str">
        <f t="shared" si="67"/>
        <v xml:space="preserve"> </v>
      </c>
      <c r="K1437" s="385" t="s">
        <v>337</v>
      </c>
      <c r="L1437" s="385">
        <v>340.28</v>
      </c>
      <c r="M1437" s="386">
        <f t="shared" si="69"/>
        <v>340.28</v>
      </c>
      <c r="N1437" s="496">
        <v>383</v>
      </c>
      <c r="O1437" s="333">
        <f t="shared" si="68"/>
        <v>723.28</v>
      </c>
      <c r="R1437" s="23" t="str">
        <f>VLOOKUP(C:C,'Historic Data - working'!A:B,1,FALSE)</f>
        <v>SHR011</v>
      </c>
      <c r="U1437" s="323"/>
      <c r="V1437" s="323"/>
      <c r="W1437" s="323"/>
    </row>
    <row r="1438" spans="1:23" s="23" customFormat="1" ht="28.5" hidden="1" x14ac:dyDescent="0.2">
      <c r="A1438" s="381" t="s">
        <v>5055</v>
      </c>
      <c r="B1438" s="381" t="s">
        <v>324</v>
      </c>
      <c r="C1438" s="415" t="s">
        <v>5097</v>
      </c>
      <c r="D1438" s="381" t="s">
        <v>5098</v>
      </c>
      <c r="E1438" s="383" t="s">
        <v>5099</v>
      </c>
      <c r="F1438" s="381" t="s">
        <v>5096</v>
      </c>
      <c r="G1438" s="384" t="s">
        <v>329</v>
      </c>
      <c r="H1438" s="24">
        <v>595.63</v>
      </c>
      <c r="I1438" s="24"/>
      <c r="J1438" s="25" t="str">
        <f t="shared" si="67"/>
        <v>1</v>
      </c>
      <c r="K1438" s="385"/>
      <c r="L1438" s="385"/>
      <c r="M1438" s="386">
        <f t="shared" si="69"/>
        <v>595.63</v>
      </c>
      <c r="N1438" s="496">
        <v>96</v>
      </c>
      <c r="O1438" s="333">
        <f t="shared" si="68"/>
        <v>691.63</v>
      </c>
      <c r="R1438" s="23" t="str">
        <f>VLOOKUP(C:C,'Historic Data - working'!A:B,1,FALSE)</f>
        <v>SHR012</v>
      </c>
      <c r="U1438" s="323"/>
      <c r="V1438" s="323"/>
      <c r="W1438" s="323"/>
    </row>
    <row r="1439" spans="1:23" s="23" customFormat="1" ht="14.25" hidden="1" x14ac:dyDescent="0.2">
      <c r="A1439" s="381" t="s">
        <v>5055</v>
      </c>
      <c r="B1439" s="381" t="s">
        <v>324</v>
      </c>
      <c r="C1439" s="415" t="s">
        <v>5100</v>
      </c>
      <c r="D1439" s="381" t="s">
        <v>5101</v>
      </c>
      <c r="E1439" s="383" t="s">
        <v>839</v>
      </c>
      <c r="F1439" s="381" t="s">
        <v>5096</v>
      </c>
      <c r="G1439" s="384" t="s">
        <v>329</v>
      </c>
      <c r="H1439" s="24">
        <f>420+617.89+39.32+25.51+7.5</f>
        <v>1110.2199999999998</v>
      </c>
      <c r="I1439" s="24"/>
      <c r="J1439" s="25" t="str">
        <f t="shared" si="67"/>
        <v>1</v>
      </c>
      <c r="K1439" s="385" t="s">
        <v>5102</v>
      </c>
      <c r="L1439" s="385">
        <v>-5</v>
      </c>
      <c r="M1439" s="386">
        <f t="shared" si="69"/>
        <v>1105.2199999999998</v>
      </c>
      <c r="N1439" s="496">
        <v>1005</v>
      </c>
      <c r="O1439" s="333">
        <f t="shared" si="68"/>
        <v>2110.2199999999998</v>
      </c>
      <c r="R1439" s="23" t="str">
        <f>VLOOKUP(C:C,'Historic Data - working'!A:B,1,FALSE)</f>
        <v>SHR013</v>
      </c>
      <c r="U1439" s="323"/>
      <c r="V1439" s="323"/>
      <c r="W1439" s="323"/>
    </row>
    <row r="1440" spans="1:23" s="23" customFormat="1" ht="14.25" hidden="1" x14ac:dyDescent="0.2">
      <c r="A1440" s="381" t="s">
        <v>5055</v>
      </c>
      <c r="B1440" s="381" t="s">
        <v>324</v>
      </c>
      <c r="C1440" s="415" t="s">
        <v>5103</v>
      </c>
      <c r="D1440" s="381" t="s">
        <v>5104</v>
      </c>
      <c r="E1440" s="383" t="s">
        <v>532</v>
      </c>
      <c r="F1440" s="381" t="s">
        <v>5096</v>
      </c>
      <c r="G1440" s="384" t="s">
        <v>329</v>
      </c>
      <c r="H1440" s="24">
        <v>715.68</v>
      </c>
      <c r="I1440" s="24"/>
      <c r="J1440" s="25" t="str">
        <f t="shared" si="67"/>
        <v>1</v>
      </c>
      <c r="K1440" s="385" t="s">
        <v>5105</v>
      </c>
      <c r="L1440" s="385">
        <v>-13.3</v>
      </c>
      <c r="M1440" s="386">
        <f t="shared" si="69"/>
        <v>702.38</v>
      </c>
      <c r="N1440" s="496">
        <v>75</v>
      </c>
      <c r="O1440" s="333">
        <f t="shared" si="68"/>
        <v>777.38</v>
      </c>
      <c r="R1440" s="23" t="str">
        <f>VLOOKUP(C:C,'Historic Data - working'!A:B,1,FALSE)</f>
        <v>SHR014</v>
      </c>
      <c r="U1440" s="323"/>
      <c r="V1440" s="323"/>
      <c r="W1440" s="323"/>
    </row>
    <row r="1441" spans="1:23" s="23" customFormat="1" ht="14.25" hidden="1" x14ac:dyDescent="0.2">
      <c r="A1441" s="381" t="s">
        <v>5055</v>
      </c>
      <c r="B1441" s="381" t="s">
        <v>324</v>
      </c>
      <c r="C1441" s="415" t="s">
        <v>5106</v>
      </c>
      <c r="D1441" s="381" t="s">
        <v>5107</v>
      </c>
      <c r="E1441" s="383" t="s">
        <v>5108</v>
      </c>
      <c r="F1441" s="381" t="s">
        <v>5096</v>
      </c>
      <c r="G1441" s="384" t="s">
        <v>329</v>
      </c>
      <c r="H1441" s="24">
        <v>763</v>
      </c>
      <c r="I1441" s="24"/>
      <c r="J1441" s="25" t="str">
        <f t="shared" si="67"/>
        <v>1</v>
      </c>
      <c r="K1441" s="385"/>
      <c r="L1441" s="385"/>
      <c r="M1441" s="386">
        <f t="shared" si="69"/>
        <v>763</v>
      </c>
      <c r="N1441" s="496"/>
      <c r="O1441" s="333">
        <f t="shared" si="68"/>
        <v>763</v>
      </c>
      <c r="R1441" s="23" t="str">
        <f>VLOOKUP(C:C,'Historic Data - working'!A:B,1,FALSE)</f>
        <v>SHR016</v>
      </c>
      <c r="U1441" s="323"/>
      <c r="V1441" s="323"/>
      <c r="W1441" s="323"/>
    </row>
    <row r="1442" spans="1:23" s="23" customFormat="1" ht="14.25" hidden="1" x14ac:dyDescent="0.2">
      <c r="A1442" s="381" t="s">
        <v>5055</v>
      </c>
      <c r="B1442" s="381" t="s">
        <v>324</v>
      </c>
      <c r="C1442" s="415" t="s">
        <v>5109</v>
      </c>
      <c r="D1442" s="381" t="s">
        <v>5110</v>
      </c>
      <c r="E1442" s="383" t="s">
        <v>5111</v>
      </c>
      <c r="F1442" s="381" t="s">
        <v>5096</v>
      </c>
      <c r="G1442" s="384" t="s">
        <v>329</v>
      </c>
      <c r="H1442" s="24">
        <f>50.5+78.71+49.73+40.6+28.5+35.24</f>
        <v>283.27999999999997</v>
      </c>
      <c r="I1442" s="24"/>
      <c r="J1442" s="25" t="str">
        <f t="shared" si="67"/>
        <v>1</v>
      </c>
      <c r="K1442" s="385" t="s">
        <v>5112</v>
      </c>
      <c r="L1442" s="385"/>
      <c r="M1442" s="386">
        <f t="shared" si="69"/>
        <v>283.27999999999997</v>
      </c>
      <c r="N1442" s="496">
        <v>5</v>
      </c>
      <c r="O1442" s="333">
        <f t="shared" si="68"/>
        <v>288.27999999999997</v>
      </c>
      <c r="R1442" s="23" t="str">
        <f>VLOOKUP(C:C,'Historic Data - working'!A:B,1,FALSE)</f>
        <v>SHR017</v>
      </c>
      <c r="U1442" s="323"/>
      <c r="V1442" s="323"/>
      <c r="W1442" s="323"/>
    </row>
    <row r="1443" spans="1:23" s="23" customFormat="1" ht="14.25" hidden="1" x14ac:dyDescent="0.2">
      <c r="A1443" s="381" t="s">
        <v>5055</v>
      </c>
      <c r="B1443" s="381" t="s">
        <v>324</v>
      </c>
      <c r="C1443" s="415" t="s">
        <v>5113</v>
      </c>
      <c r="D1443" s="381" t="s">
        <v>5114</v>
      </c>
      <c r="E1443" s="383" t="s">
        <v>1065</v>
      </c>
      <c r="F1443" s="381" t="s">
        <v>5096</v>
      </c>
      <c r="G1443" s="384"/>
      <c r="H1443" s="24"/>
      <c r="I1443" s="24"/>
      <c r="J1443" s="25" t="str">
        <f t="shared" si="67"/>
        <v xml:space="preserve"> </v>
      </c>
      <c r="K1443" s="385"/>
      <c r="L1443" s="385"/>
      <c r="M1443" s="386">
        <f t="shared" si="69"/>
        <v>0</v>
      </c>
      <c r="N1443" s="496"/>
      <c r="O1443" s="333">
        <f t="shared" si="68"/>
        <v>0</v>
      </c>
      <c r="R1443" s="23" t="e">
        <f>VLOOKUP(C:C,'Historic Data - working'!A:B,1,FALSE)</f>
        <v>#N/A</v>
      </c>
      <c r="U1443" s="323"/>
      <c r="V1443" s="323"/>
      <c r="W1443" s="323"/>
    </row>
    <row r="1444" spans="1:23" s="23" customFormat="1" ht="14.25" hidden="1" x14ac:dyDescent="0.2">
      <c r="A1444" s="381" t="s">
        <v>5055</v>
      </c>
      <c r="B1444" s="381" t="s">
        <v>324</v>
      </c>
      <c r="C1444" s="415" t="s">
        <v>5115</v>
      </c>
      <c r="D1444" s="381" t="s">
        <v>5116</v>
      </c>
      <c r="E1444" s="383" t="s">
        <v>5117</v>
      </c>
      <c r="F1444" s="381" t="s">
        <v>5096</v>
      </c>
      <c r="G1444" s="384" t="s">
        <v>329</v>
      </c>
      <c r="H1444" s="24">
        <v>171.87</v>
      </c>
      <c r="I1444" s="24"/>
      <c r="J1444" s="25" t="str">
        <f t="shared" si="67"/>
        <v>1</v>
      </c>
      <c r="K1444" s="385"/>
      <c r="L1444" s="385"/>
      <c r="M1444" s="386">
        <f t="shared" si="69"/>
        <v>171.87</v>
      </c>
      <c r="N1444" s="496">
        <v>80</v>
      </c>
      <c r="O1444" s="333">
        <f t="shared" si="68"/>
        <v>251.87</v>
      </c>
      <c r="R1444" s="23" t="str">
        <f>VLOOKUP(C:C,'Historic Data - working'!A:B,1,FALSE)</f>
        <v>SHR019</v>
      </c>
      <c r="U1444" s="323"/>
      <c r="V1444" s="323"/>
      <c r="W1444" s="323"/>
    </row>
    <row r="1445" spans="1:23" s="23" customFormat="1" ht="14.25" hidden="1" x14ac:dyDescent="0.2">
      <c r="A1445" s="381" t="s">
        <v>5055</v>
      </c>
      <c r="B1445" s="381" t="s">
        <v>324</v>
      </c>
      <c r="C1445" s="415" t="s">
        <v>5118</v>
      </c>
      <c r="D1445" s="381" t="s">
        <v>5119</v>
      </c>
      <c r="E1445" s="383" t="s">
        <v>476</v>
      </c>
      <c r="F1445" s="381" t="s">
        <v>5120</v>
      </c>
      <c r="G1445" s="384"/>
      <c r="H1445" s="24"/>
      <c r="I1445" s="24"/>
      <c r="J1445" s="25" t="str">
        <f t="shared" si="67"/>
        <v xml:space="preserve"> </v>
      </c>
      <c r="K1445" s="385"/>
      <c r="L1445" s="385"/>
      <c r="M1445" s="386">
        <f t="shared" si="69"/>
        <v>0</v>
      </c>
      <c r="N1445" s="496">
        <v>245</v>
      </c>
      <c r="O1445" s="333">
        <f t="shared" si="68"/>
        <v>245</v>
      </c>
      <c r="R1445" s="23" t="str">
        <f>VLOOKUP(C:C,'Historic Data - working'!A:B,1,FALSE)</f>
        <v>SHR020</v>
      </c>
      <c r="U1445" s="323"/>
      <c r="V1445" s="323"/>
      <c r="W1445" s="323"/>
    </row>
    <row r="1446" spans="1:23" s="23" customFormat="1" ht="14.25" hidden="1" x14ac:dyDescent="0.2">
      <c r="A1446" s="381" t="s">
        <v>5055</v>
      </c>
      <c r="B1446" s="381" t="s">
        <v>324</v>
      </c>
      <c r="C1446" s="415" t="s">
        <v>5121</v>
      </c>
      <c r="D1446" s="381" t="s">
        <v>5122</v>
      </c>
      <c r="E1446" s="383" t="s">
        <v>246</v>
      </c>
      <c r="F1446" s="381" t="s">
        <v>5123</v>
      </c>
      <c r="G1446" s="384" t="s">
        <v>329</v>
      </c>
      <c r="H1446" s="24">
        <f>295+359</f>
        <v>654</v>
      </c>
      <c r="I1446" s="24"/>
      <c r="J1446" s="25" t="str">
        <f t="shared" si="67"/>
        <v>1</v>
      </c>
      <c r="K1446" s="385"/>
      <c r="L1446" s="385"/>
      <c r="M1446" s="386">
        <f t="shared" si="69"/>
        <v>654</v>
      </c>
      <c r="N1446" s="496">
        <v>300</v>
      </c>
      <c r="O1446" s="333">
        <f t="shared" si="68"/>
        <v>954</v>
      </c>
      <c r="R1446" s="23" t="str">
        <f>VLOOKUP(C:C,'Historic Data - working'!A:B,1,FALSE)</f>
        <v>SHR021</v>
      </c>
      <c r="U1446" s="323"/>
      <c r="V1446" s="323"/>
      <c r="W1446" s="323"/>
    </row>
    <row r="1447" spans="1:23" s="23" customFormat="1" ht="14.25" hidden="1" x14ac:dyDescent="0.2">
      <c r="A1447" s="381" t="s">
        <v>5055</v>
      </c>
      <c r="B1447" s="381" t="s">
        <v>324</v>
      </c>
      <c r="C1447" s="415" t="s">
        <v>5124</v>
      </c>
      <c r="D1447" s="381" t="s">
        <v>5125</v>
      </c>
      <c r="E1447" s="383" t="s">
        <v>164</v>
      </c>
      <c r="F1447" s="381" t="s">
        <v>5126</v>
      </c>
      <c r="G1447" s="384" t="s">
        <v>329</v>
      </c>
      <c r="H1447" s="24">
        <f>82.31+18.27+89.63+56.07+14.47+96.57+148.92+153.29+222.48+53.8+53.06+24.63</f>
        <v>1013.4999999999999</v>
      </c>
      <c r="I1447" s="24"/>
      <c r="J1447" s="25" t="str">
        <f t="shared" si="67"/>
        <v>1</v>
      </c>
      <c r="K1447" s="385" t="s">
        <v>5127</v>
      </c>
      <c r="L1447" s="385">
        <v>23.1</v>
      </c>
      <c r="M1447" s="386">
        <f t="shared" si="69"/>
        <v>1036.5999999999999</v>
      </c>
      <c r="N1447" s="496">
        <v>138</v>
      </c>
      <c r="O1447" s="333">
        <f t="shared" si="68"/>
        <v>1174.5999999999999</v>
      </c>
      <c r="R1447" s="23" t="str">
        <f>VLOOKUP(C:C,'Historic Data - working'!A:B,1,FALSE)</f>
        <v>SHR022</v>
      </c>
      <c r="U1447" s="323"/>
      <c r="V1447" s="323"/>
      <c r="W1447" s="323"/>
    </row>
    <row r="1448" spans="1:23" s="23" customFormat="1" ht="14.25" hidden="1" x14ac:dyDescent="0.2">
      <c r="A1448" s="381" t="s">
        <v>5055</v>
      </c>
      <c r="B1448" s="381" t="s">
        <v>324</v>
      </c>
      <c r="C1448" s="415" t="s">
        <v>5128</v>
      </c>
      <c r="D1448" s="381" t="s">
        <v>5129</v>
      </c>
      <c r="E1448" s="383" t="s">
        <v>916</v>
      </c>
      <c r="F1448" s="381" t="s">
        <v>5130</v>
      </c>
      <c r="G1448" s="384" t="s">
        <v>329</v>
      </c>
      <c r="H1448" s="24">
        <v>1992.62</v>
      </c>
      <c r="I1448" s="24"/>
      <c r="J1448" s="25" t="str">
        <f t="shared" si="67"/>
        <v>1</v>
      </c>
      <c r="K1448" s="385"/>
      <c r="L1448" s="385"/>
      <c r="M1448" s="386">
        <f t="shared" si="69"/>
        <v>1992.62</v>
      </c>
      <c r="N1448" s="496">
        <v>475</v>
      </c>
      <c r="O1448" s="333">
        <f t="shared" si="68"/>
        <v>2467.62</v>
      </c>
      <c r="R1448" s="23" t="str">
        <f>VLOOKUP(C:C,'Historic Data - working'!A:B,1,FALSE)</f>
        <v>SHR023</v>
      </c>
      <c r="U1448" s="323"/>
      <c r="V1448" s="323"/>
      <c r="W1448" s="323"/>
    </row>
    <row r="1449" spans="1:23" s="23" customFormat="1" ht="14.25" hidden="1" x14ac:dyDescent="0.2">
      <c r="A1449" s="381" t="s">
        <v>5055</v>
      </c>
      <c r="B1449" s="381" t="s">
        <v>324</v>
      </c>
      <c r="C1449" s="415" t="s">
        <v>5131</v>
      </c>
      <c r="D1449" s="381" t="s">
        <v>5132</v>
      </c>
      <c r="E1449" s="383" t="s">
        <v>5133</v>
      </c>
      <c r="F1449" s="381" t="s">
        <v>5134</v>
      </c>
      <c r="G1449" s="384" t="s">
        <v>329</v>
      </c>
      <c r="H1449" s="24">
        <f>407.2+201.74+732.18</f>
        <v>1341.12</v>
      </c>
      <c r="I1449" s="24"/>
      <c r="J1449" s="25" t="str">
        <f t="shared" si="67"/>
        <v>1</v>
      </c>
      <c r="K1449" s="385" t="s">
        <v>5135</v>
      </c>
      <c r="L1449" s="385">
        <v>100</v>
      </c>
      <c r="M1449" s="386">
        <f t="shared" si="69"/>
        <v>1441.12</v>
      </c>
      <c r="N1449" s="496">
        <v>230</v>
      </c>
      <c r="O1449" s="333">
        <f t="shared" si="68"/>
        <v>1671.12</v>
      </c>
      <c r="R1449" s="23" t="str">
        <f>VLOOKUP(C:C,'Historic Data - working'!A:B,1,FALSE)</f>
        <v>SHR024</v>
      </c>
      <c r="U1449" s="323"/>
      <c r="V1449" s="323"/>
      <c r="W1449" s="323"/>
    </row>
    <row r="1450" spans="1:23" s="23" customFormat="1" ht="14.25" hidden="1" x14ac:dyDescent="0.2">
      <c r="A1450" s="381" t="s">
        <v>5055</v>
      </c>
      <c r="B1450" s="381" t="s">
        <v>324</v>
      </c>
      <c r="C1450" s="415" t="s">
        <v>5136</v>
      </c>
      <c r="D1450" s="381" t="s">
        <v>5137</v>
      </c>
      <c r="E1450" s="383" t="s">
        <v>5138</v>
      </c>
      <c r="F1450" s="381" t="s">
        <v>1128</v>
      </c>
      <c r="G1450" s="384" t="s">
        <v>329</v>
      </c>
      <c r="H1450" s="24">
        <v>184.57</v>
      </c>
      <c r="I1450" s="24"/>
      <c r="J1450" s="25" t="str">
        <f t="shared" si="67"/>
        <v>1</v>
      </c>
      <c r="K1450" s="385"/>
      <c r="L1450" s="385"/>
      <c r="M1450" s="386">
        <f t="shared" si="69"/>
        <v>184.57</v>
      </c>
      <c r="N1450" s="496">
        <v>80</v>
      </c>
      <c r="O1450" s="333">
        <f t="shared" si="68"/>
        <v>264.57</v>
      </c>
      <c r="R1450" s="23" t="str">
        <f>VLOOKUP(C:C,'Historic Data - working'!A:B,1,FALSE)</f>
        <v>SHR025</v>
      </c>
      <c r="U1450" s="323"/>
      <c r="V1450" s="323"/>
      <c r="W1450" s="323"/>
    </row>
    <row r="1451" spans="1:23" s="23" customFormat="1" ht="14.25" hidden="1" x14ac:dyDescent="0.2">
      <c r="A1451" s="381" t="s">
        <v>5055</v>
      </c>
      <c r="B1451" s="381" t="s">
        <v>324</v>
      </c>
      <c r="C1451" s="415" t="s">
        <v>5139</v>
      </c>
      <c r="D1451" s="381" t="s">
        <v>5140</v>
      </c>
      <c r="E1451" s="383" t="s">
        <v>5141</v>
      </c>
      <c r="F1451" s="381" t="s">
        <v>1128</v>
      </c>
      <c r="G1451" s="384" t="s">
        <v>329</v>
      </c>
      <c r="H1451" s="24">
        <v>646.55999999999995</v>
      </c>
      <c r="I1451" s="24"/>
      <c r="J1451" s="25" t="str">
        <f t="shared" si="67"/>
        <v>1</v>
      </c>
      <c r="K1451" s="385" t="s">
        <v>5142</v>
      </c>
      <c r="L1451" s="385">
        <v>110</v>
      </c>
      <c r="M1451" s="386">
        <f t="shared" si="69"/>
        <v>756.56</v>
      </c>
      <c r="N1451" s="496">
        <v>695</v>
      </c>
      <c r="O1451" s="333">
        <f t="shared" si="68"/>
        <v>1451.56</v>
      </c>
      <c r="R1451" s="23" t="str">
        <f>VLOOKUP(C:C,'Historic Data - working'!A:B,1,FALSE)</f>
        <v>SHR026</v>
      </c>
      <c r="U1451" s="323"/>
      <c r="V1451" s="323"/>
      <c r="W1451" s="323"/>
    </row>
    <row r="1452" spans="1:23" s="23" customFormat="1" ht="14.25" hidden="1" x14ac:dyDescent="0.2">
      <c r="A1452" s="381" t="s">
        <v>5055</v>
      </c>
      <c r="B1452" s="381" t="s">
        <v>324</v>
      </c>
      <c r="C1452" s="415" t="s">
        <v>5143</v>
      </c>
      <c r="D1452" s="381" t="s">
        <v>5144</v>
      </c>
      <c r="E1452" s="383" t="s">
        <v>5145</v>
      </c>
      <c r="F1452" s="381" t="s">
        <v>5146</v>
      </c>
      <c r="G1452" s="384" t="s">
        <v>329</v>
      </c>
      <c r="H1452" s="24">
        <v>1097.08</v>
      </c>
      <c r="I1452" s="24"/>
      <c r="J1452" s="25" t="str">
        <f t="shared" si="67"/>
        <v>1</v>
      </c>
      <c r="K1452" s="385" t="s">
        <v>5147</v>
      </c>
      <c r="L1452" s="385">
        <v>6.97</v>
      </c>
      <c r="M1452" s="386">
        <f t="shared" si="69"/>
        <v>1104.05</v>
      </c>
      <c r="N1452" s="496">
        <v>865</v>
      </c>
      <c r="O1452" s="333">
        <f t="shared" si="68"/>
        <v>1969.05</v>
      </c>
      <c r="R1452" s="23" t="str">
        <f>VLOOKUP(C:C,'Historic Data - working'!A:B,1,FALSE)</f>
        <v>SHR027</v>
      </c>
      <c r="U1452" s="323"/>
      <c r="V1452" s="323"/>
      <c r="W1452" s="323"/>
    </row>
    <row r="1453" spans="1:23" s="23" customFormat="1" ht="14.25" hidden="1" x14ac:dyDescent="0.2">
      <c r="A1453" s="381" t="s">
        <v>5055</v>
      </c>
      <c r="B1453" s="381" t="s">
        <v>324</v>
      </c>
      <c r="C1453" s="415" t="s">
        <v>5148</v>
      </c>
      <c r="D1453" s="381" t="s">
        <v>5149</v>
      </c>
      <c r="E1453" s="383" t="s">
        <v>301</v>
      </c>
      <c r="F1453" s="381" t="s">
        <v>5146</v>
      </c>
      <c r="G1453" s="384" t="s">
        <v>329</v>
      </c>
      <c r="H1453" s="24">
        <v>880.98</v>
      </c>
      <c r="I1453" s="24"/>
      <c r="J1453" s="25" t="str">
        <f t="shared" ref="J1453:J1516" si="70">IF(G1453="Y","1"," ")</f>
        <v>1</v>
      </c>
      <c r="K1453" s="385"/>
      <c r="L1453" s="385"/>
      <c r="M1453" s="386">
        <f t="shared" si="69"/>
        <v>880.98</v>
      </c>
      <c r="N1453" s="496">
        <v>296</v>
      </c>
      <c r="O1453" s="333">
        <f t="shared" si="68"/>
        <v>1176.98</v>
      </c>
      <c r="R1453" s="23" t="str">
        <f>VLOOKUP(C:C,'Historic Data - working'!A:B,1,FALSE)</f>
        <v>SHR028</v>
      </c>
      <c r="U1453" s="323"/>
      <c r="V1453" s="323"/>
      <c r="W1453" s="323"/>
    </row>
    <row r="1454" spans="1:23" s="23" customFormat="1" ht="14.25" hidden="1" x14ac:dyDescent="0.2">
      <c r="A1454" s="381" t="s">
        <v>5055</v>
      </c>
      <c r="B1454" s="381" t="s">
        <v>324</v>
      </c>
      <c r="C1454" s="415" t="s">
        <v>5150</v>
      </c>
      <c r="D1454" s="381" t="s">
        <v>5151</v>
      </c>
      <c r="E1454" s="383" t="s">
        <v>5152</v>
      </c>
      <c r="F1454" s="381" t="s">
        <v>5146</v>
      </c>
      <c r="G1454" s="384"/>
      <c r="H1454" s="24"/>
      <c r="I1454" s="24"/>
      <c r="J1454" s="25" t="str">
        <f t="shared" si="70"/>
        <v xml:space="preserve"> </v>
      </c>
      <c r="K1454" s="385"/>
      <c r="L1454" s="385"/>
      <c r="M1454" s="386">
        <f t="shared" si="69"/>
        <v>0</v>
      </c>
      <c r="N1454" s="496"/>
      <c r="O1454" s="333">
        <f t="shared" si="68"/>
        <v>0</v>
      </c>
      <c r="R1454" s="23" t="str">
        <f>VLOOKUP(C:C,'Historic Data - working'!A:B,1,FALSE)</f>
        <v>SHR029</v>
      </c>
      <c r="U1454" s="323"/>
      <c r="V1454" s="323"/>
      <c r="W1454" s="323"/>
    </row>
    <row r="1455" spans="1:23" s="23" customFormat="1" ht="14.25" hidden="1" x14ac:dyDescent="0.2">
      <c r="A1455" s="381" t="s">
        <v>5055</v>
      </c>
      <c r="B1455" s="381" t="s">
        <v>324</v>
      </c>
      <c r="C1455" s="415" t="s">
        <v>5153</v>
      </c>
      <c r="D1455" s="381" t="s">
        <v>5154</v>
      </c>
      <c r="E1455" s="383" t="s">
        <v>5155</v>
      </c>
      <c r="F1455" s="381" t="s">
        <v>5146</v>
      </c>
      <c r="G1455" s="384"/>
      <c r="H1455" s="24"/>
      <c r="I1455" s="24"/>
      <c r="J1455" s="25" t="str">
        <f t="shared" si="70"/>
        <v xml:space="preserve"> </v>
      </c>
      <c r="K1455" s="385" t="s">
        <v>337</v>
      </c>
      <c r="L1455" s="385">
        <v>188.86</v>
      </c>
      <c r="M1455" s="386">
        <f t="shared" si="69"/>
        <v>188.86</v>
      </c>
      <c r="N1455" s="496">
        <v>20</v>
      </c>
      <c r="O1455" s="333">
        <f t="shared" si="68"/>
        <v>208.86</v>
      </c>
      <c r="R1455" s="23" t="str">
        <f>VLOOKUP(C:C,'Historic Data - working'!A:B,1,FALSE)</f>
        <v>SHR030</v>
      </c>
      <c r="U1455" s="323"/>
      <c r="V1455" s="323"/>
      <c r="W1455" s="323"/>
    </row>
    <row r="1456" spans="1:23" s="23" customFormat="1" ht="14.25" hidden="1" x14ac:dyDescent="0.2">
      <c r="A1456" s="381" t="s">
        <v>5055</v>
      </c>
      <c r="B1456" s="381" t="s">
        <v>324</v>
      </c>
      <c r="C1456" s="415" t="s">
        <v>5156</v>
      </c>
      <c r="D1456" s="381" t="s">
        <v>5157</v>
      </c>
      <c r="E1456" s="383" t="s">
        <v>5158</v>
      </c>
      <c r="F1456" s="381" t="s">
        <v>5146</v>
      </c>
      <c r="G1456" s="384" t="s">
        <v>329</v>
      </c>
      <c r="H1456" s="24">
        <v>3633.14</v>
      </c>
      <c r="I1456" s="24"/>
      <c r="J1456" s="25" t="str">
        <f t="shared" si="70"/>
        <v>1</v>
      </c>
      <c r="K1456" s="385"/>
      <c r="L1456" s="385"/>
      <c r="M1456" s="386">
        <f t="shared" si="69"/>
        <v>3633.14</v>
      </c>
      <c r="N1456" s="496">
        <v>315</v>
      </c>
      <c r="O1456" s="333">
        <f t="shared" si="68"/>
        <v>3948.14</v>
      </c>
      <c r="R1456" s="23" t="str">
        <f>VLOOKUP(C:C,'Historic Data - working'!A:B,1,FALSE)</f>
        <v>SHR031</v>
      </c>
      <c r="U1456" s="323"/>
      <c r="V1456" s="323"/>
      <c r="W1456" s="323"/>
    </row>
    <row r="1457" spans="1:23" s="23" customFormat="1" ht="14.25" hidden="1" x14ac:dyDescent="0.2">
      <c r="A1457" s="381" t="s">
        <v>5055</v>
      </c>
      <c r="B1457" s="381" t="s">
        <v>324</v>
      </c>
      <c r="C1457" s="415" t="s">
        <v>5159</v>
      </c>
      <c r="D1457" s="381" t="s">
        <v>5160</v>
      </c>
      <c r="E1457" s="383" t="s">
        <v>5161</v>
      </c>
      <c r="F1457" s="381" t="s">
        <v>5162</v>
      </c>
      <c r="G1457" s="384"/>
      <c r="H1457" s="24"/>
      <c r="I1457" s="24"/>
      <c r="J1457" s="25" t="str">
        <f t="shared" si="70"/>
        <v xml:space="preserve"> </v>
      </c>
      <c r="K1457" s="385"/>
      <c r="L1457" s="385"/>
      <c r="M1457" s="386">
        <f t="shared" si="69"/>
        <v>0</v>
      </c>
      <c r="N1457" s="496"/>
      <c r="O1457" s="333">
        <f t="shared" si="68"/>
        <v>0</v>
      </c>
      <c r="R1457" s="23" t="e">
        <f>VLOOKUP(C:C,'Historic Data - working'!A:B,1,FALSE)</f>
        <v>#N/A</v>
      </c>
      <c r="U1457" s="323"/>
      <c r="V1457" s="323"/>
      <c r="W1457" s="323"/>
    </row>
    <row r="1458" spans="1:23" s="23" customFormat="1" ht="14.25" hidden="1" x14ac:dyDescent="0.2">
      <c r="A1458" s="381" t="s">
        <v>5055</v>
      </c>
      <c r="B1458" s="381" t="s">
        <v>324</v>
      </c>
      <c r="C1458" s="415" t="s">
        <v>5163</v>
      </c>
      <c r="D1458" s="381" t="s">
        <v>5164</v>
      </c>
      <c r="E1458" s="383" t="s">
        <v>5165</v>
      </c>
      <c r="F1458" s="381" t="s">
        <v>5166</v>
      </c>
      <c r="G1458" s="384" t="s">
        <v>329</v>
      </c>
      <c r="H1458" s="24">
        <f>253.09+183.68</f>
        <v>436.77</v>
      </c>
      <c r="I1458" s="24"/>
      <c r="J1458" s="25" t="str">
        <f t="shared" si="70"/>
        <v>1</v>
      </c>
      <c r="K1458" s="385"/>
      <c r="L1458" s="385"/>
      <c r="M1458" s="386">
        <f t="shared" si="69"/>
        <v>436.77</v>
      </c>
      <c r="N1458" s="496">
        <v>105</v>
      </c>
      <c r="O1458" s="333">
        <f t="shared" si="68"/>
        <v>541.77</v>
      </c>
      <c r="R1458" s="23" t="str">
        <f>VLOOKUP(C:C,'Historic Data - working'!A:B,1,FALSE)</f>
        <v>SHR032</v>
      </c>
      <c r="U1458" s="323"/>
      <c r="V1458" s="323"/>
      <c r="W1458" s="323"/>
    </row>
    <row r="1459" spans="1:23" s="23" customFormat="1" ht="14.25" hidden="1" x14ac:dyDescent="0.2">
      <c r="A1459" s="381" t="s">
        <v>5055</v>
      </c>
      <c r="B1459" s="381" t="s">
        <v>324</v>
      </c>
      <c r="C1459" s="415" t="s">
        <v>5167</v>
      </c>
      <c r="D1459" s="381" t="s">
        <v>5168</v>
      </c>
      <c r="E1459" s="383" t="s">
        <v>5169</v>
      </c>
      <c r="F1459" s="381" t="s">
        <v>5170</v>
      </c>
      <c r="G1459" s="384"/>
      <c r="H1459" s="24"/>
      <c r="I1459" s="24"/>
      <c r="J1459" s="25" t="str">
        <f t="shared" si="70"/>
        <v xml:space="preserve"> </v>
      </c>
      <c r="K1459" s="385"/>
      <c r="L1459" s="385"/>
      <c r="M1459" s="386">
        <f t="shared" si="69"/>
        <v>0</v>
      </c>
      <c r="N1459" s="496"/>
      <c r="O1459" s="333">
        <f t="shared" si="68"/>
        <v>0</v>
      </c>
      <c r="R1459" s="23" t="e">
        <f>VLOOKUP(C:C,'Historic Data - working'!A:B,1,FALSE)</f>
        <v>#N/A</v>
      </c>
      <c r="U1459" s="323"/>
      <c r="V1459" s="323"/>
      <c r="W1459" s="323"/>
    </row>
    <row r="1460" spans="1:23" s="23" customFormat="1" ht="14.25" hidden="1" x14ac:dyDescent="0.2">
      <c r="A1460" s="381" t="s">
        <v>5055</v>
      </c>
      <c r="B1460" s="381" t="s">
        <v>324</v>
      </c>
      <c r="C1460" s="415" t="s">
        <v>5171</v>
      </c>
      <c r="D1460" s="381" t="s">
        <v>5172</v>
      </c>
      <c r="E1460" s="383" t="s">
        <v>226</v>
      </c>
      <c r="F1460" s="381" t="s">
        <v>5173</v>
      </c>
      <c r="G1460" s="384" t="s">
        <v>329</v>
      </c>
      <c r="H1460" s="24">
        <v>903.35</v>
      </c>
      <c r="I1460" s="24"/>
      <c r="J1460" s="25" t="str">
        <f t="shared" si="70"/>
        <v>1</v>
      </c>
      <c r="K1460" s="385"/>
      <c r="L1460" s="385"/>
      <c r="M1460" s="386">
        <f t="shared" si="69"/>
        <v>903.35</v>
      </c>
      <c r="N1460" s="496">
        <v>190</v>
      </c>
      <c r="O1460" s="333">
        <f t="shared" si="68"/>
        <v>1093.3499999999999</v>
      </c>
      <c r="R1460" s="23" t="str">
        <f>VLOOKUP(C:C,'Historic Data - working'!A:B,1,FALSE)</f>
        <v>SHR033</v>
      </c>
      <c r="U1460" s="323"/>
      <c r="V1460" s="323"/>
      <c r="W1460" s="323"/>
    </row>
    <row r="1461" spans="1:23" s="23" customFormat="1" ht="14.25" hidden="1" x14ac:dyDescent="0.2">
      <c r="A1461" s="381" t="s">
        <v>5055</v>
      </c>
      <c r="B1461" s="381" t="s">
        <v>324</v>
      </c>
      <c r="C1461" s="415" t="s">
        <v>5174</v>
      </c>
      <c r="D1461" s="381" t="s">
        <v>5175</v>
      </c>
      <c r="E1461" s="383" t="s">
        <v>5176</v>
      </c>
      <c r="F1461" s="381" t="s">
        <v>5177</v>
      </c>
      <c r="G1461" s="384" t="s">
        <v>329</v>
      </c>
      <c r="H1461" s="24">
        <f>47.32+311.63+179.78+64.12+181.53+114.55+113.92+207.02+96.73+499.1+402.05+48.73</f>
        <v>2266.48</v>
      </c>
      <c r="I1461" s="24"/>
      <c r="J1461" s="25" t="str">
        <f t="shared" si="70"/>
        <v>1</v>
      </c>
      <c r="K1461" s="385"/>
      <c r="L1461" s="385"/>
      <c r="M1461" s="386">
        <f t="shared" si="69"/>
        <v>2266.48</v>
      </c>
      <c r="N1461" s="496">
        <v>273</v>
      </c>
      <c r="O1461" s="333">
        <f t="shared" si="68"/>
        <v>2539.48</v>
      </c>
      <c r="R1461" s="23" t="str">
        <f>VLOOKUP(C:C,'Historic Data - working'!A:B,1,FALSE)</f>
        <v>SHR034</v>
      </c>
      <c r="U1461" s="323"/>
      <c r="V1461" s="323"/>
      <c r="W1461" s="323"/>
    </row>
    <row r="1462" spans="1:23" s="23" customFormat="1" ht="14.25" hidden="1" x14ac:dyDescent="0.2">
      <c r="A1462" s="381" t="s">
        <v>5055</v>
      </c>
      <c r="B1462" s="381" t="s">
        <v>324</v>
      </c>
      <c r="C1462" s="415" t="s">
        <v>5178</v>
      </c>
      <c r="D1462" s="381" t="s">
        <v>5179</v>
      </c>
      <c r="E1462" s="383" t="s">
        <v>226</v>
      </c>
      <c r="F1462" s="381" t="s">
        <v>5180</v>
      </c>
      <c r="G1462" s="384" t="s">
        <v>329</v>
      </c>
      <c r="H1462" s="24">
        <f>86+25+65+48+134+101+140+79.51+22.79</f>
        <v>701.3</v>
      </c>
      <c r="I1462" s="24"/>
      <c r="J1462" s="25" t="str">
        <f t="shared" si="70"/>
        <v>1</v>
      </c>
      <c r="K1462" s="385"/>
      <c r="L1462" s="385"/>
      <c r="M1462" s="386">
        <f t="shared" si="69"/>
        <v>701.3</v>
      </c>
      <c r="N1462" s="496">
        <v>230</v>
      </c>
      <c r="O1462" s="333">
        <f t="shared" si="68"/>
        <v>931.3</v>
      </c>
      <c r="R1462" s="23" t="str">
        <f>VLOOKUP(C:C,'Historic Data - working'!A:B,1,FALSE)</f>
        <v>SHR035</v>
      </c>
      <c r="U1462" s="323"/>
      <c r="V1462" s="323"/>
      <c r="W1462" s="323"/>
    </row>
    <row r="1463" spans="1:23" s="23" customFormat="1" ht="14.25" hidden="1" x14ac:dyDescent="0.2">
      <c r="A1463" s="381" t="s">
        <v>5055</v>
      </c>
      <c r="B1463" s="381" t="s">
        <v>324</v>
      </c>
      <c r="C1463" s="415" t="s">
        <v>5181</v>
      </c>
      <c r="D1463" s="381" t="s">
        <v>5182</v>
      </c>
      <c r="E1463" s="383" t="s">
        <v>1489</v>
      </c>
      <c r="F1463" s="381" t="s">
        <v>5183</v>
      </c>
      <c r="G1463" s="384"/>
      <c r="H1463" s="24"/>
      <c r="I1463" s="24"/>
      <c r="J1463" s="25" t="str">
        <f t="shared" si="70"/>
        <v xml:space="preserve"> </v>
      </c>
      <c r="K1463" s="385"/>
      <c r="L1463" s="385"/>
      <c r="M1463" s="386">
        <f t="shared" si="69"/>
        <v>0</v>
      </c>
      <c r="N1463" s="496">
        <v>50</v>
      </c>
      <c r="O1463" s="333">
        <f t="shared" si="68"/>
        <v>50</v>
      </c>
      <c r="R1463" s="23" t="str">
        <f>VLOOKUP(C:C,'Historic Data - working'!A:B,1,FALSE)</f>
        <v>SHR036</v>
      </c>
      <c r="U1463" s="323"/>
      <c r="V1463" s="323"/>
      <c r="W1463" s="323"/>
    </row>
    <row r="1464" spans="1:23" s="23" customFormat="1" ht="14.25" hidden="1" x14ac:dyDescent="0.2">
      <c r="A1464" s="381" t="s">
        <v>5055</v>
      </c>
      <c r="B1464" s="381" t="s">
        <v>324</v>
      </c>
      <c r="C1464" s="415" t="s">
        <v>5184</v>
      </c>
      <c r="D1464" s="381" t="s">
        <v>5185</v>
      </c>
      <c r="E1464" s="383" t="s">
        <v>5186</v>
      </c>
      <c r="F1464" s="381" t="s">
        <v>5187</v>
      </c>
      <c r="G1464" s="384" t="s">
        <v>329</v>
      </c>
      <c r="H1464" s="24">
        <f>238.17+122.63+473.35+254+20.8</f>
        <v>1108.95</v>
      </c>
      <c r="I1464" s="24"/>
      <c r="J1464" s="25" t="str">
        <f t="shared" si="70"/>
        <v>1</v>
      </c>
      <c r="K1464" s="385"/>
      <c r="L1464" s="385"/>
      <c r="M1464" s="386">
        <f t="shared" si="69"/>
        <v>1108.95</v>
      </c>
      <c r="N1464" s="496">
        <v>200</v>
      </c>
      <c r="O1464" s="333">
        <f t="shared" si="68"/>
        <v>1308.95</v>
      </c>
      <c r="R1464" s="23" t="str">
        <f>VLOOKUP(C:C,'Historic Data - working'!A:B,1,FALSE)</f>
        <v>SHR036X</v>
      </c>
      <c r="U1464" s="323"/>
      <c r="V1464" s="323"/>
      <c r="W1464" s="323"/>
    </row>
    <row r="1465" spans="1:23" s="23" customFormat="1" ht="14.25" hidden="1" x14ac:dyDescent="0.2">
      <c r="A1465" s="381" t="s">
        <v>5055</v>
      </c>
      <c r="B1465" s="381" t="s">
        <v>324</v>
      </c>
      <c r="C1465" s="415" t="s">
        <v>5188</v>
      </c>
      <c r="D1465" s="381" t="s">
        <v>5189</v>
      </c>
      <c r="E1465" s="383" t="s">
        <v>119</v>
      </c>
      <c r="F1465" s="381" t="s">
        <v>5190</v>
      </c>
      <c r="G1465" s="384" t="s">
        <v>329</v>
      </c>
      <c r="H1465" s="24">
        <v>1254.3</v>
      </c>
      <c r="I1465" s="24"/>
      <c r="J1465" s="25" t="str">
        <f t="shared" si="70"/>
        <v>1</v>
      </c>
      <c r="K1465" s="385"/>
      <c r="L1465" s="385"/>
      <c r="M1465" s="386">
        <f t="shared" si="69"/>
        <v>1254.3</v>
      </c>
      <c r="N1465" s="496">
        <v>272</v>
      </c>
      <c r="O1465" s="334">
        <f t="shared" si="68"/>
        <v>1526.3</v>
      </c>
      <c r="P1465" s="351"/>
      <c r="Q1465" s="331"/>
      <c r="R1465" s="331" t="e">
        <f>VLOOKUP(C:C,'Historic Data - working'!A:B,1,FALSE)</f>
        <v>#N/A</v>
      </c>
      <c r="U1465" s="323"/>
      <c r="V1465" s="323"/>
      <c r="W1465" s="323"/>
    </row>
    <row r="1466" spans="1:23" s="23" customFormat="1" ht="14.25" hidden="1" x14ac:dyDescent="0.2">
      <c r="A1466" s="381" t="s">
        <v>5055</v>
      </c>
      <c r="B1466" s="381" t="s">
        <v>324</v>
      </c>
      <c r="C1466" s="415" t="s">
        <v>5191</v>
      </c>
      <c r="D1466" s="381" t="s">
        <v>5192</v>
      </c>
      <c r="E1466" s="383" t="s">
        <v>5193</v>
      </c>
      <c r="F1466" s="381" t="s">
        <v>5190</v>
      </c>
      <c r="G1466" s="384" t="s">
        <v>329</v>
      </c>
      <c r="H1466" s="24">
        <v>0</v>
      </c>
      <c r="I1466" s="24">
        <v>0</v>
      </c>
      <c r="J1466" s="25" t="str">
        <f t="shared" si="70"/>
        <v>1</v>
      </c>
      <c r="K1466" s="385"/>
      <c r="L1466" s="385"/>
      <c r="M1466" s="386">
        <f t="shared" si="69"/>
        <v>0</v>
      </c>
      <c r="N1466" s="496">
        <v>75</v>
      </c>
      <c r="O1466" s="333">
        <f t="shared" si="68"/>
        <v>75</v>
      </c>
      <c r="R1466" s="23" t="e">
        <f>VLOOKUP(C:C,'Historic Data - working'!A:B,1,FALSE)</f>
        <v>#N/A</v>
      </c>
      <c r="U1466" s="323"/>
      <c r="V1466" s="323"/>
      <c r="W1466" s="323"/>
    </row>
    <row r="1467" spans="1:23" s="23" customFormat="1" ht="14.25" hidden="1" x14ac:dyDescent="0.2">
      <c r="A1467" s="381" t="s">
        <v>5055</v>
      </c>
      <c r="B1467" s="381" t="s">
        <v>324</v>
      </c>
      <c r="C1467" s="415" t="s">
        <v>5194</v>
      </c>
      <c r="D1467" s="381" t="s">
        <v>5195</v>
      </c>
      <c r="E1467" s="383" t="s">
        <v>299</v>
      </c>
      <c r="F1467" s="381" t="s">
        <v>5196</v>
      </c>
      <c r="G1467" s="384" t="s">
        <v>329</v>
      </c>
      <c r="H1467" s="24"/>
      <c r="I1467" s="24">
        <v>441.17</v>
      </c>
      <c r="J1467" s="25" t="str">
        <f t="shared" si="70"/>
        <v>1</v>
      </c>
      <c r="K1467" s="385"/>
      <c r="L1467" s="385"/>
      <c r="M1467" s="386">
        <f t="shared" si="69"/>
        <v>0</v>
      </c>
      <c r="N1467" s="496">
        <v>1071.17</v>
      </c>
      <c r="O1467" s="333">
        <f t="shared" si="68"/>
        <v>1071.17</v>
      </c>
      <c r="R1467" s="23" t="str">
        <f>VLOOKUP(C:C,'Historic Data - working'!A:B,1,FALSE)</f>
        <v>SHR039</v>
      </c>
      <c r="U1467" s="323"/>
      <c r="V1467" s="323"/>
      <c r="W1467" s="323"/>
    </row>
    <row r="1468" spans="1:23" s="23" customFormat="1" ht="14.25" hidden="1" x14ac:dyDescent="0.2">
      <c r="A1468" s="381" t="s">
        <v>5055</v>
      </c>
      <c r="B1468" s="381" t="s">
        <v>324</v>
      </c>
      <c r="C1468" s="415" t="s">
        <v>5197</v>
      </c>
      <c r="D1468" s="381" t="s">
        <v>5198</v>
      </c>
      <c r="E1468" s="383" t="s">
        <v>5063</v>
      </c>
      <c r="F1468" s="381" t="s">
        <v>5199</v>
      </c>
      <c r="G1468" s="384" t="s">
        <v>329</v>
      </c>
      <c r="H1468" s="24">
        <f>110.84+59.44+71.55+65.48+88.16+75.76+45.86+28.93+120.71+27.97+115.5+124.41+149.66+65.31+31.01+101.34+67.58+31.11+26.58+12.03+4.05+42.43+64.99+186.14+97.04+44.44</f>
        <v>1858.3199999999997</v>
      </c>
      <c r="I1468" s="24"/>
      <c r="J1468" s="25" t="str">
        <f t="shared" si="70"/>
        <v>1</v>
      </c>
      <c r="K1468" s="385" t="s">
        <v>5200</v>
      </c>
      <c r="L1468" s="385">
        <v>-110.84</v>
      </c>
      <c r="M1468" s="386">
        <f t="shared" si="69"/>
        <v>1747.4799999999998</v>
      </c>
      <c r="N1468" s="496">
        <v>541</v>
      </c>
      <c r="O1468" s="333">
        <f t="shared" si="68"/>
        <v>2288.4799999999996</v>
      </c>
      <c r="R1468" s="23" t="str">
        <f>VLOOKUP(C:C,'Historic Data - working'!A:B,1,FALSE)</f>
        <v>SHR040</v>
      </c>
      <c r="U1468" s="323"/>
      <c r="V1468" s="323"/>
      <c r="W1468" s="323"/>
    </row>
    <row r="1469" spans="1:23" s="23" customFormat="1" ht="14.25" hidden="1" x14ac:dyDescent="0.2">
      <c r="A1469" s="381" t="s">
        <v>5055</v>
      </c>
      <c r="B1469" s="381" t="s">
        <v>324</v>
      </c>
      <c r="C1469" s="415" t="s">
        <v>5201</v>
      </c>
      <c r="D1469" s="381" t="s">
        <v>5202</v>
      </c>
      <c r="E1469" s="383" t="s">
        <v>1076</v>
      </c>
      <c r="F1469" s="381" t="s">
        <v>5190</v>
      </c>
      <c r="G1469" s="384" t="s">
        <v>329</v>
      </c>
      <c r="H1469" s="24">
        <v>1863.17</v>
      </c>
      <c r="I1469" s="24"/>
      <c r="J1469" s="25" t="str">
        <f t="shared" si="70"/>
        <v>1</v>
      </c>
      <c r="K1469" s="385" t="s">
        <v>5203</v>
      </c>
      <c r="L1469" s="385">
        <v>-35.64</v>
      </c>
      <c r="M1469" s="386">
        <f t="shared" si="69"/>
        <v>1827.53</v>
      </c>
      <c r="N1469" s="496">
        <v>275</v>
      </c>
      <c r="O1469" s="333">
        <f t="shared" si="68"/>
        <v>2102.5299999999997</v>
      </c>
      <c r="R1469" s="23" t="str">
        <f>VLOOKUP(C:C,'Historic Data - working'!A:B,1,FALSE)</f>
        <v>SHR041</v>
      </c>
      <c r="U1469" s="323"/>
      <c r="V1469" s="323"/>
      <c r="W1469" s="323"/>
    </row>
    <row r="1470" spans="1:23" s="23" customFormat="1" ht="14.25" hidden="1" x14ac:dyDescent="0.2">
      <c r="A1470" s="381" t="s">
        <v>5055</v>
      </c>
      <c r="B1470" s="381" t="s">
        <v>324</v>
      </c>
      <c r="C1470" s="415" t="s">
        <v>5204</v>
      </c>
      <c r="D1470" s="381" t="s">
        <v>5205</v>
      </c>
      <c r="E1470" s="383" t="s">
        <v>5206</v>
      </c>
      <c r="F1470" s="381" t="s">
        <v>5207</v>
      </c>
      <c r="G1470" s="384" t="s">
        <v>329</v>
      </c>
      <c r="H1470" s="24">
        <v>563.9</v>
      </c>
      <c r="I1470" s="24"/>
      <c r="J1470" s="25" t="str">
        <f t="shared" si="70"/>
        <v>1</v>
      </c>
      <c r="K1470" s="385" t="s">
        <v>5208</v>
      </c>
      <c r="L1470" s="385">
        <v>-137.41</v>
      </c>
      <c r="M1470" s="386">
        <f t="shared" si="69"/>
        <v>426.49</v>
      </c>
      <c r="N1470" s="496">
        <v>885</v>
      </c>
      <c r="O1470" s="333">
        <f t="shared" si="68"/>
        <v>1311.49</v>
      </c>
      <c r="R1470" s="23" t="str">
        <f>VLOOKUP(C:C,'Historic Data - working'!A:B,1,FALSE)</f>
        <v>SHR042</v>
      </c>
      <c r="U1470" s="323"/>
      <c r="V1470" s="323"/>
      <c r="W1470" s="323"/>
    </row>
    <row r="1471" spans="1:23" s="23" customFormat="1" ht="14.25" hidden="1" x14ac:dyDescent="0.2">
      <c r="A1471" s="381" t="s">
        <v>5055</v>
      </c>
      <c r="B1471" s="381" t="s">
        <v>324</v>
      </c>
      <c r="C1471" s="415" t="s">
        <v>5209</v>
      </c>
      <c r="D1471" s="381" t="s">
        <v>5210</v>
      </c>
      <c r="E1471" s="383" t="s">
        <v>5211</v>
      </c>
      <c r="F1471" s="381" t="s">
        <v>5212</v>
      </c>
      <c r="G1471" s="384" t="s">
        <v>329</v>
      </c>
      <c r="H1471" s="24">
        <f>489.17+504</f>
        <v>993.17000000000007</v>
      </c>
      <c r="I1471" s="24"/>
      <c r="J1471" s="25" t="str">
        <f t="shared" si="70"/>
        <v>1</v>
      </c>
      <c r="K1471" s="385"/>
      <c r="L1471" s="385"/>
      <c r="M1471" s="386">
        <f t="shared" si="69"/>
        <v>993.17000000000007</v>
      </c>
      <c r="N1471" s="496">
        <v>55</v>
      </c>
      <c r="O1471" s="333">
        <f t="shared" si="68"/>
        <v>1048.17</v>
      </c>
      <c r="R1471" s="23" t="str">
        <f>VLOOKUP(C:C,'Historic Data - working'!A:B,1,FALSE)</f>
        <v>SHR043</v>
      </c>
      <c r="U1471" s="323"/>
      <c r="V1471" s="323"/>
      <c r="W1471" s="323"/>
    </row>
    <row r="1472" spans="1:23" s="23" customFormat="1" ht="14.25" hidden="1" x14ac:dyDescent="0.2">
      <c r="A1472" s="381" t="s">
        <v>5055</v>
      </c>
      <c r="B1472" s="381" t="s">
        <v>324</v>
      </c>
      <c r="C1472" s="415" t="s">
        <v>5213</v>
      </c>
      <c r="D1472" s="381" t="s">
        <v>5214</v>
      </c>
      <c r="E1472" s="383" t="s">
        <v>5215</v>
      </c>
      <c r="F1472" s="381" t="s">
        <v>5216</v>
      </c>
      <c r="G1472" s="384"/>
      <c r="H1472" s="24"/>
      <c r="I1472" s="24"/>
      <c r="J1472" s="25" t="str">
        <f t="shared" si="70"/>
        <v xml:space="preserve"> </v>
      </c>
      <c r="K1472" s="385"/>
      <c r="L1472" s="385"/>
      <c r="M1472" s="386">
        <f t="shared" si="69"/>
        <v>0</v>
      </c>
      <c r="N1472" s="496">
        <v>266.89</v>
      </c>
      <c r="O1472" s="333">
        <f t="shared" si="68"/>
        <v>266.89</v>
      </c>
      <c r="R1472" s="23" t="str">
        <f>VLOOKUP(C:C,'Historic Data - working'!A:B,1,FALSE)</f>
        <v>SHR044</v>
      </c>
      <c r="U1472" s="323"/>
      <c r="V1472" s="323"/>
      <c r="W1472" s="323"/>
    </row>
    <row r="1473" spans="1:23" s="23" customFormat="1" ht="14.25" hidden="1" x14ac:dyDescent="0.2">
      <c r="A1473" s="381" t="s">
        <v>5055</v>
      </c>
      <c r="B1473" s="381" t="s">
        <v>324</v>
      </c>
      <c r="C1473" s="415" t="s">
        <v>5217</v>
      </c>
      <c r="D1473" s="381" t="s">
        <v>5218</v>
      </c>
      <c r="E1473" s="383" t="s">
        <v>1065</v>
      </c>
      <c r="F1473" s="381" t="s">
        <v>5219</v>
      </c>
      <c r="G1473" s="384" t="s">
        <v>329</v>
      </c>
      <c r="H1473" s="24">
        <v>7330</v>
      </c>
      <c r="I1473" s="24"/>
      <c r="J1473" s="25" t="str">
        <f t="shared" si="70"/>
        <v>1</v>
      </c>
      <c r="K1473" s="385" t="s">
        <v>5220</v>
      </c>
      <c r="L1473" s="385">
        <v>40</v>
      </c>
      <c r="M1473" s="386">
        <f t="shared" si="69"/>
        <v>7370</v>
      </c>
      <c r="N1473" s="496">
        <v>755</v>
      </c>
      <c r="O1473" s="333">
        <f t="shared" si="68"/>
        <v>8125</v>
      </c>
      <c r="R1473" s="23" t="str">
        <f>VLOOKUP(C:C,'Historic Data - working'!A:B,1,FALSE)</f>
        <v>SHR046</v>
      </c>
      <c r="U1473" s="323"/>
      <c r="V1473" s="323"/>
      <c r="W1473" s="323"/>
    </row>
    <row r="1474" spans="1:23" s="23" customFormat="1" ht="14.25" hidden="1" x14ac:dyDescent="0.2">
      <c r="A1474" s="381" t="s">
        <v>5055</v>
      </c>
      <c r="B1474" s="381" t="s">
        <v>324</v>
      </c>
      <c r="C1474" s="415" t="s">
        <v>5221</v>
      </c>
      <c r="D1474" s="381" t="s">
        <v>5222</v>
      </c>
      <c r="E1474" s="383" t="s">
        <v>1244</v>
      </c>
      <c r="F1474" s="381" t="s">
        <v>5223</v>
      </c>
      <c r="G1474" s="384" t="s">
        <v>329</v>
      </c>
      <c r="H1474" s="24">
        <f>321+250+200</f>
        <v>771</v>
      </c>
      <c r="I1474" s="24"/>
      <c r="J1474" s="25" t="str">
        <f t="shared" si="70"/>
        <v>1</v>
      </c>
      <c r="K1474" s="385" t="s">
        <v>5224</v>
      </c>
      <c r="L1474" s="385">
        <v>15</v>
      </c>
      <c r="M1474" s="386">
        <f t="shared" si="69"/>
        <v>786</v>
      </c>
      <c r="N1474" s="496">
        <v>365</v>
      </c>
      <c r="O1474" s="333">
        <f t="shared" ref="O1474:O1537" si="71">M1474+N1474</f>
        <v>1151</v>
      </c>
      <c r="R1474" s="23" t="str">
        <f>VLOOKUP(C:C,'Historic Data - working'!A:B,1,FALSE)</f>
        <v>SHR047</v>
      </c>
      <c r="U1474" s="323"/>
      <c r="V1474" s="323"/>
      <c r="W1474" s="323"/>
    </row>
    <row r="1475" spans="1:23" s="23" customFormat="1" ht="14.25" hidden="1" x14ac:dyDescent="0.2">
      <c r="A1475" s="381" t="s">
        <v>5055</v>
      </c>
      <c r="B1475" s="381" t="s">
        <v>324</v>
      </c>
      <c r="C1475" s="415" t="s">
        <v>5225</v>
      </c>
      <c r="D1475" s="381" t="s">
        <v>5226</v>
      </c>
      <c r="E1475" s="383" t="s">
        <v>1004</v>
      </c>
      <c r="F1475" s="381" t="s">
        <v>5227</v>
      </c>
      <c r="G1475" s="384" t="s">
        <v>329</v>
      </c>
      <c r="H1475" s="24">
        <v>0</v>
      </c>
      <c r="I1475" s="24">
        <v>0</v>
      </c>
      <c r="J1475" s="25" t="str">
        <f t="shared" si="70"/>
        <v>1</v>
      </c>
      <c r="K1475" s="385" t="s">
        <v>5228</v>
      </c>
      <c r="L1475" s="385">
        <v>31.5</v>
      </c>
      <c r="M1475" s="386">
        <f t="shared" ref="M1475:M1538" si="72">H1475+L1475</f>
        <v>31.5</v>
      </c>
      <c r="N1475" s="496">
        <v>555</v>
      </c>
      <c r="O1475" s="333">
        <f t="shared" si="71"/>
        <v>586.5</v>
      </c>
      <c r="R1475" s="23" t="str">
        <f>VLOOKUP(C:C,'Historic Data - working'!A:B,1,FALSE)</f>
        <v>SHR048</v>
      </c>
      <c r="U1475" s="323"/>
      <c r="V1475" s="323"/>
      <c r="W1475" s="323"/>
    </row>
    <row r="1476" spans="1:23" s="23" customFormat="1" ht="14.25" hidden="1" x14ac:dyDescent="0.2">
      <c r="A1476" s="381" t="s">
        <v>5055</v>
      </c>
      <c r="B1476" s="381" t="s">
        <v>324</v>
      </c>
      <c r="C1476" s="415" t="s">
        <v>5229</v>
      </c>
      <c r="D1476" s="381" t="s">
        <v>5230</v>
      </c>
      <c r="E1476" s="383" t="s">
        <v>5231</v>
      </c>
      <c r="F1476" s="381" t="s">
        <v>5232</v>
      </c>
      <c r="G1476" s="384" t="s">
        <v>329</v>
      </c>
      <c r="H1476" s="24">
        <v>549.94000000000005</v>
      </c>
      <c r="I1476" s="24"/>
      <c r="J1476" s="25" t="str">
        <f t="shared" si="70"/>
        <v>1</v>
      </c>
      <c r="K1476" s="385"/>
      <c r="L1476" s="385"/>
      <c r="M1476" s="386">
        <f t="shared" si="72"/>
        <v>549.94000000000005</v>
      </c>
      <c r="N1476" s="496">
        <v>255</v>
      </c>
      <c r="O1476" s="333">
        <f t="shared" si="71"/>
        <v>804.94</v>
      </c>
      <c r="R1476" s="23" t="str">
        <f>VLOOKUP(C:C,'Historic Data - working'!A:B,1,FALSE)</f>
        <v>SHR049</v>
      </c>
      <c r="U1476" s="323"/>
      <c r="V1476" s="323"/>
      <c r="W1476" s="323"/>
    </row>
    <row r="1477" spans="1:23" s="23" customFormat="1" ht="14.25" hidden="1" x14ac:dyDescent="0.2">
      <c r="A1477" s="381" t="s">
        <v>5055</v>
      </c>
      <c r="B1477" s="381" t="s">
        <v>324</v>
      </c>
      <c r="C1477" s="415" t="s">
        <v>5233</v>
      </c>
      <c r="D1477" s="381" t="s">
        <v>5234</v>
      </c>
      <c r="E1477" s="383" t="s">
        <v>2667</v>
      </c>
      <c r="F1477" s="381" t="s">
        <v>5235</v>
      </c>
      <c r="G1477" s="384" t="s">
        <v>329</v>
      </c>
      <c r="H1477" s="24">
        <v>588.96</v>
      </c>
      <c r="I1477" s="24"/>
      <c r="J1477" s="25" t="str">
        <f t="shared" si="70"/>
        <v>1</v>
      </c>
      <c r="K1477" s="385"/>
      <c r="L1477" s="385"/>
      <c r="M1477" s="386">
        <f t="shared" si="72"/>
        <v>588.96</v>
      </c>
      <c r="N1477" s="496">
        <v>175</v>
      </c>
      <c r="O1477" s="333">
        <f t="shared" si="71"/>
        <v>763.96</v>
      </c>
      <c r="R1477" s="23" t="str">
        <f>VLOOKUP(C:C,'Historic Data - working'!A:B,1,FALSE)</f>
        <v>SHR050</v>
      </c>
      <c r="U1477" s="323"/>
      <c r="V1477" s="323"/>
      <c r="W1477" s="323"/>
    </row>
    <row r="1478" spans="1:23" s="23" customFormat="1" ht="14.25" hidden="1" x14ac:dyDescent="0.2">
      <c r="A1478" s="381" t="s">
        <v>5055</v>
      </c>
      <c r="B1478" s="381" t="s">
        <v>324</v>
      </c>
      <c r="C1478" s="415" t="s">
        <v>5236</v>
      </c>
      <c r="D1478" s="381" t="s">
        <v>5237</v>
      </c>
      <c r="E1478" s="383" t="s">
        <v>246</v>
      </c>
      <c r="F1478" s="381" t="s">
        <v>5238</v>
      </c>
      <c r="G1478" s="384" t="s">
        <v>329</v>
      </c>
      <c r="H1478" s="32">
        <v>309.94</v>
      </c>
      <c r="I1478" s="24"/>
      <c r="J1478" s="25" t="str">
        <f t="shared" si="70"/>
        <v>1</v>
      </c>
      <c r="K1478" s="385" t="s">
        <v>5239</v>
      </c>
      <c r="L1478" s="385">
        <v>-309.94</v>
      </c>
      <c r="M1478" s="386">
        <f t="shared" si="72"/>
        <v>0</v>
      </c>
      <c r="N1478" s="496">
        <v>1249.94</v>
      </c>
      <c r="O1478" s="333">
        <f t="shared" si="71"/>
        <v>1249.94</v>
      </c>
      <c r="R1478" s="23" t="str">
        <f>VLOOKUP(C:C,'Historic Data - working'!A:B,1,FALSE)</f>
        <v>SHR051</v>
      </c>
      <c r="U1478" s="323"/>
      <c r="V1478" s="323"/>
      <c r="W1478" s="323"/>
    </row>
    <row r="1479" spans="1:23" s="23" customFormat="1" ht="14.25" hidden="1" x14ac:dyDescent="0.2">
      <c r="A1479" s="381" t="s">
        <v>5055</v>
      </c>
      <c r="B1479" s="381" t="s">
        <v>324</v>
      </c>
      <c r="C1479" s="415" t="s">
        <v>5240</v>
      </c>
      <c r="D1479" s="381" t="s">
        <v>5241</v>
      </c>
      <c r="E1479" s="383" t="s">
        <v>5242</v>
      </c>
      <c r="F1479" s="381" t="s">
        <v>5243</v>
      </c>
      <c r="G1479" s="384" t="s">
        <v>329</v>
      </c>
      <c r="H1479" s="24">
        <v>1467.97</v>
      </c>
      <c r="I1479" s="24"/>
      <c r="J1479" s="25" t="str">
        <f t="shared" si="70"/>
        <v>1</v>
      </c>
      <c r="K1479" s="385"/>
      <c r="L1479" s="385"/>
      <c r="M1479" s="386">
        <f t="shared" si="72"/>
        <v>1467.97</v>
      </c>
      <c r="N1479" s="496">
        <v>228</v>
      </c>
      <c r="O1479" s="333">
        <f t="shared" si="71"/>
        <v>1695.97</v>
      </c>
      <c r="R1479" s="23" t="str">
        <f>VLOOKUP(C:C,'Historic Data - working'!A:B,1,FALSE)</f>
        <v>SHR052</v>
      </c>
      <c r="U1479" s="323"/>
      <c r="V1479" s="323"/>
      <c r="W1479" s="323"/>
    </row>
    <row r="1480" spans="1:23" s="23" customFormat="1" ht="14.25" hidden="1" x14ac:dyDescent="0.2">
      <c r="A1480" s="381" t="s">
        <v>5055</v>
      </c>
      <c r="B1480" s="381" t="s">
        <v>324</v>
      </c>
      <c r="C1480" s="415" t="s">
        <v>5244</v>
      </c>
      <c r="D1480" s="381" t="s">
        <v>5245</v>
      </c>
      <c r="E1480" s="383" t="s">
        <v>1065</v>
      </c>
      <c r="F1480" s="381" t="s">
        <v>5246</v>
      </c>
      <c r="G1480" s="384" t="s">
        <v>329</v>
      </c>
      <c r="H1480" s="24">
        <v>195.46</v>
      </c>
      <c r="I1480" s="24">
        <v>147.71</v>
      </c>
      <c r="J1480" s="25" t="str">
        <f t="shared" si="70"/>
        <v>1</v>
      </c>
      <c r="K1480" s="385"/>
      <c r="L1480" s="385"/>
      <c r="M1480" s="386">
        <f t="shared" si="72"/>
        <v>195.46</v>
      </c>
      <c r="N1480" s="496">
        <v>222.71</v>
      </c>
      <c r="O1480" s="333">
        <f t="shared" si="71"/>
        <v>418.17</v>
      </c>
      <c r="R1480" s="23" t="str">
        <f>VLOOKUP(C:C,'Historic Data - working'!A:B,1,FALSE)</f>
        <v>SHR054</v>
      </c>
      <c r="U1480" s="323"/>
      <c r="V1480" s="323"/>
      <c r="W1480" s="323"/>
    </row>
    <row r="1481" spans="1:23" s="23" customFormat="1" ht="14.25" hidden="1" x14ac:dyDescent="0.2">
      <c r="A1481" s="381" t="s">
        <v>5055</v>
      </c>
      <c r="B1481" s="381" t="s">
        <v>324</v>
      </c>
      <c r="C1481" s="415" t="s">
        <v>5247</v>
      </c>
      <c r="D1481" s="381" t="s">
        <v>5248</v>
      </c>
      <c r="E1481" s="383" t="s">
        <v>5249</v>
      </c>
      <c r="F1481" s="381" t="s">
        <v>5250</v>
      </c>
      <c r="G1481" s="384" t="s">
        <v>329</v>
      </c>
      <c r="H1481" s="24">
        <f>102.73+96.3</f>
        <v>199.03</v>
      </c>
      <c r="I1481" s="24"/>
      <c r="J1481" s="25" t="str">
        <f t="shared" si="70"/>
        <v>1</v>
      </c>
      <c r="K1481" s="385"/>
      <c r="L1481" s="385"/>
      <c r="M1481" s="386">
        <f t="shared" si="72"/>
        <v>199.03</v>
      </c>
      <c r="N1481" s="496"/>
      <c r="O1481" s="333">
        <f t="shared" si="71"/>
        <v>199.03</v>
      </c>
      <c r="R1481" s="23" t="str">
        <f>VLOOKUP(C:C,'Historic Data - working'!A:B,1,FALSE)</f>
        <v>SHR054A</v>
      </c>
      <c r="U1481" s="323"/>
      <c r="V1481" s="323"/>
      <c r="W1481" s="323"/>
    </row>
    <row r="1482" spans="1:23" s="23" customFormat="1" ht="14.25" hidden="1" x14ac:dyDescent="0.2">
      <c r="A1482" s="381" t="s">
        <v>5055</v>
      </c>
      <c r="B1482" s="381" t="s">
        <v>324</v>
      </c>
      <c r="C1482" s="415" t="s">
        <v>5251</v>
      </c>
      <c r="D1482" s="381" t="s">
        <v>5252</v>
      </c>
      <c r="E1482" s="383" t="s">
        <v>5066</v>
      </c>
      <c r="F1482" s="381" t="s">
        <v>5253</v>
      </c>
      <c r="G1482" s="384" t="s">
        <v>329</v>
      </c>
      <c r="H1482" s="24">
        <f>373.85+622.29</f>
        <v>996.14</v>
      </c>
      <c r="I1482" s="24"/>
      <c r="J1482" s="25" t="str">
        <f t="shared" si="70"/>
        <v>1</v>
      </c>
      <c r="K1482" s="385"/>
      <c r="L1482" s="385"/>
      <c r="M1482" s="386">
        <f t="shared" si="72"/>
        <v>996.14</v>
      </c>
      <c r="N1482" s="496">
        <v>245</v>
      </c>
      <c r="O1482" s="333">
        <f t="shared" si="71"/>
        <v>1241.1399999999999</v>
      </c>
      <c r="R1482" s="23" t="str">
        <f>VLOOKUP(C:C,'Historic Data - working'!A:B,1,FALSE)</f>
        <v>SHR055</v>
      </c>
      <c r="U1482" s="323"/>
      <c r="V1482" s="323"/>
      <c r="W1482" s="323"/>
    </row>
    <row r="1483" spans="1:23" s="23" customFormat="1" ht="14.25" hidden="1" x14ac:dyDescent="0.2">
      <c r="A1483" s="381" t="s">
        <v>5055</v>
      </c>
      <c r="B1483" s="381" t="s">
        <v>324</v>
      </c>
      <c r="C1483" s="415" t="s">
        <v>5254</v>
      </c>
      <c r="D1483" s="381" t="s">
        <v>5255</v>
      </c>
      <c r="E1483" s="383" t="s">
        <v>5256</v>
      </c>
      <c r="F1483" s="381" t="s">
        <v>5257</v>
      </c>
      <c r="G1483" s="384" t="s">
        <v>329</v>
      </c>
      <c r="H1483" s="24">
        <v>1748.35</v>
      </c>
      <c r="I1483" s="24"/>
      <c r="J1483" s="25" t="str">
        <f t="shared" si="70"/>
        <v>1</v>
      </c>
      <c r="K1483" s="385" t="s">
        <v>5258</v>
      </c>
      <c r="L1483" s="385">
        <v>-383.17</v>
      </c>
      <c r="M1483" s="386">
        <f t="shared" si="72"/>
        <v>1365.1799999999998</v>
      </c>
      <c r="N1483" s="496">
        <v>885</v>
      </c>
      <c r="O1483" s="333">
        <f t="shared" si="71"/>
        <v>2250.1799999999998</v>
      </c>
      <c r="R1483" s="23" t="str">
        <f>VLOOKUP(C:C,'Historic Data - working'!A:B,1,FALSE)</f>
        <v>SHR056</v>
      </c>
      <c r="U1483" s="323"/>
      <c r="V1483" s="323"/>
      <c r="W1483" s="323"/>
    </row>
    <row r="1484" spans="1:23" s="23" customFormat="1" ht="14.25" hidden="1" x14ac:dyDescent="0.2">
      <c r="A1484" s="381" t="s">
        <v>5055</v>
      </c>
      <c r="B1484" s="381" t="s">
        <v>324</v>
      </c>
      <c r="C1484" s="415" t="s">
        <v>5259</v>
      </c>
      <c r="D1484" s="381" t="s">
        <v>5260</v>
      </c>
      <c r="E1484" s="383" t="s">
        <v>72</v>
      </c>
      <c r="F1484" s="381" t="s">
        <v>5257</v>
      </c>
      <c r="G1484" s="384"/>
      <c r="H1484" s="24"/>
      <c r="I1484" s="24"/>
      <c r="J1484" s="25" t="str">
        <f t="shared" si="70"/>
        <v xml:space="preserve"> </v>
      </c>
      <c r="K1484" s="385" t="s">
        <v>337</v>
      </c>
      <c r="L1484" s="385">
        <v>540</v>
      </c>
      <c r="M1484" s="386">
        <f t="shared" si="72"/>
        <v>540</v>
      </c>
      <c r="N1484" s="496">
        <v>35</v>
      </c>
      <c r="O1484" s="333">
        <f t="shared" si="71"/>
        <v>575</v>
      </c>
      <c r="R1484" s="23" t="str">
        <f>VLOOKUP(C:C,'Historic Data - working'!A:B,1,FALSE)</f>
        <v>SHR057</v>
      </c>
      <c r="U1484" s="323"/>
      <c r="V1484" s="323"/>
      <c r="W1484" s="323"/>
    </row>
    <row r="1485" spans="1:23" s="23" customFormat="1" ht="14.25" hidden="1" x14ac:dyDescent="0.2">
      <c r="A1485" s="381" t="s">
        <v>5055</v>
      </c>
      <c r="B1485" s="381" t="s">
        <v>324</v>
      </c>
      <c r="C1485" s="415" t="s">
        <v>5261</v>
      </c>
      <c r="D1485" s="381" t="s">
        <v>5262</v>
      </c>
      <c r="E1485" s="383" t="s">
        <v>2519</v>
      </c>
      <c r="F1485" s="381" t="s">
        <v>5263</v>
      </c>
      <c r="G1485" s="384"/>
      <c r="H1485" s="24"/>
      <c r="I1485" s="24"/>
      <c r="J1485" s="25" t="str">
        <f t="shared" si="70"/>
        <v xml:space="preserve"> </v>
      </c>
      <c r="K1485" s="385"/>
      <c r="L1485" s="385"/>
      <c r="M1485" s="386">
        <f t="shared" si="72"/>
        <v>0</v>
      </c>
      <c r="N1485" s="496"/>
      <c r="O1485" s="333">
        <f t="shared" si="71"/>
        <v>0</v>
      </c>
      <c r="R1485" s="23" t="str">
        <f>VLOOKUP(C:C,'Historic Data - working'!A:B,1,FALSE)</f>
        <v>SHR058</v>
      </c>
      <c r="U1485" s="323"/>
      <c r="V1485" s="323"/>
      <c r="W1485" s="323"/>
    </row>
    <row r="1486" spans="1:23" s="23" customFormat="1" ht="14.25" hidden="1" x14ac:dyDescent="0.2">
      <c r="A1486" s="381" t="s">
        <v>5055</v>
      </c>
      <c r="B1486" s="381" t="s">
        <v>324</v>
      </c>
      <c r="C1486" s="415" t="s">
        <v>5264</v>
      </c>
      <c r="D1486" s="381" t="s">
        <v>5265</v>
      </c>
      <c r="E1486" s="383" t="s">
        <v>5266</v>
      </c>
      <c r="F1486" s="381" t="s">
        <v>5267</v>
      </c>
      <c r="G1486" s="384"/>
      <c r="H1486" s="24"/>
      <c r="I1486" s="24"/>
      <c r="J1486" s="25" t="str">
        <f t="shared" si="70"/>
        <v xml:space="preserve"> </v>
      </c>
      <c r="K1486" s="385" t="s">
        <v>337</v>
      </c>
      <c r="L1486" s="385">
        <v>467.62</v>
      </c>
      <c r="M1486" s="386">
        <f t="shared" si="72"/>
        <v>467.62</v>
      </c>
      <c r="N1486" s="496">
        <v>110</v>
      </c>
      <c r="O1486" s="333">
        <f t="shared" si="71"/>
        <v>577.62</v>
      </c>
      <c r="R1486" s="23" t="str">
        <f>VLOOKUP(C:C,'Historic Data - working'!A:B,1,FALSE)</f>
        <v>SHR059</v>
      </c>
      <c r="U1486" s="323"/>
      <c r="V1486" s="323"/>
      <c r="W1486" s="323"/>
    </row>
    <row r="1487" spans="1:23" s="23" customFormat="1" ht="14.25" hidden="1" x14ac:dyDescent="0.2">
      <c r="A1487" s="381" t="s">
        <v>5055</v>
      </c>
      <c r="B1487" s="381" t="s">
        <v>324</v>
      </c>
      <c r="C1487" s="415" t="s">
        <v>5268</v>
      </c>
      <c r="D1487" s="381" t="s">
        <v>5269</v>
      </c>
      <c r="E1487" s="383" t="s">
        <v>5270</v>
      </c>
      <c r="F1487" s="381" t="s">
        <v>5271</v>
      </c>
      <c r="G1487" s="384"/>
      <c r="H1487" s="24"/>
      <c r="I1487" s="24"/>
      <c r="J1487" s="25" t="str">
        <f t="shared" si="70"/>
        <v xml:space="preserve"> </v>
      </c>
      <c r="K1487" s="385"/>
      <c r="L1487" s="385"/>
      <c r="M1487" s="386">
        <f t="shared" si="72"/>
        <v>0</v>
      </c>
      <c r="N1487" s="496">
        <v>905</v>
      </c>
      <c r="O1487" s="333">
        <f t="shared" si="71"/>
        <v>905</v>
      </c>
      <c r="R1487" s="23" t="str">
        <f>VLOOKUP(C:C,'Historic Data - working'!A:B,1,FALSE)</f>
        <v>SHR060</v>
      </c>
      <c r="U1487" s="323"/>
      <c r="V1487" s="323"/>
      <c r="W1487" s="323"/>
    </row>
    <row r="1488" spans="1:23" s="23" customFormat="1" ht="14.25" hidden="1" x14ac:dyDescent="0.2">
      <c r="A1488" s="381" t="s">
        <v>5055</v>
      </c>
      <c r="B1488" s="381" t="s">
        <v>324</v>
      </c>
      <c r="C1488" s="415" t="s">
        <v>5272</v>
      </c>
      <c r="D1488" s="381" t="s">
        <v>5273</v>
      </c>
      <c r="E1488" s="383" t="s">
        <v>226</v>
      </c>
      <c r="F1488" s="381" t="s">
        <v>5274</v>
      </c>
      <c r="G1488" s="384"/>
      <c r="H1488" s="24"/>
      <c r="I1488" s="24"/>
      <c r="J1488" s="25" t="str">
        <f t="shared" si="70"/>
        <v xml:space="preserve"> </v>
      </c>
      <c r="K1488" s="385"/>
      <c r="L1488" s="385"/>
      <c r="M1488" s="386">
        <f t="shared" si="72"/>
        <v>0</v>
      </c>
      <c r="N1488" s="496">
        <v>1165</v>
      </c>
      <c r="O1488" s="333">
        <f t="shared" si="71"/>
        <v>1165</v>
      </c>
      <c r="R1488" s="23" t="str">
        <f>VLOOKUP(C:C,'Historic Data - working'!A:B,1,FALSE)</f>
        <v>SHR061</v>
      </c>
      <c r="U1488" s="323"/>
      <c r="V1488" s="323"/>
      <c r="W1488" s="323"/>
    </row>
    <row r="1489" spans="1:23" s="23" customFormat="1" ht="14.25" hidden="1" x14ac:dyDescent="0.2">
      <c r="A1489" s="381" t="s">
        <v>5055</v>
      </c>
      <c r="B1489" s="381" t="s">
        <v>324</v>
      </c>
      <c r="C1489" s="415" t="s">
        <v>5275</v>
      </c>
      <c r="D1489" s="381" t="s">
        <v>5276</v>
      </c>
      <c r="E1489" s="383" t="s">
        <v>5277</v>
      </c>
      <c r="F1489" s="381" t="s">
        <v>5278</v>
      </c>
      <c r="G1489" s="384"/>
      <c r="H1489" s="24"/>
      <c r="I1489" s="24"/>
      <c r="J1489" s="25" t="str">
        <f t="shared" si="70"/>
        <v xml:space="preserve"> </v>
      </c>
      <c r="K1489" s="385"/>
      <c r="L1489" s="385"/>
      <c r="M1489" s="386">
        <f t="shared" si="72"/>
        <v>0</v>
      </c>
      <c r="N1489" s="496"/>
      <c r="O1489" s="333">
        <f t="shared" si="71"/>
        <v>0</v>
      </c>
      <c r="R1489" s="23" t="e">
        <f>VLOOKUP(C:C,'Historic Data - working'!A:B,1,FALSE)</f>
        <v>#N/A</v>
      </c>
      <c r="U1489" s="323"/>
      <c r="V1489" s="323"/>
      <c r="W1489" s="323"/>
    </row>
    <row r="1490" spans="1:23" s="23" customFormat="1" ht="14.25" hidden="1" x14ac:dyDescent="0.2">
      <c r="A1490" s="381" t="s">
        <v>5055</v>
      </c>
      <c r="B1490" s="381" t="s">
        <v>324</v>
      </c>
      <c r="C1490" s="415" t="s">
        <v>5279</v>
      </c>
      <c r="D1490" s="381" t="s">
        <v>5280</v>
      </c>
      <c r="E1490" s="383" t="s">
        <v>5281</v>
      </c>
      <c r="F1490" s="381" t="s">
        <v>5282</v>
      </c>
      <c r="G1490" s="384"/>
      <c r="H1490" s="24"/>
      <c r="I1490" s="24"/>
      <c r="J1490" s="25" t="str">
        <f t="shared" si="70"/>
        <v xml:space="preserve"> </v>
      </c>
      <c r="K1490" s="385"/>
      <c r="L1490" s="385"/>
      <c r="M1490" s="386">
        <f t="shared" si="72"/>
        <v>0</v>
      </c>
      <c r="N1490" s="496"/>
      <c r="O1490" s="333">
        <f t="shared" si="71"/>
        <v>0</v>
      </c>
      <c r="R1490" s="23" t="e">
        <f>VLOOKUP(C:C,'Historic Data - working'!A:B,1,FALSE)</f>
        <v>#N/A</v>
      </c>
      <c r="U1490" s="323"/>
      <c r="V1490" s="323"/>
      <c r="W1490" s="323"/>
    </row>
    <row r="1491" spans="1:23" s="23" customFormat="1" ht="14.25" hidden="1" x14ac:dyDescent="0.2">
      <c r="A1491" s="381" t="s">
        <v>5055</v>
      </c>
      <c r="B1491" s="381" t="s">
        <v>324</v>
      </c>
      <c r="C1491" s="415" t="s">
        <v>5283</v>
      </c>
      <c r="D1491" s="381" t="s">
        <v>5284</v>
      </c>
      <c r="E1491" s="383" t="s">
        <v>839</v>
      </c>
      <c r="F1491" s="381" t="s">
        <v>5285</v>
      </c>
      <c r="G1491" s="384"/>
      <c r="H1491" s="24"/>
      <c r="I1491" s="24"/>
      <c r="J1491" s="25" t="str">
        <f t="shared" si="70"/>
        <v xml:space="preserve"> </v>
      </c>
      <c r="K1491" s="385" t="s">
        <v>337</v>
      </c>
      <c r="L1491" s="385">
        <v>3074.54</v>
      </c>
      <c r="M1491" s="386">
        <f t="shared" si="72"/>
        <v>3074.54</v>
      </c>
      <c r="N1491" s="496">
        <v>840</v>
      </c>
      <c r="O1491" s="333">
        <f t="shared" si="71"/>
        <v>3914.54</v>
      </c>
      <c r="R1491" s="23" t="str">
        <f>VLOOKUP(C:C,'Historic Data - working'!A:B,1,FALSE)</f>
        <v>SHR063</v>
      </c>
      <c r="U1491" s="323"/>
      <c r="V1491" s="323"/>
      <c r="W1491" s="323"/>
    </row>
    <row r="1492" spans="1:23" s="23" customFormat="1" ht="14.25" hidden="1" x14ac:dyDescent="0.2">
      <c r="A1492" s="381" t="s">
        <v>5055</v>
      </c>
      <c r="B1492" s="381" t="s">
        <v>324</v>
      </c>
      <c r="C1492" s="415" t="s">
        <v>5286</v>
      </c>
      <c r="D1492" s="381" t="s">
        <v>5287</v>
      </c>
      <c r="E1492" s="383" t="s">
        <v>5066</v>
      </c>
      <c r="F1492" s="381" t="s">
        <v>5288</v>
      </c>
      <c r="G1492" s="384"/>
      <c r="H1492" s="24"/>
      <c r="I1492" s="24"/>
      <c r="J1492" s="25" t="str">
        <f t="shared" si="70"/>
        <v xml:space="preserve"> </v>
      </c>
      <c r="K1492" s="385" t="s">
        <v>337</v>
      </c>
      <c r="L1492" s="385">
        <v>64</v>
      </c>
      <c r="M1492" s="386">
        <f t="shared" si="72"/>
        <v>64</v>
      </c>
      <c r="N1492" s="496">
        <v>135</v>
      </c>
      <c r="O1492" s="333">
        <f t="shared" si="71"/>
        <v>199</v>
      </c>
      <c r="R1492" s="23" t="str">
        <f>VLOOKUP(C:C,'Historic Data - working'!A:B,1,FALSE)</f>
        <v>SHR064</v>
      </c>
      <c r="U1492" s="323"/>
      <c r="V1492" s="323"/>
      <c r="W1492" s="323"/>
    </row>
    <row r="1493" spans="1:23" s="23" customFormat="1" ht="14.25" hidden="1" x14ac:dyDescent="0.2">
      <c r="A1493" s="381" t="s">
        <v>5055</v>
      </c>
      <c r="B1493" s="381" t="s">
        <v>324</v>
      </c>
      <c r="C1493" s="415" t="s">
        <v>5289</v>
      </c>
      <c r="D1493" s="381" t="s">
        <v>5290</v>
      </c>
      <c r="E1493" s="383" t="s">
        <v>164</v>
      </c>
      <c r="F1493" s="381" t="s">
        <v>5291</v>
      </c>
      <c r="G1493" s="384" t="s">
        <v>329</v>
      </c>
      <c r="H1493" s="24">
        <f>285.67+275.32</f>
        <v>560.99</v>
      </c>
      <c r="I1493" s="24"/>
      <c r="J1493" s="25" t="str">
        <f t="shared" si="70"/>
        <v>1</v>
      </c>
      <c r="K1493" s="385"/>
      <c r="L1493" s="385"/>
      <c r="M1493" s="386">
        <f t="shared" si="72"/>
        <v>560.99</v>
      </c>
      <c r="N1493" s="496">
        <v>126.05</v>
      </c>
      <c r="O1493" s="333">
        <f t="shared" si="71"/>
        <v>687.04</v>
      </c>
      <c r="R1493" s="23" t="str">
        <f>VLOOKUP(C:C,'Historic Data - working'!A:B,1,FALSE)</f>
        <v>SHR065</v>
      </c>
      <c r="U1493" s="323"/>
      <c r="V1493" s="323"/>
      <c r="W1493" s="323"/>
    </row>
    <row r="1494" spans="1:23" s="23" customFormat="1" ht="14.25" hidden="1" x14ac:dyDescent="0.2">
      <c r="A1494" s="381" t="s">
        <v>5055</v>
      </c>
      <c r="B1494" s="381" t="s">
        <v>324</v>
      </c>
      <c r="C1494" s="415" t="s">
        <v>5292</v>
      </c>
      <c r="D1494" s="381" t="s">
        <v>5293</v>
      </c>
      <c r="E1494" s="383" t="s">
        <v>942</v>
      </c>
      <c r="F1494" s="381" t="s">
        <v>195</v>
      </c>
      <c r="G1494" s="384"/>
      <c r="H1494" s="24"/>
      <c r="I1494" s="24"/>
      <c r="J1494" s="25" t="str">
        <f t="shared" si="70"/>
        <v xml:space="preserve"> </v>
      </c>
      <c r="K1494" s="385"/>
      <c r="L1494" s="385"/>
      <c r="M1494" s="386">
        <f t="shared" si="72"/>
        <v>0</v>
      </c>
      <c r="N1494" s="496">
        <v>253</v>
      </c>
      <c r="O1494" s="333">
        <f t="shared" si="71"/>
        <v>253</v>
      </c>
      <c r="R1494" s="23" t="str">
        <f>VLOOKUP(C:C,'Historic Data - working'!A:B,1,FALSE)</f>
        <v>SHR066</v>
      </c>
      <c r="U1494" s="323"/>
      <c r="V1494" s="323"/>
      <c r="W1494" s="323"/>
    </row>
    <row r="1495" spans="1:23" s="23" customFormat="1" ht="14.25" hidden="1" x14ac:dyDescent="0.2">
      <c r="A1495" s="381" t="s">
        <v>5055</v>
      </c>
      <c r="B1495" s="381" t="s">
        <v>324</v>
      </c>
      <c r="C1495" s="415" t="s">
        <v>5294</v>
      </c>
      <c r="D1495" s="381" t="s">
        <v>5295</v>
      </c>
      <c r="E1495" s="383" t="s">
        <v>5296</v>
      </c>
      <c r="F1495" s="381" t="s">
        <v>5297</v>
      </c>
      <c r="G1495" s="384" t="s">
        <v>329</v>
      </c>
      <c r="H1495" s="24">
        <f>301.86+149.75+291.53+238.23+112.17+33.17+24.19+27.42+57.79+309.64+248.47+271.39+88.19+307.91</f>
        <v>2461.71</v>
      </c>
      <c r="I1495" s="24"/>
      <c r="J1495" s="25" t="str">
        <f t="shared" si="70"/>
        <v>1</v>
      </c>
      <c r="K1495" s="385"/>
      <c r="L1495" s="385"/>
      <c r="M1495" s="386">
        <f t="shared" si="72"/>
        <v>2461.71</v>
      </c>
      <c r="N1495" s="496">
        <v>434</v>
      </c>
      <c r="O1495" s="333">
        <f t="shared" si="71"/>
        <v>2895.71</v>
      </c>
      <c r="R1495" s="23" t="str">
        <f>VLOOKUP(C:C,'Historic Data - working'!A:B,1,FALSE)</f>
        <v>SHR067</v>
      </c>
      <c r="U1495" s="323"/>
      <c r="V1495" s="323"/>
      <c r="W1495" s="323"/>
    </row>
    <row r="1496" spans="1:23" s="23" customFormat="1" ht="14.25" hidden="1" x14ac:dyDescent="0.2">
      <c r="A1496" s="381" t="s">
        <v>5055</v>
      </c>
      <c r="B1496" s="381" t="s">
        <v>324</v>
      </c>
      <c r="C1496" s="415" t="s">
        <v>5298</v>
      </c>
      <c r="D1496" s="381" t="s">
        <v>5299</v>
      </c>
      <c r="E1496" s="383" t="s">
        <v>4205</v>
      </c>
      <c r="F1496" s="381" t="s">
        <v>5297</v>
      </c>
      <c r="G1496" s="384"/>
      <c r="H1496" s="24"/>
      <c r="I1496" s="24"/>
      <c r="J1496" s="25" t="str">
        <f t="shared" si="70"/>
        <v xml:space="preserve"> </v>
      </c>
      <c r="K1496" s="385"/>
      <c r="L1496" s="385"/>
      <c r="M1496" s="386">
        <f t="shared" si="72"/>
        <v>0</v>
      </c>
      <c r="N1496" s="496"/>
      <c r="O1496" s="333">
        <f t="shared" si="71"/>
        <v>0</v>
      </c>
      <c r="R1496" s="23" t="e">
        <f>VLOOKUP(C:C,'Historic Data - working'!A:B,1,FALSE)</f>
        <v>#N/A</v>
      </c>
      <c r="U1496" s="323"/>
      <c r="V1496" s="323"/>
      <c r="W1496" s="323"/>
    </row>
    <row r="1497" spans="1:23" s="23" customFormat="1" ht="14.25" hidden="1" x14ac:dyDescent="0.2">
      <c r="A1497" s="381" t="s">
        <v>5055</v>
      </c>
      <c r="B1497" s="381" t="s">
        <v>324</v>
      </c>
      <c r="C1497" s="415" t="s">
        <v>5300</v>
      </c>
      <c r="D1497" s="381" t="s">
        <v>5301</v>
      </c>
      <c r="E1497" s="383" t="s">
        <v>5302</v>
      </c>
      <c r="F1497" s="381" t="s">
        <v>5303</v>
      </c>
      <c r="G1497" s="384" t="s">
        <v>329</v>
      </c>
      <c r="H1497" s="24">
        <v>675</v>
      </c>
      <c r="I1497" s="24"/>
      <c r="J1497" s="25" t="str">
        <f t="shared" si="70"/>
        <v>1</v>
      </c>
      <c r="K1497" s="385" t="s">
        <v>5304</v>
      </c>
      <c r="L1497" s="385">
        <v>64.23</v>
      </c>
      <c r="M1497" s="386">
        <f t="shared" si="72"/>
        <v>739.23</v>
      </c>
      <c r="N1497" s="496">
        <v>160</v>
      </c>
      <c r="O1497" s="333">
        <f t="shared" si="71"/>
        <v>899.23</v>
      </c>
      <c r="R1497" s="23" t="str">
        <f>VLOOKUP(C:C,'Historic Data - working'!A:B,1,FALSE)</f>
        <v>SHR069</v>
      </c>
      <c r="U1497" s="323"/>
      <c r="V1497" s="323"/>
      <c r="W1497" s="323"/>
    </row>
    <row r="1498" spans="1:23" s="23" customFormat="1" ht="14.25" hidden="1" x14ac:dyDescent="0.2">
      <c r="A1498" s="381" t="s">
        <v>5055</v>
      </c>
      <c r="B1498" s="381" t="s">
        <v>324</v>
      </c>
      <c r="C1498" s="415" t="s">
        <v>5305</v>
      </c>
      <c r="D1498" s="381" t="s">
        <v>5306</v>
      </c>
      <c r="E1498" s="383" t="s">
        <v>1203</v>
      </c>
      <c r="F1498" s="381" t="s">
        <v>5307</v>
      </c>
      <c r="G1498" s="384"/>
      <c r="H1498" s="24"/>
      <c r="I1498" s="24"/>
      <c r="J1498" s="25" t="str">
        <f t="shared" si="70"/>
        <v xml:space="preserve"> </v>
      </c>
      <c r="K1498" s="385"/>
      <c r="L1498" s="385"/>
      <c r="M1498" s="386">
        <f t="shared" si="72"/>
        <v>0</v>
      </c>
      <c r="N1498" s="496">
        <v>10</v>
      </c>
      <c r="O1498" s="333">
        <f t="shared" si="71"/>
        <v>10</v>
      </c>
      <c r="R1498" s="23" t="str">
        <f>VLOOKUP(C:C,'Historic Data - working'!A:B,1,FALSE)</f>
        <v>SHR070</v>
      </c>
      <c r="U1498" s="323"/>
      <c r="V1498" s="323"/>
      <c r="W1498" s="323"/>
    </row>
    <row r="1499" spans="1:23" s="23" customFormat="1" ht="14.25" hidden="1" x14ac:dyDescent="0.2">
      <c r="A1499" s="381" t="s">
        <v>5055</v>
      </c>
      <c r="B1499" s="381" t="s">
        <v>324</v>
      </c>
      <c r="C1499" s="415" t="s">
        <v>5308</v>
      </c>
      <c r="D1499" s="381" t="s">
        <v>5309</v>
      </c>
      <c r="E1499" s="383" t="s">
        <v>1165</v>
      </c>
      <c r="F1499" s="381" t="s">
        <v>5310</v>
      </c>
      <c r="G1499" s="384" t="s">
        <v>329</v>
      </c>
      <c r="H1499" s="24">
        <f>472.35+560</f>
        <v>1032.3499999999999</v>
      </c>
      <c r="I1499" s="24"/>
      <c r="J1499" s="25" t="str">
        <f t="shared" si="70"/>
        <v>1</v>
      </c>
      <c r="K1499" s="385"/>
      <c r="L1499" s="385"/>
      <c r="M1499" s="386">
        <f t="shared" si="72"/>
        <v>1032.3499999999999</v>
      </c>
      <c r="N1499" s="496">
        <v>40</v>
      </c>
      <c r="O1499" s="333">
        <f t="shared" si="71"/>
        <v>1072.3499999999999</v>
      </c>
      <c r="R1499" s="23" t="str">
        <f>VLOOKUP(C:C,'Historic Data - working'!A:B,1,FALSE)</f>
        <v>SHR071</v>
      </c>
      <c r="U1499" s="323"/>
      <c r="V1499" s="323"/>
      <c r="W1499" s="323"/>
    </row>
    <row r="1500" spans="1:23" s="23" customFormat="1" ht="14.25" hidden="1" x14ac:dyDescent="0.2">
      <c r="A1500" s="381" t="s">
        <v>5055</v>
      </c>
      <c r="B1500" s="381" t="s">
        <v>324</v>
      </c>
      <c r="C1500" s="415" t="s">
        <v>5311</v>
      </c>
      <c r="D1500" s="381" t="s">
        <v>5312</v>
      </c>
      <c r="E1500" s="383" t="s">
        <v>2667</v>
      </c>
      <c r="F1500" s="381" t="s">
        <v>5313</v>
      </c>
      <c r="G1500" s="384"/>
      <c r="H1500" s="24"/>
      <c r="I1500" s="24"/>
      <c r="J1500" s="25" t="str">
        <f t="shared" si="70"/>
        <v xml:space="preserve"> </v>
      </c>
      <c r="K1500" s="385" t="s">
        <v>337</v>
      </c>
      <c r="L1500" s="385">
        <v>212</v>
      </c>
      <c r="M1500" s="386">
        <f t="shared" si="72"/>
        <v>212</v>
      </c>
      <c r="N1500" s="496">
        <v>355</v>
      </c>
      <c r="O1500" s="333">
        <f t="shared" si="71"/>
        <v>567</v>
      </c>
      <c r="R1500" s="23" t="str">
        <f>VLOOKUP(C:C,'Historic Data - working'!A:B,1,FALSE)</f>
        <v>SHR072</v>
      </c>
      <c r="U1500" s="323"/>
      <c r="V1500" s="323"/>
      <c r="W1500" s="323"/>
    </row>
    <row r="1501" spans="1:23" s="23" customFormat="1" ht="14.25" hidden="1" x14ac:dyDescent="0.2">
      <c r="A1501" s="381" t="s">
        <v>5055</v>
      </c>
      <c r="B1501" s="381" t="s">
        <v>324</v>
      </c>
      <c r="C1501" s="415" t="s">
        <v>5314</v>
      </c>
      <c r="D1501" s="381" t="s">
        <v>5315</v>
      </c>
      <c r="E1501" s="383" t="s">
        <v>5316</v>
      </c>
      <c r="F1501" s="381" t="s">
        <v>5317</v>
      </c>
      <c r="G1501" s="384" t="s">
        <v>329</v>
      </c>
      <c r="H1501" s="24">
        <f>39.43+174.6+466.34+268.11+88.24+77.42+35.62+25+466.89+463.73+77.61</f>
        <v>2182.9900000000002</v>
      </c>
      <c r="I1501" s="24"/>
      <c r="J1501" s="25" t="str">
        <f t="shared" si="70"/>
        <v>1</v>
      </c>
      <c r="K1501" s="385" t="s">
        <v>5318</v>
      </c>
      <c r="L1501" s="385">
        <v>0.03</v>
      </c>
      <c r="M1501" s="386">
        <f t="shared" si="72"/>
        <v>2183.0200000000004</v>
      </c>
      <c r="N1501" s="496">
        <v>45</v>
      </c>
      <c r="O1501" s="333">
        <f t="shared" si="71"/>
        <v>2228.0200000000004</v>
      </c>
      <c r="R1501" s="23" t="str">
        <f>VLOOKUP(C:C,'Historic Data - working'!A:B,1,FALSE)</f>
        <v>SHR073</v>
      </c>
      <c r="U1501" s="323"/>
      <c r="V1501" s="323"/>
      <c r="W1501" s="323"/>
    </row>
    <row r="1502" spans="1:23" s="23" customFormat="1" ht="14.25" hidden="1" x14ac:dyDescent="0.2">
      <c r="A1502" s="381" t="s">
        <v>5055</v>
      </c>
      <c r="B1502" s="381" t="s">
        <v>324</v>
      </c>
      <c r="C1502" s="415" t="s">
        <v>5319</v>
      </c>
      <c r="D1502" s="381" t="s">
        <v>5320</v>
      </c>
      <c r="E1502" s="383" t="s">
        <v>5321</v>
      </c>
      <c r="F1502" s="381" t="s">
        <v>5322</v>
      </c>
      <c r="G1502" s="384"/>
      <c r="H1502" s="24"/>
      <c r="I1502" s="24"/>
      <c r="J1502" s="25" t="str">
        <f t="shared" si="70"/>
        <v xml:space="preserve"> </v>
      </c>
      <c r="K1502" s="385" t="s">
        <v>337</v>
      </c>
      <c r="L1502" s="385">
        <v>33</v>
      </c>
      <c r="M1502" s="386">
        <f t="shared" si="72"/>
        <v>33</v>
      </c>
      <c r="N1502" s="496">
        <v>130</v>
      </c>
      <c r="O1502" s="334">
        <f t="shared" si="71"/>
        <v>163</v>
      </c>
      <c r="P1502" s="351"/>
      <c r="Q1502" s="331"/>
      <c r="R1502" s="331" t="e">
        <f>VLOOKUP(C:C,'Historic Data - working'!A:B,1,FALSE)</f>
        <v>#N/A</v>
      </c>
      <c r="U1502" s="323"/>
      <c r="V1502" s="323"/>
      <c r="W1502" s="323"/>
    </row>
    <row r="1503" spans="1:23" s="23" customFormat="1" ht="28.5" hidden="1" x14ac:dyDescent="0.2">
      <c r="A1503" s="381" t="s">
        <v>5055</v>
      </c>
      <c r="B1503" s="381" t="s">
        <v>324</v>
      </c>
      <c r="C1503" s="415" t="s">
        <v>5323</v>
      </c>
      <c r="D1503" s="381" t="s">
        <v>5324</v>
      </c>
      <c r="E1503" s="383" t="s">
        <v>5325</v>
      </c>
      <c r="F1503" s="381" t="s">
        <v>5322</v>
      </c>
      <c r="G1503" s="384"/>
      <c r="H1503" s="24"/>
      <c r="I1503" s="24"/>
      <c r="J1503" s="25" t="str">
        <f t="shared" si="70"/>
        <v xml:space="preserve"> </v>
      </c>
      <c r="K1503" s="385" t="s">
        <v>337</v>
      </c>
      <c r="L1503" s="385">
        <v>373.45</v>
      </c>
      <c r="M1503" s="386">
        <f t="shared" si="72"/>
        <v>373.45</v>
      </c>
      <c r="N1503" s="496">
        <v>165</v>
      </c>
      <c r="O1503" s="333">
        <f t="shared" si="71"/>
        <v>538.45000000000005</v>
      </c>
      <c r="R1503" s="23" t="str">
        <f>VLOOKUP(C:C,'Historic Data - working'!A:B,1,FALSE)</f>
        <v>SHR075</v>
      </c>
      <c r="U1503" s="323"/>
      <c r="V1503" s="323"/>
      <c r="W1503" s="323"/>
    </row>
    <row r="1504" spans="1:23" s="23" customFormat="1" ht="14.25" hidden="1" x14ac:dyDescent="0.2">
      <c r="A1504" s="381" t="s">
        <v>5055</v>
      </c>
      <c r="B1504" s="381" t="s">
        <v>324</v>
      </c>
      <c r="C1504" s="415" t="s">
        <v>5326</v>
      </c>
      <c r="D1504" s="381" t="s">
        <v>5327</v>
      </c>
      <c r="E1504" s="383" t="s">
        <v>5328</v>
      </c>
      <c r="F1504" s="381" t="s">
        <v>5322</v>
      </c>
      <c r="G1504" s="384" t="s">
        <v>329</v>
      </c>
      <c r="H1504" s="24">
        <f>222.79+234.27+30</f>
        <v>487.06</v>
      </c>
      <c r="I1504" s="24"/>
      <c r="J1504" s="25" t="str">
        <f t="shared" si="70"/>
        <v>1</v>
      </c>
      <c r="K1504" s="385"/>
      <c r="L1504" s="385"/>
      <c r="M1504" s="386">
        <f t="shared" si="72"/>
        <v>487.06</v>
      </c>
      <c r="N1504" s="496">
        <v>35</v>
      </c>
      <c r="O1504" s="333">
        <f t="shared" si="71"/>
        <v>522.05999999999995</v>
      </c>
      <c r="R1504" s="23" t="str">
        <f>VLOOKUP(C:C,'Historic Data - working'!A:B,1,FALSE)</f>
        <v>SHR076</v>
      </c>
      <c r="U1504" s="323"/>
      <c r="V1504" s="323"/>
      <c r="W1504" s="323"/>
    </row>
    <row r="1505" spans="1:23" s="23" customFormat="1" ht="14.25" hidden="1" x14ac:dyDescent="0.2">
      <c r="A1505" s="381" t="s">
        <v>5055</v>
      </c>
      <c r="B1505" s="381" t="s">
        <v>324</v>
      </c>
      <c r="C1505" s="415" t="s">
        <v>5329</v>
      </c>
      <c r="D1505" s="381" t="s">
        <v>5330</v>
      </c>
      <c r="E1505" s="383" t="s">
        <v>5331</v>
      </c>
      <c r="F1505" s="381" t="s">
        <v>5322</v>
      </c>
      <c r="G1505" s="384" t="s">
        <v>329</v>
      </c>
      <c r="H1505" s="24">
        <v>1410.77</v>
      </c>
      <c r="I1505" s="24"/>
      <c r="J1505" s="25" t="str">
        <f t="shared" si="70"/>
        <v>1</v>
      </c>
      <c r="K1505" s="385" t="s">
        <v>5332</v>
      </c>
      <c r="L1505" s="385"/>
      <c r="M1505" s="386">
        <f t="shared" si="72"/>
        <v>1410.77</v>
      </c>
      <c r="N1505" s="496">
        <v>173</v>
      </c>
      <c r="O1505" s="334">
        <f t="shared" si="71"/>
        <v>1583.77</v>
      </c>
      <c r="P1505" s="351"/>
      <c r="Q1505" s="331"/>
      <c r="R1505" s="331" t="e">
        <f>VLOOKUP(C:C,'Historic Data - working'!A:B,1,FALSE)</f>
        <v>#N/A</v>
      </c>
      <c r="U1505" s="323"/>
      <c r="V1505" s="323"/>
      <c r="W1505" s="323"/>
    </row>
    <row r="1506" spans="1:23" s="23" customFormat="1" ht="14.25" hidden="1" x14ac:dyDescent="0.2">
      <c r="A1506" s="381" t="s">
        <v>5055</v>
      </c>
      <c r="B1506" s="381" t="s">
        <v>324</v>
      </c>
      <c r="C1506" s="415" t="s">
        <v>5333</v>
      </c>
      <c r="D1506" s="381" t="s">
        <v>5334</v>
      </c>
      <c r="E1506" s="383" t="s">
        <v>5335</v>
      </c>
      <c r="F1506" s="381" t="s">
        <v>5322</v>
      </c>
      <c r="G1506" s="384" t="s">
        <v>329</v>
      </c>
      <c r="H1506" s="24">
        <f>235.01+97.16+60.42</f>
        <v>392.59</v>
      </c>
      <c r="I1506" s="24"/>
      <c r="J1506" s="25" t="str">
        <f t="shared" si="70"/>
        <v>1</v>
      </c>
      <c r="K1506" s="385"/>
      <c r="L1506" s="385"/>
      <c r="M1506" s="386">
        <f t="shared" si="72"/>
        <v>392.59</v>
      </c>
      <c r="N1506" s="496">
        <v>20</v>
      </c>
      <c r="O1506" s="333">
        <f t="shared" si="71"/>
        <v>412.59</v>
      </c>
      <c r="R1506" s="23" t="str">
        <f>VLOOKUP(C:C,'Historic Data - working'!A:B,1,FALSE)</f>
        <v>SHR078</v>
      </c>
      <c r="U1506" s="323"/>
      <c r="V1506" s="323"/>
      <c r="W1506" s="323"/>
    </row>
    <row r="1507" spans="1:23" s="23" customFormat="1" ht="14.25" hidden="1" x14ac:dyDescent="0.2">
      <c r="A1507" s="381" t="s">
        <v>5055</v>
      </c>
      <c r="B1507" s="381" t="s">
        <v>324</v>
      </c>
      <c r="C1507" s="415" t="s">
        <v>5336</v>
      </c>
      <c r="D1507" s="381" t="s">
        <v>5337</v>
      </c>
      <c r="E1507" s="383" t="s">
        <v>1871</v>
      </c>
      <c r="F1507" s="381" t="s">
        <v>5338</v>
      </c>
      <c r="G1507" s="384"/>
      <c r="H1507" s="24"/>
      <c r="I1507" s="24"/>
      <c r="J1507" s="25" t="str">
        <f t="shared" si="70"/>
        <v xml:space="preserve"> </v>
      </c>
      <c r="K1507" s="385" t="s">
        <v>337</v>
      </c>
      <c r="L1507" s="385">
        <v>555</v>
      </c>
      <c r="M1507" s="386">
        <f t="shared" si="72"/>
        <v>555</v>
      </c>
      <c r="N1507" s="496">
        <v>50</v>
      </c>
      <c r="O1507" s="333">
        <f t="shared" si="71"/>
        <v>605</v>
      </c>
      <c r="R1507" s="23" t="str">
        <f>VLOOKUP(C:C,'Historic Data - working'!A:B,1,FALSE)</f>
        <v>SHR079</v>
      </c>
      <c r="U1507" s="323"/>
      <c r="V1507" s="323"/>
      <c r="W1507" s="323"/>
    </row>
    <row r="1508" spans="1:23" s="23" customFormat="1" ht="14.25" hidden="1" x14ac:dyDescent="0.2">
      <c r="A1508" s="381" t="s">
        <v>5055</v>
      </c>
      <c r="B1508" s="381" t="s">
        <v>324</v>
      </c>
      <c r="C1508" s="415" t="s">
        <v>5339</v>
      </c>
      <c r="D1508" s="381" t="s">
        <v>5340</v>
      </c>
      <c r="E1508" s="383" t="s">
        <v>5277</v>
      </c>
      <c r="F1508" s="381" t="s">
        <v>5338</v>
      </c>
      <c r="G1508" s="384"/>
      <c r="H1508" s="24"/>
      <c r="I1508" s="24"/>
      <c r="J1508" s="25" t="str">
        <f t="shared" si="70"/>
        <v xml:space="preserve"> </v>
      </c>
      <c r="K1508" s="385"/>
      <c r="L1508" s="385"/>
      <c r="M1508" s="386">
        <f t="shared" si="72"/>
        <v>0</v>
      </c>
      <c r="N1508" s="496">
        <v>230</v>
      </c>
      <c r="O1508" s="333">
        <f t="shared" si="71"/>
        <v>230</v>
      </c>
      <c r="R1508" s="23" t="str">
        <f>VLOOKUP(C:C,'Historic Data - working'!A:B,1,FALSE)</f>
        <v>SHR079A</v>
      </c>
      <c r="U1508" s="323"/>
      <c r="V1508" s="323"/>
      <c r="W1508" s="323"/>
    </row>
    <row r="1509" spans="1:23" s="23" customFormat="1" ht="14.25" hidden="1" x14ac:dyDescent="0.2">
      <c r="A1509" s="381" t="s">
        <v>5055</v>
      </c>
      <c r="B1509" s="381" t="s">
        <v>324</v>
      </c>
      <c r="C1509" s="415" t="s">
        <v>5341</v>
      </c>
      <c r="D1509" s="381" t="s">
        <v>5342</v>
      </c>
      <c r="E1509" s="383" t="s">
        <v>61</v>
      </c>
      <c r="F1509" s="381" t="s">
        <v>5338</v>
      </c>
      <c r="G1509" s="384" t="s">
        <v>329</v>
      </c>
      <c r="H1509" s="24">
        <f>510+538+527.83+455+554+312.21+542.95+585+196.85+383.5+666.7+516.67</f>
        <v>5788.71</v>
      </c>
      <c r="I1509" s="24"/>
      <c r="J1509" s="25" t="str">
        <f t="shared" si="70"/>
        <v>1</v>
      </c>
      <c r="K1509" s="385"/>
      <c r="L1509" s="385"/>
      <c r="M1509" s="386">
        <f t="shared" si="72"/>
        <v>5788.71</v>
      </c>
      <c r="N1509" s="496">
        <v>430</v>
      </c>
      <c r="O1509" s="333">
        <f t="shared" si="71"/>
        <v>6218.71</v>
      </c>
      <c r="R1509" s="23" t="str">
        <f>VLOOKUP(C:C,'Historic Data - working'!A:B,1,FALSE)</f>
        <v>SHR080</v>
      </c>
      <c r="U1509" s="323"/>
      <c r="V1509" s="323"/>
      <c r="W1509" s="323"/>
    </row>
    <row r="1510" spans="1:23" s="23" customFormat="1" ht="14.25" hidden="1" x14ac:dyDescent="0.2">
      <c r="A1510" s="381" t="s">
        <v>5055</v>
      </c>
      <c r="B1510" s="381" t="s">
        <v>324</v>
      </c>
      <c r="C1510" s="415" t="s">
        <v>5343</v>
      </c>
      <c r="D1510" s="381" t="s">
        <v>5344</v>
      </c>
      <c r="E1510" s="383" t="s">
        <v>1165</v>
      </c>
      <c r="F1510" s="381" t="s">
        <v>5345</v>
      </c>
      <c r="G1510" s="384" t="s">
        <v>329</v>
      </c>
      <c r="H1510" s="24">
        <v>1702.92</v>
      </c>
      <c r="I1510" s="24"/>
      <c r="J1510" s="25" t="str">
        <f t="shared" si="70"/>
        <v>1</v>
      </c>
      <c r="K1510" s="385" t="s">
        <v>5346</v>
      </c>
      <c r="L1510" s="385">
        <v>-359.19</v>
      </c>
      <c r="M1510" s="386">
        <f t="shared" si="72"/>
        <v>1343.73</v>
      </c>
      <c r="N1510" s="496">
        <v>177</v>
      </c>
      <c r="O1510" s="333">
        <f t="shared" si="71"/>
        <v>1520.73</v>
      </c>
      <c r="R1510" s="23" t="str">
        <f>VLOOKUP(C:C,'Historic Data - working'!A:B,1,FALSE)</f>
        <v>SHR081</v>
      </c>
      <c r="U1510" s="323"/>
      <c r="V1510" s="323"/>
      <c r="W1510" s="323"/>
    </row>
    <row r="1511" spans="1:23" s="23" customFormat="1" ht="14.25" hidden="1" x14ac:dyDescent="0.2">
      <c r="A1511" s="381" t="s">
        <v>5055</v>
      </c>
      <c r="B1511" s="381" t="s">
        <v>324</v>
      </c>
      <c r="C1511" s="415" t="s">
        <v>5347</v>
      </c>
      <c r="D1511" s="381" t="s">
        <v>5348</v>
      </c>
      <c r="E1511" s="383" t="s">
        <v>5066</v>
      </c>
      <c r="F1511" s="381" t="s">
        <v>5349</v>
      </c>
      <c r="G1511" s="384" t="s">
        <v>329</v>
      </c>
      <c r="H1511" s="24">
        <v>513.01</v>
      </c>
      <c r="I1511" s="24"/>
      <c r="J1511" s="25" t="str">
        <f t="shared" si="70"/>
        <v>1</v>
      </c>
      <c r="K1511" s="385"/>
      <c r="L1511" s="385"/>
      <c r="M1511" s="386">
        <f t="shared" si="72"/>
        <v>513.01</v>
      </c>
      <c r="N1511" s="496">
        <v>236</v>
      </c>
      <c r="O1511" s="333">
        <f t="shared" si="71"/>
        <v>749.01</v>
      </c>
      <c r="R1511" s="23" t="str">
        <f>VLOOKUP(C:C,'Historic Data - working'!A:B,1,FALSE)</f>
        <v>SHR082</v>
      </c>
      <c r="U1511" s="323"/>
      <c r="V1511" s="323"/>
      <c r="W1511" s="323"/>
    </row>
    <row r="1512" spans="1:23" s="23" customFormat="1" ht="14.25" hidden="1" x14ac:dyDescent="0.2">
      <c r="A1512" s="381" t="s">
        <v>5055</v>
      </c>
      <c r="B1512" s="381" t="s">
        <v>324</v>
      </c>
      <c r="C1512" s="415" t="s">
        <v>5350</v>
      </c>
      <c r="D1512" s="381" t="s">
        <v>5351</v>
      </c>
      <c r="E1512" s="383" t="s">
        <v>226</v>
      </c>
      <c r="F1512" s="381" t="s">
        <v>5352</v>
      </c>
      <c r="G1512" s="384" t="s">
        <v>329</v>
      </c>
      <c r="H1512" s="24">
        <v>1354.6</v>
      </c>
      <c r="I1512" s="24"/>
      <c r="J1512" s="25" t="str">
        <f t="shared" si="70"/>
        <v>1</v>
      </c>
      <c r="K1512" s="385" t="s">
        <v>5353</v>
      </c>
      <c r="L1512" s="385">
        <v>312.33</v>
      </c>
      <c r="M1512" s="386">
        <f t="shared" si="72"/>
        <v>1666.9299999999998</v>
      </c>
      <c r="N1512" s="496">
        <v>60</v>
      </c>
      <c r="O1512" s="333">
        <f t="shared" si="71"/>
        <v>1726.9299999999998</v>
      </c>
      <c r="R1512" s="23" t="str">
        <f>VLOOKUP(C:C,'Historic Data - working'!A:B,1,FALSE)</f>
        <v>SHR083</v>
      </c>
      <c r="U1512" s="323"/>
      <c r="V1512" s="323"/>
      <c r="W1512" s="323"/>
    </row>
    <row r="1513" spans="1:23" s="23" customFormat="1" ht="14.25" hidden="1" x14ac:dyDescent="0.2">
      <c r="A1513" s="381" t="s">
        <v>5055</v>
      </c>
      <c r="B1513" s="381" t="s">
        <v>324</v>
      </c>
      <c r="C1513" s="415" t="s">
        <v>5354</v>
      </c>
      <c r="D1513" s="381" t="s">
        <v>5355</v>
      </c>
      <c r="E1513" s="383" t="s">
        <v>532</v>
      </c>
      <c r="F1513" s="381" t="s">
        <v>5356</v>
      </c>
      <c r="G1513" s="384"/>
      <c r="H1513" s="24"/>
      <c r="I1513" s="24"/>
      <c r="J1513" s="25" t="str">
        <f t="shared" si="70"/>
        <v xml:space="preserve"> </v>
      </c>
      <c r="K1513" s="385"/>
      <c r="L1513" s="385"/>
      <c r="M1513" s="386">
        <f t="shared" si="72"/>
        <v>0</v>
      </c>
      <c r="N1513" s="496"/>
      <c r="O1513" s="333">
        <f t="shared" si="71"/>
        <v>0</v>
      </c>
      <c r="R1513" s="23" t="e">
        <f>VLOOKUP(C:C,'Historic Data - working'!A:B,1,FALSE)</f>
        <v>#N/A</v>
      </c>
      <c r="U1513" s="323"/>
      <c r="V1513" s="323"/>
      <c r="W1513" s="323"/>
    </row>
    <row r="1514" spans="1:23" s="23" customFormat="1" ht="14.25" hidden="1" x14ac:dyDescent="0.2">
      <c r="A1514" s="381" t="s">
        <v>5055</v>
      </c>
      <c r="B1514" s="381" t="s">
        <v>324</v>
      </c>
      <c r="C1514" s="415" t="s">
        <v>5357</v>
      </c>
      <c r="D1514" s="381" t="s">
        <v>5358</v>
      </c>
      <c r="E1514" s="383" t="s">
        <v>5359</v>
      </c>
      <c r="F1514" s="381" t="s">
        <v>5360</v>
      </c>
      <c r="G1514" s="384"/>
      <c r="H1514" s="24"/>
      <c r="I1514" s="24"/>
      <c r="J1514" s="25" t="str">
        <f t="shared" si="70"/>
        <v xml:space="preserve"> </v>
      </c>
      <c r="K1514" s="385"/>
      <c r="L1514" s="385"/>
      <c r="M1514" s="386">
        <f t="shared" si="72"/>
        <v>0</v>
      </c>
      <c r="N1514" s="496">
        <v>380</v>
      </c>
      <c r="O1514" s="333">
        <f t="shared" si="71"/>
        <v>380</v>
      </c>
      <c r="R1514" s="23" t="e">
        <f>VLOOKUP(C:C,'Historic Data - working'!A:B,1,FALSE)</f>
        <v>#N/A</v>
      </c>
      <c r="U1514" s="323"/>
      <c r="V1514" s="323"/>
      <c r="W1514" s="323"/>
    </row>
    <row r="1515" spans="1:23" s="23" customFormat="1" ht="14.25" hidden="1" x14ac:dyDescent="0.2">
      <c r="A1515" s="381" t="s">
        <v>5055</v>
      </c>
      <c r="B1515" s="381" t="s">
        <v>324</v>
      </c>
      <c r="C1515" s="415" t="s">
        <v>5361</v>
      </c>
      <c r="D1515" s="381" t="s">
        <v>5362</v>
      </c>
      <c r="E1515" s="383" t="s">
        <v>5363</v>
      </c>
      <c r="F1515" s="381" t="s">
        <v>5364</v>
      </c>
      <c r="G1515" s="384"/>
      <c r="H1515" s="24"/>
      <c r="I1515" s="24"/>
      <c r="J1515" s="25" t="str">
        <f t="shared" si="70"/>
        <v xml:space="preserve"> </v>
      </c>
      <c r="K1515" s="385"/>
      <c r="L1515" s="385"/>
      <c r="M1515" s="386">
        <f t="shared" si="72"/>
        <v>0</v>
      </c>
      <c r="N1515" s="496"/>
      <c r="O1515" s="333">
        <f t="shared" si="71"/>
        <v>0</v>
      </c>
      <c r="R1515" s="23" t="e">
        <f>VLOOKUP(C:C,'Historic Data - working'!A:B,1,FALSE)</f>
        <v>#N/A</v>
      </c>
      <c r="U1515" s="323"/>
      <c r="V1515" s="323"/>
      <c r="W1515" s="323"/>
    </row>
    <row r="1516" spans="1:23" s="23" customFormat="1" ht="14.25" hidden="1" x14ac:dyDescent="0.2">
      <c r="A1516" s="381" t="s">
        <v>5055</v>
      </c>
      <c r="B1516" s="381" t="s">
        <v>324</v>
      </c>
      <c r="C1516" s="415" t="s">
        <v>5365</v>
      </c>
      <c r="D1516" s="381" t="s">
        <v>5366</v>
      </c>
      <c r="E1516" s="383" t="s">
        <v>5367</v>
      </c>
      <c r="F1516" s="381" t="s">
        <v>5368</v>
      </c>
      <c r="G1516" s="384" t="s">
        <v>329</v>
      </c>
      <c r="H1516" s="24"/>
      <c r="I1516" s="24">
        <f>70.34+70.74</f>
        <v>141.07999999999998</v>
      </c>
      <c r="J1516" s="25" t="str">
        <f t="shared" si="70"/>
        <v>1</v>
      </c>
      <c r="K1516" s="385"/>
      <c r="L1516" s="385"/>
      <c r="M1516" s="386">
        <f t="shared" si="72"/>
        <v>0</v>
      </c>
      <c r="N1516" s="496">
        <v>485.58000000000004</v>
      </c>
      <c r="O1516" s="333">
        <f t="shared" si="71"/>
        <v>485.58000000000004</v>
      </c>
      <c r="R1516" s="23" t="str">
        <f>VLOOKUP(C:C,'Historic Data - working'!A:B,1,FALSE)</f>
        <v>SHR088</v>
      </c>
      <c r="U1516" s="323"/>
      <c r="V1516" s="323"/>
      <c r="W1516" s="323"/>
    </row>
    <row r="1517" spans="1:23" s="23" customFormat="1" ht="14.25" hidden="1" x14ac:dyDescent="0.2">
      <c r="A1517" s="381" t="s">
        <v>5055</v>
      </c>
      <c r="B1517" s="381" t="s">
        <v>324</v>
      </c>
      <c r="C1517" s="415" t="s">
        <v>5369</v>
      </c>
      <c r="D1517" s="381" t="s">
        <v>5370</v>
      </c>
      <c r="E1517" s="383" t="s">
        <v>5371</v>
      </c>
      <c r="F1517" s="381" t="s">
        <v>5368</v>
      </c>
      <c r="G1517" s="384" t="s">
        <v>329</v>
      </c>
      <c r="H1517" s="24">
        <f>217.38+450.45+10.97</f>
        <v>678.8</v>
      </c>
      <c r="I1517" s="24"/>
      <c r="J1517" s="25" t="str">
        <f t="shared" ref="J1517:J1580" si="73">IF(G1517="Y","1"," ")</f>
        <v>1</v>
      </c>
      <c r="K1517" s="385" t="s">
        <v>5372</v>
      </c>
      <c r="L1517" s="385">
        <v>9.9700000000000006</v>
      </c>
      <c r="M1517" s="386">
        <f t="shared" si="72"/>
        <v>688.77</v>
      </c>
      <c r="N1517" s="496"/>
      <c r="O1517" s="333">
        <f t="shared" si="71"/>
        <v>688.77</v>
      </c>
      <c r="R1517" s="23" t="str">
        <f>VLOOKUP(C:C,'Historic Data - working'!A:B,1,FALSE)</f>
        <v>SHR089</v>
      </c>
      <c r="U1517" s="323"/>
      <c r="V1517" s="323"/>
      <c r="W1517" s="323"/>
    </row>
    <row r="1518" spans="1:23" s="23" customFormat="1" ht="14.25" hidden="1" x14ac:dyDescent="0.2">
      <c r="A1518" s="381" t="s">
        <v>5055</v>
      </c>
      <c r="B1518" s="381" t="s">
        <v>324</v>
      </c>
      <c r="C1518" s="415" t="s">
        <v>5373</v>
      </c>
      <c r="D1518" s="381" t="s">
        <v>5374</v>
      </c>
      <c r="E1518" s="383" t="s">
        <v>2896</v>
      </c>
      <c r="F1518" s="381" t="s">
        <v>5368</v>
      </c>
      <c r="G1518" s="384"/>
      <c r="H1518" s="24"/>
      <c r="I1518" s="24"/>
      <c r="J1518" s="25" t="str">
        <f t="shared" si="73"/>
        <v xml:space="preserve"> </v>
      </c>
      <c r="K1518" s="385" t="s">
        <v>337</v>
      </c>
      <c r="L1518" s="385">
        <v>273.33999999999997</v>
      </c>
      <c r="M1518" s="386">
        <f t="shared" si="72"/>
        <v>273.33999999999997</v>
      </c>
      <c r="N1518" s="496"/>
      <c r="O1518" s="333">
        <f t="shared" si="71"/>
        <v>273.33999999999997</v>
      </c>
      <c r="R1518" s="23" t="str">
        <f>VLOOKUP(C:C,'Historic Data - working'!A:B,1,FALSE)</f>
        <v>SHR090</v>
      </c>
      <c r="U1518" s="323"/>
      <c r="V1518" s="323"/>
      <c r="W1518" s="323"/>
    </row>
    <row r="1519" spans="1:23" s="23" customFormat="1" ht="14.25" hidden="1" x14ac:dyDescent="0.2">
      <c r="A1519" s="381" t="s">
        <v>5055</v>
      </c>
      <c r="B1519" s="381" t="s">
        <v>324</v>
      </c>
      <c r="C1519" s="415" t="s">
        <v>5375</v>
      </c>
      <c r="D1519" s="381" t="s">
        <v>5376</v>
      </c>
      <c r="E1519" s="383" t="s">
        <v>532</v>
      </c>
      <c r="F1519" s="381" t="s">
        <v>5368</v>
      </c>
      <c r="G1519" s="384"/>
      <c r="H1519" s="24"/>
      <c r="I1519" s="24"/>
      <c r="J1519" s="25" t="str">
        <f t="shared" si="73"/>
        <v xml:space="preserve"> </v>
      </c>
      <c r="K1519" s="385"/>
      <c r="L1519" s="385"/>
      <c r="M1519" s="386">
        <f t="shared" si="72"/>
        <v>0</v>
      </c>
      <c r="N1519" s="496">
        <v>260</v>
      </c>
      <c r="O1519" s="333">
        <f t="shared" si="71"/>
        <v>260</v>
      </c>
      <c r="R1519" s="23" t="str">
        <f>VLOOKUP(C:C,'Historic Data - working'!A:B,1,FALSE)</f>
        <v>SHR091</v>
      </c>
      <c r="U1519" s="323"/>
      <c r="V1519" s="323"/>
      <c r="W1519" s="323"/>
    </row>
    <row r="1520" spans="1:23" s="23" customFormat="1" ht="14.25" hidden="1" x14ac:dyDescent="0.2">
      <c r="A1520" s="381" t="s">
        <v>5055</v>
      </c>
      <c r="B1520" s="381" t="s">
        <v>324</v>
      </c>
      <c r="C1520" s="415" t="s">
        <v>5377</v>
      </c>
      <c r="D1520" s="381" t="s">
        <v>5378</v>
      </c>
      <c r="E1520" s="383" t="s">
        <v>5379</v>
      </c>
      <c r="F1520" s="381" t="s">
        <v>5368</v>
      </c>
      <c r="G1520" s="384" t="s">
        <v>329</v>
      </c>
      <c r="H1520" s="24"/>
      <c r="I1520" s="24">
        <f>172.43+188.21</f>
        <v>360.64</v>
      </c>
      <c r="J1520" s="25" t="str">
        <f t="shared" si="73"/>
        <v>1</v>
      </c>
      <c r="K1520" s="385"/>
      <c r="L1520" s="385"/>
      <c r="M1520" s="386">
        <f t="shared" si="72"/>
        <v>0</v>
      </c>
      <c r="N1520" s="496">
        <v>465.64</v>
      </c>
      <c r="O1520" s="333">
        <f t="shared" si="71"/>
        <v>465.64</v>
      </c>
      <c r="R1520" s="23" t="str">
        <f>VLOOKUP(C:C,'Historic Data - working'!A:B,1,FALSE)</f>
        <v>SHR092</v>
      </c>
      <c r="U1520" s="323"/>
      <c r="V1520" s="323"/>
      <c r="W1520" s="323"/>
    </row>
    <row r="1521" spans="1:23" s="23" customFormat="1" ht="14.25" hidden="1" x14ac:dyDescent="0.2">
      <c r="A1521" s="381" t="s">
        <v>5055</v>
      </c>
      <c r="B1521" s="381" t="s">
        <v>324</v>
      </c>
      <c r="C1521" s="415" t="s">
        <v>5380</v>
      </c>
      <c r="D1521" s="381" t="s">
        <v>5381</v>
      </c>
      <c r="E1521" s="383" t="s">
        <v>5382</v>
      </c>
      <c r="F1521" s="381" t="s">
        <v>5383</v>
      </c>
      <c r="G1521" s="384" t="s">
        <v>329</v>
      </c>
      <c r="H1521" s="24">
        <v>2754.13</v>
      </c>
      <c r="I1521" s="24"/>
      <c r="J1521" s="25" t="str">
        <f t="shared" si="73"/>
        <v>1</v>
      </c>
      <c r="K1521" s="385"/>
      <c r="L1521" s="385"/>
      <c r="M1521" s="386">
        <f t="shared" si="72"/>
        <v>2754.13</v>
      </c>
      <c r="N1521" s="496">
        <v>499</v>
      </c>
      <c r="O1521" s="333">
        <f t="shared" si="71"/>
        <v>3253.13</v>
      </c>
      <c r="R1521" s="23" t="str">
        <f>VLOOKUP(C:C,'Historic Data - working'!A:B,1,FALSE)</f>
        <v>SHR093</v>
      </c>
      <c r="U1521" s="323"/>
      <c r="V1521" s="323"/>
      <c r="W1521" s="323"/>
    </row>
    <row r="1522" spans="1:23" s="23" customFormat="1" ht="14.25" hidden="1" x14ac:dyDescent="0.2">
      <c r="A1522" s="381" t="s">
        <v>5055</v>
      </c>
      <c r="B1522" s="381" t="s">
        <v>324</v>
      </c>
      <c r="C1522" s="415" t="s">
        <v>5384</v>
      </c>
      <c r="D1522" s="381" t="s">
        <v>5385</v>
      </c>
      <c r="E1522" s="383" t="s">
        <v>5386</v>
      </c>
      <c r="F1522" s="381" t="s">
        <v>5387</v>
      </c>
      <c r="G1522" s="384" t="s">
        <v>329</v>
      </c>
      <c r="H1522" s="24">
        <f>173.7+140.5+84+56.5+201.5+110.5+70+73.5</f>
        <v>910.2</v>
      </c>
      <c r="I1522" s="24"/>
      <c r="J1522" s="25" t="str">
        <f t="shared" si="73"/>
        <v>1</v>
      </c>
      <c r="K1522" s="385"/>
      <c r="L1522" s="385"/>
      <c r="M1522" s="386">
        <f t="shared" si="72"/>
        <v>910.2</v>
      </c>
      <c r="N1522" s="496">
        <v>170</v>
      </c>
      <c r="O1522" s="333">
        <f t="shared" si="71"/>
        <v>1080.2</v>
      </c>
      <c r="R1522" s="23" t="str">
        <f>VLOOKUP(C:C,'Historic Data - working'!A:B,1,FALSE)</f>
        <v>SHR094</v>
      </c>
      <c r="U1522" s="323"/>
      <c r="V1522" s="323"/>
      <c r="W1522" s="323"/>
    </row>
    <row r="1523" spans="1:23" s="23" customFormat="1" ht="14.25" hidden="1" x14ac:dyDescent="0.2">
      <c r="A1523" s="381" t="s">
        <v>5055</v>
      </c>
      <c r="B1523" s="381" t="s">
        <v>324</v>
      </c>
      <c r="C1523" s="415" t="s">
        <v>5388</v>
      </c>
      <c r="D1523" s="381" t="s">
        <v>5389</v>
      </c>
      <c r="E1523" s="383" t="s">
        <v>5390</v>
      </c>
      <c r="F1523" s="381" t="s">
        <v>5391</v>
      </c>
      <c r="G1523" s="384"/>
      <c r="H1523" s="24"/>
      <c r="I1523" s="24"/>
      <c r="J1523" s="25" t="str">
        <f t="shared" si="73"/>
        <v xml:space="preserve"> </v>
      </c>
      <c r="K1523" s="385"/>
      <c r="L1523" s="385"/>
      <c r="M1523" s="386">
        <f t="shared" si="72"/>
        <v>0</v>
      </c>
      <c r="N1523" s="496"/>
      <c r="O1523" s="333">
        <f t="shared" si="71"/>
        <v>0</v>
      </c>
      <c r="R1523" s="23" t="e">
        <f>VLOOKUP(C:C,'Historic Data - working'!A:B,1,FALSE)</f>
        <v>#N/A</v>
      </c>
      <c r="U1523" s="323"/>
      <c r="V1523" s="323"/>
      <c r="W1523" s="323"/>
    </row>
    <row r="1524" spans="1:23" s="23" customFormat="1" ht="14.25" hidden="1" x14ac:dyDescent="0.2">
      <c r="A1524" s="381" t="s">
        <v>5055</v>
      </c>
      <c r="B1524" s="381" t="s">
        <v>324</v>
      </c>
      <c r="C1524" s="415" t="s">
        <v>5392</v>
      </c>
      <c r="D1524" s="381" t="s">
        <v>5393</v>
      </c>
      <c r="E1524" s="383" t="s">
        <v>158</v>
      </c>
      <c r="F1524" s="381" t="s">
        <v>5394</v>
      </c>
      <c r="G1524" s="384" t="s">
        <v>329</v>
      </c>
      <c r="H1524" s="24">
        <f>404+453</f>
        <v>857</v>
      </c>
      <c r="I1524" s="24"/>
      <c r="J1524" s="25" t="str">
        <f t="shared" si="73"/>
        <v>1</v>
      </c>
      <c r="K1524" s="385"/>
      <c r="L1524" s="385"/>
      <c r="M1524" s="386">
        <f t="shared" si="72"/>
        <v>857</v>
      </c>
      <c r="N1524" s="496">
        <v>225</v>
      </c>
      <c r="O1524" s="333">
        <f t="shared" si="71"/>
        <v>1082</v>
      </c>
      <c r="R1524" s="23" t="str">
        <f>VLOOKUP(C:C,'Historic Data - working'!A:B,1,FALSE)</f>
        <v>SHR095</v>
      </c>
      <c r="U1524" s="323"/>
      <c r="V1524" s="323"/>
      <c r="W1524" s="323"/>
    </row>
    <row r="1525" spans="1:23" s="23" customFormat="1" ht="14.25" hidden="1" x14ac:dyDescent="0.2">
      <c r="A1525" s="381" t="s">
        <v>5055</v>
      </c>
      <c r="B1525" s="381" t="s">
        <v>324</v>
      </c>
      <c r="C1525" s="415" t="s">
        <v>5395</v>
      </c>
      <c r="D1525" s="381" t="s">
        <v>5396</v>
      </c>
      <c r="E1525" s="383" t="s">
        <v>5397</v>
      </c>
      <c r="F1525" s="381" t="s">
        <v>5394</v>
      </c>
      <c r="G1525" s="384" t="s">
        <v>329</v>
      </c>
      <c r="H1525" s="24">
        <f>76+87+133</f>
        <v>296</v>
      </c>
      <c r="I1525" s="24"/>
      <c r="J1525" s="25" t="str">
        <f t="shared" si="73"/>
        <v>1</v>
      </c>
      <c r="K1525" s="385"/>
      <c r="L1525" s="385"/>
      <c r="M1525" s="386">
        <f t="shared" si="72"/>
        <v>296</v>
      </c>
      <c r="N1525" s="496">
        <v>30</v>
      </c>
      <c r="O1525" s="333">
        <f t="shared" si="71"/>
        <v>326</v>
      </c>
      <c r="R1525" s="23" t="str">
        <f>VLOOKUP(C:C,'Historic Data - working'!A:B,1,FALSE)</f>
        <v>SHR097</v>
      </c>
      <c r="U1525" s="323"/>
      <c r="V1525" s="323"/>
      <c r="W1525" s="323"/>
    </row>
    <row r="1526" spans="1:23" s="23" customFormat="1" ht="14.25" hidden="1" x14ac:dyDescent="0.2">
      <c r="A1526" s="381" t="s">
        <v>5055</v>
      </c>
      <c r="B1526" s="381" t="s">
        <v>324</v>
      </c>
      <c r="C1526" s="415" t="s">
        <v>5398</v>
      </c>
      <c r="D1526" s="381" t="s">
        <v>5399</v>
      </c>
      <c r="E1526" s="383" t="s">
        <v>5400</v>
      </c>
      <c r="F1526" s="381" t="s">
        <v>5394</v>
      </c>
      <c r="G1526" s="384"/>
      <c r="H1526" s="24"/>
      <c r="I1526" s="24"/>
      <c r="J1526" s="25" t="str">
        <f t="shared" si="73"/>
        <v xml:space="preserve"> </v>
      </c>
      <c r="K1526" s="385"/>
      <c r="L1526" s="385"/>
      <c r="M1526" s="386">
        <f t="shared" si="72"/>
        <v>0</v>
      </c>
      <c r="N1526" s="496"/>
      <c r="O1526" s="333">
        <f t="shared" si="71"/>
        <v>0</v>
      </c>
      <c r="R1526" s="23" t="e">
        <f>VLOOKUP(C:C,'Historic Data - working'!A:B,1,FALSE)</f>
        <v>#N/A</v>
      </c>
      <c r="U1526" s="323"/>
      <c r="V1526" s="323"/>
      <c r="W1526" s="323"/>
    </row>
    <row r="1527" spans="1:23" s="23" customFormat="1" ht="14.25" hidden="1" x14ac:dyDescent="0.2">
      <c r="A1527" s="381" t="s">
        <v>5055</v>
      </c>
      <c r="B1527" s="381" t="s">
        <v>324</v>
      </c>
      <c r="C1527" s="415" t="s">
        <v>5401</v>
      </c>
      <c r="D1527" s="381" t="s">
        <v>5402</v>
      </c>
      <c r="E1527" s="383" t="s">
        <v>5403</v>
      </c>
      <c r="F1527" s="381" t="s">
        <v>5394</v>
      </c>
      <c r="G1527" s="384"/>
      <c r="H1527" s="24"/>
      <c r="I1527" s="24"/>
      <c r="J1527" s="25" t="str">
        <f t="shared" si="73"/>
        <v xml:space="preserve"> </v>
      </c>
      <c r="K1527" s="385"/>
      <c r="L1527" s="385"/>
      <c r="M1527" s="386">
        <f t="shared" si="72"/>
        <v>0</v>
      </c>
      <c r="N1527" s="496">
        <v>699.25</v>
      </c>
      <c r="O1527" s="333">
        <f t="shared" si="71"/>
        <v>699.25</v>
      </c>
      <c r="R1527" s="23" t="str">
        <f>VLOOKUP(C:C,'Historic Data - working'!A:B,1,FALSE)</f>
        <v>SHR098</v>
      </c>
      <c r="U1527" s="323"/>
      <c r="V1527" s="323"/>
      <c r="W1527" s="323"/>
    </row>
    <row r="1528" spans="1:23" s="23" customFormat="1" ht="14.25" hidden="1" x14ac:dyDescent="0.2">
      <c r="A1528" s="381" t="s">
        <v>5055</v>
      </c>
      <c r="B1528" s="381" t="s">
        <v>324</v>
      </c>
      <c r="C1528" s="415" t="s">
        <v>5404</v>
      </c>
      <c r="D1528" s="381" t="s">
        <v>5405</v>
      </c>
      <c r="E1528" s="383" t="s">
        <v>5406</v>
      </c>
      <c r="F1528" s="381" t="s">
        <v>5394</v>
      </c>
      <c r="G1528" s="384"/>
      <c r="H1528" s="24"/>
      <c r="I1528" s="24"/>
      <c r="J1528" s="25" t="str">
        <f t="shared" si="73"/>
        <v xml:space="preserve"> </v>
      </c>
      <c r="K1528" s="385"/>
      <c r="L1528" s="385"/>
      <c r="M1528" s="386">
        <f t="shared" si="72"/>
        <v>0</v>
      </c>
      <c r="N1528" s="496"/>
      <c r="O1528" s="333">
        <f t="shared" si="71"/>
        <v>0</v>
      </c>
      <c r="R1528" s="23" t="e">
        <f>VLOOKUP(C:C,'Historic Data - working'!A:B,1,FALSE)</f>
        <v>#N/A</v>
      </c>
      <c r="U1528" s="323"/>
      <c r="V1528" s="323"/>
      <c r="W1528" s="323"/>
    </row>
    <row r="1529" spans="1:23" s="23" customFormat="1" ht="14.25" hidden="1" x14ac:dyDescent="0.2">
      <c r="A1529" s="381" t="s">
        <v>5055</v>
      </c>
      <c r="B1529" s="381" t="s">
        <v>324</v>
      </c>
      <c r="C1529" s="415" t="s">
        <v>5407</v>
      </c>
      <c r="D1529" s="381" t="s">
        <v>5408</v>
      </c>
      <c r="E1529" s="383" t="s">
        <v>532</v>
      </c>
      <c r="F1529" s="381" t="s">
        <v>5409</v>
      </c>
      <c r="G1529" s="384" t="s">
        <v>329</v>
      </c>
      <c r="H1529" s="24">
        <f>324.9+135.36+578.3</f>
        <v>1038.56</v>
      </c>
      <c r="I1529" s="24"/>
      <c r="J1529" s="25" t="str">
        <f t="shared" si="73"/>
        <v>1</v>
      </c>
      <c r="K1529" s="385"/>
      <c r="L1529" s="385"/>
      <c r="M1529" s="386">
        <f t="shared" si="72"/>
        <v>1038.56</v>
      </c>
      <c r="N1529" s="496">
        <v>542.59999999999991</v>
      </c>
      <c r="O1529" s="333">
        <f t="shared" si="71"/>
        <v>1581.1599999999999</v>
      </c>
      <c r="R1529" s="23" t="str">
        <f>VLOOKUP(C:C,'Historic Data - working'!A:B,1,FALSE)</f>
        <v>SHR100</v>
      </c>
      <c r="U1529" s="323"/>
      <c r="V1529" s="323"/>
      <c r="W1529" s="323"/>
    </row>
    <row r="1530" spans="1:23" s="23" customFormat="1" ht="14.25" hidden="1" x14ac:dyDescent="0.2">
      <c r="A1530" s="381" t="s">
        <v>5055</v>
      </c>
      <c r="B1530" s="381" t="s">
        <v>324</v>
      </c>
      <c r="C1530" s="415" t="s">
        <v>5410</v>
      </c>
      <c r="D1530" s="381" t="s">
        <v>5411</v>
      </c>
      <c r="E1530" s="383" t="s">
        <v>231</v>
      </c>
      <c r="F1530" s="381" t="s">
        <v>5412</v>
      </c>
      <c r="G1530" s="384"/>
      <c r="H1530" s="24"/>
      <c r="I1530" s="24"/>
      <c r="J1530" s="25" t="str">
        <f t="shared" si="73"/>
        <v xml:space="preserve"> </v>
      </c>
      <c r="K1530" s="385"/>
      <c r="L1530" s="385"/>
      <c r="M1530" s="386">
        <f t="shared" si="72"/>
        <v>0</v>
      </c>
      <c r="N1530" s="496">
        <v>45</v>
      </c>
      <c r="O1530" s="333">
        <f t="shared" si="71"/>
        <v>45</v>
      </c>
      <c r="R1530" s="23" t="e">
        <f>VLOOKUP(C:C,'Historic Data - working'!A:B,1,FALSE)</f>
        <v>#N/A</v>
      </c>
      <c r="U1530" s="323"/>
      <c r="V1530" s="323"/>
      <c r="W1530" s="323"/>
    </row>
    <row r="1531" spans="1:23" s="23" customFormat="1" ht="28.5" hidden="1" x14ac:dyDescent="0.2">
      <c r="A1531" s="381" t="s">
        <v>5055</v>
      </c>
      <c r="B1531" s="381" t="s">
        <v>324</v>
      </c>
      <c r="C1531" s="415" t="s">
        <v>5413</v>
      </c>
      <c r="D1531" s="381" t="s">
        <v>5414</v>
      </c>
      <c r="E1531" s="383" t="s">
        <v>5415</v>
      </c>
      <c r="F1531" s="381" t="s">
        <v>5412</v>
      </c>
      <c r="G1531" s="384" t="s">
        <v>329</v>
      </c>
      <c r="H1531" s="24">
        <v>564.87</v>
      </c>
      <c r="I1531" s="24"/>
      <c r="J1531" s="25" t="str">
        <f t="shared" si="73"/>
        <v>1</v>
      </c>
      <c r="K1531" s="388" t="s">
        <v>5416</v>
      </c>
      <c r="L1531" s="385"/>
      <c r="M1531" s="386">
        <f t="shared" si="72"/>
        <v>564.87</v>
      </c>
      <c r="N1531" s="496">
        <v>25</v>
      </c>
      <c r="O1531" s="333">
        <f t="shared" si="71"/>
        <v>589.87</v>
      </c>
      <c r="R1531" s="23" t="str">
        <f>VLOOKUP(C:C,'Historic Data - working'!A:B,1,FALSE)</f>
        <v>SHR102</v>
      </c>
      <c r="U1531" s="323"/>
      <c r="V1531" s="323"/>
      <c r="W1531" s="323"/>
    </row>
    <row r="1532" spans="1:23" s="23" customFormat="1" ht="14.25" hidden="1" x14ac:dyDescent="0.2">
      <c r="A1532" s="381" t="s">
        <v>5055</v>
      </c>
      <c r="B1532" s="381" t="s">
        <v>324</v>
      </c>
      <c r="C1532" s="415" t="s">
        <v>5417</v>
      </c>
      <c r="D1532" s="381" t="s">
        <v>5418</v>
      </c>
      <c r="E1532" s="383" t="s">
        <v>1203</v>
      </c>
      <c r="F1532" s="381" t="s">
        <v>5412</v>
      </c>
      <c r="G1532" s="384"/>
      <c r="H1532" s="24"/>
      <c r="I1532" s="24"/>
      <c r="J1532" s="25" t="str">
        <f t="shared" si="73"/>
        <v xml:space="preserve"> </v>
      </c>
      <c r="K1532" s="385"/>
      <c r="L1532" s="385"/>
      <c r="M1532" s="386">
        <f t="shared" si="72"/>
        <v>0</v>
      </c>
      <c r="N1532" s="496"/>
      <c r="O1532" s="333">
        <f t="shared" si="71"/>
        <v>0</v>
      </c>
      <c r="R1532" s="23" t="e">
        <f>VLOOKUP(C:C,'Historic Data - working'!A:B,1,FALSE)</f>
        <v>#N/A</v>
      </c>
      <c r="U1532" s="323"/>
      <c r="V1532" s="323"/>
      <c r="W1532" s="323"/>
    </row>
    <row r="1533" spans="1:23" s="23" customFormat="1" ht="14.25" hidden="1" x14ac:dyDescent="0.2">
      <c r="A1533" s="381" t="s">
        <v>5055</v>
      </c>
      <c r="B1533" s="381" t="s">
        <v>324</v>
      </c>
      <c r="C1533" s="415" t="s">
        <v>5419</v>
      </c>
      <c r="D1533" s="381" t="s">
        <v>5420</v>
      </c>
      <c r="E1533" s="383" t="s">
        <v>5421</v>
      </c>
      <c r="F1533" s="381" t="s">
        <v>5412</v>
      </c>
      <c r="G1533" s="384"/>
      <c r="H1533" s="24"/>
      <c r="I1533" s="24"/>
      <c r="J1533" s="25" t="str">
        <f t="shared" si="73"/>
        <v xml:space="preserve"> </v>
      </c>
      <c r="K1533" s="385" t="s">
        <v>337</v>
      </c>
      <c r="L1533" s="385">
        <v>564.87</v>
      </c>
      <c r="M1533" s="386">
        <f t="shared" si="72"/>
        <v>564.87</v>
      </c>
      <c r="N1533" s="496">
        <v>137</v>
      </c>
      <c r="O1533" s="333">
        <f t="shared" si="71"/>
        <v>701.87</v>
      </c>
      <c r="R1533" s="23" t="str">
        <f>VLOOKUP(C:C,'Historic Data - working'!A:B,1,FALSE)</f>
        <v>SHR104</v>
      </c>
      <c r="U1533" s="323"/>
      <c r="V1533" s="323"/>
      <c r="W1533" s="323"/>
    </row>
    <row r="1534" spans="1:23" s="23" customFormat="1" ht="14.25" hidden="1" x14ac:dyDescent="0.2">
      <c r="A1534" s="381" t="s">
        <v>5055</v>
      </c>
      <c r="B1534" s="381" t="s">
        <v>324</v>
      </c>
      <c r="C1534" s="415" t="s">
        <v>5422</v>
      </c>
      <c r="D1534" s="381" t="s">
        <v>5423</v>
      </c>
      <c r="E1534" s="383" t="s">
        <v>5424</v>
      </c>
      <c r="F1534" s="381" t="s">
        <v>5412</v>
      </c>
      <c r="G1534" s="384" t="s">
        <v>329</v>
      </c>
      <c r="H1534" s="24">
        <v>0</v>
      </c>
      <c r="I1534" s="24">
        <v>0</v>
      </c>
      <c r="J1534" s="25" t="str">
        <f t="shared" si="73"/>
        <v>1</v>
      </c>
      <c r="K1534" s="385" t="s">
        <v>5425</v>
      </c>
      <c r="L1534" s="385"/>
      <c r="M1534" s="386">
        <f t="shared" si="72"/>
        <v>0</v>
      </c>
      <c r="N1534" s="496">
        <v>125</v>
      </c>
      <c r="O1534" s="333">
        <f t="shared" si="71"/>
        <v>125</v>
      </c>
      <c r="R1534" s="23" t="e">
        <f>VLOOKUP(C:C,'Historic Data - working'!A:B,1,FALSE)</f>
        <v>#N/A</v>
      </c>
      <c r="U1534" s="323"/>
      <c r="V1534" s="323"/>
      <c r="W1534" s="323"/>
    </row>
    <row r="1535" spans="1:23" s="23" customFormat="1" ht="14.25" hidden="1" x14ac:dyDescent="0.2">
      <c r="A1535" s="381" t="s">
        <v>5055</v>
      </c>
      <c r="B1535" s="381" t="s">
        <v>324</v>
      </c>
      <c r="C1535" s="415" t="s">
        <v>5426</v>
      </c>
      <c r="D1535" s="381" t="s">
        <v>5427</v>
      </c>
      <c r="E1535" s="383" t="s">
        <v>5428</v>
      </c>
      <c r="F1535" s="381" t="s">
        <v>5412</v>
      </c>
      <c r="G1535" s="384" t="s">
        <v>329</v>
      </c>
      <c r="H1535" s="24">
        <f>192.28+289.39+144.3</f>
        <v>625.97</v>
      </c>
      <c r="I1535" s="24"/>
      <c r="J1535" s="25" t="str">
        <f t="shared" si="73"/>
        <v>1</v>
      </c>
      <c r="K1535" s="385" t="s">
        <v>5429</v>
      </c>
      <c r="L1535" s="385"/>
      <c r="M1535" s="386">
        <f t="shared" si="72"/>
        <v>625.97</v>
      </c>
      <c r="N1535" s="496">
        <v>485</v>
      </c>
      <c r="O1535" s="334">
        <f t="shared" si="71"/>
        <v>1110.97</v>
      </c>
      <c r="P1535" s="351"/>
      <c r="Q1535" s="331"/>
      <c r="R1535" s="331" t="e">
        <f>VLOOKUP(C:C,'Historic Data - working'!A:B,1,FALSE)</f>
        <v>#N/A</v>
      </c>
      <c r="U1535" s="323"/>
      <c r="V1535" s="323"/>
      <c r="W1535" s="323"/>
    </row>
    <row r="1536" spans="1:23" s="23" customFormat="1" ht="14.25" hidden="1" x14ac:dyDescent="0.2">
      <c r="A1536" s="381" t="s">
        <v>5055</v>
      </c>
      <c r="B1536" s="381" t="s">
        <v>324</v>
      </c>
      <c r="C1536" s="415" t="s">
        <v>5430</v>
      </c>
      <c r="D1536" s="381" t="s">
        <v>5431</v>
      </c>
      <c r="E1536" s="383" t="s">
        <v>5432</v>
      </c>
      <c r="F1536" s="381" t="s">
        <v>5433</v>
      </c>
      <c r="G1536" s="384" t="s">
        <v>329</v>
      </c>
      <c r="H1536" s="24">
        <f>85.14+115.51+51.87</f>
        <v>252.52</v>
      </c>
      <c r="I1536" s="24"/>
      <c r="J1536" s="25" t="str">
        <f t="shared" si="73"/>
        <v>1</v>
      </c>
      <c r="K1536" s="385"/>
      <c r="L1536" s="385"/>
      <c r="M1536" s="386">
        <f t="shared" si="72"/>
        <v>252.52</v>
      </c>
      <c r="N1536" s="496">
        <v>345</v>
      </c>
      <c r="O1536" s="333">
        <f t="shared" si="71"/>
        <v>597.52</v>
      </c>
      <c r="R1536" s="23" t="str">
        <f>VLOOKUP(C:C,'Historic Data - working'!A:B,1,FALSE)</f>
        <v>SHR107</v>
      </c>
      <c r="U1536" s="323"/>
      <c r="V1536" s="323"/>
      <c r="W1536" s="323"/>
    </row>
    <row r="1537" spans="1:23" s="23" customFormat="1" ht="14.25" hidden="1" x14ac:dyDescent="0.2">
      <c r="A1537" s="381" t="s">
        <v>5055</v>
      </c>
      <c r="B1537" s="381" t="s">
        <v>324</v>
      </c>
      <c r="C1537" s="415" t="s">
        <v>5434</v>
      </c>
      <c r="D1537" s="381" t="s">
        <v>5435</v>
      </c>
      <c r="E1537" s="383" t="s">
        <v>5436</v>
      </c>
      <c r="F1537" s="381" t="s">
        <v>5437</v>
      </c>
      <c r="G1537" s="384" t="s">
        <v>329</v>
      </c>
      <c r="H1537" s="24">
        <v>1311.14</v>
      </c>
      <c r="I1537" s="24"/>
      <c r="J1537" s="25" t="str">
        <f t="shared" si="73"/>
        <v>1</v>
      </c>
      <c r="K1537" s="387" t="s">
        <v>5438</v>
      </c>
      <c r="L1537" s="385">
        <v>2.71</v>
      </c>
      <c r="M1537" s="386">
        <f t="shared" si="72"/>
        <v>1313.8500000000001</v>
      </c>
      <c r="N1537" s="496">
        <v>1985</v>
      </c>
      <c r="O1537" s="333">
        <f t="shared" si="71"/>
        <v>3298.8500000000004</v>
      </c>
      <c r="R1537" s="23" t="str">
        <f>VLOOKUP(C:C,'Historic Data - working'!A:B,1,FALSE)</f>
        <v>SHR108</v>
      </c>
      <c r="U1537" s="323"/>
      <c r="V1537" s="323"/>
      <c r="W1537" s="323"/>
    </row>
    <row r="1538" spans="1:23" s="23" customFormat="1" ht="14.25" hidden="1" x14ac:dyDescent="0.2">
      <c r="A1538" s="381" t="s">
        <v>5055</v>
      </c>
      <c r="B1538" s="381" t="s">
        <v>324</v>
      </c>
      <c r="C1538" s="415" t="s">
        <v>5439</v>
      </c>
      <c r="D1538" s="381" t="s">
        <v>5440</v>
      </c>
      <c r="E1538" s="383" t="s">
        <v>1284</v>
      </c>
      <c r="F1538" s="381" t="s">
        <v>5441</v>
      </c>
      <c r="G1538" s="384" t="s">
        <v>329</v>
      </c>
      <c r="H1538" s="24">
        <f>15.08+308.3+25</f>
        <v>348.38</v>
      </c>
      <c r="I1538" s="24"/>
      <c r="J1538" s="25" t="str">
        <f t="shared" si="73"/>
        <v>1</v>
      </c>
      <c r="K1538" s="385"/>
      <c r="L1538" s="385"/>
      <c r="M1538" s="386">
        <f t="shared" si="72"/>
        <v>348.38</v>
      </c>
      <c r="N1538" s="496">
        <v>370</v>
      </c>
      <c r="O1538" s="333">
        <f t="shared" ref="O1538:O1601" si="74">M1538+N1538</f>
        <v>718.38</v>
      </c>
      <c r="R1538" s="23" t="str">
        <f>VLOOKUP(C:C,'Historic Data - working'!A:B,1,FALSE)</f>
        <v>SHR109</v>
      </c>
      <c r="U1538" s="323"/>
      <c r="V1538" s="323"/>
      <c r="W1538" s="323"/>
    </row>
    <row r="1539" spans="1:23" s="23" customFormat="1" ht="14.25" hidden="1" x14ac:dyDescent="0.2">
      <c r="A1539" s="381" t="s">
        <v>5055</v>
      </c>
      <c r="B1539" s="381" t="s">
        <v>324</v>
      </c>
      <c r="C1539" s="415" t="s">
        <v>5442</v>
      </c>
      <c r="D1539" s="381" t="s">
        <v>5443</v>
      </c>
      <c r="E1539" s="383" t="s">
        <v>5444</v>
      </c>
      <c r="F1539" s="381" t="s">
        <v>5445</v>
      </c>
      <c r="G1539" s="384"/>
      <c r="H1539" s="24"/>
      <c r="I1539" s="24"/>
      <c r="J1539" s="25" t="str">
        <f t="shared" si="73"/>
        <v xml:space="preserve"> </v>
      </c>
      <c r="K1539" s="385"/>
      <c r="L1539" s="385"/>
      <c r="M1539" s="386">
        <f t="shared" ref="M1539:M1602" si="75">H1539+L1539</f>
        <v>0</v>
      </c>
      <c r="N1539" s="496"/>
      <c r="O1539" s="333">
        <f t="shared" si="74"/>
        <v>0</v>
      </c>
      <c r="R1539" s="23" t="e">
        <f>VLOOKUP(C:C,'Historic Data - working'!A:B,1,FALSE)</f>
        <v>#N/A</v>
      </c>
      <c r="U1539" s="323"/>
      <c r="V1539" s="323"/>
      <c r="W1539" s="323"/>
    </row>
    <row r="1540" spans="1:23" s="23" customFormat="1" ht="14.25" hidden="1" x14ac:dyDescent="0.2">
      <c r="A1540" s="381" t="s">
        <v>5055</v>
      </c>
      <c r="B1540" s="381" t="s">
        <v>324</v>
      </c>
      <c r="C1540" s="415" t="s">
        <v>5446</v>
      </c>
      <c r="D1540" s="381" t="s">
        <v>5447</v>
      </c>
      <c r="E1540" s="383" t="s">
        <v>5448</v>
      </c>
      <c r="F1540" s="381" t="s">
        <v>5449</v>
      </c>
      <c r="G1540" s="384" t="s">
        <v>329</v>
      </c>
      <c r="H1540" s="24">
        <v>154.15</v>
      </c>
      <c r="I1540" s="24"/>
      <c r="J1540" s="25" t="str">
        <f t="shared" si="73"/>
        <v>1</v>
      </c>
      <c r="K1540" s="385"/>
      <c r="L1540" s="385"/>
      <c r="M1540" s="386">
        <f t="shared" si="75"/>
        <v>154.15</v>
      </c>
      <c r="N1540" s="496">
        <v>55</v>
      </c>
      <c r="O1540" s="333">
        <f t="shared" si="74"/>
        <v>209.15</v>
      </c>
      <c r="R1540" s="23" t="str">
        <f>VLOOKUP(C:C,'Historic Data - working'!A:B,1,FALSE)</f>
        <v>SHR110</v>
      </c>
      <c r="U1540" s="323"/>
      <c r="V1540" s="323"/>
      <c r="W1540" s="323"/>
    </row>
    <row r="1541" spans="1:23" s="23" customFormat="1" ht="14.25" hidden="1" x14ac:dyDescent="0.2">
      <c r="A1541" s="381" t="s">
        <v>5055</v>
      </c>
      <c r="B1541" s="381" t="s">
        <v>324</v>
      </c>
      <c r="C1541" s="415" t="s">
        <v>5450</v>
      </c>
      <c r="D1541" s="381" t="s">
        <v>5451</v>
      </c>
      <c r="E1541" s="383" t="s">
        <v>5452</v>
      </c>
      <c r="F1541" s="381" t="s">
        <v>5453</v>
      </c>
      <c r="G1541" s="384" t="s">
        <v>329</v>
      </c>
      <c r="H1541" s="24">
        <f>8.95+18.85+36.09+71.3</f>
        <v>135.19</v>
      </c>
      <c r="I1541" s="24"/>
      <c r="J1541" s="25" t="str">
        <f t="shared" si="73"/>
        <v>1</v>
      </c>
      <c r="K1541" s="385"/>
      <c r="L1541" s="385"/>
      <c r="M1541" s="386">
        <f t="shared" si="75"/>
        <v>135.19</v>
      </c>
      <c r="N1541" s="496">
        <v>465</v>
      </c>
      <c r="O1541" s="333">
        <f t="shared" si="74"/>
        <v>600.19000000000005</v>
      </c>
      <c r="R1541" s="23" t="str">
        <f>VLOOKUP(C:C,'Historic Data - working'!A:B,1,FALSE)</f>
        <v>SHR111</v>
      </c>
      <c r="U1541" s="323"/>
      <c r="V1541" s="323"/>
      <c r="W1541" s="323"/>
    </row>
    <row r="1542" spans="1:23" s="23" customFormat="1" ht="14.25" hidden="1" x14ac:dyDescent="0.2">
      <c r="A1542" s="381" t="s">
        <v>5055</v>
      </c>
      <c r="B1542" s="381" t="s">
        <v>324</v>
      </c>
      <c r="C1542" s="415" t="s">
        <v>5454</v>
      </c>
      <c r="D1542" s="381" t="s">
        <v>5455</v>
      </c>
      <c r="E1542" s="383" t="s">
        <v>532</v>
      </c>
      <c r="F1542" s="381" t="s">
        <v>5456</v>
      </c>
      <c r="G1542" s="384" t="s">
        <v>329</v>
      </c>
      <c r="H1542" s="24">
        <f>2.58+80.33+27.63+9.63+14.82+6.91+38.83+40.45+23.81+29.21+39.41+67.38+86.78+57.76+132.58+21+32.09+85.56+48.56+14.4+43.76+41.88</f>
        <v>945.3599999999999</v>
      </c>
      <c r="I1542" s="24"/>
      <c r="J1542" s="25" t="str">
        <f t="shared" si="73"/>
        <v>1</v>
      </c>
      <c r="K1542" s="387" t="s">
        <v>5457</v>
      </c>
      <c r="L1542" s="385">
        <v>169.71</v>
      </c>
      <c r="M1542" s="386">
        <f t="shared" si="75"/>
        <v>1115.07</v>
      </c>
      <c r="N1542" s="496">
        <v>751</v>
      </c>
      <c r="O1542" s="333">
        <f t="shared" si="74"/>
        <v>1866.07</v>
      </c>
      <c r="R1542" s="23" t="str">
        <f>VLOOKUP(C:C,'Historic Data - working'!A:B,1,FALSE)</f>
        <v>SHR112</v>
      </c>
      <c r="U1542" s="323"/>
      <c r="V1542" s="323"/>
      <c r="W1542" s="323"/>
    </row>
    <row r="1543" spans="1:23" s="23" customFormat="1" ht="14.25" hidden="1" x14ac:dyDescent="0.2">
      <c r="A1543" s="381" t="s">
        <v>5055</v>
      </c>
      <c r="B1543" s="381" t="s">
        <v>324</v>
      </c>
      <c r="C1543" s="415" t="s">
        <v>5458</v>
      </c>
      <c r="D1543" s="381" t="s">
        <v>5459</v>
      </c>
      <c r="E1543" s="383" t="s">
        <v>5460</v>
      </c>
      <c r="F1543" s="381" t="s">
        <v>5461</v>
      </c>
      <c r="G1543" s="384" t="s">
        <v>329</v>
      </c>
      <c r="H1543" s="24">
        <v>833.56</v>
      </c>
      <c r="I1543" s="24"/>
      <c r="J1543" s="25" t="str">
        <f t="shared" si="73"/>
        <v>1</v>
      </c>
      <c r="K1543" s="388"/>
      <c r="L1543" s="385"/>
      <c r="M1543" s="386">
        <f t="shared" si="75"/>
        <v>833.56</v>
      </c>
      <c r="N1543" s="496">
        <v>105</v>
      </c>
      <c r="O1543" s="333">
        <f t="shared" si="74"/>
        <v>938.56</v>
      </c>
      <c r="R1543" s="23" t="str">
        <f>VLOOKUP(C:C,'Historic Data - working'!A:B,1,FALSE)</f>
        <v>SHR114</v>
      </c>
      <c r="U1543" s="323"/>
      <c r="V1543" s="323"/>
      <c r="W1543" s="323"/>
    </row>
    <row r="1544" spans="1:23" s="23" customFormat="1" ht="14.25" hidden="1" x14ac:dyDescent="0.2">
      <c r="A1544" s="381" t="s">
        <v>5055</v>
      </c>
      <c r="B1544" s="381" t="s">
        <v>324</v>
      </c>
      <c r="C1544" s="415" t="s">
        <v>5462</v>
      </c>
      <c r="D1544" s="381" t="s">
        <v>5463</v>
      </c>
      <c r="E1544" s="383" t="s">
        <v>5464</v>
      </c>
      <c r="F1544" s="381" t="s">
        <v>5461</v>
      </c>
      <c r="G1544" s="384" t="s">
        <v>329</v>
      </c>
      <c r="H1544" s="24">
        <v>235.64</v>
      </c>
      <c r="I1544" s="24"/>
      <c r="J1544" s="25" t="str">
        <f t="shared" si="73"/>
        <v>1</v>
      </c>
      <c r="K1544" s="385"/>
      <c r="L1544" s="385"/>
      <c r="M1544" s="386">
        <f t="shared" si="75"/>
        <v>235.64</v>
      </c>
      <c r="N1544" s="496"/>
      <c r="O1544" s="333">
        <f t="shared" si="74"/>
        <v>235.64</v>
      </c>
      <c r="R1544" s="23" t="str">
        <f>VLOOKUP(C:C,'Historic Data - working'!A:B,1,FALSE)</f>
        <v>SHR115</v>
      </c>
      <c r="U1544" s="323"/>
      <c r="V1544" s="323"/>
      <c r="W1544" s="323"/>
    </row>
    <row r="1545" spans="1:23" s="23" customFormat="1" ht="14.25" hidden="1" x14ac:dyDescent="0.2">
      <c r="A1545" s="381" t="s">
        <v>5055</v>
      </c>
      <c r="B1545" s="381" t="s">
        <v>324</v>
      </c>
      <c r="C1545" s="415" t="s">
        <v>5465</v>
      </c>
      <c r="D1545" s="381" t="s">
        <v>5466</v>
      </c>
      <c r="E1545" s="383" t="s">
        <v>5467</v>
      </c>
      <c r="F1545" s="381" t="s">
        <v>5461</v>
      </c>
      <c r="G1545" s="384"/>
      <c r="H1545" s="24"/>
      <c r="I1545" s="24"/>
      <c r="J1545" s="25" t="str">
        <f t="shared" si="73"/>
        <v xml:space="preserve"> </v>
      </c>
      <c r="K1545" s="385" t="s">
        <v>337</v>
      </c>
      <c r="L1545" s="385">
        <v>1343.45</v>
      </c>
      <c r="M1545" s="386">
        <f t="shared" si="75"/>
        <v>1343.45</v>
      </c>
      <c r="N1545" s="496">
        <v>60</v>
      </c>
      <c r="O1545" s="333">
        <f t="shared" si="74"/>
        <v>1403.45</v>
      </c>
      <c r="R1545" s="23" t="str">
        <f>VLOOKUP(C:C,'Historic Data - working'!A:B,1,FALSE)</f>
        <v>SHR116</v>
      </c>
      <c r="U1545" s="323"/>
      <c r="V1545" s="323"/>
      <c r="W1545" s="323"/>
    </row>
    <row r="1546" spans="1:23" s="23" customFormat="1" ht="14.25" hidden="1" x14ac:dyDescent="0.2">
      <c r="A1546" s="381" t="s">
        <v>5055</v>
      </c>
      <c r="B1546" s="381" t="s">
        <v>324</v>
      </c>
      <c r="C1546" s="415" t="s">
        <v>5468</v>
      </c>
      <c r="D1546" s="381" t="s">
        <v>5469</v>
      </c>
      <c r="E1546" s="383" t="s">
        <v>5470</v>
      </c>
      <c r="F1546" s="381" t="s">
        <v>5461</v>
      </c>
      <c r="G1546" s="384" t="s">
        <v>329</v>
      </c>
      <c r="H1546" s="24">
        <f>229+163.73+280+78.65</f>
        <v>751.38</v>
      </c>
      <c r="I1546" s="24"/>
      <c r="J1546" s="25" t="str">
        <f t="shared" si="73"/>
        <v>1</v>
      </c>
      <c r="K1546" s="385"/>
      <c r="L1546" s="385"/>
      <c r="M1546" s="386">
        <f t="shared" si="75"/>
        <v>751.38</v>
      </c>
      <c r="N1546" s="496">
        <v>100</v>
      </c>
      <c r="O1546" s="333">
        <f t="shared" si="74"/>
        <v>851.38</v>
      </c>
      <c r="R1546" s="23" t="str">
        <f>VLOOKUP(C:C,'Historic Data - working'!A:B,1,FALSE)</f>
        <v>SHR117</v>
      </c>
      <c r="U1546" s="323"/>
      <c r="V1546" s="323"/>
      <c r="W1546" s="323"/>
    </row>
    <row r="1547" spans="1:23" s="23" customFormat="1" ht="14.25" hidden="1" x14ac:dyDescent="0.2">
      <c r="A1547" s="381" t="s">
        <v>5055</v>
      </c>
      <c r="B1547" s="381" t="s">
        <v>324</v>
      </c>
      <c r="C1547" s="415" t="s">
        <v>5471</v>
      </c>
      <c r="D1547" s="381" t="s">
        <v>5472</v>
      </c>
      <c r="E1547" s="383" t="s">
        <v>5473</v>
      </c>
      <c r="F1547" s="381" t="s">
        <v>5461</v>
      </c>
      <c r="G1547" s="384" t="s">
        <v>329</v>
      </c>
      <c r="H1547" s="24">
        <v>529.42999999999995</v>
      </c>
      <c r="I1547" s="24"/>
      <c r="J1547" s="25" t="str">
        <f t="shared" si="73"/>
        <v>1</v>
      </c>
      <c r="K1547" s="385"/>
      <c r="L1547" s="385"/>
      <c r="M1547" s="386">
        <f t="shared" si="75"/>
        <v>529.42999999999995</v>
      </c>
      <c r="N1547" s="496">
        <v>65</v>
      </c>
      <c r="O1547" s="333">
        <f t="shared" si="74"/>
        <v>594.42999999999995</v>
      </c>
      <c r="R1547" s="23" t="str">
        <f>VLOOKUP(C:C,'Historic Data - working'!A:B,1,FALSE)</f>
        <v>SHR118</v>
      </c>
      <c r="U1547" s="323"/>
      <c r="V1547" s="323"/>
      <c r="W1547" s="323"/>
    </row>
    <row r="1548" spans="1:23" s="23" customFormat="1" ht="14.25" hidden="1" x14ac:dyDescent="0.2">
      <c r="A1548" s="381" t="s">
        <v>5055</v>
      </c>
      <c r="B1548" s="381" t="s">
        <v>324</v>
      </c>
      <c r="C1548" s="415" t="s">
        <v>5474</v>
      </c>
      <c r="D1548" s="381" t="s">
        <v>5475</v>
      </c>
      <c r="E1548" s="383" t="s">
        <v>5476</v>
      </c>
      <c r="F1548" s="381" t="s">
        <v>5461</v>
      </c>
      <c r="G1548" s="384" t="s">
        <v>329</v>
      </c>
      <c r="H1548" s="24">
        <f>36+31.5</f>
        <v>67.5</v>
      </c>
      <c r="I1548" s="24"/>
      <c r="J1548" s="25" t="str">
        <f t="shared" si="73"/>
        <v>1</v>
      </c>
      <c r="K1548" s="387" t="s">
        <v>5477</v>
      </c>
      <c r="L1548" s="385">
        <v>0.01</v>
      </c>
      <c r="M1548" s="386">
        <f t="shared" si="75"/>
        <v>67.510000000000005</v>
      </c>
      <c r="N1548" s="496">
        <v>35</v>
      </c>
      <c r="O1548" s="333">
        <f t="shared" si="74"/>
        <v>102.51</v>
      </c>
      <c r="R1548" s="23" t="str">
        <f>VLOOKUP(C:C,'Historic Data - working'!A:B,1,FALSE)</f>
        <v>SHR119</v>
      </c>
      <c r="U1548" s="323"/>
      <c r="V1548" s="323"/>
      <c r="W1548" s="323"/>
    </row>
    <row r="1549" spans="1:23" s="23" customFormat="1" ht="14.25" hidden="1" x14ac:dyDescent="0.2">
      <c r="A1549" s="381" t="s">
        <v>5055</v>
      </c>
      <c r="B1549" s="381" t="s">
        <v>324</v>
      </c>
      <c r="C1549" s="415" t="s">
        <v>5478</v>
      </c>
      <c r="D1549" s="381" t="s">
        <v>5479</v>
      </c>
      <c r="E1549" s="383" t="s">
        <v>5480</v>
      </c>
      <c r="F1549" s="385"/>
      <c r="G1549" s="384"/>
      <c r="H1549" s="24"/>
      <c r="I1549" s="24"/>
      <c r="J1549" s="25" t="str">
        <f t="shared" si="73"/>
        <v xml:space="preserve"> </v>
      </c>
      <c r="K1549" s="385" t="s">
        <v>5481</v>
      </c>
      <c r="L1549" s="396">
        <f>-481.08+420.69</f>
        <v>-60.389999999999986</v>
      </c>
      <c r="M1549" s="386">
        <f t="shared" si="75"/>
        <v>-60.389999999999986</v>
      </c>
      <c r="N1549" s="496">
        <v>10</v>
      </c>
      <c r="O1549" s="334">
        <f t="shared" si="74"/>
        <v>-50.389999999999986</v>
      </c>
      <c r="P1549" s="351"/>
      <c r="Q1549" s="331"/>
      <c r="R1549" s="331" t="e">
        <f>VLOOKUP(C:C,'Historic Data - working'!A:B,1,FALSE)</f>
        <v>#N/A</v>
      </c>
      <c r="S1549" s="23" t="s">
        <v>8170</v>
      </c>
      <c r="U1549" s="323"/>
      <c r="V1549" s="323"/>
      <c r="W1549" s="323"/>
    </row>
    <row r="1550" spans="1:23" s="23" customFormat="1" ht="14.25" hidden="1" x14ac:dyDescent="0.2">
      <c r="A1550" s="381" t="s">
        <v>5482</v>
      </c>
      <c r="B1550" s="381" t="s">
        <v>324</v>
      </c>
      <c r="C1550" s="416" t="s">
        <v>5483</v>
      </c>
      <c r="D1550" s="381" t="s">
        <v>5484</v>
      </c>
      <c r="E1550" s="383" t="s">
        <v>5485</v>
      </c>
      <c r="F1550" s="381" t="s">
        <v>5486</v>
      </c>
      <c r="G1550" s="384"/>
      <c r="H1550" s="24"/>
      <c r="I1550" s="24"/>
      <c r="J1550" s="25" t="str">
        <f t="shared" si="73"/>
        <v xml:space="preserve"> </v>
      </c>
      <c r="K1550" s="385"/>
      <c r="L1550" s="385"/>
      <c r="M1550" s="386">
        <f t="shared" si="75"/>
        <v>0</v>
      </c>
      <c r="N1550" s="496">
        <v>210</v>
      </c>
      <c r="O1550" s="333">
        <f t="shared" si="74"/>
        <v>210</v>
      </c>
      <c r="R1550" s="23" t="str">
        <f>VLOOKUP(C:C,'Historic Data - working'!A:B,1,FALSE)</f>
        <v>SOU001</v>
      </c>
      <c r="U1550" s="323"/>
      <c r="V1550" s="323"/>
      <c r="W1550" s="323"/>
    </row>
    <row r="1551" spans="1:23" s="23" customFormat="1" ht="14.25" hidden="1" x14ac:dyDescent="0.2">
      <c r="A1551" s="381" t="s">
        <v>5482</v>
      </c>
      <c r="B1551" s="381" t="s">
        <v>324</v>
      </c>
      <c r="C1551" s="416" t="s">
        <v>5487</v>
      </c>
      <c r="D1551" s="381" t="s">
        <v>5488</v>
      </c>
      <c r="E1551" s="383" t="s">
        <v>2754</v>
      </c>
      <c r="F1551" s="381" t="s">
        <v>5489</v>
      </c>
      <c r="G1551" s="384"/>
      <c r="H1551" s="24"/>
      <c r="I1551" s="24"/>
      <c r="J1551" s="25" t="str">
        <f t="shared" si="73"/>
        <v xml:space="preserve"> </v>
      </c>
      <c r="K1551" s="385"/>
      <c r="L1551" s="385"/>
      <c r="M1551" s="386">
        <f t="shared" si="75"/>
        <v>0</v>
      </c>
      <c r="N1551" s="496">
        <v>140</v>
      </c>
      <c r="O1551" s="333">
        <f t="shared" si="74"/>
        <v>140</v>
      </c>
      <c r="R1551" s="23" t="str">
        <f>VLOOKUP(C:C,'Historic Data - working'!A:B,1,FALSE)</f>
        <v>SOU002</v>
      </c>
      <c r="U1551" s="323"/>
      <c r="V1551" s="323"/>
      <c r="W1551" s="323"/>
    </row>
    <row r="1552" spans="1:23" s="23" customFormat="1" ht="14.25" hidden="1" x14ac:dyDescent="0.2">
      <c r="A1552" s="381" t="s">
        <v>5482</v>
      </c>
      <c r="B1552" s="381" t="s">
        <v>324</v>
      </c>
      <c r="C1552" s="416" t="s">
        <v>5490</v>
      </c>
      <c r="D1552" s="381" t="s">
        <v>5491</v>
      </c>
      <c r="E1552" s="383" t="s">
        <v>2578</v>
      </c>
      <c r="F1552" s="381" t="s">
        <v>5492</v>
      </c>
      <c r="G1552" s="384"/>
      <c r="H1552" s="24"/>
      <c r="I1552" s="24"/>
      <c r="J1552" s="25" t="str">
        <f t="shared" si="73"/>
        <v xml:space="preserve"> </v>
      </c>
      <c r="K1552" s="385"/>
      <c r="L1552" s="385"/>
      <c r="M1552" s="386">
        <f t="shared" si="75"/>
        <v>0</v>
      </c>
      <c r="N1552" s="496"/>
      <c r="O1552" s="333">
        <f t="shared" si="74"/>
        <v>0</v>
      </c>
      <c r="R1552" s="23" t="e">
        <f>VLOOKUP(C:C,'Historic Data - working'!A:B,1,FALSE)</f>
        <v>#N/A</v>
      </c>
      <c r="U1552" s="323"/>
      <c r="V1552" s="323"/>
      <c r="W1552" s="323"/>
    </row>
    <row r="1553" spans="1:23" s="23" customFormat="1" ht="14.25" hidden="1" x14ac:dyDescent="0.2">
      <c r="A1553" s="381" t="s">
        <v>5482</v>
      </c>
      <c r="B1553" s="381" t="s">
        <v>324</v>
      </c>
      <c r="C1553" s="416" t="s">
        <v>5493</v>
      </c>
      <c r="D1553" s="381" t="s">
        <v>5494</v>
      </c>
      <c r="E1553" s="383" t="s">
        <v>3420</v>
      </c>
      <c r="F1553" s="381" t="s">
        <v>5489</v>
      </c>
      <c r="G1553" s="384" t="s">
        <v>329</v>
      </c>
      <c r="H1553" s="24">
        <f>247.86+398.82+286.02+361.15</f>
        <v>1293.8499999999999</v>
      </c>
      <c r="I1553" s="24"/>
      <c r="J1553" s="25" t="str">
        <f t="shared" si="73"/>
        <v>1</v>
      </c>
      <c r="K1553" s="385"/>
      <c r="L1553" s="385"/>
      <c r="M1553" s="386">
        <f t="shared" si="75"/>
        <v>1293.8499999999999</v>
      </c>
      <c r="N1553" s="496">
        <v>240</v>
      </c>
      <c r="O1553" s="333">
        <f t="shared" si="74"/>
        <v>1533.85</v>
      </c>
      <c r="R1553" s="23" t="str">
        <f>VLOOKUP(C:C,'Historic Data - working'!A:B,1,FALSE)</f>
        <v>SOU002X</v>
      </c>
      <c r="U1553" s="323"/>
      <c r="V1553" s="323"/>
      <c r="W1553" s="323"/>
    </row>
    <row r="1554" spans="1:23" s="23" customFormat="1" ht="14.25" hidden="1" x14ac:dyDescent="0.2">
      <c r="A1554" s="381" t="s">
        <v>5482</v>
      </c>
      <c r="B1554" s="381" t="s">
        <v>324</v>
      </c>
      <c r="C1554" s="416" t="s">
        <v>5495</v>
      </c>
      <c r="D1554" s="381" t="s">
        <v>5496</v>
      </c>
      <c r="E1554" s="383" t="s">
        <v>3215</v>
      </c>
      <c r="F1554" s="381" t="s">
        <v>5497</v>
      </c>
      <c r="G1554" s="384" t="s">
        <v>329</v>
      </c>
      <c r="H1554" s="24">
        <f>174.33+119.8+160.19+82.86+32.61+33.71+155.53+75.34+56.33+51.75+64.33+120+16.75+59+63.52+365.89+130.14+188.5</f>
        <v>1950.58</v>
      </c>
      <c r="I1554" s="24"/>
      <c r="J1554" s="25" t="str">
        <f t="shared" si="73"/>
        <v>1</v>
      </c>
      <c r="K1554" s="387" t="s">
        <v>5498</v>
      </c>
      <c r="L1554" s="385">
        <v>-64.099999999999994</v>
      </c>
      <c r="M1554" s="386">
        <f t="shared" si="75"/>
        <v>1886.48</v>
      </c>
      <c r="N1554" s="496">
        <v>325</v>
      </c>
      <c r="O1554" s="333">
        <f t="shared" si="74"/>
        <v>2211.48</v>
      </c>
      <c r="R1554" s="23" t="str">
        <f>VLOOKUP(C:C,'Historic Data - working'!A:B,1,FALSE)</f>
        <v>SOU003</v>
      </c>
      <c r="U1554" s="323"/>
      <c r="V1554" s="323"/>
      <c r="W1554" s="323"/>
    </row>
    <row r="1555" spans="1:23" s="23" customFormat="1" ht="14.25" hidden="1" x14ac:dyDescent="0.2">
      <c r="A1555" s="381" t="s">
        <v>5482</v>
      </c>
      <c r="B1555" s="381" t="s">
        <v>324</v>
      </c>
      <c r="C1555" s="416" t="s">
        <v>5499</v>
      </c>
      <c r="D1555" s="381" t="s">
        <v>5500</v>
      </c>
      <c r="E1555" s="383" t="s">
        <v>709</v>
      </c>
      <c r="F1555" s="381" t="s">
        <v>5501</v>
      </c>
      <c r="G1555" s="384" t="s">
        <v>329</v>
      </c>
      <c r="H1555" s="24"/>
      <c r="I1555" s="24">
        <f>603+558.59</f>
        <v>1161.5900000000001</v>
      </c>
      <c r="J1555" s="25" t="str">
        <f t="shared" si="73"/>
        <v>1</v>
      </c>
      <c r="K1555" s="385"/>
      <c r="L1555" s="385"/>
      <c r="M1555" s="386">
        <f t="shared" si="75"/>
        <v>0</v>
      </c>
      <c r="N1555" s="496">
        <v>2229.6000000000004</v>
      </c>
      <c r="O1555" s="333">
        <f t="shared" si="74"/>
        <v>2229.6000000000004</v>
      </c>
      <c r="R1555" s="23" t="str">
        <f>VLOOKUP(C:C,'Historic Data - working'!A:B,1,FALSE)</f>
        <v>SOU004</v>
      </c>
      <c r="U1555" s="323"/>
      <c r="V1555" s="323"/>
      <c r="W1555" s="323"/>
    </row>
    <row r="1556" spans="1:23" s="23" customFormat="1" ht="14.25" hidden="1" x14ac:dyDescent="0.2">
      <c r="A1556" s="381" t="s">
        <v>5482</v>
      </c>
      <c r="B1556" s="381" t="s">
        <v>324</v>
      </c>
      <c r="C1556" s="416" t="s">
        <v>5502</v>
      </c>
      <c r="D1556" s="381" t="s">
        <v>5503</v>
      </c>
      <c r="E1556" s="383" t="s">
        <v>5504</v>
      </c>
      <c r="F1556" s="381" t="s">
        <v>5505</v>
      </c>
      <c r="G1556" s="384"/>
      <c r="H1556" s="24"/>
      <c r="I1556" s="24"/>
      <c r="J1556" s="25" t="str">
        <f t="shared" si="73"/>
        <v xml:space="preserve"> </v>
      </c>
      <c r="K1556" s="385" t="s">
        <v>337</v>
      </c>
      <c r="L1556" s="385">
        <v>641.80999999999995</v>
      </c>
      <c r="M1556" s="386">
        <f t="shared" si="75"/>
        <v>641.80999999999995</v>
      </c>
      <c r="N1556" s="496">
        <v>420</v>
      </c>
      <c r="O1556" s="333">
        <f t="shared" si="74"/>
        <v>1061.81</v>
      </c>
      <c r="R1556" s="23" t="str">
        <f>VLOOKUP(C:C,'Historic Data - working'!A:B,1,FALSE)</f>
        <v>SOU005</v>
      </c>
      <c r="U1556" s="323"/>
      <c r="V1556" s="323"/>
      <c r="W1556" s="323"/>
    </row>
    <row r="1557" spans="1:23" s="23" customFormat="1" ht="14.25" hidden="1" x14ac:dyDescent="0.2">
      <c r="A1557" s="381" t="s">
        <v>5482</v>
      </c>
      <c r="B1557" s="381" t="s">
        <v>324</v>
      </c>
      <c r="C1557" s="416" t="s">
        <v>5506</v>
      </c>
      <c r="D1557" s="381" t="s">
        <v>5507</v>
      </c>
      <c r="E1557" s="383" t="s">
        <v>5508</v>
      </c>
      <c r="F1557" s="381" t="s">
        <v>5509</v>
      </c>
      <c r="G1557" s="384"/>
      <c r="H1557" s="24"/>
      <c r="I1557" s="24"/>
      <c r="J1557" s="25" t="str">
        <f t="shared" si="73"/>
        <v xml:space="preserve"> </v>
      </c>
      <c r="K1557" s="385"/>
      <c r="L1557" s="385"/>
      <c r="M1557" s="386">
        <f t="shared" si="75"/>
        <v>0</v>
      </c>
      <c r="N1557" s="496"/>
      <c r="O1557" s="333">
        <f t="shared" si="74"/>
        <v>0</v>
      </c>
      <c r="R1557" s="23" t="e">
        <f>VLOOKUP(C:C,'Historic Data - working'!A:B,1,FALSE)</f>
        <v>#N/A</v>
      </c>
      <c r="U1557" s="323"/>
      <c r="V1557" s="323"/>
      <c r="W1557" s="323"/>
    </row>
    <row r="1558" spans="1:23" s="23" customFormat="1" ht="14.25" hidden="1" x14ac:dyDescent="0.2">
      <c r="A1558" s="381" t="s">
        <v>5482</v>
      </c>
      <c r="B1558" s="381" t="s">
        <v>324</v>
      </c>
      <c r="C1558" s="416" t="s">
        <v>5510</v>
      </c>
      <c r="D1558" s="381" t="s">
        <v>5511</v>
      </c>
      <c r="E1558" s="383" t="s">
        <v>5512</v>
      </c>
      <c r="F1558" s="381" t="s">
        <v>5513</v>
      </c>
      <c r="G1558" s="384" t="s">
        <v>329</v>
      </c>
      <c r="H1558" s="24">
        <f>145.5+159.58</f>
        <v>305.08000000000004</v>
      </c>
      <c r="I1558" s="24"/>
      <c r="J1558" s="25" t="str">
        <f t="shared" si="73"/>
        <v>1</v>
      </c>
      <c r="K1558" s="387" t="s">
        <v>5514</v>
      </c>
      <c r="L1558" s="385">
        <v>215.54</v>
      </c>
      <c r="M1558" s="386">
        <f t="shared" si="75"/>
        <v>520.62</v>
      </c>
      <c r="N1558" s="496">
        <v>10</v>
      </c>
      <c r="O1558" s="333">
        <f t="shared" si="74"/>
        <v>530.62</v>
      </c>
      <c r="R1558" s="23" t="str">
        <f>VLOOKUP(C:C,'Historic Data - working'!A:B,1,FALSE)</f>
        <v>SOU005X</v>
      </c>
      <c r="U1558" s="323"/>
      <c r="V1558" s="323"/>
      <c r="W1558" s="323"/>
    </row>
    <row r="1559" spans="1:23" s="23" customFormat="1" ht="14.25" hidden="1" x14ac:dyDescent="0.2">
      <c r="A1559" s="381" t="s">
        <v>5482</v>
      </c>
      <c r="B1559" s="381" t="s">
        <v>324</v>
      </c>
      <c r="C1559" s="416" t="s">
        <v>5515</v>
      </c>
      <c r="D1559" s="381" t="s">
        <v>5516</v>
      </c>
      <c r="E1559" s="383" t="s">
        <v>5517</v>
      </c>
      <c r="F1559" s="381" t="s">
        <v>5518</v>
      </c>
      <c r="G1559" s="384" t="s">
        <v>329</v>
      </c>
      <c r="H1559" s="24">
        <v>136.1</v>
      </c>
      <c r="I1559" s="24">
        <v>34</v>
      </c>
      <c r="J1559" s="25" t="str">
        <f t="shared" si="73"/>
        <v>1</v>
      </c>
      <c r="K1559" s="387" t="s">
        <v>5519</v>
      </c>
      <c r="L1559" s="385">
        <v>248</v>
      </c>
      <c r="M1559" s="386">
        <f t="shared" si="75"/>
        <v>384.1</v>
      </c>
      <c r="N1559" s="496">
        <v>85</v>
      </c>
      <c r="O1559" s="333">
        <f t="shared" si="74"/>
        <v>469.1</v>
      </c>
      <c r="R1559" s="23" t="str">
        <f>VLOOKUP(C:C,'Historic Data - working'!A:B,1,FALSE)</f>
        <v>SOU006</v>
      </c>
      <c r="U1559" s="323"/>
      <c r="V1559" s="323"/>
      <c r="W1559" s="323"/>
    </row>
    <row r="1560" spans="1:23" s="23" customFormat="1" ht="28.5" hidden="1" x14ac:dyDescent="0.2">
      <c r="A1560" s="381" t="s">
        <v>5482</v>
      </c>
      <c r="B1560" s="381" t="s">
        <v>324</v>
      </c>
      <c r="C1560" s="416" t="s">
        <v>5520</v>
      </c>
      <c r="D1560" s="381" t="s">
        <v>5521</v>
      </c>
      <c r="E1560" s="383" t="s">
        <v>5522</v>
      </c>
      <c r="F1560" s="381" t="s">
        <v>5523</v>
      </c>
      <c r="G1560" s="384"/>
      <c r="H1560" s="24"/>
      <c r="I1560" s="24"/>
      <c r="J1560" s="25" t="str">
        <f t="shared" si="73"/>
        <v xml:space="preserve"> </v>
      </c>
      <c r="K1560" s="385"/>
      <c r="L1560" s="385"/>
      <c r="M1560" s="386">
        <f t="shared" si="75"/>
        <v>0</v>
      </c>
      <c r="N1560" s="496"/>
      <c r="O1560" s="333">
        <f t="shared" si="74"/>
        <v>0</v>
      </c>
      <c r="R1560" s="23" t="e">
        <f>VLOOKUP(C:C,'Historic Data - working'!A:B,1,FALSE)</f>
        <v>#N/A</v>
      </c>
      <c r="U1560" s="323"/>
      <c r="V1560" s="323"/>
      <c r="W1560" s="323"/>
    </row>
    <row r="1561" spans="1:23" s="23" customFormat="1" ht="28.5" hidden="1" x14ac:dyDescent="0.2">
      <c r="A1561" s="381" t="s">
        <v>5482</v>
      </c>
      <c r="B1561" s="381" t="s">
        <v>324</v>
      </c>
      <c r="C1561" s="416" t="s">
        <v>5524</v>
      </c>
      <c r="D1561" s="381" t="s">
        <v>5525</v>
      </c>
      <c r="E1561" s="383" t="s">
        <v>5526</v>
      </c>
      <c r="F1561" s="381" t="s">
        <v>5527</v>
      </c>
      <c r="G1561" s="384"/>
      <c r="H1561" s="24"/>
      <c r="I1561" s="24"/>
      <c r="J1561" s="25" t="str">
        <f t="shared" si="73"/>
        <v xml:space="preserve"> </v>
      </c>
      <c r="K1561" s="385"/>
      <c r="L1561" s="385"/>
      <c r="M1561" s="386">
        <f t="shared" si="75"/>
        <v>0</v>
      </c>
      <c r="N1561" s="496"/>
      <c r="O1561" s="333">
        <f t="shared" si="74"/>
        <v>0</v>
      </c>
      <c r="R1561" s="23" t="e">
        <f>VLOOKUP(C:C,'Historic Data - working'!A:B,1,FALSE)</f>
        <v>#N/A</v>
      </c>
      <c r="U1561" s="323"/>
      <c r="V1561" s="323"/>
      <c r="W1561" s="323"/>
    </row>
    <row r="1562" spans="1:23" s="23" customFormat="1" ht="14.25" hidden="1" x14ac:dyDescent="0.2">
      <c r="A1562" s="381" t="s">
        <v>5482</v>
      </c>
      <c r="B1562" s="381" t="s">
        <v>324</v>
      </c>
      <c r="C1562" s="416" t="s">
        <v>5528</v>
      </c>
      <c r="D1562" s="381" t="s">
        <v>5529</v>
      </c>
      <c r="E1562" s="383" t="s">
        <v>5530</v>
      </c>
      <c r="F1562" s="381" t="s">
        <v>5531</v>
      </c>
      <c r="G1562" s="384" t="s">
        <v>329</v>
      </c>
      <c r="H1562" s="24">
        <v>2595</v>
      </c>
      <c r="I1562" s="24"/>
      <c r="J1562" s="25" t="str">
        <f t="shared" si="73"/>
        <v>1</v>
      </c>
      <c r="K1562" s="385"/>
      <c r="L1562" s="385"/>
      <c r="M1562" s="386">
        <f t="shared" si="75"/>
        <v>2595</v>
      </c>
      <c r="N1562" s="496">
        <v>770</v>
      </c>
      <c r="O1562" s="333">
        <f t="shared" si="74"/>
        <v>3365</v>
      </c>
      <c r="R1562" s="23" t="str">
        <f>VLOOKUP(C:C,'Historic Data - working'!A:B,1,FALSE)</f>
        <v>SOU007</v>
      </c>
      <c r="U1562" s="323"/>
      <c r="V1562" s="323"/>
      <c r="W1562" s="323"/>
    </row>
    <row r="1563" spans="1:23" s="23" customFormat="1" ht="14.25" hidden="1" x14ac:dyDescent="0.2">
      <c r="A1563" s="381" t="s">
        <v>5482</v>
      </c>
      <c r="B1563" s="381" t="s">
        <v>324</v>
      </c>
      <c r="C1563" s="416" t="s">
        <v>5532</v>
      </c>
      <c r="D1563" s="381" t="s">
        <v>5533</v>
      </c>
      <c r="E1563" s="383" t="s">
        <v>2824</v>
      </c>
      <c r="F1563" s="381" t="s">
        <v>5534</v>
      </c>
      <c r="G1563" s="384"/>
      <c r="H1563" s="24"/>
      <c r="I1563" s="24"/>
      <c r="J1563" s="25" t="str">
        <f t="shared" si="73"/>
        <v xml:space="preserve"> </v>
      </c>
      <c r="K1563" s="385"/>
      <c r="L1563" s="385"/>
      <c r="M1563" s="386">
        <f t="shared" si="75"/>
        <v>0</v>
      </c>
      <c r="N1563" s="496">
        <v>1954.33</v>
      </c>
      <c r="O1563" s="333">
        <f t="shared" si="74"/>
        <v>1954.33</v>
      </c>
      <c r="R1563" s="23" t="str">
        <f>VLOOKUP(C:C,'Historic Data - working'!A:B,1,FALSE)</f>
        <v>SOU008</v>
      </c>
      <c r="U1563" s="323"/>
      <c r="V1563" s="323"/>
      <c r="W1563" s="323"/>
    </row>
    <row r="1564" spans="1:23" s="23" customFormat="1" ht="14.25" hidden="1" x14ac:dyDescent="0.2">
      <c r="A1564" s="381" t="s">
        <v>5482</v>
      </c>
      <c r="B1564" s="381" t="s">
        <v>324</v>
      </c>
      <c r="C1564" s="416" t="s">
        <v>5535</v>
      </c>
      <c r="D1564" s="381" t="s">
        <v>5536</v>
      </c>
      <c r="E1564" s="383" t="s">
        <v>5537</v>
      </c>
      <c r="F1564" s="381" t="s">
        <v>5538</v>
      </c>
      <c r="G1564" s="384"/>
      <c r="H1564" s="24"/>
      <c r="I1564" s="24"/>
      <c r="J1564" s="25" t="str">
        <f t="shared" si="73"/>
        <v xml:space="preserve"> </v>
      </c>
      <c r="K1564" s="385"/>
      <c r="L1564" s="385"/>
      <c r="M1564" s="386">
        <f t="shared" si="75"/>
        <v>0</v>
      </c>
      <c r="N1564" s="496">
        <v>10</v>
      </c>
      <c r="O1564" s="333">
        <f t="shared" si="74"/>
        <v>10</v>
      </c>
      <c r="R1564" s="23" t="str">
        <f>VLOOKUP(C:C,'Historic Data - working'!A:B,1,FALSE)</f>
        <v>SOU009</v>
      </c>
      <c r="U1564" s="323"/>
      <c r="V1564" s="323"/>
      <c r="W1564" s="323"/>
    </row>
    <row r="1565" spans="1:23" s="23" customFormat="1" ht="14.25" hidden="1" x14ac:dyDescent="0.2">
      <c r="A1565" s="381" t="s">
        <v>5482</v>
      </c>
      <c r="B1565" s="381" t="s">
        <v>324</v>
      </c>
      <c r="C1565" s="416" t="s">
        <v>5539</v>
      </c>
      <c r="D1565" s="381" t="s">
        <v>5540</v>
      </c>
      <c r="E1565" s="383" t="s">
        <v>47</v>
      </c>
      <c r="F1565" s="381" t="s">
        <v>5541</v>
      </c>
      <c r="G1565" s="384" t="s">
        <v>329</v>
      </c>
      <c r="H1565" s="24">
        <f>210+70+110+40+100+250+255+15</f>
        <v>1050</v>
      </c>
      <c r="I1565" s="24"/>
      <c r="J1565" s="25" t="str">
        <f t="shared" si="73"/>
        <v>1</v>
      </c>
      <c r="K1565" s="385" t="s">
        <v>5542</v>
      </c>
      <c r="L1565" s="385">
        <v>1</v>
      </c>
      <c r="M1565" s="386">
        <f t="shared" si="75"/>
        <v>1051</v>
      </c>
      <c r="N1565" s="496">
        <v>194</v>
      </c>
      <c r="O1565" s="333">
        <f t="shared" si="74"/>
        <v>1245</v>
      </c>
      <c r="R1565" s="23" t="str">
        <f>VLOOKUP(C:C,'Historic Data - working'!A:B,1,FALSE)</f>
        <v>SOU010</v>
      </c>
      <c r="U1565" s="323"/>
      <c r="V1565" s="323"/>
      <c r="W1565" s="323"/>
    </row>
    <row r="1566" spans="1:23" s="23" customFormat="1" ht="14.25" hidden="1" x14ac:dyDescent="0.2">
      <c r="A1566" s="381" t="s">
        <v>5482</v>
      </c>
      <c r="B1566" s="381" t="s">
        <v>324</v>
      </c>
      <c r="C1566" s="416" t="s">
        <v>5543</v>
      </c>
      <c r="D1566" s="381" t="s">
        <v>5544</v>
      </c>
      <c r="E1566" s="383" t="s">
        <v>1065</v>
      </c>
      <c r="F1566" s="381" t="s">
        <v>5545</v>
      </c>
      <c r="G1566" s="384" t="s">
        <v>329</v>
      </c>
      <c r="H1566" s="24">
        <f>84.35+140</f>
        <v>224.35</v>
      </c>
      <c r="I1566" s="24"/>
      <c r="J1566" s="25" t="str">
        <f t="shared" si="73"/>
        <v>1</v>
      </c>
      <c r="K1566" s="385"/>
      <c r="L1566" s="385"/>
      <c r="M1566" s="386">
        <f t="shared" si="75"/>
        <v>224.35</v>
      </c>
      <c r="N1566" s="496">
        <v>126</v>
      </c>
      <c r="O1566" s="333">
        <f t="shared" si="74"/>
        <v>350.35</v>
      </c>
      <c r="R1566" s="23" t="str">
        <f>VLOOKUP(C:C,'Historic Data - working'!A:B,1,FALSE)</f>
        <v>SOU011</v>
      </c>
      <c r="U1566" s="323"/>
      <c r="V1566" s="323"/>
      <c r="W1566" s="323"/>
    </row>
    <row r="1567" spans="1:23" s="23" customFormat="1" ht="14.25" hidden="1" x14ac:dyDescent="0.2">
      <c r="A1567" s="381" t="s">
        <v>5482</v>
      </c>
      <c r="B1567" s="381" t="s">
        <v>324</v>
      </c>
      <c r="C1567" s="416" t="s">
        <v>5546</v>
      </c>
      <c r="D1567" s="381" t="s">
        <v>5547</v>
      </c>
      <c r="E1567" s="383" t="s">
        <v>5548</v>
      </c>
      <c r="F1567" s="381" t="s">
        <v>5549</v>
      </c>
      <c r="G1567" s="384"/>
      <c r="H1567" s="24"/>
      <c r="I1567" s="24"/>
      <c r="J1567" s="25" t="str">
        <f t="shared" si="73"/>
        <v xml:space="preserve"> </v>
      </c>
      <c r="K1567" s="385"/>
      <c r="L1567" s="385"/>
      <c r="M1567" s="386">
        <f t="shared" si="75"/>
        <v>0</v>
      </c>
      <c r="N1567" s="496"/>
      <c r="O1567" s="333">
        <f t="shared" si="74"/>
        <v>0</v>
      </c>
      <c r="R1567" s="23" t="e">
        <f>VLOOKUP(C:C,'Historic Data - working'!A:B,1,FALSE)</f>
        <v>#N/A</v>
      </c>
      <c r="U1567" s="323"/>
      <c r="V1567" s="323"/>
      <c r="W1567" s="323"/>
    </row>
    <row r="1568" spans="1:23" s="23" customFormat="1" ht="14.25" hidden="1" x14ac:dyDescent="0.2">
      <c r="A1568" s="381" t="s">
        <v>5482</v>
      </c>
      <c r="B1568" s="381" t="s">
        <v>324</v>
      </c>
      <c r="C1568" s="416" t="s">
        <v>5550</v>
      </c>
      <c r="D1568" s="381" t="s">
        <v>5551</v>
      </c>
      <c r="E1568" s="383" t="s">
        <v>5552</v>
      </c>
      <c r="F1568" s="381" t="s">
        <v>5553</v>
      </c>
      <c r="G1568" s="384"/>
      <c r="H1568" s="24"/>
      <c r="I1568" s="24"/>
      <c r="J1568" s="25" t="str">
        <f t="shared" si="73"/>
        <v xml:space="preserve"> </v>
      </c>
      <c r="K1568" s="385" t="s">
        <v>337</v>
      </c>
      <c r="L1568" s="385">
        <v>1107.49</v>
      </c>
      <c r="M1568" s="386">
        <f t="shared" si="75"/>
        <v>1107.49</v>
      </c>
      <c r="N1568" s="496">
        <v>306</v>
      </c>
      <c r="O1568" s="333">
        <f t="shared" si="74"/>
        <v>1413.49</v>
      </c>
      <c r="R1568" s="23" t="str">
        <f>VLOOKUP(C:C,'Historic Data - working'!A:B,1,FALSE)</f>
        <v>SOU012</v>
      </c>
      <c r="U1568" s="323"/>
      <c r="V1568" s="323"/>
      <c r="W1568" s="323"/>
    </row>
    <row r="1569" spans="1:23" s="23" customFormat="1" ht="14.25" hidden="1" x14ac:dyDescent="0.2">
      <c r="A1569" s="381" t="s">
        <v>5482</v>
      </c>
      <c r="B1569" s="381" t="s">
        <v>324</v>
      </c>
      <c r="C1569" s="416" t="s">
        <v>5554</v>
      </c>
      <c r="D1569" s="381" t="s">
        <v>5555</v>
      </c>
      <c r="E1569" s="383" t="s">
        <v>5556</v>
      </c>
      <c r="F1569" s="381" t="s">
        <v>5557</v>
      </c>
      <c r="G1569" s="384" t="s">
        <v>329</v>
      </c>
      <c r="H1569" s="24">
        <f>477.25+302.35+386.9</f>
        <v>1166.5</v>
      </c>
      <c r="I1569" s="24"/>
      <c r="J1569" s="25" t="str">
        <f t="shared" si="73"/>
        <v>1</v>
      </c>
      <c r="K1569" s="385"/>
      <c r="L1569" s="385"/>
      <c r="M1569" s="386">
        <f t="shared" si="75"/>
        <v>1166.5</v>
      </c>
      <c r="N1569" s="496">
        <v>210</v>
      </c>
      <c r="O1569" s="333">
        <f t="shared" si="74"/>
        <v>1376.5</v>
      </c>
      <c r="R1569" s="23" t="str">
        <f>VLOOKUP(C:C,'Historic Data - working'!A:B,1,FALSE)</f>
        <v>SOU013</v>
      </c>
      <c r="U1569" s="323"/>
      <c r="V1569" s="323"/>
      <c r="W1569" s="323"/>
    </row>
    <row r="1570" spans="1:23" s="23" customFormat="1" ht="14.25" hidden="1" x14ac:dyDescent="0.2">
      <c r="A1570" s="381" t="s">
        <v>5482</v>
      </c>
      <c r="B1570" s="381" t="s">
        <v>324</v>
      </c>
      <c r="C1570" s="416" t="s">
        <v>5558</v>
      </c>
      <c r="D1570" s="381" t="s">
        <v>5559</v>
      </c>
      <c r="E1570" s="383" t="s">
        <v>4567</v>
      </c>
      <c r="F1570" s="381" t="s">
        <v>5560</v>
      </c>
      <c r="G1570" s="384" t="s">
        <v>329</v>
      </c>
      <c r="H1570" s="24"/>
      <c r="I1570" s="24">
        <v>67.75</v>
      </c>
      <c r="J1570" s="25" t="str">
        <f t="shared" si="73"/>
        <v>1</v>
      </c>
      <c r="K1570" s="385"/>
      <c r="L1570" s="385"/>
      <c r="M1570" s="386">
        <f t="shared" si="75"/>
        <v>0</v>
      </c>
      <c r="N1570" s="496">
        <v>67.95</v>
      </c>
      <c r="O1570" s="333">
        <f t="shared" si="74"/>
        <v>67.95</v>
      </c>
      <c r="R1570" s="23" t="str">
        <f>VLOOKUP(C:C,'Historic Data - working'!A:B,1,FALSE)</f>
        <v>SOU014</v>
      </c>
      <c r="U1570" s="323"/>
      <c r="V1570" s="323"/>
      <c r="W1570" s="323"/>
    </row>
    <row r="1571" spans="1:23" s="23" customFormat="1" ht="14.25" hidden="1" x14ac:dyDescent="0.2">
      <c r="A1571" s="381" t="s">
        <v>5482</v>
      </c>
      <c r="B1571" s="381" t="s">
        <v>324</v>
      </c>
      <c r="C1571" s="416" t="s">
        <v>5561</v>
      </c>
      <c r="D1571" s="381" t="s">
        <v>5562</v>
      </c>
      <c r="E1571" s="383" t="s">
        <v>5563</v>
      </c>
      <c r="F1571" s="381" t="s">
        <v>5564</v>
      </c>
      <c r="G1571" s="384" t="s">
        <v>329</v>
      </c>
      <c r="H1571" s="24"/>
      <c r="I1571" s="24">
        <v>1436.86</v>
      </c>
      <c r="J1571" s="25" t="str">
        <f t="shared" si="73"/>
        <v>1</v>
      </c>
      <c r="K1571" s="385" t="s">
        <v>5565</v>
      </c>
      <c r="L1571" s="385"/>
      <c r="M1571" s="386">
        <f t="shared" si="75"/>
        <v>0</v>
      </c>
      <c r="N1571" s="496">
        <v>1626.8600000000001</v>
      </c>
      <c r="O1571" s="333">
        <f t="shared" si="74"/>
        <v>1626.8600000000001</v>
      </c>
      <c r="R1571" s="23" t="str">
        <f>VLOOKUP(C:C,'Historic Data - working'!A:B,1,FALSE)</f>
        <v>SOU015</v>
      </c>
      <c r="U1571" s="323"/>
      <c r="V1571" s="323"/>
      <c r="W1571" s="323"/>
    </row>
    <row r="1572" spans="1:23" s="23" customFormat="1" ht="14.25" hidden="1" x14ac:dyDescent="0.2">
      <c r="A1572" s="381" t="s">
        <v>5482</v>
      </c>
      <c r="B1572" s="381" t="s">
        <v>324</v>
      </c>
      <c r="C1572" s="416" t="s">
        <v>5566</v>
      </c>
      <c r="D1572" s="381" t="s">
        <v>5567</v>
      </c>
      <c r="E1572" s="383" t="s">
        <v>5568</v>
      </c>
      <c r="F1572" s="381" t="s">
        <v>5560</v>
      </c>
      <c r="G1572" s="384" t="s">
        <v>329</v>
      </c>
      <c r="H1572" s="24"/>
      <c r="I1572" s="24">
        <v>207.89</v>
      </c>
      <c r="J1572" s="25" t="str">
        <f t="shared" si="73"/>
        <v>1</v>
      </c>
      <c r="K1572" s="385" t="s">
        <v>5569</v>
      </c>
      <c r="L1572" s="385"/>
      <c r="M1572" s="386">
        <f t="shared" si="75"/>
        <v>0</v>
      </c>
      <c r="N1572" s="496">
        <v>396.2</v>
      </c>
      <c r="O1572" s="333">
        <f t="shared" si="74"/>
        <v>396.2</v>
      </c>
      <c r="R1572" s="23" t="str">
        <f>VLOOKUP(C:C,'Historic Data - working'!A:B,1,FALSE)</f>
        <v>SOU016</v>
      </c>
      <c r="U1572" s="323"/>
      <c r="V1572" s="323"/>
      <c r="W1572" s="323"/>
    </row>
    <row r="1573" spans="1:23" s="23" customFormat="1" ht="14.25" hidden="1" x14ac:dyDescent="0.2">
      <c r="A1573" s="381" t="s">
        <v>5482</v>
      </c>
      <c r="B1573" s="381" t="s">
        <v>324</v>
      </c>
      <c r="C1573" s="416" t="s">
        <v>5570</v>
      </c>
      <c r="D1573" s="381" t="s">
        <v>5571</v>
      </c>
      <c r="E1573" s="383" t="s">
        <v>989</v>
      </c>
      <c r="F1573" s="381" t="s">
        <v>5572</v>
      </c>
      <c r="G1573" s="384"/>
      <c r="H1573" s="24"/>
      <c r="I1573" s="24"/>
      <c r="J1573" s="25" t="str">
        <f t="shared" si="73"/>
        <v xml:space="preserve"> </v>
      </c>
      <c r="K1573" s="385"/>
      <c r="L1573" s="385"/>
      <c r="M1573" s="386">
        <f t="shared" si="75"/>
        <v>0</v>
      </c>
      <c r="N1573" s="496">
        <v>165</v>
      </c>
      <c r="O1573" s="333">
        <f t="shared" si="74"/>
        <v>165</v>
      </c>
      <c r="R1573" s="23" t="str">
        <f>VLOOKUP(C:C,'Historic Data - working'!A:B,1,FALSE)</f>
        <v>SOU017</v>
      </c>
      <c r="U1573" s="323"/>
      <c r="V1573" s="323"/>
      <c r="W1573" s="323"/>
    </row>
    <row r="1574" spans="1:23" s="23" customFormat="1" ht="14.25" hidden="1" x14ac:dyDescent="0.2">
      <c r="A1574" s="381" t="s">
        <v>5482</v>
      </c>
      <c r="B1574" s="381" t="s">
        <v>324</v>
      </c>
      <c r="C1574" s="416" t="s">
        <v>5573</v>
      </c>
      <c r="D1574" s="381" t="s">
        <v>5574</v>
      </c>
      <c r="E1574" s="383" t="s">
        <v>1180</v>
      </c>
      <c r="F1574" s="381" t="s">
        <v>5575</v>
      </c>
      <c r="G1574" s="384"/>
      <c r="H1574" s="24"/>
      <c r="I1574" s="24"/>
      <c r="J1574" s="25" t="str">
        <f t="shared" si="73"/>
        <v xml:space="preserve"> </v>
      </c>
      <c r="K1574" s="385" t="s">
        <v>337</v>
      </c>
      <c r="L1574" s="385">
        <v>913.2</v>
      </c>
      <c r="M1574" s="386">
        <f t="shared" si="75"/>
        <v>913.2</v>
      </c>
      <c r="N1574" s="496">
        <v>610</v>
      </c>
      <c r="O1574" s="333">
        <f t="shared" si="74"/>
        <v>1523.2</v>
      </c>
      <c r="R1574" s="23" t="str">
        <f>VLOOKUP(C:C,'Historic Data - working'!A:B,1,FALSE)</f>
        <v>SOU018</v>
      </c>
      <c r="U1574" s="323"/>
      <c r="V1574" s="323"/>
      <c r="W1574" s="323"/>
    </row>
    <row r="1575" spans="1:23" s="23" customFormat="1" ht="14.25" hidden="1" x14ac:dyDescent="0.2">
      <c r="A1575" s="381" t="s">
        <v>5482</v>
      </c>
      <c r="B1575" s="381" t="s">
        <v>324</v>
      </c>
      <c r="C1575" s="416" t="s">
        <v>5576</v>
      </c>
      <c r="D1575" s="381" t="s">
        <v>5577</v>
      </c>
      <c r="E1575" s="383" t="s">
        <v>56</v>
      </c>
      <c r="F1575" s="381" t="s">
        <v>5578</v>
      </c>
      <c r="G1575" s="384" t="s">
        <v>329</v>
      </c>
      <c r="H1575" s="24">
        <f>568.48+558.67</f>
        <v>1127.1500000000001</v>
      </c>
      <c r="I1575" s="24"/>
      <c r="J1575" s="25" t="str">
        <f t="shared" si="73"/>
        <v>1</v>
      </c>
      <c r="K1575" s="385"/>
      <c r="L1575" s="385"/>
      <c r="M1575" s="386">
        <f t="shared" si="75"/>
        <v>1127.1500000000001</v>
      </c>
      <c r="N1575" s="496">
        <v>135</v>
      </c>
      <c r="O1575" s="333">
        <f t="shared" si="74"/>
        <v>1262.1500000000001</v>
      </c>
      <c r="R1575" s="23" t="str">
        <f>VLOOKUP(C:C,'Historic Data - working'!A:B,1,FALSE)</f>
        <v>SOU019</v>
      </c>
      <c r="U1575" s="323"/>
      <c r="V1575" s="323"/>
      <c r="W1575" s="323"/>
    </row>
    <row r="1576" spans="1:23" s="23" customFormat="1" ht="14.25" hidden="1" x14ac:dyDescent="0.2">
      <c r="A1576" s="381" t="s">
        <v>5482</v>
      </c>
      <c r="B1576" s="381" t="s">
        <v>324</v>
      </c>
      <c r="C1576" s="416" t="s">
        <v>5579</v>
      </c>
      <c r="D1576" s="381" t="s">
        <v>5580</v>
      </c>
      <c r="E1576" s="383" t="s">
        <v>5581</v>
      </c>
      <c r="F1576" s="381" t="s">
        <v>5582</v>
      </c>
      <c r="G1576" s="384"/>
      <c r="H1576" s="24"/>
      <c r="I1576" s="24"/>
      <c r="J1576" s="25" t="str">
        <f t="shared" si="73"/>
        <v xml:space="preserve"> </v>
      </c>
      <c r="K1576" s="385" t="s">
        <v>337</v>
      </c>
      <c r="L1576" s="385">
        <v>390.72</v>
      </c>
      <c r="M1576" s="386">
        <f t="shared" si="75"/>
        <v>390.72</v>
      </c>
      <c r="N1576" s="496">
        <v>40</v>
      </c>
      <c r="O1576" s="333">
        <f t="shared" si="74"/>
        <v>430.72</v>
      </c>
      <c r="R1576" s="23" t="str">
        <f>VLOOKUP(C:C,'Historic Data - working'!A:B,1,FALSE)</f>
        <v>SOU020</v>
      </c>
      <c r="U1576" s="323"/>
      <c r="V1576" s="323"/>
      <c r="W1576" s="323"/>
    </row>
    <row r="1577" spans="1:23" s="23" customFormat="1" ht="14.25" hidden="1" x14ac:dyDescent="0.2">
      <c r="A1577" s="381" t="s">
        <v>5482</v>
      </c>
      <c r="B1577" s="381" t="s">
        <v>324</v>
      </c>
      <c r="C1577" s="416" t="s">
        <v>5583</v>
      </c>
      <c r="D1577" s="381" t="s">
        <v>5584</v>
      </c>
      <c r="E1577" s="383" t="s">
        <v>5585</v>
      </c>
      <c r="F1577" s="381" t="s">
        <v>5586</v>
      </c>
      <c r="G1577" s="384"/>
      <c r="H1577" s="24"/>
      <c r="I1577" s="24"/>
      <c r="J1577" s="25" t="str">
        <f t="shared" si="73"/>
        <v xml:space="preserve"> </v>
      </c>
      <c r="K1577" s="385"/>
      <c r="L1577" s="385"/>
      <c r="M1577" s="386">
        <f t="shared" si="75"/>
        <v>0</v>
      </c>
      <c r="N1577" s="496"/>
      <c r="O1577" s="333">
        <f t="shared" si="74"/>
        <v>0</v>
      </c>
      <c r="R1577" s="23" t="str">
        <f>VLOOKUP(C:C,'Historic Data - working'!A:B,1,FALSE)</f>
        <v>SOU021</v>
      </c>
      <c r="U1577" s="323"/>
      <c r="V1577" s="323"/>
      <c r="W1577" s="323"/>
    </row>
    <row r="1578" spans="1:23" s="23" customFormat="1" ht="14.25" hidden="1" x14ac:dyDescent="0.2">
      <c r="A1578" s="381" t="s">
        <v>5482</v>
      </c>
      <c r="B1578" s="381" t="s">
        <v>324</v>
      </c>
      <c r="C1578" s="416" t="s">
        <v>5587</v>
      </c>
      <c r="D1578" s="381" t="s">
        <v>5588</v>
      </c>
      <c r="E1578" s="383" t="s">
        <v>5589</v>
      </c>
      <c r="F1578" s="381" t="s">
        <v>5590</v>
      </c>
      <c r="G1578" s="384"/>
      <c r="H1578" s="24"/>
      <c r="I1578" s="24"/>
      <c r="J1578" s="25" t="str">
        <f t="shared" si="73"/>
        <v xml:space="preserve"> </v>
      </c>
      <c r="K1578" s="385"/>
      <c r="L1578" s="385"/>
      <c r="M1578" s="386">
        <f t="shared" si="75"/>
        <v>0</v>
      </c>
      <c r="N1578" s="496"/>
      <c r="O1578" s="333">
        <f t="shared" si="74"/>
        <v>0</v>
      </c>
      <c r="R1578" s="23" t="e">
        <f>VLOOKUP(C:C,'Historic Data - working'!A:B,1,FALSE)</f>
        <v>#N/A</v>
      </c>
      <c r="U1578" s="323"/>
      <c r="V1578" s="323"/>
      <c r="W1578" s="323"/>
    </row>
    <row r="1579" spans="1:23" s="23" customFormat="1" ht="14.25" hidden="1" x14ac:dyDescent="0.2">
      <c r="A1579" s="381" t="s">
        <v>5482</v>
      </c>
      <c r="B1579" s="381" t="s">
        <v>324</v>
      </c>
      <c r="C1579" s="416" t="s">
        <v>5591</v>
      </c>
      <c r="D1579" s="381" t="s">
        <v>5592</v>
      </c>
      <c r="E1579" s="383" t="s">
        <v>198</v>
      </c>
      <c r="F1579" s="381" t="s">
        <v>5593</v>
      </c>
      <c r="G1579" s="384" t="s">
        <v>329</v>
      </c>
      <c r="H1579" s="24">
        <f>613.56+45.18+658.74</f>
        <v>1317.48</v>
      </c>
      <c r="I1579" s="24"/>
      <c r="J1579" s="25" t="str">
        <f t="shared" si="73"/>
        <v>1</v>
      </c>
      <c r="K1579" s="385"/>
      <c r="L1579" s="385"/>
      <c r="M1579" s="386">
        <f t="shared" si="75"/>
        <v>1317.48</v>
      </c>
      <c r="N1579" s="496">
        <v>265</v>
      </c>
      <c r="O1579" s="333">
        <f t="shared" si="74"/>
        <v>1582.48</v>
      </c>
      <c r="R1579" s="23" t="str">
        <f>VLOOKUP(C:C,'Historic Data - working'!A:B,1,FALSE)</f>
        <v>SOU022</v>
      </c>
      <c r="U1579" s="323"/>
      <c r="V1579" s="323"/>
      <c r="W1579" s="323"/>
    </row>
    <row r="1580" spans="1:23" s="23" customFormat="1" ht="14.25" hidden="1" x14ac:dyDescent="0.2">
      <c r="A1580" s="381" t="s">
        <v>5482</v>
      </c>
      <c r="B1580" s="381" t="s">
        <v>324</v>
      </c>
      <c r="C1580" s="416" t="s">
        <v>5594</v>
      </c>
      <c r="D1580" s="381" t="s">
        <v>5595</v>
      </c>
      <c r="E1580" s="383" t="s">
        <v>783</v>
      </c>
      <c r="F1580" s="381" t="s">
        <v>5596</v>
      </c>
      <c r="G1580" s="384"/>
      <c r="H1580" s="24"/>
      <c r="I1580" s="24"/>
      <c r="J1580" s="25" t="str">
        <f t="shared" si="73"/>
        <v xml:space="preserve"> </v>
      </c>
      <c r="K1580" s="385"/>
      <c r="L1580" s="385"/>
      <c r="M1580" s="386">
        <f t="shared" si="75"/>
        <v>0</v>
      </c>
      <c r="N1580" s="496">
        <v>210</v>
      </c>
      <c r="O1580" s="333">
        <f t="shared" si="74"/>
        <v>210</v>
      </c>
      <c r="R1580" s="23" t="str">
        <f>VLOOKUP(C:C,'Historic Data - working'!A:B,1,FALSE)</f>
        <v>SOU023</v>
      </c>
      <c r="U1580" s="323"/>
      <c r="V1580" s="323"/>
      <c r="W1580" s="323"/>
    </row>
    <row r="1581" spans="1:23" s="23" customFormat="1" ht="14.25" hidden="1" x14ac:dyDescent="0.2">
      <c r="A1581" s="381" t="s">
        <v>5482</v>
      </c>
      <c r="B1581" s="381" t="s">
        <v>324</v>
      </c>
      <c r="C1581" s="416" t="s">
        <v>5597</v>
      </c>
      <c r="D1581" s="381" t="s">
        <v>5598</v>
      </c>
      <c r="E1581" s="383" t="s">
        <v>5599</v>
      </c>
      <c r="F1581" s="381" t="s">
        <v>5600</v>
      </c>
      <c r="G1581" s="384"/>
      <c r="H1581" s="24"/>
      <c r="I1581" s="24"/>
      <c r="J1581" s="25" t="str">
        <f t="shared" ref="J1581:J1644" si="76">IF(G1581="Y","1"," ")</f>
        <v xml:space="preserve"> </v>
      </c>
      <c r="K1581" s="385"/>
      <c r="L1581" s="385"/>
      <c r="M1581" s="386">
        <f t="shared" si="75"/>
        <v>0</v>
      </c>
      <c r="N1581" s="496">
        <v>26.91</v>
      </c>
      <c r="O1581" s="333">
        <f t="shared" si="74"/>
        <v>26.91</v>
      </c>
      <c r="R1581" s="23" t="str">
        <f>VLOOKUP(C:C,'Historic Data - working'!A:B,1,FALSE)</f>
        <v>SOU024</v>
      </c>
      <c r="U1581" s="323"/>
      <c r="V1581" s="323"/>
      <c r="W1581" s="323"/>
    </row>
    <row r="1582" spans="1:23" s="23" customFormat="1" ht="14.25" hidden="1" x14ac:dyDescent="0.2">
      <c r="A1582" s="381" t="s">
        <v>5482</v>
      </c>
      <c r="B1582" s="381" t="s">
        <v>324</v>
      </c>
      <c r="C1582" s="416" t="s">
        <v>5601</v>
      </c>
      <c r="D1582" s="381" t="s">
        <v>5602</v>
      </c>
      <c r="E1582" s="383" t="s">
        <v>11</v>
      </c>
      <c r="F1582" s="381" t="s">
        <v>5603</v>
      </c>
      <c r="G1582" s="384" t="s">
        <v>329</v>
      </c>
      <c r="H1582" s="24">
        <f>102.18+129.35+214.45+48.49+32.53+223.21+386.35</f>
        <v>1136.56</v>
      </c>
      <c r="I1582" s="24"/>
      <c r="J1582" s="25" t="str">
        <f t="shared" si="76"/>
        <v>1</v>
      </c>
      <c r="K1582" s="387" t="s">
        <v>5604</v>
      </c>
      <c r="L1582" s="385">
        <v>0.04</v>
      </c>
      <c r="M1582" s="386">
        <f t="shared" si="75"/>
        <v>1136.5999999999999</v>
      </c>
      <c r="N1582" s="496">
        <v>346</v>
      </c>
      <c r="O1582" s="333">
        <f t="shared" si="74"/>
        <v>1482.6</v>
      </c>
      <c r="R1582" s="23" t="str">
        <f>VLOOKUP(C:C,'Historic Data - working'!A:B,1,FALSE)</f>
        <v>SOU025</v>
      </c>
      <c r="U1582" s="323"/>
      <c r="V1582" s="323"/>
      <c r="W1582" s="323"/>
    </row>
    <row r="1583" spans="1:23" s="23" customFormat="1" ht="14.25" hidden="1" x14ac:dyDescent="0.2">
      <c r="A1583" s="381" t="s">
        <v>5482</v>
      </c>
      <c r="B1583" s="381" t="s">
        <v>324</v>
      </c>
      <c r="C1583" s="416" t="s">
        <v>5605</v>
      </c>
      <c r="D1583" s="381" t="s">
        <v>5606</v>
      </c>
      <c r="E1583" s="383" t="s">
        <v>119</v>
      </c>
      <c r="F1583" s="381" t="s">
        <v>5607</v>
      </c>
      <c r="G1583" s="384"/>
      <c r="H1583" s="24"/>
      <c r="I1583" s="24"/>
      <c r="J1583" s="25" t="str">
        <f t="shared" si="76"/>
        <v xml:space="preserve"> </v>
      </c>
      <c r="K1583" s="385" t="s">
        <v>337</v>
      </c>
      <c r="L1583" s="385">
        <v>197.77</v>
      </c>
      <c r="M1583" s="386">
        <f t="shared" si="75"/>
        <v>197.77</v>
      </c>
      <c r="N1583" s="496">
        <v>10</v>
      </c>
      <c r="O1583" s="333">
        <f t="shared" si="74"/>
        <v>207.77</v>
      </c>
      <c r="R1583" s="23" t="str">
        <f>VLOOKUP(C:C,'Historic Data - working'!A:B,1,FALSE)</f>
        <v>SOU026</v>
      </c>
      <c r="U1583" s="323"/>
      <c r="V1583" s="323"/>
      <c r="W1583" s="323"/>
    </row>
    <row r="1584" spans="1:23" s="23" customFormat="1" ht="14.25" hidden="1" x14ac:dyDescent="0.2">
      <c r="A1584" s="381" t="s">
        <v>5482</v>
      </c>
      <c r="B1584" s="381" t="s">
        <v>324</v>
      </c>
      <c r="C1584" s="416" t="s">
        <v>5608</v>
      </c>
      <c r="D1584" s="381" t="s">
        <v>5609</v>
      </c>
      <c r="E1584" s="383" t="s">
        <v>5610</v>
      </c>
      <c r="F1584" s="381" t="s">
        <v>5611</v>
      </c>
      <c r="G1584" s="384" t="s">
        <v>329</v>
      </c>
      <c r="H1584" s="24"/>
      <c r="I1584" s="24">
        <v>525.29</v>
      </c>
      <c r="J1584" s="25" t="str">
        <f t="shared" si="76"/>
        <v>1</v>
      </c>
      <c r="K1584" s="385"/>
      <c r="L1584" s="385"/>
      <c r="M1584" s="386">
        <f t="shared" si="75"/>
        <v>0</v>
      </c>
      <c r="N1584" s="496">
        <v>525.29</v>
      </c>
      <c r="O1584" s="333">
        <f t="shared" si="74"/>
        <v>525.29</v>
      </c>
      <c r="R1584" s="23" t="str">
        <f>VLOOKUP(C:C,'Historic Data - working'!A:B,1,FALSE)</f>
        <v>SOU027</v>
      </c>
      <c r="U1584" s="323"/>
      <c r="V1584" s="323"/>
      <c r="W1584" s="323"/>
    </row>
    <row r="1585" spans="1:23" s="23" customFormat="1" ht="14.25" hidden="1" x14ac:dyDescent="0.2">
      <c r="A1585" s="381" t="s">
        <v>5482</v>
      </c>
      <c r="B1585" s="381" t="s">
        <v>324</v>
      </c>
      <c r="C1585" s="416" t="s">
        <v>5612</v>
      </c>
      <c r="D1585" s="381" t="s">
        <v>5613</v>
      </c>
      <c r="E1585" s="383" t="s">
        <v>61</v>
      </c>
      <c r="F1585" s="381" t="s">
        <v>5614</v>
      </c>
      <c r="G1585" s="384" t="s">
        <v>329</v>
      </c>
      <c r="H1585" s="24">
        <f>128.74+123+150+112+142+294.5+75+101+96.5+104.02</f>
        <v>1326.76</v>
      </c>
      <c r="I1585" s="24"/>
      <c r="J1585" s="25" t="str">
        <f t="shared" si="76"/>
        <v>1</v>
      </c>
      <c r="K1585" s="385"/>
      <c r="L1585" s="385"/>
      <c r="M1585" s="386">
        <f t="shared" si="75"/>
        <v>1326.76</v>
      </c>
      <c r="N1585" s="496">
        <v>1495</v>
      </c>
      <c r="O1585" s="333">
        <f t="shared" si="74"/>
        <v>2821.76</v>
      </c>
      <c r="R1585" s="23" t="str">
        <f>VLOOKUP(C:C,'Historic Data - working'!A:B,1,FALSE)</f>
        <v>SOU028</v>
      </c>
      <c r="U1585" s="323"/>
      <c r="V1585" s="323"/>
      <c r="W1585" s="323"/>
    </row>
    <row r="1586" spans="1:23" s="23" customFormat="1" ht="14.25" hidden="1" x14ac:dyDescent="0.2">
      <c r="A1586" s="381" t="s">
        <v>5482</v>
      </c>
      <c r="B1586" s="381" t="s">
        <v>324</v>
      </c>
      <c r="C1586" s="416" t="s">
        <v>5615</v>
      </c>
      <c r="D1586" s="381" t="s">
        <v>5616</v>
      </c>
      <c r="E1586" s="383" t="s">
        <v>5617</v>
      </c>
      <c r="F1586" s="381" t="s">
        <v>5618</v>
      </c>
      <c r="G1586" s="384" t="s">
        <v>329</v>
      </c>
      <c r="H1586" s="24">
        <f>215.58+339.95</f>
        <v>555.53</v>
      </c>
      <c r="I1586" s="24"/>
      <c r="J1586" s="25" t="str">
        <f t="shared" si="76"/>
        <v>1</v>
      </c>
      <c r="K1586" s="387" t="s">
        <v>5619</v>
      </c>
      <c r="L1586" s="385">
        <v>-0.3</v>
      </c>
      <c r="M1586" s="386">
        <f t="shared" si="75"/>
        <v>555.23</v>
      </c>
      <c r="N1586" s="496">
        <v>130</v>
      </c>
      <c r="O1586" s="333">
        <f t="shared" si="74"/>
        <v>685.23</v>
      </c>
      <c r="R1586" s="23" t="str">
        <f>VLOOKUP(C:C,'Historic Data - working'!A:B,1,FALSE)</f>
        <v>SOU029</v>
      </c>
      <c r="U1586" s="323"/>
      <c r="V1586" s="323"/>
      <c r="W1586" s="323"/>
    </row>
    <row r="1587" spans="1:23" s="23" customFormat="1" ht="14.25" hidden="1" x14ac:dyDescent="0.2">
      <c r="A1587" s="381" t="s">
        <v>5482</v>
      </c>
      <c r="B1587" s="381" t="s">
        <v>324</v>
      </c>
      <c r="C1587" s="416" t="s">
        <v>5620</v>
      </c>
      <c r="D1587" s="381" t="s">
        <v>5621</v>
      </c>
      <c r="E1587" s="383" t="s">
        <v>5622</v>
      </c>
      <c r="F1587" s="381" t="s">
        <v>5623</v>
      </c>
      <c r="G1587" s="384" t="s">
        <v>329</v>
      </c>
      <c r="H1587" s="24">
        <f>163.02+51.09+77.31+11.24+90.87+48.39+118.85</f>
        <v>560.77</v>
      </c>
      <c r="I1587" s="24"/>
      <c r="J1587" s="25" t="str">
        <f t="shared" si="76"/>
        <v>1</v>
      </c>
      <c r="K1587" s="387" t="s">
        <v>5624</v>
      </c>
      <c r="L1587" s="385">
        <v>-90.87</v>
      </c>
      <c r="M1587" s="386">
        <f t="shared" si="75"/>
        <v>469.9</v>
      </c>
      <c r="N1587" s="496">
        <v>165</v>
      </c>
      <c r="O1587" s="333">
        <f t="shared" si="74"/>
        <v>634.9</v>
      </c>
      <c r="R1587" s="23" t="str">
        <f>VLOOKUP(C:C,'Historic Data - working'!A:B,1,FALSE)</f>
        <v>SOU030</v>
      </c>
      <c r="U1587" s="323"/>
      <c r="V1587" s="323"/>
      <c r="W1587" s="323"/>
    </row>
    <row r="1588" spans="1:23" s="23" customFormat="1" ht="14.25" hidden="1" x14ac:dyDescent="0.2">
      <c r="A1588" s="381" t="s">
        <v>5482</v>
      </c>
      <c r="B1588" s="381" t="s">
        <v>324</v>
      </c>
      <c r="C1588" s="416" t="s">
        <v>5625</v>
      </c>
      <c r="D1588" s="381" t="s">
        <v>5626</v>
      </c>
      <c r="E1588" s="383" t="s">
        <v>5627</v>
      </c>
      <c r="F1588" s="381" t="s">
        <v>5628</v>
      </c>
      <c r="G1588" s="384"/>
      <c r="H1588" s="24"/>
      <c r="I1588" s="24"/>
      <c r="J1588" s="25" t="str">
        <f t="shared" si="76"/>
        <v xml:space="preserve"> </v>
      </c>
      <c r="K1588" s="385"/>
      <c r="L1588" s="385"/>
      <c r="M1588" s="386">
        <f t="shared" si="75"/>
        <v>0</v>
      </c>
      <c r="N1588" s="496"/>
      <c r="O1588" s="333">
        <f t="shared" si="74"/>
        <v>0</v>
      </c>
      <c r="R1588" s="23" t="e">
        <f>VLOOKUP(C:C,'Historic Data - working'!A:B,1,FALSE)</f>
        <v>#N/A</v>
      </c>
      <c r="U1588" s="323"/>
      <c r="V1588" s="323"/>
      <c r="W1588" s="323"/>
    </row>
    <row r="1589" spans="1:23" s="23" customFormat="1" ht="14.25" hidden="1" x14ac:dyDescent="0.2">
      <c r="A1589" s="381" t="s">
        <v>5482</v>
      </c>
      <c r="B1589" s="381" t="s">
        <v>324</v>
      </c>
      <c r="C1589" s="416" t="s">
        <v>5629</v>
      </c>
      <c r="D1589" s="381" t="s">
        <v>5630</v>
      </c>
      <c r="E1589" s="383" t="s">
        <v>428</v>
      </c>
      <c r="F1589" s="381" t="s">
        <v>5631</v>
      </c>
      <c r="G1589" s="384" t="s">
        <v>329</v>
      </c>
      <c r="H1589" s="24"/>
      <c r="I1589" s="24">
        <v>600</v>
      </c>
      <c r="J1589" s="25" t="str">
        <f t="shared" si="76"/>
        <v>1</v>
      </c>
      <c r="K1589" s="385"/>
      <c r="L1589" s="385"/>
      <c r="M1589" s="386">
        <f t="shared" si="75"/>
        <v>0</v>
      </c>
      <c r="N1589" s="496">
        <v>780</v>
      </c>
      <c r="O1589" s="333">
        <f t="shared" si="74"/>
        <v>780</v>
      </c>
      <c r="R1589" s="23" t="str">
        <f>VLOOKUP(C:C,'Historic Data - working'!A:B,1,FALSE)</f>
        <v>SOU031</v>
      </c>
      <c r="U1589" s="323"/>
      <c r="V1589" s="323"/>
      <c r="W1589" s="323"/>
    </row>
    <row r="1590" spans="1:23" s="23" customFormat="1" ht="14.25" hidden="1" x14ac:dyDescent="0.2">
      <c r="A1590" s="381" t="s">
        <v>5482</v>
      </c>
      <c r="B1590" s="381" t="s">
        <v>324</v>
      </c>
      <c r="C1590" s="416" t="s">
        <v>5632</v>
      </c>
      <c r="D1590" s="381" t="s">
        <v>5633</v>
      </c>
      <c r="E1590" s="383" t="s">
        <v>78</v>
      </c>
      <c r="F1590" s="381" t="s">
        <v>5634</v>
      </c>
      <c r="G1590" s="384" t="s">
        <v>329</v>
      </c>
      <c r="H1590" s="24">
        <v>2127.4</v>
      </c>
      <c r="I1590" s="24"/>
      <c r="J1590" s="25" t="str">
        <f t="shared" si="76"/>
        <v>1</v>
      </c>
      <c r="K1590" s="387" t="s">
        <v>5635</v>
      </c>
      <c r="L1590" s="385">
        <v>-0.2</v>
      </c>
      <c r="M1590" s="386">
        <f t="shared" si="75"/>
        <v>2127.2000000000003</v>
      </c>
      <c r="N1590" s="496">
        <v>2536.9700000000003</v>
      </c>
      <c r="O1590" s="333">
        <f t="shared" si="74"/>
        <v>4664.17</v>
      </c>
      <c r="R1590" s="23" t="str">
        <f>VLOOKUP(C:C,'Historic Data - working'!A:B,1,FALSE)</f>
        <v>SOU032</v>
      </c>
      <c r="U1590" s="323"/>
      <c r="V1590" s="323"/>
      <c r="W1590" s="323"/>
    </row>
    <row r="1591" spans="1:23" s="23" customFormat="1" ht="14.25" hidden="1" x14ac:dyDescent="0.2">
      <c r="A1591" s="381" t="s">
        <v>5482</v>
      </c>
      <c r="B1591" s="381" t="s">
        <v>324</v>
      </c>
      <c r="C1591" s="416" t="s">
        <v>5636</v>
      </c>
      <c r="D1591" s="381" t="s">
        <v>5637</v>
      </c>
      <c r="E1591" s="383" t="s">
        <v>94</v>
      </c>
      <c r="F1591" s="381" t="s">
        <v>5638</v>
      </c>
      <c r="G1591" s="384" t="s">
        <v>329</v>
      </c>
      <c r="H1591" s="24">
        <v>1862.91</v>
      </c>
      <c r="I1591" s="24"/>
      <c r="J1591" s="25" t="str">
        <f t="shared" si="76"/>
        <v>1</v>
      </c>
      <c r="K1591" s="387" t="s">
        <v>5639</v>
      </c>
      <c r="L1591" s="385">
        <v>100</v>
      </c>
      <c r="M1591" s="386">
        <f t="shared" si="75"/>
        <v>1962.91</v>
      </c>
      <c r="N1591" s="496">
        <v>340</v>
      </c>
      <c r="O1591" s="333">
        <f t="shared" si="74"/>
        <v>2302.91</v>
      </c>
      <c r="R1591" s="23" t="str">
        <f>VLOOKUP(C:C,'Historic Data - working'!A:B,1,FALSE)</f>
        <v>SOU033</v>
      </c>
      <c r="U1591" s="323"/>
      <c r="V1591" s="323"/>
      <c r="W1591" s="323"/>
    </row>
    <row r="1592" spans="1:23" s="23" customFormat="1" ht="14.25" hidden="1" x14ac:dyDescent="0.2">
      <c r="A1592" s="381" t="s">
        <v>5482</v>
      </c>
      <c r="B1592" s="381" t="s">
        <v>324</v>
      </c>
      <c r="C1592" s="416" t="s">
        <v>5640</v>
      </c>
      <c r="D1592" s="381" t="s">
        <v>5641</v>
      </c>
      <c r="E1592" s="383" t="s">
        <v>5642</v>
      </c>
      <c r="F1592" s="381" t="s">
        <v>5643</v>
      </c>
      <c r="G1592" s="384"/>
      <c r="H1592" s="24"/>
      <c r="I1592" s="24"/>
      <c r="J1592" s="25" t="str">
        <f t="shared" si="76"/>
        <v xml:space="preserve"> </v>
      </c>
      <c r="K1592" s="385" t="s">
        <v>337</v>
      </c>
      <c r="L1592" s="385">
        <v>554.49</v>
      </c>
      <c r="M1592" s="386">
        <f t="shared" si="75"/>
        <v>554.49</v>
      </c>
      <c r="N1592" s="496">
        <v>1045</v>
      </c>
      <c r="O1592" s="333">
        <f t="shared" si="74"/>
        <v>1599.49</v>
      </c>
      <c r="R1592" s="23" t="str">
        <f>VLOOKUP(C:C,'Historic Data - working'!A:B,1,FALSE)</f>
        <v>SOU034</v>
      </c>
      <c r="U1592" s="323"/>
      <c r="V1592" s="323"/>
      <c r="W1592" s="323"/>
    </row>
    <row r="1593" spans="1:23" s="23" customFormat="1" ht="14.25" hidden="1" x14ac:dyDescent="0.2">
      <c r="A1593" s="381" t="s">
        <v>5482</v>
      </c>
      <c r="B1593" s="381" t="s">
        <v>324</v>
      </c>
      <c r="C1593" s="416" t="s">
        <v>5644</v>
      </c>
      <c r="D1593" s="381" t="s">
        <v>5645</v>
      </c>
      <c r="E1593" s="383" t="s">
        <v>94</v>
      </c>
      <c r="F1593" s="381" t="s">
        <v>5646</v>
      </c>
      <c r="G1593" s="384"/>
      <c r="H1593" s="24"/>
      <c r="I1593" s="24"/>
      <c r="J1593" s="25" t="str">
        <f t="shared" si="76"/>
        <v xml:space="preserve"> </v>
      </c>
      <c r="K1593" s="385" t="s">
        <v>337</v>
      </c>
      <c r="L1593" s="385">
        <v>28.16</v>
      </c>
      <c r="M1593" s="386">
        <f t="shared" si="75"/>
        <v>28.16</v>
      </c>
      <c r="N1593" s="496">
        <v>140</v>
      </c>
      <c r="O1593" s="333">
        <f t="shared" si="74"/>
        <v>168.16</v>
      </c>
      <c r="R1593" s="23" t="str">
        <f>VLOOKUP(C:C,'Historic Data - working'!A:B,1,FALSE)</f>
        <v>SOU035</v>
      </c>
      <c r="U1593" s="323"/>
      <c r="V1593" s="323"/>
      <c r="W1593" s="323"/>
    </row>
    <row r="1594" spans="1:23" s="23" customFormat="1" ht="14.25" hidden="1" x14ac:dyDescent="0.2">
      <c r="A1594" s="381" t="s">
        <v>5482</v>
      </c>
      <c r="B1594" s="381" t="s">
        <v>324</v>
      </c>
      <c r="C1594" s="416" t="s">
        <v>5647</v>
      </c>
      <c r="D1594" s="381" t="s">
        <v>5648</v>
      </c>
      <c r="E1594" s="383" t="s">
        <v>3974</v>
      </c>
      <c r="F1594" s="381" t="s">
        <v>5649</v>
      </c>
      <c r="G1594" s="384"/>
      <c r="H1594" s="24"/>
      <c r="I1594" s="24"/>
      <c r="J1594" s="25" t="str">
        <f t="shared" si="76"/>
        <v xml:space="preserve"> </v>
      </c>
      <c r="K1594" s="385"/>
      <c r="L1594" s="385"/>
      <c r="M1594" s="386">
        <f t="shared" si="75"/>
        <v>0</v>
      </c>
      <c r="N1594" s="496">
        <v>95</v>
      </c>
      <c r="O1594" s="333">
        <f t="shared" si="74"/>
        <v>95</v>
      </c>
      <c r="R1594" s="23" t="str">
        <f>VLOOKUP(C:C,'Historic Data - working'!A:B,1,FALSE)</f>
        <v>SOU036</v>
      </c>
      <c r="U1594" s="323"/>
      <c r="V1594" s="323"/>
      <c r="W1594" s="323"/>
    </row>
    <row r="1595" spans="1:23" s="23" customFormat="1" ht="14.25" hidden="1" x14ac:dyDescent="0.2">
      <c r="A1595" s="381" t="s">
        <v>5482</v>
      </c>
      <c r="B1595" s="381" t="s">
        <v>324</v>
      </c>
      <c r="C1595" s="416" t="s">
        <v>5650</v>
      </c>
      <c r="D1595" s="381" t="s">
        <v>5651</v>
      </c>
      <c r="E1595" s="383" t="s">
        <v>5652</v>
      </c>
      <c r="F1595" s="381" t="s">
        <v>5653</v>
      </c>
      <c r="G1595" s="384"/>
      <c r="H1595" s="24"/>
      <c r="I1595" s="24"/>
      <c r="J1595" s="25" t="str">
        <f t="shared" si="76"/>
        <v xml:space="preserve"> </v>
      </c>
      <c r="K1595" s="385"/>
      <c r="L1595" s="385"/>
      <c r="M1595" s="386">
        <f t="shared" si="75"/>
        <v>0</v>
      </c>
      <c r="N1595" s="496">
        <v>65</v>
      </c>
      <c r="O1595" s="333">
        <f t="shared" si="74"/>
        <v>65</v>
      </c>
      <c r="R1595" s="23" t="str">
        <f>VLOOKUP(C:C,'Historic Data - working'!A:B,1,FALSE)</f>
        <v>SOU037</v>
      </c>
      <c r="U1595" s="323"/>
      <c r="V1595" s="323"/>
      <c r="W1595" s="323"/>
    </row>
    <row r="1596" spans="1:23" s="23" customFormat="1" ht="14.25" hidden="1" x14ac:dyDescent="0.2">
      <c r="A1596" s="381" t="s">
        <v>5482</v>
      </c>
      <c r="B1596" s="381" t="s">
        <v>324</v>
      </c>
      <c r="C1596" s="416" t="s">
        <v>5654</v>
      </c>
      <c r="D1596" s="381" t="s">
        <v>5655</v>
      </c>
      <c r="E1596" s="383" t="s">
        <v>5656</v>
      </c>
      <c r="F1596" s="381" t="s">
        <v>5657</v>
      </c>
      <c r="G1596" s="384"/>
      <c r="H1596" s="24"/>
      <c r="I1596" s="24"/>
      <c r="J1596" s="25" t="str">
        <f t="shared" si="76"/>
        <v xml:space="preserve"> </v>
      </c>
      <c r="K1596" s="385"/>
      <c r="L1596" s="385"/>
      <c r="M1596" s="386">
        <f t="shared" si="75"/>
        <v>0</v>
      </c>
      <c r="N1596" s="496"/>
      <c r="O1596" s="333">
        <f t="shared" si="74"/>
        <v>0</v>
      </c>
      <c r="R1596" s="23" t="e">
        <f>VLOOKUP(C:C,'Historic Data - working'!A:B,1,FALSE)</f>
        <v>#N/A</v>
      </c>
      <c r="U1596" s="323"/>
      <c r="V1596" s="323"/>
      <c r="W1596" s="323"/>
    </row>
    <row r="1597" spans="1:23" s="23" customFormat="1" ht="14.25" hidden="1" x14ac:dyDescent="0.2">
      <c r="A1597" s="381" t="s">
        <v>5482</v>
      </c>
      <c r="B1597" s="381" t="s">
        <v>324</v>
      </c>
      <c r="C1597" s="416" t="s">
        <v>5658</v>
      </c>
      <c r="D1597" s="381" t="s">
        <v>5659</v>
      </c>
      <c r="E1597" s="383" t="s">
        <v>1284</v>
      </c>
      <c r="F1597" s="381" t="s">
        <v>3723</v>
      </c>
      <c r="G1597" s="384"/>
      <c r="H1597" s="24"/>
      <c r="I1597" s="24"/>
      <c r="J1597" s="25" t="str">
        <f t="shared" si="76"/>
        <v xml:space="preserve"> </v>
      </c>
      <c r="K1597" s="385"/>
      <c r="L1597" s="385"/>
      <c r="M1597" s="386">
        <f t="shared" si="75"/>
        <v>0</v>
      </c>
      <c r="N1597" s="496"/>
      <c r="O1597" s="333">
        <f t="shared" si="74"/>
        <v>0</v>
      </c>
      <c r="R1597" s="23" t="e">
        <f>VLOOKUP(C:C,'Historic Data - working'!A:B,1,FALSE)</f>
        <v>#N/A</v>
      </c>
      <c r="U1597" s="323"/>
      <c r="V1597" s="323"/>
      <c r="W1597" s="323"/>
    </row>
    <row r="1598" spans="1:23" s="23" customFormat="1" ht="14.25" hidden="1" x14ac:dyDescent="0.2">
      <c r="A1598" s="381" t="s">
        <v>5482</v>
      </c>
      <c r="B1598" s="381" t="s">
        <v>324</v>
      </c>
      <c r="C1598" s="416" t="s">
        <v>5660</v>
      </c>
      <c r="D1598" s="381" t="s">
        <v>5661</v>
      </c>
      <c r="E1598" s="383" t="s">
        <v>5662</v>
      </c>
      <c r="F1598" s="381" t="s">
        <v>5663</v>
      </c>
      <c r="G1598" s="384" t="s">
        <v>329</v>
      </c>
      <c r="H1598" s="24">
        <f>12.32+80.62+134.92+20+85+79.04</f>
        <v>411.90000000000003</v>
      </c>
      <c r="I1598" s="24"/>
      <c r="J1598" s="25" t="str">
        <f t="shared" si="76"/>
        <v>1</v>
      </c>
      <c r="K1598" s="387" t="s">
        <v>5664</v>
      </c>
      <c r="L1598" s="385">
        <v>-215.54</v>
      </c>
      <c r="M1598" s="386">
        <f t="shared" si="75"/>
        <v>196.36000000000004</v>
      </c>
      <c r="N1598" s="496">
        <v>2</v>
      </c>
      <c r="O1598" s="333">
        <f t="shared" si="74"/>
        <v>198.36000000000004</v>
      </c>
      <c r="R1598" s="23" t="str">
        <f>VLOOKUP(C:C,'Historic Data - working'!A:B,1,FALSE)</f>
        <v>SOU038</v>
      </c>
      <c r="U1598" s="323"/>
      <c r="V1598" s="323"/>
      <c r="W1598" s="323"/>
    </row>
    <row r="1599" spans="1:23" s="23" customFormat="1" ht="14.25" hidden="1" x14ac:dyDescent="0.2">
      <c r="A1599" s="381" t="s">
        <v>5482</v>
      </c>
      <c r="B1599" s="381" t="s">
        <v>324</v>
      </c>
      <c r="C1599" s="416" t="s">
        <v>5665</v>
      </c>
      <c r="D1599" s="381" t="s">
        <v>5666</v>
      </c>
      <c r="E1599" s="383" t="s">
        <v>5667</v>
      </c>
      <c r="F1599" s="381" t="s">
        <v>5668</v>
      </c>
      <c r="G1599" s="384"/>
      <c r="H1599" s="24"/>
      <c r="I1599" s="24"/>
      <c r="J1599" s="25" t="str">
        <f t="shared" si="76"/>
        <v xml:space="preserve"> </v>
      </c>
      <c r="K1599" s="385"/>
      <c r="L1599" s="385"/>
      <c r="M1599" s="386">
        <f t="shared" si="75"/>
        <v>0</v>
      </c>
      <c r="N1599" s="496">
        <v>546.58999999999992</v>
      </c>
      <c r="O1599" s="333">
        <f t="shared" si="74"/>
        <v>546.58999999999992</v>
      </c>
      <c r="R1599" s="23" t="str">
        <f>VLOOKUP(C:C,'Historic Data - working'!A:B,1,FALSE)</f>
        <v>SOU039</v>
      </c>
      <c r="U1599" s="323"/>
      <c r="V1599" s="323"/>
      <c r="W1599" s="323"/>
    </row>
    <row r="1600" spans="1:23" s="23" customFormat="1" ht="14.25" hidden="1" x14ac:dyDescent="0.2">
      <c r="A1600" s="381" t="s">
        <v>5482</v>
      </c>
      <c r="B1600" s="381" t="s">
        <v>324</v>
      </c>
      <c r="C1600" s="416" t="s">
        <v>5669</v>
      </c>
      <c r="D1600" s="381" t="s">
        <v>5670</v>
      </c>
      <c r="E1600" s="383" t="s">
        <v>31</v>
      </c>
      <c r="F1600" s="381" t="s">
        <v>5671</v>
      </c>
      <c r="G1600" s="384" t="s">
        <v>329</v>
      </c>
      <c r="H1600" s="24">
        <v>583.1</v>
      </c>
      <c r="I1600" s="24"/>
      <c r="J1600" s="25" t="str">
        <f t="shared" si="76"/>
        <v>1</v>
      </c>
      <c r="K1600" s="387" t="s">
        <v>5672</v>
      </c>
      <c r="L1600" s="385">
        <v>82.95</v>
      </c>
      <c r="M1600" s="386">
        <f t="shared" si="75"/>
        <v>666.05000000000007</v>
      </c>
      <c r="N1600" s="496">
        <v>735</v>
      </c>
      <c r="O1600" s="333">
        <f t="shared" si="74"/>
        <v>1401.0500000000002</v>
      </c>
      <c r="R1600" s="23" t="str">
        <f>VLOOKUP(C:C,'Historic Data - working'!A:B,1,FALSE)</f>
        <v>SOU040</v>
      </c>
      <c r="U1600" s="323"/>
      <c r="V1600" s="323"/>
      <c r="W1600" s="323"/>
    </row>
    <row r="1601" spans="1:23" s="23" customFormat="1" ht="14.25" hidden="1" x14ac:dyDescent="0.2">
      <c r="A1601" s="381" t="s">
        <v>5482</v>
      </c>
      <c r="B1601" s="381" t="s">
        <v>324</v>
      </c>
      <c r="C1601" s="416" t="s">
        <v>5673</v>
      </c>
      <c r="D1601" s="381" t="s">
        <v>5674</v>
      </c>
      <c r="E1601" s="383" t="s">
        <v>124</v>
      </c>
      <c r="F1601" s="381" t="s">
        <v>5675</v>
      </c>
      <c r="G1601" s="384" t="s">
        <v>329</v>
      </c>
      <c r="H1601" s="24">
        <v>562.08000000000004</v>
      </c>
      <c r="I1601" s="24"/>
      <c r="J1601" s="25" t="str">
        <f t="shared" si="76"/>
        <v>1</v>
      </c>
      <c r="K1601" s="387" t="s">
        <v>5676</v>
      </c>
      <c r="L1601" s="385">
        <v>-82.95</v>
      </c>
      <c r="M1601" s="386">
        <f t="shared" si="75"/>
        <v>479.13000000000005</v>
      </c>
      <c r="N1601" s="496">
        <v>230</v>
      </c>
      <c r="O1601" s="333">
        <f t="shared" si="74"/>
        <v>709.13000000000011</v>
      </c>
      <c r="R1601" s="23" t="str">
        <f>VLOOKUP(C:C,'Historic Data - working'!A:B,1,FALSE)</f>
        <v>SOU041</v>
      </c>
      <c r="U1601" s="323"/>
      <c r="V1601" s="323"/>
      <c r="W1601" s="323"/>
    </row>
    <row r="1602" spans="1:23" s="23" customFormat="1" ht="14.25" hidden="1" x14ac:dyDescent="0.2">
      <c r="A1602" s="381" t="s">
        <v>5482</v>
      </c>
      <c r="B1602" s="381" t="s">
        <v>324</v>
      </c>
      <c r="C1602" s="416" t="s">
        <v>5677</v>
      </c>
      <c r="D1602" s="381" t="s">
        <v>5678</v>
      </c>
      <c r="E1602" s="383" t="s">
        <v>5679</v>
      </c>
      <c r="F1602" s="381" t="s">
        <v>5680</v>
      </c>
      <c r="G1602" s="384"/>
      <c r="H1602" s="24"/>
      <c r="I1602" s="24"/>
      <c r="J1602" s="25" t="str">
        <f t="shared" si="76"/>
        <v xml:space="preserve"> </v>
      </c>
      <c r="K1602" s="385"/>
      <c r="L1602" s="385"/>
      <c r="M1602" s="386">
        <f t="shared" si="75"/>
        <v>0</v>
      </c>
      <c r="N1602" s="496">
        <v>945</v>
      </c>
      <c r="O1602" s="333">
        <f t="shared" ref="O1602:O1665" si="77">M1602+N1602</f>
        <v>945</v>
      </c>
      <c r="R1602" s="23" t="str">
        <f>VLOOKUP(C:C,'Historic Data - working'!A:B,1,FALSE)</f>
        <v>SOU042</v>
      </c>
      <c r="U1602" s="323"/>
      <c r="V1602" s="323"/>
      <c r="W1602" s="323"/>
    </row>
    <row r="1603" spans="1:23" s="23" customFormat="1" ht="14.25" hidden="1" x14ac:dyDescent="0.2">
      <c r="A1603" s="381" t="s">
        <v>5482</v>
      </c>
      <c r="B1603" s="381" t="s">
        <v>324</v>
      </c>
      <c r="C1603" s="416" t="s">
        <v>5681</v>
      </c>
      <c r="D1603" s="381" t="s">
        <v>5682</v>
      </c>
      <c r="E1603" s="383" t="s">
        <v>5683</v>
      </c>
      <c r="F1603" s="381" t="s">
        <v>5684</v>
      </c>
      <c r="G1603" s="384"/>
      <c r="H1603" s="24"/>
      <c r="I1603" s="24"/>
      <c r="J1603" s="25" t="str">
        <f t="shared" si="76"/>
        <v xml:space="preserve"> </v>
      </c>
      <c r="K1603" s="385"/>
      <c r="L1603" s="385"/>
      <c r="M1603" s="386">
        <f t="shared" ref="M1603:M1666" si="78">H1603+L1603</f>
        <v>0</v>
      </c>
      <c r="N1603" s="496">
        <v>78.5</v>
      </c>
      <c r="O1603" s="333">
        <f t="shared" si="77"/>
        <v>78.5</v>
      </c>
      <c r="R1603" s="23" t="str">
        <f>VLOOKUP(C:C,'Historic Data - working'!A:B,1,FALSE)</f>
        <v>SOU043</v>
      </c>
      <c r="U1603" s="323"/>
      <c r="V1603" s="323"/>
      <c r="W1603" s="323"/>
    </row>
    <row r="1604" spans="1:23" s="23" customFormat="1" ht="14.25" hidden="1" x14ac:dyDescent="0.2">
      <c r="A1604" s="381" t="s">
        <v>5482</v>
      </c>
      <c r="B1604" s="381" t="s">
        <v>324</v>
      </c>
      <c r="C1604" s="416" t="s">
        <v>5685</v>
      </c>
      <c r="D1604" s="381" t="s">
        <v>5686</v>
      </c>
      <c r="E1604" s="383" t="s">
        <v>5687</v>
      </c>
      <c r="F1604" s="381" t="s">
        <v>1832</v>
      </c>
      <c r="G1604" s="384"/>
      <c r="H1604" s="24"/>
      <c r="I1604" s="24"/>
      <c r="J1604" s="25" t="str">
        <f t="shared" si="76"/>
        <v xml:space="preserve"> </v>
      </c>
      <c r="K1604" s="385"/>
      <c r="L1604" s="385"/>
      <c r="M1604" s="386">
        <f t="shared" si="78"/>
        <v>0</v>
      </c>
      <c r="N1604" s="496"/>
      <c r="O1604" s="333">
        <f t="shared" si="77"/>
        <v>0</v>
      </c>
      <c r="R1604" s="23" t="e">
        <f>VLOOKUP(C:C,'Historic Data - working'!A:B,1,FALSE)</f>
        <v>#N/A</v>
      </c>
      <c r="U1604" s="323"/>
      <c r="V1604" s="323"/>
      <c r="W1604" s="323"/>
    </row>
    <row r="1605" spans="1:23" s="23" customFormat="1" ht="14.25" hidden="1" x14ac:dyDescent="0.2">
      <c r="A1605" s="381" t="s">
        <v>5482</v>
      </c>
      <c r="B1605" s="381" t="s">
        <v>324</v>
      </c>
      <c r="C1605" s="416" t="s">
        <v>5688</v>
      </c>
      <c r="D1605" s="381" t="s">
        <v>5689</v>
      </c>
      <c r="E1605" s="383" t="s">
        <v>1843</v>
      </c>
      <c r="F1605" s="381" t="s">
        <v>5690</v>
      </c>
      <c r="G1605" s="384" t="s">
        <v>329</v>
      </c>
      <c r="H1605" s="24"/>
      <c r="I1605" s="24">
        <f>344.02+35</f>
        <v>379.02</v>
      </c>
      <c r="J1605" s="25" t="str">
        <f t="shared" si="76"/>
        <v>1</v>
      </c>
      <c r="K1605" s="385"/>
      <c r="L1605" s="385"/>
      <c r="M1605" s="386">
        <f t="shared" si="78"/>
        <v>0</v>
      </c>
      <c r="N1605" s="496">
        <v>484.02</v>
      </c>
      <c r="O1605" s="333">
        <f t="shared" si="77"/>
        <v>484.02</v>
      </c>
      <c r="R1605" s="23" t="str">
        <f>VLOOKUP(C:C,'Historic Data - working'!A:B,1,FALSE)</f>
        <v>SOU044</v>
      </c>
      <c r="U1605" s="323"/>
      <c r="V1605" s="323"/>
      <c r="W1605" s="323"/>
    </row>
    <row r="1606" spans="1:23" s="23" customFormat="1" ht="14.25" hidden="1" x14ac:dyDescent="0.2">
      <c r="A1606" s="381" t="s">
        <v>5482</v>
      </c>
      <c r="B1606" s="381" t="s">
        <v>324</v>
      </c>
      <c r="C1606" s="416" t="s">
        <v>5691</v>
      </c>
      <c r="D1606" s="381" t="s">
        <v>5692</v>
      </c>
      <c r="E1606" s="383" t="s">
        <v>5693</v>
      </c>
      <c r="F1606" s="381" t="s">
        <v>5694</v>
      </c>
      <c r="G1606" s="384" t="s">
        <v>329</v>
      </c>
      <c r="H1606" s="24">
        <f>42.4+91.2+79.97+82.25</f>
        <v>295.82</v>
      </c>
      <c r="I1606" s="24"/>
      <c r="J1606" s="25" t="str">
        <f t="shared" si="76"/>
        <v>1</v>
      </c>
      <c r="K1606" s="385"/>
      <c r="L1606" s="385"/>
      <c r="M1606" s="386">
        <f t="shared" si="78"/>
        <v>295.82</v>
      </c>
      <c r="N1606" s="496">
        <v>30</v>
      </c>
      <c r="O1606" s="333">
        <f t="shared" si="77"/>
        <v>325.82</v>
      </c>
      <c r="R1606" s="23" t="str">
        <f>VLOOKUP(C:C,'Historic Data - working'!A:B,1,FALSE)</f>
        <v>SOU045</v>
      </c>
      <c r="U1606" s="323"/>
      <c r="V1606" s="323"/>
      <c r="W1606" s="323"/>
    </row>
    <row r="1607" spans="1:23" s="23" customFormat="1" ht="14.25" hidden="1" x14ac:dyDescent="0.2">
      <c r="A1607" s="381" t="s">
        <v>5482</v>
      </c>
      <c r="B1607" s="381" t="s">
        <v>324</v>
      </c>
      <c r="C1607" s="416" t="s">
        <v>5695</v>
      </c>
      <c r="D1607" s="381" t="s">
        <v>5696</v>
      </c>
      <c r="E1607" s="383" t="s">
        <v>61</v>
      </c>
      <c r="F1607" s="381" t="s">
        <v>5697</v>
      </c>
      <c r="G1607" s="384" t="s">
        <v>329</v>
      </c>
      <c r="H1607" s="24">
        <f>165+160+110+100+100+70+60+120+190+55</f>
        <v>1130</v>
      </c>
      <c r="I1607" s="24"/>
      <c r="J1607" s="25" t="str">
        <f t="shared" si="76"/>
        <v>1</v>
      </c>
      <c r="K1607" s="385"/>
      <c r="L1607" s="385"/>
      <c r="M1607" s="386">
        <f t="shared" si="78"/>
        <v>1130</v>
      </c>
      <c r="N1607" s="496"/>
      <c r="O1607" s="333">
        <f t="shared" si="77"/>
        <v>1130</v>
      </c>
      <c r="R1607" s="23" t="str">
        <f>VLOOKUP(C:C,'Historic Data - working'!A:B,1,FALSE)</f>
        <v>SOU046</v>
      </c>
      <c r="U1607" s="323"/>
      <c r="V1607" s="323"/>
      <c r="W1607" s="323"/>
    </row>
    <row r="1608" spans="1:23" s="23" customFormat="1" ht="14.25" hidden="1" x14ac:dyDescent="0.2">
      <c r="A1608" s="381" t="s">
        <v>5482</v>
      </c>
      <c r="B1608" s="381" t="s">
        <v>324</v>
      </c>
      <c r="C1608" s="416" t="s">
        <v>5698</v>
      </c>
      <c r="D1608" s="381" t="s">
        <v>5699</v>
      </c>
      <c r="E1608" s="383" t="s">
        <v>5700</v>
      </c>
      <c r="F1608" s="381" t="s">
        <v>5701</v>
      </c>
      <c r="G1608" s="384"/>
      <c r="H1608" s="24"/>
      <c r="I1608" s="24"/>
      <c r="J1608" s="25" t="str">
        <f t="shared" si="76"/>
        <v xml:space="preserve"> </v>
      </c>
      <c r="K1608" s="385"/>
      <c r="L1608" s="385"/>
      <c r="M1608" s="386">
        <f t="shared" si="78"/>
        <v>0</v>
      </c>
      <c r="N1608" s="496">
        <v>560.27</v>
      </c>
      <c r="O1608" s="333">
        <f t="shared" si="77"/>
        <v>560.27</v>
      </c>
      <c r="R1608" s="23" t="str">
        <f>VLOOKUP(C:C,'Historic Data - working'!A:B,1,FALSE)</f>
        <v>SOU047</v>
      </c>
      <c r="U1608" s="323"/>
      <c r="V1608" s="323"/>
      <c r="W1608" s="323"/>
    </row>
    <row r="1609" spans="1:23" s="23" customFormat="1" ht="14.25" hidden="1" x14ac:dyDescent="0.2">
      <c r="A1609" s="381" t="s">
        <v>5482</v>
      </c>
      <c r="B1609" s="381" t="s">
        <v>324</v>
      </c>
      <c r="C1609" s="416" t="s">
        <v>5702</v>
      </c>
      <c r="D1609" s="381" t="s">
        <v>5703</v>
      </c>
      <c r="E1609" s="383" t="s">
        <v>5704</v>
      </c>
      <c r="F1609" s="381" t="s">
        <v>5705</v>
      </c>
      <c r="G1609" s="384" t="s">
        <v>329</v>
      </c>
      <c r="H1609" s="24">
        <f>135.84+240.32+367.25</f>
        <v>743.41</v>
      </c>
      <c r="I1609" s="24"/>
      <c r="J1609" s="25" t="str">
        <f t="shared" si="76"/>
        <v>1</v>
      </c>
      <c r="K1609" s="385"/>
      <c r="L1609" s="385"/>
      <c r="M1609" s="386">
        <f t="shared" si="78"/>
        <v>743.41</v>
      </c>
      <c r="N1609" s="496">
        <v>430</v>
      </c>
      <c r="O1609" s="333">
        <f t="shared" si="77"/>
        <v>1173.4099999999999</v>
      </c>
      <c r="R1609" s="23" t="str">
        <f>VLOOKUP(C:C,'Historic Data - working'!A:B,1,FALSE)</f>
        <v>SOU048</v>
      </c>
      <c r="U1609" s="323"/>
      <c r="V1609" s="323"/>
      <c r="W1609" s="323"/>
    </row>
    <row r="1610" spans="1:23" s="23" customFormat="1" ht="14.25" hidden="1" x14ac:dyDescent="0.2">
      <c r="A1610" s="381" t="s">
        <v>5482</v>
      </c>
      <c r="B1610" s="381" t="s">
        <v>324</v>
      </c>
      <c r="C1610" s="416" t="s">
        <v>5706</v>
      </c>
      <c r="D1610" s="381" t="s">
        <v>5707</v>
      </c>
      <c r="E1610" s="383" t="s">
        <v>5708</v>
      </c>
      <c r="F1610" s="381" t="s">
        <v>5709</v>
      </c>
      <c r="G1610" s="384"/>
      <c r="H1610" s="24"/>
      <c r="I1610" s="24"/>
      <c r="J1610" s="25" t="str">
        <f t="shared" si="76"/>
        <v xml:space="preserve"> </v>
      </c>
      <c r="K1610" s="385"/>
      <c r="L1610" s="385"/>
      <c r="M1610" s="386">
        <f t="shared" si="78"/>
        <v>0</v>
      </c>
      <c r="N1610" s="496"/>
      <c r="O1610" s="333">
        <f t="shared" si="77"/>
        <v>0</v>
      </c>
      <c r="R1610" s="23" t="e">
        <f>VLOOKUP(C:C,'Historic Data - working'!A:B,1,FALSE)</f>
        <v>#N/A</v>
      </c>
      <c r="U1610" s="323"/>
      <c r="V1610" s="323"/>
      <c r="W1610" s="323"/>
    </row>
    <row r="1611" spans="1:23" s="23" customFormat="1" ht="14.25" hidden="1" x14ac:dyDescent="0.2">
      <c r="A1611" s="381" t="s">
        <v>5482</v>
      </c>
      <c r="B1611" s="381" t="s">
        <v>324</v>
      </c>
      <c r="C1611" s="416" t="s">
        <v>5710</v>
      </c>
      <c r="D1611" s="381" t="s">
        <v>5711</v>
      </c>
      <c r="E1611" s="383" t="s">
        <v>5712</v>
      </c>
      <c r="F1611" s="381" t="s">
        <v>5713</v>
      </c>
      <c r="G1611" s="384" t="s">
        <v>329</v>
      </c>
      <c r="H1611" s="24">
        <f>386.44+245.07+284.52</f>
        <v>916.03</v>
      </c>
      <c r="I1611" s="24"/>
      <c r="J1611" s="25" t="str">
        <f t="shared" si="76"/>
        <v>1</v>
      </c>
      <c r="K1611" s="385"/>
      <c r="L1611" s="385"/>
      <c r="M1611" s="386">
        <f t="shared" si="78"/>
        <v>916.03</v>
      </c>
      <c r="N1611" s="496">
        <v>155</v>
      </c>
      <c r="O1611" s="333">
        <f t="shared" si="77"/>
        <v>1071.03</v>
      </c>
      <c r="R1611" s="23" t="str">
        <f>VLOOKUP(C:C,'Historic Data - working'!A:B,1,FALSE)</f>
        <v>SOU049</v>
      </c>
      <c r="U1611" s="323"/>
      <c r="V1611" s="323"/>
      <c r="W1611" s="323"/>
    </row>
    <row r="1612" spans="1:23" s="23" customFormat="1" ht="14.25" hidden="1" x14ac:dyDescent="0.2">
      <c r="A1612" s="381" t="s">
        <v>5482</v>
      </c>
      <c r="B1612" s="381" t="s">
        <v>324</v>
      </c>
      <c r="C1612" s="416" t="s">
        <v>5714</v>
      </c>
      <c r="D1612" s="381" t="s">
        <v>5715</v>
      </c>
      <c r="E1612" s="383" t="s">
        <v>5716</v>
      </c>
      <c r="F1612" s="381" t="s">
        <v>5717</v>
      </c>
      <c r="G1612" s="384" t="s">
        <v>329</v>
      </c>
      <c r="H1612" s="24">
        <v>160</v>
      </c>
      <c r="I1612" s="24"/>
      <c r="J1612" s="25" t="str">
        <f t="shared" si="76"/>
        <v>1</v>
      </c>
      <c r="K1612" s="385"/>
      <c r="L1612" s="385"/>
      <c r="M1612" s="386">
        <f t="shared" si="78"/>
        <v>160</v>
      </c>
      <c r="N1612" s="496">
        <v>750</v>
      </c>
      <c r="O1612" s="333">
        <f t="shared" si="77"/>
        <v>910</v>
      </c>
      <c r="R1612" s="23" t="str">
        <f>VLOOKUP(C:C,'Historic Data - working'!A:B,1,FALSE)</f>
        <v>SOU050</v>
      </c>
      <c r="U1612" s="323"/>
      <c r="V1612" s="323"/>
      <c r="W1612" s="323"/>
    </row>
    <row r="1613" spans="1:23" s="23" customFormat="1" ht="14.25" hidden="1" x14ac:dyDescent="0.2">
      <c r="A1613" s="381" t="s">
        <v>5482</v>
      </c>
      <c r="B1613" s="381" t="s">
        <v>324</v>
      </c>
      <c r="C1613" s="416" t="s">
        <v>5718</v>
      </c>
      <c r="D1613" s="381" t="s">
        <v>5719</v>
      </c>
      <c r="E1613" s="383" t="s">
        <v>5563</v>
      </c>
      <c r="F1613" s="381" t="s">
        <v>5720</v>
      </c>
      <c r="G1613" s="384" t="s">
        <v>329</v>
      </c>
      <c r="H1613" s="24">
        <f>365.67+453.92</f>
        <v>819.59</v>
      </c>
      <c r="I1613" s="24"/>
      <c r="J1613" s="25" t="str">
        <f t="shared" si="76"/>
        <v>1</v>
      </c>
      <c r="K1613" s="385" t="s">
        <v>5721</v>
      </c>
      <c r="L1613" s="385"/>
      <c r="M1613" s="386">
        <f t="shared" si="78"/>
        <v>819.59</v>
      </c>
      <c r="N1613" s="496">
        <v>32.1</v>
      </c>
      <c r="O1613" s="333">
        <f t="shared" si="77"/>
        <v>851.69</v>
      </c>
      <c r="R1613" s="23" t="str">
        <f>VLOOKUP(C:C,'Historic Data - working'!A:B,1,FALSE)</f>
        <v>SOU051</v>
      </c>
      <c r="U1613" s="323"/>
      <c r="V1613" s="323"/>
      <c r="W1613" s="323"/>
    </row>
    <row r="1614" spans="1:23" s="23" customFormat="1" ht="14.25" hidden="1" x14ac:dyDescent="0.2">
      <c r="A1614" s="381" t="s">
        <v>5482</v>
      </c>
      <c r="B1614" s="381" t="s">
        <v>324</v>
      </c>
      <c r="C1614" s="416" t="s">
        <v>5722</v>
      </c>
      <c r="D1614" s="381" t="s">
        <v>5723</v>
      </c>
      <c r="E1614" s="383" t="s">
        <v>3659</v>
      </c>
      <c r="F1614" s="381" t="s">
        <v>5724</v>
      </c>
      <c r="G1614" s="384" t="s">
        <v>329</v>
      </c>
      <c r="H1614" s="24">
        <f>2366.85+30.9+2238.28</f>
        <v>4636.0300000000007</v>
      </c>
      <c r="I1614" s="24"/>
      <c r="J1614" s="25" t="str">
        <f t="shared" si="76"/>
        <v>1</v>
      </c>
      <c r="K1614" s="387" t="s">
        <v>5725</v>
      </c>
      <c r="L1614" s="385">
        <v>21.22</v>
      </c>
      <c r="M1614" s="386">
        <f t="shared" si="78"/>
        <v>4657.2500000000009</v>
      </c>
      <c r="N1614" s="496">
        <v>530</v>
      </c>
      <c r="O1614" s="333">
        <f t="shared" si="77"/>
        <v>5187.2500000000009</v>
      </c>
      <c r="R1614" s="23" t="str">
        <f>VLOOKUP(C:C,'Historic Data - working'!A:B,1,FALSE)</f>
        <v>SOU052</v>
      </c>
      <c r="U1614" s="323"/>
      <c r="V1614" s="323"/>
      <c r="W1614" s="323"/>
    </row>
    <row r="1615" spans="1:23" s="23" customFormat="1" ht="14.25" hidden="1" x14ac:dyDescent="0.2">
      <c r="A1615" s="381" t="s">
        <v>5482</v>
      </c>
      <c r="B1615" s="381" t="s">
        <v>324</v>
      </c>
      <c r="C1615" s="416" t="s">
        <v>5726</v>
      </c>
      <c r="D1615" s="381" t="s">
        <v>5727</v>
      </c>
      <c r="E1615" s="383" t="s">
        <v>2900</v>
      </c>
      <c r="F1615" s="381" t="s">
        <v>5728</v>
      </c>
      <c r="G1615" s="384"/>
      <c r="H1615" s="24"/>
      <c r="I1615" s="24"/>
      <c r="J1615" s="25" t="str">
        <f t="shared" si="76"/>
        <v xml:space="preserve"> </v>
      </c>
      <c r="K1615" s="385"/>
      <c r="L1615" s="385"/>
      <c r="M1615" s="386">
        <f t="shared" si="78"/>
        <v>0</v>
      </c>
      <c r="N1615" s="496"/>
      <c r="O1615" s="333">
        <f t="shared" si="77"/>
        <v>0</v>
      </c>
      <c r="R1615" s="23" t="e">
        <f>VLOOKUP(C:C,'Historic Data - working'!A:B,1,FALSE)</f>
        <v>#N/A</v>
      </c>
      <c r="U1615" s="323"/>
      <c r="V1615" s="323"/>
      <c r="W1615" s="323"/>
    </row>
    <row r="1616" spans="1:23" s="23" customFormat="1" ht="14.25" hidden="1" x14ac:dyDescent="0.2">
      <c r="A1616" s="381" t="s">
        <v>5482</v>
      </c>
      <c r="B1616" s="381" t="s">
        <v>324</v>
      </c>
      <c r="C1616" s="416" t="s">
        <v>5729</v>
      </c>
      <c r="D1616" s="381" t="s">
        <v>5730</v>
      </c>
      <c r="E1616" s="383" t="s">
        <v>5731</v>
      </c>
      <c r="F1616" s="381" t="s">
        <v>5724</v>
      </c>
      <c r="G1616" s="384" t="s">
        <v>329</v>
      </c>
      <c r="H1616" s="24">
        <f>329.98+717.14</f>
        <v>1047.1199999999999</v>
      </c>
      <c r="I1616" s="24"/>
      <c r="J1616" s="25" t="str">
        <f t="shared" si="76"/>
        <v>1</v>
      </c>
      <c r="K1616" s="387" t="s">
        <v>5732</v>
      </c>
      <c r="L1616" s="385">
        <v>-58.81</v>
      </c>
      <c r="M1616" s="386">
        <f t="shared" si="78"/>
        <v>988.31</v>
      </c>
      <c r="N1616" s="496">
        <v>40</v>
      </c>
      <c r="O1616" s="333">
        <f t="shared" si="77"/>
        <v>1028.31</v>
      </c>
      <c r="R1616" s="23" t="str">
        <f>VLOOKUP(C:C,'Historic Data - working'!A:B,1,FALSE)</f>
        <v>SOU052X</v>
      </c>
      <c r="U1616" s="323"/>
      <c r="V1616" s="323"/>
      <c r="W1616" s="323"/>
    </row>
    <row r="1617" spans="1:23" s="23" customFormat="1" ht="14.25" hidden="1" x14ac:dyDescent="0.2">
      <c r="A1617" s="381" t="s">
        <v>5482</v>
      </c>
      <c r="B1617" s="381" t="s">
        <v>324</v>
      </c>
      <c r="C1617" s="416" t="s">
        <v>5733</v>
      </c>
      <c r="D1617" s="381" t="s">
        <v>5734</v>
      </c>
      <c r="E1617" s="383" t="s">
        <v>78</v>
      </c>
      <c r="F1617" s="381" t="s">
        <v>5735</v>
      </c>
      <c r="G1617" s="384" t="s">
        <v>329</v>
      </c>
      <c r="H1617" s="24">
        <v>2196.27</v>
      </c>
      <c r="I1617" s="24"/>
      <c r="J1617" s="25" t="str">
        <f t="shared" si="76"/>
        <v>1</v>
      </c>
      <c r="K1617" s="385"/>
      <c r="L1617" s="385"/>
      <c r="M1617" s="386">
        <f t="shared" si="78"/>
        <v>2196.27</v>
      </c>
      <c r="N1617" s="496">
        <v>275</v>
      </c>
      <c r="O1617" s="333">
        <f t="shared" si="77"/>
        <v>2471.27</v>
      </c>
      <c r="R1617" s="23" t="str">
        <f>VLOOKUP(C:C,'Historic Data - working'!A:B,1,FALSE)</f>
        <v>SOU053</v>
      </c>
      <c r="U1617" s="323"/>
      <c r="V1617" s="323"/>
      <c r="W1617" s="323"/>
    </row>
    <row r="1618" spans="1:23" s="23" customFormat="1" ht="14.25" hidden="1" x14ac:dyDescent="0.2">
      <c r="A1618" s="381" t="s">
        <v>5482</v>
      </c>
      <c r="B1618" s="381" t="s">
        <v>324</v>
      </c>
      <c r="C1618" s="416" t="s">
        <v>5736</v>
      </c>
      <c r="D1618" s="381" t="s">
        <v>5737</v>
      </c>
      <c r="E1618" s="383" t="s">
        <v>1976</v>
      </c>
      <c r="F1618" s="381" t="s">
        <v>5738</v>
      </c>
      <c r="G1618" s="384" t="s">
        <v>329</v>
      </c>
      <c r="H1618" s="24">
        <f>30.95+69.5+153+63+25.1+59.8+105.5+195.25</f>
        <v>702.1</v>
      </c>
      <c r="I1618" s="24">
        <f>31.3+74+30</f>
        <v>135.30000000000001</v>
      </c>
      <c r="J1618" s="25" t="str">
        <f t="shared" si="76"/>
        <v>1</v>
      </c>
      <c r="K1618" s="385" t="s">
        <v>5739</v>
      </c>
      <c r="L1618" s="385">
        <v>105.3</v>
      </c>
      <c r="M1618" s="386">
        <f t="shared" si="78"/>
        <v>807.4</v>
      </c>
      <c r="N1618" s="496">
        <v>190.17000000000002</v>
      </c>
      <c r="O1618" s="333">
        <f t="shared" si="77"/>
        <v>997.56999999999994</v>
      </c>
      <c r="R1618" s="23" t="str">
        <f>VLOOKUP(C:C,'Historic Data - working'!A:B,1,FALSE)</f>
        <v>SOU054</v>
      </c>
      <c r="U1618" s="323"/>
      <c r="V1618" s="323"/>
      <c r="W1618" s="323"/>
    </row>
    <row r="1619" spans="1:23" s="23" customFormat="1" ht="14.25" hidden="1" x14ac:dyDescent="0.2">
      <c r="A1619" s="381" t="s">
        <v>5482</v>
      </c>
      <c r="B1619" s="381" t="s">
        <v>324</v>
      </c>
      <c r="C1619" s="416" t="s">
        <v>5740</v>
      </c>
      <c r="D1619" s="381" t="s">
        <v>5741</v>
      </c>
      <c r="E1619" s="383" t="s">
        <v>5742</v>
      </c>
      <c r="F1619" s="381" t="s">
        <v>5743</v>
      </c>
      <c r="G1619" s="384" t="s">
        <v>329</v>
      </c>
      <c r="H1619" s="24">
        <f>98.31+93.89+80.03+159.63+293.66+203.44+46.06</f>
        <v>975.02</v>
      </c>
      <c r="I1619" s="24"/>
      <c r="J1619" s="25" t="str">
        <f t="shared" si="76"/>
        <v>1</v>
      </c>
      <c r="K1619" s="387" t="s">
        <v>5744</v>
      </c>
      <c r="L1619" s="385">
        <v>48.55</v>
      </c>
      <c r="M1619" s="386">
        <f t="shared" si="78"/>
        <v>1023.5699999999999</v>
      </c>
      <c r="N1619" s="496"/>
      <c r="O1619" s="333">
        <f t="shared" si="77"/>
        <v>1023.5699999999999</v>
      </c>
      <c r="R1619" s="23" t="str">
        <f>VLOOKUP(C:C,'Historic Data - working'!A:B,1,FALSE)</f>
        <v>SOU055</v>
      </c>
      <c r="U1619" s="323"/>
      <c r="V1619" s="323"/>
      <c r="W1619" s="323"/>
    </row>
    <row r="1620" spans="1:23" s="23" customFormat="1" ht="14.25" hidden="1" x14ac:dyDescent="0.2">
      <c r="A1620" s="381" t="s">
        <v>5482</v>
      </c>
      <c r="B1620" s="381" t="s">
        <v>324</v>
      </c>
      <c r="C1620" s="416" t="s">
        <v>5745</v>
      </c>
      <c r="D1620" s="381" t="s">
        <v>5746</v>
      </c>
      <c r="E1620" s="383" t="s">
        <v>5747</v>
      </c>
      <c r="F1620" s="381" t="s">
        <v>5748</v>
      </c>
      <c r="G1620" s="384" t="s">
        <v>329</v>
      </c>
      <c r="H1620" s="24">
        <f>388.77+105.07+74+308.14</f>
        <v>875.9799999999999</v>
      </c>
      <c r="I1620" s="24"/>
      <c r="J1620" s="25" t="str">
        <f t="shared" si="76"/>
        <v>1</v>
      </c>
      <c r="K1620" s="387" t="s">
        <v>5749</v>
      </c>
      <c r="L1620" s="385">
        <v>532.80999999999995</v>
      </c>
      <c r="M1620" s="386">
        <f t="shared" si="78"/>
        <v>1408.79</v>
      </c>
      <c r="N1620" s="496">
        <v>40</v>
      </c>
      <c r="O1620" s="333">
        <f t="shared" si="77"/>
        <v>1448.79</v>
      </c>
      <c r="R1620" s="23" t="str">
        <f>VLOOKUP(C:C,'Historic Data - working'!A:B,1,FALSE)</f>
        <v>SOU056</v>
      </c>
      <c r="U1620" s="323"/>
      <c r="V1620" s="323"/>
      <c r="W1620" s="323"/>
    </row>
    <row r="1621" spans="1:23" s="23" customFormat="1" ht="14.25" hidden="1" x14ac:dyDescent="0.2">
      <c r="A1621" s="381" t="s">
        <v>5482</v>
      </c>
      <c r="B1621" s="381" t="s">
        <v>324</v>
      </c>
      <c r="C1621" s="416" t="s">
        <v>5750</v>
      </c>
      <c r="D1621" s="381" t="s">
        <v>5751</v>
      </c>
      <c r="E1621" s="383" t="s">
        <v>453</v>
      </c>
      <c r="F1621" s="381" t="s">
        <v>5752</v>
      </c>
      <c r="G1621" s="384" t="s">
        <v>329</v>
      </c>
      <c r="H1621" s="24">
        <v>841.11</v>
      </c>
      <c r="I1621" s="24"/>
      <c r="J1621" s="25" t="str">
        <f t="shared" si="76"/>
        <v>1</v>
      </c>
      <c r="K1621" s="387" t="s">
        <v>5753</v>
      </c>
      <c r="L1621" s="385">
        <v>-532.80999999999995</v>
      </c>
      <c r="M1621" s="386">
        <f t="shared" si="78"/>
        <v>308.30000000000007</v>
      </c>
      <c r="N1621" s="496">
        <v>210</v>
      </c>
      <c r="O1621" s="333">
        <f t="shared" si="77"/>
        <v>518.30000000000007</v>
      </c>
      <c r="R1621" s="23" t="str">
        <f>VLOOKUP(C:C,'Historic Data - working'!A:B,1,FALSE)</f>
        <v>SOU057</v>
      </c>
      <c r="U1621" s="323"/>
      <c r="V1621" s="323"/>
      <c r="W1621" s="323"/>
    </row>
    <row r="1622" spans="1:23" s="23" customFormat="1" ht="14.25" hidden="1" x14ac:dyDescent="0.2">
      <c r="A1622" s="381" t="s">
        <v>5482</v>
      </c>
      <c r="B1622" s="381" t="s">
        <v>324</v>
      </c>
      <c r="C1622" s="416" t="s">
        <v>5754</v>
      </c>
      <c r="D1622" s="381" t="s">
        <v>5755</v>
      </c>
      <c r="E1622" s="383" t="s">
        <v>63</v>
      </c>
      <c r="F1622" s="381" t="s">
        <v>5756</v>
      </c>
      <c r="G1622" s="384"/>
      <c r="H1622" s="24"/>
      <c r="I1622" s="24"/>
      <c r="J1622" s="25" t="str">
        <f t="shared" si="76"/>
        <v xml:space="preserve"> </v>
      </c>
      <c r="K1622" s="385"/>
      <c r="L1622" s="385"/>
      <c r="M1622" s="386">
        <f t="shared" si="78"/>
        <v>0</v>
      </c>
      <c r="N1622" s="496">
        <v>210</v>
      </c>
      <c r="O1622" s="333">
        <f t="shared" si="77"/>
        <v>210</v>
      </c>
      <c r="R1622" s="23" t="str">
        <f>VLOOKUP(C:C,'Historic Data - working'!A:B,1,FALSE)</f>
        <v>SOU058</v>
      </c>
      <c r="U1622" s="323"/>
      <c r="V1622" s="323"/>
      <c r="W1622" s="323"/>
    </row>
    <row r="1623" spans="1:23" s="23" customFormat="1" ht="14.25" hidden="1" x14ac:dyDescent="0.2">
      <c r="A1623" s="381" t="s">
        <v>5482</v>
      </c>
      <c r="B1623" s="381" t="s">
        <v>324</v>
      </c>
      <c r="C1623" s="416" t="s">
        <v>5757</v>
      </c>
      <c r="D1623" s="381" t="s">
        <v>5758</v>
      </c>
      <c r="E1623" s="383" t="s">
        <v>1543</v>
      </c>
      <c r="F1623" s="381" t="s">
        <v>5759</v>
      </c>
      <c r="G1623" s="384" t="s">
        <v>329</v>
      </c>
      <c r="H1623" s="24">
        <f>405+45+306</f>
        <v>756</v>
      </c>
      <c r="I1623" s="24"/>
      <c r="J1623" s="25" t="str">
        <f t="shared" si="76"/>
        <v>1</v>
      </c>
      <c r="K1623" s="385"/>
      <c r="L1623" s="385"/>
      <c r="M1623" s="386">
        <f t="shared" si="78"/>
        <v>756</v>
      </c>
      <c r="N1623" s="496">
        <v>90</v>
      </c>
      <c r="O1623" s="333">
        <f t="shared" si="77"/>
        <v>846</v>
      </c>
      <c r="R1623" s="23" t="str">
        <f>VLOOKUP(C:C,'Historic Data - working'!A:B,1,FALSE)</f>
        <v>SOU059</v>
      </c>
      <c r="U1623" s="323"/>
      <c r="V1623" s="323"/>
      <c r="W1623" s="323"/>
    </row>
    <row r="1624" spans="1:23" s="23" customFormat="1" ht="14.25" hidden="1" x14ac:dyDescent="0.2">
      <c r="A1624" s="381" t="s">
        <v>5482</v>
      </c>
      <c r="B1624" s="381" t="s">
        <v>324</v>
      </c>
      <c r="C1624" s="416" t="s">
        <v>5760</v>
      </c>
      <c r="D1624" s="381" t="s">
        <v>5761</v>
      </c>
      <c r="E1624" s="383" t="s">
        <v>1823</v>
      </c>
      <c r="F1624" s="381" t="s">
        <v>5762</v>
      </c>
      <c r="G1624" s="384"/>
      <c r="H1624" s="24"/>
      <c r="I1624" s="24"/>
      <c r="J1624" s="25" t="str">
        <f t="shared" si="76"/>
        <v xml:space="preserve"> </v>
      </c>
      <c r="K1624" s="385"/>
      <c r="L1624" s="385"/>
      <c r="M1624" s="386">
        <f t="shared" si="78"/>
        <v>0</v>
      </c>
      <c r="N1624" s="496">
        <v>208</v>
      </c>
      <c r="O1624" s="333">
        <f t="shared" si="77"/>
        <v>208</v>
      </c>
      <c r="R1624" s="23" t="str">
        <f>VLOOKUP(C:C,'Historic Data - working'!A:B,1,FALSE)</f>
        <v>SOU060</v>
      </c>
      <c r="U1624" s="323"/>
      <c r="V1624" s="323"/>
      <c r="W1624" s="323"/>
    </row>
    <row r="1625" spans="1:23" s="23" customFormat="1" ht="14.25" hidden="1" x14ac:dyDescent="0.2">
      <c r="A1625" s="381" t="s">
        <v>5482</v>
      </c>
      <c r="B1625" s="381" t="s">
        <v>324</v>
      </c>
      <c r="C1625" s="416" t="s">
        <v>5763</v>
      </c>
      <c r="D1625" s="381" t="s">
        <v>5764</v>
      </c>
      <c r="E1625" s="383" t="s">
        <v>5765</v>
      </c>
      <c r="F1625" s="381" t="s">
        <v>5766</v>
      </c>
      <c r="G1625" s="384" t="s">
        <v>329</v>
      </c>
      <c r="H1625" s="24">
        <v>190</v>
      </c>
      <c r="I1625" s="24"/>
      <c r="J1625" s="25" t="str">
        <f t="shared" si="76"/>
        <v>1</v>
      </c>
      <c r="K1625" s="385"/>
      <c r="L1625" s="385"/>
      <c r="M1625" s="386">
        <f t="shared" si="78"/>
        <v>190</v>
      </c>
      <c r="N1625" s="496">
        <v>115</v>
      </c>
      <c r="O1625" s="333">
        <f t="shared" si="77"/>
        <v>305</v>
      </c>
      <c r="R1625" s="23" t="str">
        <f>VLOOKUP(C:C,'Historic Data - working'!A:B,1,FALSE)</f>
        <v>SOU061</v>
      </c>
      <c r="U1625" s="323"/>
      <c r="V1625" s="323"/>
      <c r="W1625" s="323"/>
    </row>
    <row r="1626" spans="1:23" s="23" customFormat="1" ht="14.25" hidden="1" x14ac:dyDescent="0.2">
      <c r="A1626" s="381" t="s">
        <v>5482</v>
      </c>
      <c r="B1626" s="381" t="s">
        <v>324</v>
      </c>
      <c r="C1626" s="416" t="s">
        <v>5767</v>
      </c>
      <c r="D1626" s="381" t="s">
        <v>5768</v>
      </c>
      <c r="E1626" s="383" t="s">
        <v>5769</v>
      </c>
      <c r="F1626" s="381" t="s">
        <v>5770</v>
      </c>
      <c r="G1626" s="384"/>
      <c r="H1626" s="24"/>
      <c r="I1626" s="24"/>
      <c r="J1626" s="25" t="str">
        <f t="shared" si="76"/>
        <v xml:space="preserve"> </v>
      </c>
      <c r="K1626" s="385"/>
      <c r="L1626" s="385"/>
      <c r="M1626" s="386">
        <f t="shared" si="78"/>
        <v>0</v>
      </c>
      <c r="N1626" s="496">
        <v>1010</v>
      </c>
      <c r="O1626" s="333">
        <f t="shared" si="77"/>
        <v>1010</v>
      </c>
      <c r="R1626" s="23" t="str">
        <f>VLOOKUP(C:C,'Historic Data - working'!A:B,1,FALSE)</f>
        <v>SOU062</v>
      </c>
      <c r="U1626" s="323"/>
      <c r="V1626" s="323"/>
      <c r="W1626" s="323"/>
    </row>
    <row r="1627" spans="1:23" s="23" customFormat="1" ht="14.25" hidden="1" x14ac:dyDescent="0.2">
      <c r="A1627" s="381" t="s">
        <v>5482</v>
      </c>
      <c r="B1627" s="381" t="s">
        <v>324</v>
      </c>
      <c r="C1627" s="416" t="s">
        <v>5771</v>
      </c>
      <c r="D1627" s="381" t="s">
        <v>5772</v>
      </c>
      <c r="E1627" s="383" t="s">
        <v>1087</v>
      </c>
      <c r="F1627" s="381" t="s">
        <v>5773</v>
      </c>
      <c r="G1627" s="384"/>
      <c r="H1627" s="24"/>
      <c r="I1627" s="24"/>
      <c r="J1627" s="25" t="str">
        <f t="shared" si="76"/>
        <v xml:space="preserve"> </v>
      </c>
      <c r="K1627" s="385" t="s">
        <v>337</v>
      </c>
      <c r="L1627" s="385">
        <v>63.52</v>
      </c>
      <c r="M1627" s="386">
        <f t="shared" si="78"/>
        <v>63.52</v>
      </c>
      <c r="N1627" s="496">
        <v>130</v>
      </c>
      <c r="O1627" s="333">
        <f t="shared" si="77"/>
        <v>193.52</v>
      </c>
      <c r="R1627" s="23" t="str">
        <f>VLOOKUP(C:C,'Historic Data - working'!A:B,1,FALSE)</f>
        <v>SOU063</v>
      </c>
      <c r="U1627" s="323"/>
      <c r="V1627" s="323"/>
      <c r="W1627" s="323"/>
    </row>
    <row r="1628" spans="1:23" s="23" customFormat="1" ht="14.25" hidden="1" x14ac:dyDescent="0.2">
      <c r="A1628" s="381" t="s">
        <v>5482</v>
      </c>
      <c r="B1628" s="381" t="s">
        <v>324</v>
      </c>
      <c r="C1628" s="416" t="s">
        <v>5774</v>
      </c>
      <c r="D1628" s="381" t="s">
        <v>5775</v>
      </c>
      <c r="E1628" s="383" t="s">
        <v>1376</v>
      </c>
      <c r="F1628" s="381" t="s">
        <v>5492</v>
      </c>
      <c r="G1628" s="384"/>
      <c r="H1628" s="24"/>
      <c r="I1628" s="24"/>
      <c r="J1628" s="25" t="str">
        <f t="shared" si="76"/>
        <v xml:space="preserve"> </v>
      </c>
      <c r="K1628" s="385"/>
      <c r="L1628" s="395"/>
      <c r="M1628" s="386">
        <f t="shared" si="78"/>
        <v>0</v>
      </c>
      <c r="N1628" s="496">
        <v>242</v>
      </c>
      <c r="O1628" s="333">
        <f t="shared" si="77"/>
        <v>242</v>
      </c>
      <c r="R1628" s="23" t="str">
        <f>VLOOKUP(C:C,'Historic Data - working'!A:B,1,FALSE)</f>
        <v>SOU064</v>
      </c>
      <c r="U1628" s="323"/>
      <c r="V1628" s="323"/>
      <c r="W1628" s="323"/>
    </row>
    <row r="1629" spans="1:23" s="23" customFormat="1" ht="14.25" hidden="1" x14ac:dyDescent="0.2">
      <c r="A1629" s="381" t="s">
        <v>5482</v>
      </c>
      <c r="B1629" s="381" t="s">
        <v>324</v>
      </c>
      <c r="C1629" s="416" t="s">
        <v>5776</v>
      </c>
      <c r="D1629" s="381" t="s">
        <v>5777</v>
      </c>
      <c r="E1629" s="383" t="s">
        <v>167</v>
      </c>
      <c r="F1629" s="381" t="s">
        <v>99</v>
      </c>
      <c r="G1629" s="384" t="s">
        <v>329</v>
      </c>
      <c r="H1629" s="24">
        <f>108.65+189.98+149.97+120.6+42.56+27.46</f>
        <v>639.22</v>
      </c>
      <c r="I1629" s="24"/>
      <c r="J1629" s="25" t="str">
        <f t="shared" si="76"/>
        <v>1</v>
      </c>
      <c r="K1629" s="387" t="s">
        <v>5778</v>
      </c>
      <c r="L1629" s="385">
        <v>191.45</v>
      </c>
      <c r="M1629" s="386">
        <f t="shared" si="78"/>
        <v>830.67000000000007</v>
      </c>
      <c r="N1629" s="496">
        <v>75</v>
      </c>
      <c r="O1629" s="333">
        <f t="shared" si="77"/>
        <v>905.67000000000007</v>
      </c>
      <c r="R1629" s="23" t="str">
        <f>VLOOKUP(C:C,'Historic Data - working'!A:B,1,FALSE)</f>
        <v>SOU065</v>
      </c>
      <c r="U1629" s="323"/>
      <c r="V1629" s="323"/>
      <c r="W1629" s="323"/>
    </row>
    <row r="1630" spans="1:23" s="23" customFormat="1" ht="14.25" hidden="1" x14ac:dyDescent="0.2">
      <c r="A1630" s="381" t="s">
        <v>5482</v>
      </c>
      <c r="B1630" s="381" t="s">
        <v>324</v>
      </c>
      <c r="C1630" s="416" t="s">
        <v>5779</v>
      </c>
      <c r="D1630" s="381" t="s">
        <v>5780</v>
      </c>
      <c r="E1630" s="383" t="s">
        <v>3222</v>
      </c>
      <c r="F1630" s="381" t="s">
        <v>5781</v>
      </c>
      <c r="G1630" s="384"/>
      <c r="H1630" s="24"/>
      <c r="I1630" s="24"/>
      <c r="J1630" s="25" t="str">
        <f t="shared" si="76"/>
        <v xml:space="preserve"> </v>
      </c>
      <c r="K1630" s="385"/>
      <c r="L1630" s="385"/>
      <c r="M1630" s="386">
        <f t="shared" si="78"/>
        <v>0</v>
      </c>
      <c r="N1630" s="496">
        <v>85</v>
      </c>
      <c r="O1630" s="333">
        <f t="shared" si="77"/>
        <v>85</v>
      </c>
      <c r="R1630" s="23" t="str">
        <f>VLOOKUP(C:C,'Historic Data - working'!A:B,1,FALSE)</f>
        <v>SOU066</v>
      </c>
      <c r="U1630" s="323"/>
      <c r="V1630" s="323"/>
      <c r="W1630" s="323"/>
    </row>
    <row r="1631" spans="1:23" s="23" customFormat="1" ht="14.25" hidden="1" x14ac:dyDescent="0.2">
      <c r="A1631" s="381" t="s">
        <v>5482</v>
      </c>
      <c r="B1631" s="381" t="s">
        <v>324</v>
      </c>
      <c r="C1631" s="416" t="s">
        <v>5782</v>
      </c>
      <c r="D1631" s="381" t="s">
        <v>5783</v>
      </c>
      <c r="E1631" s="383" t="s">
        <v>5784</v>
      </c>
      <c r="F1631" s="381" t="s">
        <v>5785</v>
      </c>
      <c r="G1631" s="384"/>
      <c r="H1631" s="24"/>
      <c r="I1631" s="24"/>
      <c r="J1631" s="25" t="str">
        <f t="shared" si="76"/>
        <v xml:space="preserve"> </v>
      </c>
      <c r="K1631" s="385"/>
      <c r="L1631" s="385"/>
      <c r="M1631" s="386">
        <f t="shared" si="78"/>
        <v>0</v>
      </c>
      <c r="N1631" s="496"/>
      <c r="O1631" s="333">
        <f t="shared" si="77"/>
        <v>0</v>
      </c>
      <c r="R1631" s="23" t="e">
        <f>VLOOKUP(C:C,'Historic Data - working'!A:B,1,FALSE)</f>
        <v>#N/A</v>
      </c>
      <c r="U1631" s="323"/>
      <c r="V1631" s="323"/>
      <c r="W1631" s="323"/>
    </row>
    <row r="1632" spans="1:23" s="23" customFormat="1" ht="28.5" hidden="1" x14ac:dyDescent="0.2">
      <c r="A1632" s="381" t="s">
        <v>5482</v>
      </c>
      <c r="B1632" s="381" t="s">
        <v>324</v>
      </c>
      <c r="C1632" s="416" t="s">
        <v>5786</v>
      </c>
      <c r="D1632" s="381" t="s">
        <v>5787</v>
      </c>
      <c r="E1632" s="383" t="s">
        <v>5788</v>
      </c>
      <c r="F1632" s="381" t="s">
        <v>5789</v>
      </c>
      <c r="G1632" s="384" t="s">
        <v>329</v>
      </c>
      <c r="H1632" s="24">
        <f>60+100+110+70+300+60</f>
        <v>700</v>
      </c>
      <c r="I1632" s="24"/>
      <c r="J1632" s="25" t="str">
        <f t="shared" si="76"/>
        <v>1</v>
      </c>
      <c r="K1632" s="385"/>
      <c r="L1632" s="385"/>
      <c r="M1632" s="386">
        <f t="shared" si="78"/>
        <v>700</v>
      </c>
      <c r="N1632" s="496">
        <v>30</v>
      </c>
      <c r="O1632" s="333">
        <f t="shared" si="77"/>
        <v>730</v>
      </c>
      <c r="R1632" s="23" t="str">
        <f>VLOOKUP(C:C,'Historic Data - working'!A:B,1,FALSE)</f>
        <v>SOU067</v>
      </c>
      <c r="U1632" s="323"/>
      <c r="V1632" s="323"/>
      <c r="W1632" s="323"/>
    </row>
    <row r="1633" spans="1:23" s="23" customFormat="1" ht="14.25" hidden="1" x14ac:dyDescent="0.2">
      <c r="A1633" s="381" t="s">
        <v>5482</v>
      </c>
      <c r="B1633" s="381" t="s">
        <v>324</v>
      </c>
      <c r="C1633" s="416" t="s">
        <v>5790</v>
      </c>
      <c r="D1633" s="381" t="s">
        <v>5791</v>
      </c>
      <c r="E1633" s="383" t="s">
        <v>5792</v>
      </c>
      <c r="F1633" s="381" t="s">
        <v>5793</v>
      </c>
      <c r="G1633" s="384" t="s">
        <v>329</v>
      </c>
      <c r="H1633" s="24">
        <f>147.12+1601.06</f>
        <v>1748.1799999999998</v>
      </c>
      <c r="I1633" s="24"/>
      <c r="J1633" s="25" t="str">
        <f t="shared" si="76"/>
        <v>1</v>
      </c>
      <c r="K1633" s="385"/>
      <c r="L1633" s="385"/>
      <c r="M1633" s="386">
        <f t="shared" si="78"/>
        <v>1748.1799999999998</v>
      </c>
      <c r="N1633" s="496">
        <v>125</v>
      </c>
      <c r="O1633" s="333">
        <f t="shared" si="77"/>
        <v>1873.1799999999998</v>
      </c>
      <c r="R1633" s="23" t="str">
        <f>VLOOKUP(C:C,'Historic Data - working'!A:B,1,FALSE)</f>
        <v>SOU068</v>
      </c>
      <c r="U1633" s="323"/>
      <c r="V1633" s="323"/>
      <c r="W1633" s="323"/>
    </row>
    <row r="1634" spans="1:23" s="23" customFormat="1" ht="14.25" hidden="1" x14ac:dyDescent="0.2">
      <c r="A1634" s="381" t="s">
        <v>5482</v>
      </c>
      <c r="B1634" s="381" t="s">
        <v>324</v>
      </c>
      <c r="C1634" s="416" t="s">
        <v>5794</v>
      </c>
      <c r="D1634" s="381" t="s">
        <v>5795</v>
      </c>
      <c r="E1634" s="383" t="s">
        <v>5796</v>
      </c>
      <c r="F1634" s="381" t="s">
        <v>5797</v>
      </c>
      <c r="G1634" s="384" t="s">
        <v>329</v>
      </c>
      <c r="H1634" s="24"/>
      <c r="I1634" s="24">
        <v>864.5</v>
      </c>
      <c r="J1634" s="25" t="str">
        <f t="shared" si="76"/>
        <v>1</v>
      </c>
      <c r="K1634" s="385"/>
      <c r="L1634" s="385"/>
      <c r="M1634" s="386">
        <f>H1634+L1634</f>
        <v>0</v>
      </c>
      <c r="N1634" s="496">
        <v>767.5</v>
      </c>
      <c r="O1634" s="333">
        <f t="shared" si="77"/>
        <v>767.5</v>
      </c>
      <c r="R1634" s="23" t="str">
        <f>VLOOKUP(C:C,'Historic Data - working'!A:B,1,FALSE)</f>
        <v>SOU069</v>
      </c>
      <c r="U1634" s="323"/>
      <c r="V1634" s="323"/>
      <c r="W1634" s="323"/>
    </row>
    <row r="1635" spans="1:23" s="23" customFormat="1" ht="14.25" hidden="1" x14ac:dyDescent="0.2">
      <c r="A1635" s="381" t="s">
        <v>5482</v>
      </c>
      <c r="B1635" s="381" t="s">
        <v>324</v>
      </c>
      <c r="C1635" s="416" t="s">
        <v>5798</v>
      </c>
      <c r="D1635" s="381" t="s">
        <v>5799</v>
      </c>
      <c r="E1635" s="383" t="s">
        <v>5800</v>
      </c>
      <c r="F1635" s="381" t="s">
        <v>3000</v>
      </c>
      <c r="G1635" s="384" t="s">
        <v>329</v>
      </c>
      <c r="H1635" s="24"/>
      <c r="I1635" s="24"/>
      <c r="J1635" s="25" t="str">
        <f t="shared" si="76"/>
        <v>1</v>
      </c>
      <c r="K1635" s="385" t="s">
        <v>337</v>
      </c>
      <c r="L1635" s="385">
        <v>1691.19</v>
      </c>
      <c r="M1635" s="386">
        <f t="shared" si="78"/>
        <v>1691.19</v>
      </c>
      <c r="N1635" s="496">
        <v>405</v>
      </c>
      <c r="O1635" s="333">
        <f t="shared" si="77"/>
        <v>2096.19</v>
      </c>
      <c r="R1635" s="23" t="str">
        <f>VLOOKUP(C:C,'Historic Data - working'!A:B,1,FALSE)</f>
        <v>SOU070</v>
      </c>
      <c r="U1635" s="323"/>
      <c r="V1635" s="323"/>
      <c r="W1635" s="323"/>
    </row>
    <row r="1636" spans="1:23" s="23" customFormat="1" ht="14.25" hidden="1" x14ac:dyDescent="0.2">
      <c r="A1636" s="381" t="s">
        <v>5482</v>
      </c>
      <c r="B1636" s="381" t="s">
        <v>324</v>
      </c>
      <c r="C1636" s="416" t="s">
        <v>5801</v>
      </c>
      <c r="D1636" s="381" t="s">
        <v>5802</v>
      </c>
      <c r="E1636" s="383" t="s">
        <v>428</v>
      </c>
      <c r="F1636" s="381" t="s">
        <v>5803</v>
      </c>
      <c r="G1636" s="384" t="s">
        <v>329</v>
      </c>
      <c r="H1636" s="24"/>
      <c r="I1636" s="24">
        <v>399.06</v>
      </c>
      <c r="J1636" s="25" t="str">
        <f t="shared" si="76"/>
        <v>1</v>
      </c>
      <c r="K1636" s="388"/>
      <c r="L1636" s="385"/>
      <c r="M1636" s="386">
        <f t="shared" si="78"/>
        <v>0</v>
      </c>
      <c r="N1636" s="496">
        <v>1079.06</v>
      </c>
      <c r="O1636" s="333">
        <f t="shared" si="77"/>
        <v>1079.06</v>
      </c>
      <c r="R1636" s="23" t="str">
        <f>VLOOKUP(C:C,'Historic Data - working'!A:B,1,FALSE)</f>
        <v>SOU071</v>
      </c>
      <c r="U1636" s="323"/>
      <c r="V1636" s="323"/>
      <c r="W1636" s="323"/>
    </row>
    <row r="1637" spans="1:23" s="23" customFormat="1" ht="14.25" hidden="1" x14ac:dyDescent="0.2">
      <c r="A1637" s="381" t="s">
        <v>5482</v>
      </c>
      <c r="B1637" s="381" t="s">
        <v>324</v>
      </c>
      <c r="C1637" s="416" t="s">
        <v>5804</v>
      </c>
      <c r="D1637" s="381" t="s">
        <v>5805</v>
      </c>
      <c r="E1637" s="383" t="s">
        <v>5806</v>
      </c>
      <c r="F1637" s="381" t="s">
        <v>5807</v>
      </c>
      <c r="G1637" s="384"/>
      <c r="H1637" s="24"/>
      <c r="I1637" s="24"/>
      <c r="J1637" s="25" t="str">
        <f t="shared" si="76"/>
        <v xml:space="preserve"> </v>
      </c>
      <c r="K1637" s="385"/>
      <c r="L1637" s="385"/>
      <c r="M1637" s="386">
        <f t="shared" si="78"/>
        <v>0</v>
      </c>
      <c r="N1637" s="496"/>
      <c r="O1637" s="333">
        <f t="shared" si="77"/>
        <v>0</v>
      </c>
      <c r="R1637" s="23" t="e">
        <f>VLOOKUP(C:C,'Historic Data - working'!A:B,1,FALSE)</f>
        <v>#N/A</v>
      </c>
      <c r="U1637" s="323"/>
      <c r="V1637" s="323"/>
      <c r="W1637" s="323"/>
    </row>
    <row r="1638" spans="1:23" s="23" customFormat="1" ht="14.25" hidden="1" x14ac:dyDescent="0.2">
      <c r="A1638" s="381" t="s">
        <v>5482</v>
      </c>
      <c r="B1638" s="381" t="s">
        <v>324</v>
      </c>
      <c r="C1638" s="416" t="s">
        <v>5808</v>
      </c>
      <c r="D1638" s="381" t="s">
        <v>5809</v>
      </c>
      <c r="E1638" s="383" t="s">
        <v>164</v>
      </c>
      <c r="F1638" s="381" t="s">
        <v>5810</v>
      </c>
      <c r="G1638" s="384" t="s">
        <v>329</v>
      </c>
      <c r="H1638" s="24">
        <f>274+164+60.82</f>
        <v>498.82</v>
      </c>
      <c r="I1638" s="24"/>
      <c r="J1638" s="25" t="str">
        <f t="shared" si="76"/>
        <v>1</v>
      </c>
      <c r="K1638" s="385"/>
      <c r="L1638" s="385"/>
      <c r="M1638" s="386">
        <f t="shared" si="78"/>
        <v>498.82</v>
      </c>
      <c r="N1638" s="496">
        <v>233</v>
      </c>
      <c r="O1638" s="333">
        <f t="shared" si="77"/>
        <v>731.81999999999994</v>
      </c>
      <c r="R1638" s="23" t="str">
        <f>VLOOKUP(C:C,'Historic Data - working'!A:B,1,FALSE)</f>
        <v>SOU072</v>
      </c>
      <c r="U1638" s="323"/>
      <c r="V1638" s="323"/>
      <c r="W1638" s="323"/>
    </row>
    <row r="1639" spans="1:23" s="23" customFormat="1" ht="14.25" hidden="1" x14ac:dyDescent="0.2">
      <c r="A1639" s="381" t="s">
        <v>5482</v>
      </c>
      <c r="B1639" s="381" t="s">
        <v>324</v>
      </c>
      <c r="C1639" s="416" t="s">
        <v>5811</v>
      </c>
      <c r="D1639" s="381" t="s">
        <v>5812</v>
      </c>
      <c r="E1639" s="383" t="s">
        <v>564</v>
      </c>
      <c r="F1639" s="381" t="s">
        <v>5813</v>
      </c>
      <c r="G1639" s="384" t="s">
        <v>329</v>
      </c>
      <c r="H1639" s="24"/>
      <c r="I1639" s="24">
        <f>120+92.87+100+700+509.17+190+452.6+183.57+120+700+67.47</f>
        <v>3235.68</v>
      </c>
      <c r="J1639" s="25" t="str">
        <f t="shared" si="76"/>
        <v>1</v>
      </c>
      <c r="K1639" s="385"/>
      <c r="L1639" s="385"/>
      <c r="M1639" s="386">
        <f t="shared" si="78"/>
        <v>0</v>
      </c>
      <c r="N1639" s="496">
        <v>3285.68</v>
      </c>
      <c r="O1639" s="333">
        <f t="shared" si="77"/>
        <v>3285.68</v>
      </c>
      <c r="R1639" s="23" t="str">
        <f>VLOOKUP(C:C,'Historic Data - working'!A:B,1,FALSE)</f>
        <v>SOU072A</v>
      </c>
      <c r="U1639" s="323"/>
      <c r="V1639" s="323"/>
      <c r="W1639" s="323"/>
    </row>
    <row r="1640" spans="1:23" s="23" customFormat="1" ht="14.25" hidden="1" x14ac:dyDescent="0.2">
      <c r="A1640" s="381" t="s">
        <v>5482</v>
      </c>
      <c r="B1640" s="381" t="s">
        <v>324</v>
      </c>
      <c r="C1640" s="416" t="s">
        <v>5814</v>
      </c>
      <c r="D1640" s="381" t="s">
        <v>5815</v>
      </c>
      <c r="E1640" s="383" t="s">
        <v>226</v>
      </c>
      <c r="F1640" s="381" t="s">
        <v>5816</v>
      </c>
      <c r="G1640" s="384"/>
      <c r="H1640" s="24"/>
      <c r="I1640" s="24"/>
      <c r="J1640" s="25" t="str">
        <f t="shared" si="76"/>
        <v xml:space="preserve"> </v>
      </c>
      <c r="K1640" s="385"/>
      <c r="L1640" s="385"/>
      <c r="M1640" s="386">
        <f t="shared" si="78"/>
        <v>0</v>
      </c>
      <c r="N1640" s="496"/>
      <c r="O1640" s="333">
        <f t="shared" si="77"/>
        <v>0</v>
      </c>
      <c r="R1640" s="23" t="e">
        <f>VLOOKUP(C:C,'Historic Data - working'!A:B,1,FALSE)</f>
        <v>#N/A</v>
      </c>
      <c r="U1640" s="323"/>
      <c r="V1640" s="323"/>
      <c r="W1640" s="323"/>
    </row>
    <row r="1641" spans="1:23" s="23" customFormat="1" ht="14.25" hidden="1" x14ac:dyDescent="0.2">
      <c r="A1641" s="381" t="s">
        <v>5482</v>
      </c>
      <c r="B1641" s="381" t="s">
        <v>324</v>
      </c>
      <c r="C1641" s="416" t="s">
        <v>5817</v>
      </c>
      <c r="D1641" s="381" t="s">
        <v>5818</v>
      </c>
      <c r="E1641" s="383" t="s">
        <v>119</v>
      </c>
      <c r="F1641" s="381" t="s">
        <v>5819</v>
      </c>
      <c r="G1641" s="384"/>
      <c r="H1641" s="24"/>
      <c r="I1641" s="24"/>
      <c r="J1641" s="25" t="str">
        <f t="shared" si="76"/>
        <v xml:space="preserve"> </v>
      </c>
      <c r="K1641" s="385"/>
      <c r="L1641" s="385"/>
      <c r="M1641" s="386">
        <f t="shared" si="78"/>
        <v>0</v>
      </c>
      <c r="N1641" s="496">
        <v>162.53</v>
      </c>
      <c r="O1641" s="333">
        <f t="shared" si="77"/>
        <v>162.53</v>
      </c>
      <c r="R1641" s="23" t="str">
        <f>VLOOKUP(C:C,'Historic Data - working'!A:B,1,FALSE)</f>
        <v>SOU073</v>
      </c>
      <c r="U1641" s="323"/>
      <c r="V1641" s="323"/>
      <c r="W1641" s="323"/>
    </row>
    <row r="1642" spans="1:23" s="23" customFormat="1" ht="14.25" hidden="1" x14ac:dyDescent="0.2">
      <c r="A1642" s="381" t="s">
        <v>5482</v>
      </c>
      <c r="B1642" s="381" t="s">
        <v>324</v>
      </c>
      <c r="C1642" s="416" t="s">
        <v>5820</v>
      </c>
      <c r="D1642" s="381" t="s">
        <v>5821</v>
      </c>
      <c r="E1642" s="383" t="s">
        <v>61</v>
      </c>
      <c r="F1642" s="381" t="s">
        <v>5819</v>
      </c>
      <c r="G1642" s="384"/>
      <c r="H1642" s="24"/>
      <c r="I1642" s="24"/>
      <c r="J1642" s="25" t="str">
        <f t="shared" si="76"/>
        <v xml:space="preserve"> </v>
      </c>
      <c r="K1642" s="385"/>
      <c r="L1642" s="385"/>
      <c r="M1642" s="386">
        <f t="shared" si="78"/>
        <v>0</v>
      </c>
      <c r="N1642" s="496">
        <v>155</v>
      </c>
      <c r="O1642" s="333">
        <f t="shared" si="77"/>
        <v>155</v>
      </c>
      <c r="R1642" s="23" t="str">
        <f>VLOOKUP(C:C,'Historic Data - working'!A:B,1,FALSE)</f>
        <v>SOU074</v>
      </c>
      <c r="U1642" s="323"/>
      <c r="V1642" s="323"/>
      <c r="W1642" s="323"/>
    </row>
    <row r="1643" spans="1:23" s="23" customFormat="1" ht="14.25" hidden="1" x14ac:dyDescent="0.2">
      <c r="A1643" s="381" t="s">
        <v>5482</v>
      </c>
      <c r="B1643" s="381" t="s">
        <v>324</v>
      </c>
      <c r="C1643" s="416" t="s">
        <v>5822</v>
      </c>
      <c r="D1643" s="381" t="s">
        <v>5823</v>
      </c>
      <c r="E1643" s="383" t="s">
        <v>5824</v>
      </c>
      <c r="F1643" s="381" t="s">
        <v>5825</v>
      </c>
      <c r="G1643" s="384" t="s">
        <v>329</v>
      </c>
      <c r="H1643" s="24">
        <f>325.01+240.72</f>
        <v>565.73</v>
      </c>
      <c r="I1643" s="24"/>
      <c r="J1643" s="25" t="str">
        <f t="shared" si="76"/>
        <v>1</v>
      </c>
      <c r="K1643" s="385"/>
      <c r="L1643" s="385"/>
      <c r="M1643" s="386">
        <f t="shared" si="78"/>
        <v>565.73</v>
      </c>
      <c r="N1643" s="496">
        <v>15</v>
      </c>
      <c r="O1643" s="333">
        <f t="shared" si="77"/>
        <v>580.73</v>
      </c>
      <c r="R1643" s="23" t="str">
        <f>VLOOKUP(C:C,'Historic Data - working'!A:B,1,FALSE)</f>
        <v>SOU075</v>
      </c>
      <c r="U1643" s="323"/>
      <c r="V1643" s="323"/>
      <c r="W1643" s="323"/>
    </row>
    <row r="1644" spans="1:23" s="23" customFormat="1" ht="14.25" hidden="1" x14ac:dyDescent="0.2">
      <c r="A1644" s="381" t="s">
        <v>5482</v>
      </c>
      <c r="B1644" s="381" t="s">
        <v>324</v>
      </c>
      <c r="C1644" s="416" t="s">
        <v>5826</v>
      </c>
      <c r="D1644" s="381" t="s">
        <v>5827</v>
      </c>
      <c r="E1644" s="383" t="s">
        <v>198</v>
      </c>
      <c r="F1644" s="381" t="s">
        <v>5828</v>
      </c>
      <c r="G1644" s="384" t="s">
        <v>329</v>
      </c>
      <c r="H1644" s="24"/>
      <c r="I1644" s="24">
        <f>107.7+115.82+134.2+252.79</f>
        <v>610.51</v>
      </c>
      <c r="J1644" s="25" t="str">
        <f t="shared" si="76"/>
        <v>1</v>
      </c>
      <c r="K1644" s="385"/>
      <c r="L1644" s="385"/>
      <c r="M1644" s="386">
        <f t="shared" si="78"/>
        <v>0</v>
      </c>
      <c r="N1644" s="496">
        <v>835.51</v>
      </c>
      <c r="O1644" s="333">
        <f t="shared" si="77"/>
        <v>835.51</v>
      </c>
      <c r="R1644" s="23" t="str">
        <f>VLOOKUP(C:C,'Historic Data - working'!A:B,1,FALSE)</f>
        <v>SOU076</v>
      </c>
      <c r="U1644" s="323"/>
      <c r="V1644" s="323"/>
      <c r="W1644" s="323"/>
    </row>
    <row r="1645" spans="1:23" s="23" customFormat="1" ht="14.25" hidden="1" x14ac:dyDescent="0.2">
      <c r="A1645" s="381" t="s">
        <v>5482</v>
      </c>
      <c r="B1645" s="381" t="s">
        <v>324</v>
      </c>
      <c r="C1645" s="416" t="s">
        <v>5829</v>
      </c>
      <c r="D1645" s="381" t="s">
        <v>5830</v>
      </c>
      <c r="E1645" s="383" t="s">
        <v>1696</v>
      </c>
      <c r="F1645" s="381" t="s">
        <v>5831</v>
      </c>
      <c r="G1645" s="384" t="s">
        <v>329</v>
      </c>
      <c r="H1645" s="24">
        <v>2138.0700000000002</v>
      </c>
      <c r="I1645" s="24"/>
      <c r="J1645" s="25" t="str">
        <f t="shared" ref="J1645:J1708" si="79">IF(G1645="Y","1"," ")</f>
        <v>1</v>
      </c>
      <c r="K1645" s="387" t="s">
        <v>5832</v>
      </c>
      <c r="L1645" s="385">
        <v>5</v>
      </c>
      <c r="M1645" s="386">
        <f t="shared" si="78"/>
        <v>2143.0700000000002</v>
      </c>
      <c r="N1645" s="496">
        <v>230</v>
      </c>
      <c r="O1645" s="333">
        <f t="shared" si="77"/>
        <v>2373.0700000000002</v>
      </c>
      <c r="R1645" s="23" t="str">
        <f>VLOOKUP(C:C,'Historic Data - working'!A:B,1,FALSE)</f>
        <v>SOU078</v>
      </c>
      <c r="U1645" s="323"/>
      <c r="V1645" s="323"/>
      <c r="W1645" s="323"/>
    </row>
    <row r="1646" spans="1:23" s="23" customFormat="1" ht="14.25" hidden="1" x14ac:dyDescent="0.2">
      <c r="A1646" s="381" t="s">
        <v>5482</v>
      </c>
      <c r="B1646" s="381" t="s">
        <v>324</v>
      </c>
      <c r="C1646" s="416" t="s">
        <v>5833</v>
      </c>
      <c r="D1646" s="381" t="s">
        <v>5834</v>
      </c>
      <c r="E1646" s="383" t="s">
        <v>3574</v>
      </c>
      <c r="F1646" s="381" t="s">
        <v>5835</v>
      </c>
      <c r="G1646" s="384"/>
      <c r="H1646" s="24"/>
      <c r="I1646" s="24"/>
      <c r="J1646" s="25" t="str">
        <f t="shared" si="79"/>
        <v xml:space="preserve"> </v>
      </c>
      <c r="K1646" s="385"/>
      <c r="L1646" s="385"/>
      <c r="M1646" s="386">
        <f t="shared" si="78"/>
        <v>0</v>
      </c>
      <c r="N1646" s="496">
        <v>715</v>
      </c>
      <c r="O1646" s="333">
        <f t="shared" si="77"/>
        <v>715</v>
      </c>
      <c r="R1646" s="23" t="str">
        <f>VLOOKUP(C:C,'Historic Data - working'!A:B,1,FALSE)</f>
        <v>SOU079</v>
      </c>
      <c r="U1646" s="323"/>
      <c r="V1646" s="323"/>
      <c r="W1646" s="323"/>
    </row>
    <row r="1647" spans="1:23" s="23" customFormat="1" ht="14.25" hidden="1" x14ac:dyDescent="0.2">
      <c r="A1647" s="381" t="s">
        <v>5482</v>
      </c>
      <c r="B1647" s="381" t="s">
        <v>324</v>
      </c>
      <c r="C1647" s="416" t="s">
        <v>5836</v>
      </c>
      <c r="D1647" s="381" t="s">
        <v>5837</v>
      </c>
      <c r="E1647" s="383" t="s">
        <v>796</v>
      </c>
      <c r="F1647" s="381" t="s">
        <v>5838</v>
      </c>
      <c r="G1647" s="384" t="s">
        <v>329</v>
      </c>
      <c r="H1647" s="24">
        <v>141.82</v>
      </c>
      <c r="I1647" s="24"/>
      <c r="J1647" s="25" t="str">
        <f t="shared" si="79"/>
        <v>1</v>
      </c>
      <c r="K1647" s="385"/>
      <c r="L1647" s="392"/>
      <c r="M1647" s="386">
        <f t="shared" si="78"/>
        <v>141.82</v>
      </c>
      <c r="N1647" s="496">
        <v>290</v>
      </c>
      <c r="O1647" s="333">
        <f t="shared" si="77"/>
        <v>431.82</v>
      </c>
      <c r="R1647" s="23" t="str">
        <f>VLOOKUP(C:C,'Historic Data - working'!A:B,1,FALSE)</f>
        <v>SOU080</v>
      </c>
      <c r="U1647" s="323"/>
      <c r="V1647" s="323"/>
      <c r="W1647" s="323"/>
    </row>
    <row r="1648" spans="1:23" s="23" customFormat="1" ht="14.25" hidden="1" x14ac:dyDescent="0.2">
      <c r="A1648" s="381" t="s">
        <v>5482</v>
      </c>
      <c r="B1648" s="381" t="s">
        <v>324</v>
      </c>
      <c r="C1648" s="416" t="s">
        <v>5839</v>
      </c>
      <c r="D1648" s="381" t="s">
        <v>5840</v>
      </c>
      <c r="E1648" s="383" t="s">
        <v>5841</v>
      </c>
      <c r="F1648" s="381" t="s">
        <v>4863</v>
      </c>
      <c r="G1648" s="384"/>
      <c r="H1648" s="24"/>
      <c r="I1648" s="24"/>
      <c r="J1648" s="25" t="str">
        <f t="shared" si="79"/>
        <v xml:space="preserve"> </v>
      </c>
      <c r="K1648" s="385" t="s">
        <v>337</v>
      </c>
      <c r="L1648" s="392">
        <v>165.12</v>
      </c>
      <c r="M1648" s="386">
        <f t="shared" si="78"/>
        <v>165.12</v>
      </c>
      <c r="N1648" s="496">
        <v>790</v>
      </c>
      <c r="O1648" s="333">
        <f t="shared" si="77"/>
        <v>955.12</v>
      </c>
      <c r="R1648" s="23" t="str">
        <f>VLOOKUP(C:C,'Historic Data - working'!A:B,1,FALSE)</f>
        <v>SOU081</v>
      </c>
      <c r="U1648" s="323"/>
      <c r="V1648" s="323"/>
      <c r="W1648" s="323"/>
    </row>
    <row r="1649" spans="1:23" s="23" customFormat="1" ht="14.25" hidden="1" x14ac:dyDescent="0.2">
      <c r="A1649" s="381" t="s">
        <v>5482</v>
      </c>
      <c r="B1649" s="381" t="s">
        <v>324</v>
      </c>
      <c r="C1649" s="416" t="s">
        <v>5842</v>
      </c>
      <c r="D1649" s="381" t="s">
        <v>5843</v>
      </c>
      <c r="E1649" s="383" t="s">
        <v>5382</v>
      </c>
      <c r="F1649" s="381" t="s">
        <v>5844</v>
      </c>
      <c r="G1649" s="384"/>
      <c r="H1649" s="24"/>
      <c r="I1649" s="24"/>
      <c r="J1649" s="25" t="str">
        <f t="shared" si="79"/>
        <v xml:space="preserve"> </v>
      </c>
      <c r="K1649" s="385"/>
      <c r="L1649" s="392"/>
      <c r="M1649" s="386">
        <f t="shared" si="78"/>
        <v>0</v>
      </c>
      <c r="N1649" s="496"/>
      <c r="O1649" s="333">
        <f t="shared" si="77"/>
        <v>0</v>
      </c>
      <c r="R1649" s="23" t="e">
        <f>VLOOKUP(C:C,'Historic Data - working'!A:B,1,FALSE)</f>
        <v>#N/A</v>
      </c>
      <c r="U1649" s="323"/>
      <c r="V1649" s="323"/>
      <c r="W1649" s="323"/>
    </row>
    <row r="1650" spans="1:23" s="23" customFormat="1" ht="14.25" hidden="1" x14ac:dyDescent="0.2">
      <c r="A1650" s="381" t="s">
        <v>5482</v>
      </c>
      <c r="B1650" s="381" t="s">
        <v>324</v>
      </c>
      <c r="C1650" s="416" t="s">
        <v>5845</v>
      </c>
      <c r="D1650" s="381" t="s">
        <v>5846</v>
      </c>
      <c r="E1650" s="383" t="s">
        <v>5847</v>
      </c>
      <c r="F1650" s="381" t="s">
        <v>1832</v>
      </c>
      <c r="G1650" s="384"/>
      <c r="H1650" s="24"/>
      <c r="I1650" s="24"/>
      <c r="J1650" s="25" t="str">
        <f t="shared" si="79"/>
        <v xml:space="preserve"> </v>
      </c>
      <c r="K1650" s="385"/>
      <c r="L1650" s="392"/>
      <c r="M1650" s="386">
        <f t="shared" si="78"/>
        <v>0</v>
      </c>
      <c r="N1650" s="496"/>
      <c r="O1650" s="333">
        <f t="shared" si="77"/>
        <v>0</v>
      </c>
      <c r="R1650" s="23" t="e">
        <f>VLOOKUP(C:C,'Historic Data - working'!A:B,1,FALSE)</f>
        <v>#N/A</v>
      </c>
      <c r="U1650" s="323"/>
      <c r="V1650" s="323"/>
      <c r="W1650" s="323"/>
    </row>
    <row r="1651" spans="1:23" s="23" customFormat="1" ht="14.25" hidden="1" x14ac:dyDescent="0.2">
      <c r="A1651" s="381" t="s">
        <v>5482</v>
      </c>
      <c r="B1651" s="381" t="s">
        <v>324</v>
      </c>
      <c r="C1651" s="416" t="s">
        <v>5848</v>
      </c>
      <c r="D1651" s="381" t="s">
        <v>5849</v>
      </c>
      <c r="E1651" s="383" t="s">
        <v>5850</v>
      </c>
      <c r="F1651" s="381" t="s">
        <v>5851</v>
      </c>
      <c r="G1651" s="384" t="s">
        <v>329</v>
      </c>
      <c r="H1651" s="24">
        <f>290.61+151.77</f>
        <v>442.38</v>
      </c>
      <c r="I1651" s="24"/>
      <c r="J1651" s="25" t="str">
        <f t="shared" si="79"/>
        <v>1</v>
      </c>
      <c r="K1651" s="385"/>
      <c r="L1651" s="392"/>
      <c r="M1651" s="386">
        <f t="shared" si="78"/>
        <v>442.38</v>
      </c>
      <c r="N1651" s="496">
        <v>100</v>
      </c>
      <c r="O1651" s="333">
        <f t="shared" si="77"/>
        <v>542.38</v>
      </c>
      <c r="R1651" s="23" t="str">
        <f>VLOOKUP(C:C,'Historic Data - working'!A:B,1,FALSE)</f>
        <v>SOU082</v>
      </c>
      <c r="U1651" s="323"/>
      <c r="V1651" s="323"/>
      <c r="W1651" s="323"/>
    </row>
    <row r="1652" spans="1:23" s="23" customFormat="1" ht="14.25" hidden="1" x14ac:dyDescent="0.2">
      <c r="A1652" s="381" t="s">
        <v>5482</v>
      </c>
      <c r="B1652" s="381" t="s">
        <v>324</v>
      </c>
      <c r="C1652" s="416" t="s">
        <v>5852</v>
      </c>
      <c r="D1652" s="381" t="s">
        <v>5853</v>
      </c>
      <c r="E1652" s="383" t="s">
        <v>989</v>
      </c>
      <c r="F1652" s="381" t="s">
        <v>5854</v>
      </c>
      <c r="G1652" s="384" t="s">
        <v>329</v>
      </c>
      <c r="H1652" s="24">
        <v>464.72</v>
      </c>
      <c r="I1652" s="24"/>
      <c r="J1652" s="25" t="str">
        <f t="shared" si="79"/>
        <v>1</v>
      </c>
      <c r="K1652" s="388"/>
      <c r="L1652" s="392"/>
      <c r="M1652" s="386">
        <f t="shared" si="78"/>
        <v>464.72</v>
      </c>
      <c r="N1652" s="496">
        <v>50</v>
      </c>
      <c r="O1652" s="333">
        <f t="shared" si="77"/>
        <v>514.72</v>
      </c>
      <c r="R1652" s="23" t="str">
        <f>VLOOKUP(C:C,'Historic Data - working'!A:B,1,FALSE)</f>
        <v>SOU083</v>
      </c>
      <c r="U1652" s="323"/>
      <c r="V1652" s="323"/>
      <c r="W1652" s="323"/>
    </row>
    <row r="1653" spans="1:23" s="23" customFormat="1" ht="14.25" hidden="1" x14ac:dyDescent="0.2">
      <c r="A1653" s="381" t="s">
        <v>5482</v>
      </c>
      <c r="B1653" s="381" t="s">
        <v>324</v>
      </c>
      <c r="C1653" s="416" t="s">
        <v>5855</v>
      </c>
      <c r="D1653" s="381" t="s">
        <v>5856</v>
      </c>
      <c r="E1653" s="383" t="s">
        <v>357</v>
      </c>
      <c r="F1653" s="381" t="s">
        <v>5857</v>
      </c>
      <c r="G1653" s="384"/>
      <c r="H1653" s="24"/>
      <c r="I1653" s="24"/>
      <c r="J1653" s="25" t="str">
        <f t="shared" si="79"/>
        <v xml:space="preserve"> </v>
      </c>
      <c r="K1653" s="385"/>
      <c r="L1653" s="392"/>
      <c r="M1653" s="386">
        <f t="shared" si="78"/>
        <v>0</v>
      </c>
      <c r="N1653" s="496">
        <v>295.91999999999996</v>
      </c>
      <c r="O1653" s="333">
        <f t="shared" si="77"/>
        <v>295.91999999999996</v>
      </c>
      <c r="R1653" s="23" t="str">
        <f>VLOOKUP(C:C,'Historic Data - working'!A:B,1,FALSE)</f>
        <v>SOU084</v>
      </c>
      <c r="U1653" s="323"/>
      <c r="V1653" s="323"/>
      <c r="W1653" s="323"/>
    </row>
    <row r="1654" spans="1:23" s="23" customFormat="1" ht="14.25" hidden="1" x14ac:dyDescent="0.2">
      <c r="A1654" s="381" t="s">
        <v>5482</v>
      </c>
      <c r="B1654" s="381" t="s">
        <v>324</v>
      </c>
      <c r="C1654" s="416" t="s">
        <v>5858</v>
      </c>
      <c r="D1654" s="381" t="s">
        <v>5859</v>
      </c>
      <c r="E1654" s="383" t="s">
        <v>5860</v>
      </c>
      <c r="F1654" s="381" t="s">
        <v>5861</v>
      </c>
      <c r="G1654" s="384" t="s">
        <v>329</v>
      </c>
      <c r="H1654" s="24">
        <v>442.14</v>
      </c>
      <c r="I1654" s="24"/>
      <c r="J1654" s="25" t="str">
        <f t="shared" si="79"/>
        <v>1</v>
      </c>
      <c r="K1654" s="388"/>
      <c r="L1654" s="392"/>
      <c r="M1654" s="386">
        <f t="shared" si="78"/>
        <v>442.14</v>
      </c>
      <c r="N1654" s="496">
        <v>304</v>
      </c>
      <c r="O1654" s="333">
        <f t="shared" si="77"/>
        <v>746.14</v>
      </c>
      <c r="R1654" s="23" t="str">
        <f>VLOOKUP(C:C,'Historic Data - working'!A:B,1,FALSE)</f>
        <v>SOU085</v>
      </c>
      <c r="U1654" s="323"/>
      <c r="V1654" s="323"/>
      <c r="W1654" s="323"/>
    </row>
    <row r="1655" spans="1:23" s="23" customFormat="1" ht="14.25" hidden="1" x14ac:dyDescent="0.2">
      <c r="A1655" s="381" t="s">
        <v>5482</v>
      </c>
      <c r="B1655" s="381" t="s">
        <v>324</v>
      </c>
      <c r="C1655" s="416" t="s">
        <v>5862</v>
      </c>
      <c r="D1655" s="381" t="s">
        <v>5863</v>
      </c>
      <c r="E1655" s="383" t="s">
        <v>5864</v>
      </c>
      <c r="F1655" s="381" t="s">
        <v>5865</v>
      </c>
      <c r="G1655" s="384" t="s">
        <v>329</v>
      </c>
      <c r="H1655" s="24">
        <v>318.63</v>
      </c>
      <c r="I1655" s="24"/>
      <c r="J1655" s="25" t="str">
        <f t="shared" si="79"/>
        <v>1</v>
      </c>
      <c r="K1655" s="385"/>
      <c r="L1655" s="392"/>
      <c r="M1655" s="386">
        <f t="shared" si="78"/>
        <v>318.63</v>
      </c>
      <c r="N1655" s="496"/>
      <c r="O1655" s="333">
        <f t="shared" si="77"/>
        <v>318.63</v>
      </c>
      <c r="R1655" s="23" t="str">
        <f>VLOOKUP(C:C,'Historic Data - working'!A:B,1,FALSE)</f>
        <v>SOU086</v>
      </c>
      <c r="U1655" s="323"/>
      <c r="V1655" s="323"/>
      <c r="W1655" s="323"/>
    </row>
    <row r="1656" spans="1:23" s="23" customFormat="1" ht="14.25" hidden="1" x14ac:dyDescent="0.2">
      <c r="A1656" s="381" t="s">
        <v>5482</v>
      </c>
      <c r="B1656" s="381" t="s">
        <v>324</v>
      </c>
      <c r="C1656" s="416" t="s">
        <v>5866</v>
      </c>
      <c r="D1656" s="381" t="s">
        <v>5867</v>
      </c>
      <c r="E1656" s="383" t="s">
        <v>1203</v>
      </c>
      <c r="F1656" s="381" t="s">
        <v>5868</v>
      </c>
      <c r="G1656" s="384" t="s">
        <v>329</v>
      </c>
      <c r="H1656" s="24"/>
      <c r="I1656" s="24">
        <v>1947.57</v>
      </c>
      <c r="J1656" s="25" t="str">
        <f t="shared" si="79"/>
        <v>1</v>
      </c>
      <c r="K1656" s="385"/>
      <c r="L1656" s="392"/>
      <c r="M1656" s="386">
        <f t="shared" si="78"/>
        <v>0</v>
      </c>
      <c r="N1656" s="496">
        <v>2052.3999999999996</v>
      </c>
      <c r="O1656" s="333">
        <f t="shared" si="77"/>
        <v>2052.3999999999996</v>
      </c>
      <c r="R1656" s="23" t="str">
        <f>VLOOKUP(C:C,'Historic Data - working'!A:B,1,FALSE)</f>
        <v>SOU087</v>
      </c>
      <c r="U1656" s="323"/>
      <c r="V1656" s="323"/>
      <c r="W1656" s="323"/>
    </row>
    <row r="1657" spans="1:23" s="23" customFormat="1" ht="14.25" hidden="1" x14ac:dyDescent="0.2">
      <c r="A1657" s="381" t="s">
        <v>5482</v>
      </c>
      <c r="B1657" s="381" t="s">
        <v>324</v>
      </c>
      <c r="C1657" s="416" t="s">
        <v>5869</v>
      </c>
      <c r="D1657" s="381" t="s">
        <v>5870</v>
      </c>
      <c r="E1657" s="383" t="s">
        <v>5871</v>
      </c>
      <c r="F1657" s="381" t="s">
        <v>5872</v>
      </c>
      <c r="G1657" s="384"/>
      <c r="H1657" s="24"/>
      <c r="I1657" s="24"/>
      <c r="J1657" s="25" t="str">
        <f t="shared" si="79"/>
        <v xml:space="preserve"> </v>
      </c>
      <c r="K1657" s="385" t="s">
        <v>337</v>
      </c>
      <c r="L1657" s="392">
        <v>84.36</v>
      </c>
      <c r="M1657" s="386">
        <f t="shared" si="78"/>
        <v>84.36</v>
      </c>
      <c r="N1657" s="496">
        <v>323</v>
      </c>
      <c r="O1657" s="333">
        <f t="shared" si="77"/>
        <v>407.36</v>
      </c>
      <c r="R1657" s="23" t="str">
        <f>VLOOKUP(C:C,'Historic Data - working'!A:B,1,FALSE)</f>
        <v>SOU088</v>
      </c>
      <c r="U1657" s="323"/>
      <c r="V1657" s="323"/>
      <c r="W1657" s="323"/>
    </row>
    <row r="1658" spans="1:23" s="23" customFormat="1" ht="14.25" hidden="1" x14ac:dyDescent="0.2">
      <c r="A1658" s="381" t="s">
        <v>5482</v>
      </c>
      <c r="B1658" s="381" t="s">
        <v>324</v>
      </c>
      <c r="C1658" s="416" t="s">
        <v>5873</v>
      </c>
      <c r="D1658" s="381" t="s">
        <v>5874</v>
      </c>
      <c r="E1658" s="383" t="s">
        <v>5875</v>
      </c>
      <c r="F1658" s="381" t="s">
        <v>5876</v>
      </c>
      <c r="G1658" s="384"/>
      <c r="H1658" s="24"/>
      <c r="I1658" s="24"/>
      <c r="J1658" s="25" t="str">
        <f t="shared" si="79"/>
        <v xml:space="preserve"> </v>
      </c>
      <c r="K1658" s="385" t="s">
        <v>337</v>
      </c>
      <c r="L1658" s="392">
        <v>19.04</v>
      </c>
      <c r="M1658" s="386">
        <f t="shared" si="78"/>
        <v>19.04</v>
      </c>
      <c r="N1658" s="496">
        <v>773.94</v>
      </c>
      <c r="O1658" s="333">
        <f t="shared" si="77"/>
        <v>792.98</v>
      </c>
      <c r="R1658" s="23" t="str">
        <f>VLOOKUP(C:C,'Historic Data - working'!A:B,1,FALSE)</f>
        <v>SOU089</v>
      </c>
      <c r="U1658" s="323"/>
      <c r="V1658" s="323"/>
      <c r="W1658" s="323"/>
    </row>
    <row r="1659" spans="1:23" s="23" customFormat="1" ht="14.25" hidden="1" x14ac:dyDescent="0.2">
      <c r="A1659" s="381" t="s">
        <v>5482</v>
      </c>
      <c r="B1659" s="381" t="s">
        <v>324</v>
      </c>
      <c r="C1659" s="416" t="s">
        <v>5877</v>
      </c>
      <c r="D1659" s="381" t="s">
        <v>5878</v>
      </c>
      <c r="E1659" s="383" t="s">
        <v>5879</v>
      </c>
      <c r="F1659" s="381" t="s">
        <v>5880</v>
      </c>
      <c r="G1659" s="384"/>
      <c r="H1659" s="24"/>
      <c r="I1659" s="24"/>
      <c r="J1659" s="25" t="str">
        <f t="shared" si="79"/>
        <v xml:space="preserve"> </v>
      </c>
      <c r="K1659" s="385"/>
      <c r="L1659" s="392"/>
      <c r="M1659" s="386">
        <f t="shared" si="78"/>
        <v>0</v>
      </c>
      <c r="N1659" s="496"/>
      <c r="O1659" s="333">
        <f t="shared" si="77"/>
        <v>0</v>
      </c>
      <c r="R1659" s="23" t="e">
        <f>VLOOKUP(C:C,'Historic Data - working'!A:B,1,FALSE)</f>
        <v>#N/A</v>
      </c>
      <c r="U1659" s="323"/>
      <c r="V1659" s="323"/>
      <c r="W1659" s="323"/>
    </row>
    <row r="1660" spans="1:23" s="23" customFormat="1" ht="14.25" hidden="1" x14ac:dyDescent="0.2">
      <c r="A1660" s="381" t="s">
        <v>5482</v>
      </c>
      <c r="B1660" s="381" t="s">
        <v>324</v>
      </c>
      <c r="C1660" s="416" t="s">
        <v>5881</v>
      </c>
      <c r="D1660" s="381" t="s">
        <v>5882</v>
      </c>
      <c r="E1660" s="383" t="s">
        <v>5883</v>
      </c>
      <c r="F1660" s="381" t="s">
        <v>5884</v>
      </c>
      <c r="G1660" s="384"/>
      <c r="H1660" s="24"/>
      <c r="I1660" s="24"/>
      <c r="J1660" s="25" t="str">
        <f t="shared" si="79"/>
        <v xml:space="preserve"> </v>
      </c>
      <c r="K1660" s="385"/>
      <c r="L1660" s="392"/>
      <c r="M1660" s="386">
        <f t="shared" si="78"/>
        <v>0</v>
      </c>
      <c r="N1660" s="496"/>
      <c r="O1660" s="333">
        <f t="shared" si="77"/>
        <v>0</v>
      </c>
      <c r="R1660" s="23" t="e">
        <f>VLOOKUP(C:C,'Historic Data - working'!A:B,1,FALSE)</f>
        <v>#N/A</v>
      </c>
      <c r="U1660" s="323"/>
      <c r="V1660" s="323"/>
      <c r="W1660" s="323"/>
    </row>
    <row r="1661" spans="1:23" s="23" customFormat="1" ht="14.25" hidden="1" x14ac:dyDescent="0.2">
      <c r="A1661" s="381" t="s">
        <v>5482</v>
      </c>
      <c r="B1661" s="381" t="s">
        <v>324</v>
      </c>
      <c r="C1661" s="416" t="s">
        <v>5885</v>
      </c>
      <c r="D1661" s="381" t="s">
        <v>5886</v>
      </c>
      <c r="E1661" s="383" t="s">
        <v>5887</v>
      </c>
      <c r="F1661" s="381" t="s">
        <v>5888</v>
      </c>
      <c r="G1661" s="384"/>
      <c r="H1661" s="24"/>
      <c r="I1661" s="24"/>
      <c r="J1661" s="25" t="str">
        <f t="shared" si="79"/>
        <v xml:space="preserve"> </v>
      </c>
      <c r="K1661" s="385"/>
      <c r="L1661" s="392"/>
      <c r="M1661" s="386">
        <f t="shared" si="78"/>
        <v>0</v>
      </c>
      <c r="N1661" s="496"/>
      <c r="O1661" s="333">
        <f t="shared" si="77"/>
        <v>0</v>
      </c>
      <c r="R1661" s="23" t="e">
        <f>VLOOKUP(C:C,'Historic Data - working'!A:B,1,FALSE)</f>
        <v>#N/A</v>
      </c>
      <c r="U1661" s="323"/>
      <c r="V1661" s="323"/>
      <c r="W1661" s="323"/>
    </row>
    <row r="1662" spans="1:23" s="23" customFormat="1" ht="14.25" hidden="1" x14ac:dyDescent="0.2">
      <c r="A1662" s="381" t="s">
        <v>5482</v>
      </c>
      <c r="B1662" s="381" t="s">
        <v>324</v>
      </c>
      <c r="C1662" s="416" t="s">
        <v>5889</v>
      </c>
      <c r="D1662" s="381" t="s">
        <v>5890</v>
      </c>
      <c r="E1662" s="383" t="s">
        <v>5891</v>
      </c>
      <c r="F1662" s="381" t="s">
        <v>5892</v>
      </c>
      <c r="G1662" s="384" t="s">
        <v>329</v>
      </c>
      <c r="H1662" s="24">
        <v>943.24</v>
      </c>
      <c r="I1662" s="24"/>
      <c r="J1662" s="25" t="str">
        <f t="shared" si="79"/>
        <v>1</v>
      </c>
      <c r="K1662" s="385"/>
      <c r="L1662" s="392"/>
      <c r="M1662" s="386">
        <f t="shared" si="78"/>
        <v>943.24</v>
      </c>
      <c r="N1662" s="496"/>
      <c r="O1662" s="333">
        <f t="shared" si="77"/>
        <v>943.24</v>
      </c>
      <c r="R1662" s="23" t="str">
        <f>VLOOKUP(C:C,'Historic Data - working'!A:B,1,FALSE)</f>
        <v>SOU090</v>
      </c>
      <c r="U1662" s="323"/>
      <c r="V1662" s="323"/>
      <c r="W1662" s="323"/>
    </row>
    <row r="1663" spans="1:23" s="23" customFormat="1" ht="14.25" hidden="1" x14ac:dyDescent="0.2">
      <c r="A1663" s="381" t="s">
        <v>5482</v>
      </c>
      <c r="B1663" s="381" t="s">
        <v>324</v>
      </c>
      <c r="C1663" s="416" t="s">
        <v>5893</v>
      </c>
      <c r="D1663" s="381" t="s">
        <v>5894</v>
      </c>
      <c r="E1663" s="383" t="s">
        <v>989</v>
      </c>
      <c r="F1663" s="381" t="s">
        <v>5895</v>
      </c>
      <c r="G1663" s="384" t="s">
        <v>329</v>
      </c>
      <c r="H1663" s="24">
        <v>2753.33</v>
      </c>
      <c r="I1663" s="24"/>
      <c r="J1663" s="25" t="str">
        <f t="shared" si="79"/>
        <v>1</v>
      </c>
      <c r="K1663" s="385"/>
      <c r="L1663" s="392"/>
      <c r="M1663" s="386">
        <f t="shared" si="78"/>
        <v>2753.33</v>
      </c>
      <c r="N1663" s="496">
        <v>1361.97</v>
      </c>
      <c r="O1663" s="333">
        <f t="shared" si="77"/>
        <v>4115.3</v>
      </c>
      <c r="R1663" s="23" t="str">
        <f>VLOOKUP(C:C,'Historic Data - working'!A:B,1,FALSE)</f>
        <v>SOU091</v>
      </c>
      <c r="U1663" s="323"/>
      <c r="V1663" s="323"/>
      <c r="W1663" s="323"/>
    </row>
    <row r="1664" spans="1:23" s="23" customFormat="1" ht="14.25" hidden="1" x14ac:dyDescent="0.2">
      <c r="A1664" s="381" t="s">
        <v>5482</v>
      </c>
      <c r="B1664" s="381" t="s">
        <v>324</v>
      </c>
      <c r="C1664" s="416" t="s">
        <v>5896</v>
      </c>
      <c r="D1664" s="381" t="s">
        <v>5897</v>
      </c>
      <c r="E1664" s="383" t="s">
        <v>942</v>
      </c>
      <c r="F1664" s="381" t="s">
        <v>5898</v>
      </c>
      <c r="G1664" s="384"/>
      <c r="H1664" s="24"/>
      <c r="I1664" s="24"/>
      <c r="J1664" s="25" t="str">
        <f t="shared" si="79"/>
        <v xml:space="preserve"> </v>
      </c>
      <c r="K1664" s="385"/>
      <c r="L1664" s="392"/>
      <c r="M1664" s="386">
        <f t="shared" si="78"/>
        <v>0</v>
      </c>
      <c r="N1664" s="496">
        <v>5</v>
      </c>
      <c r="O1664" s="333">
        <f t="shared" si="77"/>
        <v>5</v>
      </c>
      <c r="R1664" s="23" t="str">
        <f>VLOOKUP(C:C,'Historic Data - working'!A:B,1,FALSE)</f>
        <v>SOU093</v>
      </c>
      <c r="U1664" s="323"/>
      <c r="V1664" s="323"/>
      <c r="W1664" s="323"/>
    </row>
    <row r="1665" spans="1:23" s="23" customFormat="1" ht="14.25" hidden="1" x14ac:dyDescent="0.2">
      <c r="A1665" s="381" t="s">
        <v>5482</v>
      </c>
      <c r="B1665" s="381" t="s">
        <v>324</v>
      </c>
      <c r="C1665" s="416" t="s">
        <v>5899</v>
      </c>
      <c r="D1665" s="381" t="s">
        <v>5900</v>
      </c>
      <c r="E1665" s="383" t="s">
        <v>164</v>
      </c>
      <c r="F1665" s="381" t="s">
        <v>5901</v>
      </c>
      <c r="G1665" s="384"/>
      <c r="H1665" s="24"/>
      <c r="I1665" s="24"/>
      <c r="J1665" s="25" t="str">
        <f t="shared" si="79"/>
        <v xml:space="preserve"> </v>
      </c>
      <c r="K1665" s="385" t="s">
        <v>337</v>
      </c>
      <c r="L1665" s="392">
        <v>186.97</v>
      </c>
      <c r="M1665" s="386">
        <f t="shared" si="78"/>
        <v>186.97</v>
      </c>
      <c r="N1665" s="496">
        <v>5</v>
      </c>
      <c r="O1665" s="333">
        <f t="shared" si="77"/>
        <v>191.97</v>
      </c>
      <c r="R1665" s="23" t="str">
        <f>VLOOKUP(C:C,'Historic Data - working'!A:B,1,FALSE)</f>
        <v>SOU095</v>
      </c>
      <c r="U1665" s="323"/>
      <c r="V1665" s="323"/>
      <c r="W1665" s="323"/>
    </row>
    <row r="1666" spans="1:23" s="23" customFormat="1" ht="14.25" hidden="1" x14ac:dyDescent="0.2">
      <c r="A1666" s="381" t="s">
        <v>5482</v>
      </c>
      <c r="B1666" s="381" t="s">
        <v>324</v>
      </c>
      <c r="C1666" s="416" t="s">
        <v>5902</v>
      </c>
      <c r="D1666" s="381" t="s">
        <v>5903</v>
      </c>
      <c r="E1666" s="383" t="s">
        <v>5904</v>
      </c>
      <c r="F1666" s="381" t="s">
        <v>5901</v>
      </c>
      <c r="G1666" s="384"/>
      <c r="H1666" s="24"/>
      <c r="I1666" s="24"/>
      <c r="J1666" s="25" t="str">
        <f t="shared" si="79"/>
        <v xml:space="preserve"> </v>
      </c>
      <c r="K1666" s="385"/>
      <c r="L1666" s="392"/>
      <c r="M1666" s="386">
        <f t="shared" si="78"/>
        <v>0</v>
      </c>
      <c r="N1666" s="496"/>
      <c r="O1666" s="333">
        <f t="shared" ref="O1666:O1729" si="80">M1666+N1666</f>
        <v>0</v>
      </c>
      <c r="R1666" s="23" t="e">
        <f>VLOOKUP(C:C,'Historic Data - working'!A:B,1,FALSE)</f>
        <v>#N/A</v>
      </c>
      <c r="U1666" s="323"/>
      <c r="V1666" s="323"/>
      <c r="W1666" s="323"/>
    </row>
    <row r="1667" spans="1:23" s="23" customFormat="1" ht="14.25" hidden="1" x14ac:dyDescent="0.2">
      <c r="A1667" s="381" t="s">
        <v>5482</v>
      </c>
      <c r="B1667" s="381" t="s">
        <v>324</v>
      </c>
      <c r="C1667" s="416" t="s">
        <v>5905</v>
      </c>
      <c r="D1667" s="381" t="s">
        <v>5906</v>
      </c>
      <c r="E1667" s="383" t="s">
        <v>934</v>
      </c>
      <c r="F1667" s="381" t="s">
        <v>5907</v>
      </c>
      <c r="G1667" s="384" t="s">
        <v>329</v>
      </c>
      <c r="H1667" s="24">
        <f>38+194.64+16.53</f>
        <v>249.17</v>
      </c>
      <c r="I1667" s="24"/>
      <c r="J1667" s="25" t="str">
        <f t="shared" si="79"/>
        <v>1</v>
      </c>
      <c r="K1667" s="387" t="s">
        <v>5908</v>
      </c>
      <c r="L1667" s="392">
        <v>50</v>
      </c>
      <c r="M1667" s="386">
        <f t="shared" ref="M1667:M1730" si="81">H1667+L1667</f>
        <v>299.16999999999996</v>
      </c>
      <c r="N1667" s="496">
        <v>730</v>
      </c>
      <c r="O1667" s="333">
        <f t="shared" si="80"/>
        <v>1029.17</v>
      </c>
      <c r="R1667" s="23" t="str">
        <f>VLOOKUP(C:C,'Historic Data - working'!A:B,1,FALSE)</f>
        <v>SOU096</v>
      </c>
      <c r="U1667" s="323"/>
      <c r="V1667" s="323"/>
      <c r="W1667" s="323"/>
    </row>
    <row r="1668" spans="1:23" s="23" customFormat="1" ht="14.25" hidden="1" x14ac:dyDescent="0.2">
      <c r="A1668" s="381" t="s">
        <v>5482</v>
      </c>
      <c r="B1668" s="381" t="s">
        <v>324</v>
      </c>
      <c r="C1668" s="416" t="s">
        <v>5909</v>
      </c>
      <c r="D1668" s="381" t="s">
        <v>5910</v>
      </c>
      <c r="E1668" s="383" t="s">
        <v>393</v>
      </c>
      <c r="F1668" s="381" t="s">
        <v>5911</v>
      </c>
      <c r="G1668" s="384" t="s">
        <v>329</v>
      </c>
      <c r="H1668" s="24">
        <v>258.55</v>
      </c>
      <c r="I1668" s="24"/>
      <c r="J1668" s="25" t="str">
        <f t="shared" si="79"/>
        <v>1</v>
      </c>
      <c r="K1668" s="387" t="s">
        <v>5912</v>
      </c>
      <c r="L1668" s="392">
        <v>236.61</v>
      </c>
      <c r="M1668" s="386">
        <f t="shared" si="81"/>
        <v>495.16</v>
      </c>
      <c r="N1668" s="496">
        <v>545</v>
      </c>
      <c r="O1668" s="333">
        <f t="shared" si="80"/>
        <v>1040.1600000000001</v>
      </c>
      <c r="R1668" s="23" t="str">
        <f>VLOOKUP(C:C,'Historic Data - working'!A:B,1,FALSE)</f>
        <v>SOU097</v>
      </c>
      <c r="U1668" s="323"/>
      <c r="V1668" s="323"/>
      <c r="W1668" s="323"/>
    </row>
    <row r="1669" spans="1:23" s="23" customFormat="1" ht="14.25" hidden="1" x14ac:dyDescent="0.2">
      <c r="A1669" s="381" t="s">
        <v>5482</v>
      </c>
      <c r="B1669" s="381" t="s">
        <v>324</v>
      </c>
      <c r="C1669" s="416" t="s">
        <v>5913</v>
      </c>
      <c r="D1669" s="381" t="s">
        <v>5914</v>
      </c>
      <c r="E1669" s="383" t="s">
        <v>977</v>
      </c>
      <c r="F1669" s="381" t="s">
        <v>5915</v>
      </c>
      <c r="G1669" s="384" t="s">
        <v>329</v>
      </c>
      <c r="H1669" s="24"/>
      <c r="I1669" s="24">
        <f>401.87+505.1</f>
        <v>906.97</v>
      </c>
      <c r="J1669" s="25" t="str">
        <f t="shared" si="79"/>
        <v>1</v>
      </c>
      <c r="K1669" s="385"/>
      <c r="L1669" s="392"/>
      <c r="M1669" s="386">
        <f t="shared" si="81"/>
        <v>0</v>
      </c>
      <c r="N1669" s="496">
        <v>3581.9700000000003</v>
      </c>
      <c r="O1669" s="333">
        <f t="shared" si="80"/>
        <v>3581.9700000000003</v>
      </c>
      <c r="R1669" s="23" t="str">
        <f>VLOOKUP(C:C,'Historic Data - working'!A:B,1,FALSE)</f>
        <v>SOU098</v>
      </c>
      <c r="U1669" s="323"/>
      <c r="V1669" s="323"/>
      <c r="W1669" s="323"/>
    </row>
    <row r="1670" spans="1:23" s="23" customFormat="1" ht="14.25" hidden="1" x14ac:dyDescent="0.2">
      <c r="A1670" s="381" t="s">
        <v>5482</v>
      </c>
      <c r="B1670" s="381" t="s">
        <v>324</v>
      </c>
      <c r="C1670" s="416" t="s">
        <v>5916</v>
      </c>
      <c r="D1670" s="381" t="s">
        <v>5917</v>
      </c>
      <c r="E1670" s="383" t="s">
        <v>5918</v>
      </c>
      <c r="F1670" s="381" t="s">
        <v>1832</v>
      </c>
      <c r="G1670" s="384"/>
      <c r="H1670" s="24"/>
      <c r="I1670" s="24"/>
      <c r="J1670" s="25" t="str">
        <f t="shared" si="79"/>
        <v xml:space="preserve"> </v>
      </c>
      <c r="K1670" s="385"/>
      <c r="L1670" s="392"/>
      <c r="M1670" s="386">
        <f t="shared" si="81"/>
        <v>0</v>
      </c>
      <c r="N1670" s="496"/>
      <c r="O1670" s="333">
        <f t="shared" si="80"/>
        <v>0</v>
      </c>
      <c r="R1670" s="23" t="e">
        <f>VLOOKUP(C:C,'Historic Data - working'!A:B,1,FALSE)</f>
        <v>#N/A</v>
      </c>
      <c r="U1670" s="323"/>
      <c r="V1670" s="323"/>
      <c r="W1670" s="323"/>
    </row>
    <row r="1671" spans="1:23" s="23" customFormat="1" ht="14.25" hidden="1" x14ac:dyDescent="0.2">
      <c r="A1671" s="381" t="s">
        <v>5482</v>
      </c>
      <c r="B1671" s="381" t="s">
        <v>324</v>
      </c>
      <c r="C1671" s="416" t="s">
        <v>5919</v>
      </c>
      <c r="D1671" s="381" t="s">
        <v>5920</v>
      </c>
      <c r="E1671" s="383" t="s">
        <v>5921</v>
      </c>
      <c r="F1671" s="381" t="s">
        <v>5922</v>
      </c>
      <c r="G1671" s="384" t="s">
        <v>329</v>
      </c>
      <c r="H1671" s="24">
        <f>256.32+184.81+88.21</f>
        <v>529.34</v>
      </c>
      <c r="I1671" s="24"/>
      <c r="J1671" s="25" t="str">
        <f t="shared" si="79"/>
        <v>1</v>
      </c>
      <c r="K1671" s="385"/>
      <c r="L1671" s="392"/>
      <c r="M1671" s="386">
        <f t="shared" si="81"/>
        <v>529.34</v>
      </c>
      <c r="N1671" s="496">
        <v>60</v>
      </c>
      <c r="O1671" s="333">
        <f t="shared" si="80"/>
        <v>589.34</v>
      </c>
      <c r="R1671" s="23" t="str">
        <f>VLOOKUP(C:C,'Historic Data - working'!A:B,1,FALSE)</f>
        <v>SOU099</v>
      </c>
      <c r="U1671" s="323"/>
      <c r="V1671" s="323"/>
      <c r="W1671" s="323"/>
    </row>
    <row r="1672" spans="1:23" s="23" customFormat="1" ht="14.25" hidden="1" x14ac:dyDescent="0.2">
      <c r="A1672" s="381" t="s">
        <v>5482</v>
      </c>
      <c r="B1672" s="381" t="s">
        <v>324</v>
      </c>
      <c r="C1672" s="416" t="s">
        <v>5923</v>
      </c>
      <c r="D1672" s="381" t="s">
        <v>5924</v>
      </c>
      <c r="E1672" s="383" t="s">
        <v>412</v>
      </c>
      <c r="F1672" s="381" t="s">
        <v>5925</v>
      </c>
      <c r="G1672" s="384" t="s">
        <v>329</v>
      </c>
      <c r="H1672" s="24">
        <f>12.35+40.56+114.14+9.46</f>
        <v>176.51000000000002</v>
      </c>
      <c r="I1672" s="24"/>
      <c r="J1672" s="25" t="str">
        <f t="shared" si="79"/>
        <v>1</v>
      </c>
      <c r="K1672" s="385"/>
      <c r="L1672" s="392"/>
      <c r="M1672" s="386">
        <f t="shared" si="81"/>
        <v>176.51000000000002</v>
      </c>
      <c r="N1672" s="496">
        <v>6</v>
      </c>
      <c r="O1672" s="333">
        <f t="shared" si="80"/>
        <v>182.51000000000002</v>
      </c>
      <c r="R1672" s="23" t="str">
        <f>VLOOKUP(C:C,'Historic Data - working'!A:B,1,FALSE)</f>
        <v>SOU100</v>
      </c>
      <c r="U1672" s="323"/>
      <c r="V1672" s="323"/>
      <c r="W1672" s="323"/>
    </row>
    <row r="1673" spans="1:23" s="23" customFormat="1" ht="14.25" hidden="1" x14ac:dyDescent="0.2">
      <c r="A1673" s="381" t="s">
        <v>5482</v>
      </c>
      <c r="B1673" s="381" t="s">
        <v>324</v>
      </c>
      <c r="C1673" s="416" t="s">
        <v>5926</v>
      </c>
      <c r="D1673" s="381" t="s">
        <v>5927</v>
      </c>
      <c r="E1673" s="383" t="s">
        <v>61</v>
      </c>
      <c r="F1673" s="381" t="s">
        <v>5928</v>
      </c>
      <c r="G1673" s="384"/>
      <c r="H1673" s="24"/>
      <c r="I1673" s="24"/>
      <c r="J1673" s="25" t="str">
        <f t="shared" si="79"/>
        <v xml:space="preserve"> </v>
      </c>
      <c r="K1673" s="385"/>
      <c r="L1673" s="392"/>
      <c r="M1673" s="386">
        <f t="shared" si="81"/>
        <v>0</v>
      </c>
      <c r="N1673" s="496">
        <v>1385.51</v>
      </c>
      <c r="O1673" s="333">
        <f t="shared" si="80"/>
        <v>1385.51</v>
      </c>
      <c r="R1673" s="23" t="str">
        <f>VLOOKUP(C:C,'Historic Data - working'!A:B,1,FALSE)</f>
        <v>SOU101</v>
      </c>
      <c r="U1673" s="323"/>
      <c r="V1673" s="323"/>
      <c r="W1673" s="323"/>
    </row>
    <row r="1674" spans="1:23" s="23" customFormat="1" ht="14.25" hidden="1" x14ac:dyDescent="0.2">
      <c r="A1674" s="381" t="s">
        <v>5482</v>
      </c>
      <c r="B1674" s="381" t="s">
        <v>324</v>
      </c>
      <c r="C1674" s="416" t="s">
        <v>5929</v>
      </c>
      <c r="D1674" s="381" t="s">
        <v>5930</v>
      </c>
      <c r="E1674" s="383" t="s">
        <v>5069</v>
      </c>
      <c r="F1674" s="381" t="s">
        <v>5931</v>
      </c>
      <c r="G1674" s="384" t="s">
        <v>329</v>
      </c>
      <c r="H1674" s="24">
        <f>518.17+524.79</f>
        <v>1042.96</v>
      </c>
      <c r="I1674" s="24"/>
      <c r="J1674" s="25" t="str">
        <f t="shared" si="79"/>
        <v>1</v>
      </c>
      <c r="K1674" s="395" t="s">
        <v>5932</v>
      </c>
      <c r="L1674" s="392">
        <v>25.54</v>
      </c>
      <c r="M1674" s="386">
        <f t="shared" si="81"/>
        <v>1068.5</v>
      </c>
      <c r="N1674" s="496">
        <v>34.5</v>
      </c>
      <c r="O1674" s="333">
        <f t="shared" si="80"/>
        <v>1103</v>
      </c>
      <c r="R1674" s="23" t="str">
        <f>VLOOKUP(C:C,'Historic Data - working'!A:B,1,FALSE)</f>
        <v>SOU102</v>
      </c>
      <c r="U1674" s="323"/>
      <c r="V1674" s="323"/>
      <c r="W1674" s="323"/>
    </row>
    <row r="1675" spans="1:23" s="23" customFormat="1" ht="14.25" hidden="1" x14ac:dyDescent="0.2">
      <c r="A1675" s="381" t="s">
        <v>5482</v>
      </c>
      <c r="B1675" s="381" t="s">
        <v>324</v>
      </c>
      <c r="C1675" s="416" t="s">
        <v>5933</v>
      </c>
      <c r="D1675" s="381" t="s">
        <v>5934</v>
      </c>
      <c r="E1675" s="383" t="s">
        <v>5935</v>
      </c>
      <c r="F1675" s="381" t="s">
        <v>5936</v>
      </c>
      <c r="G1675" s="384" t="s">
        <v>329</v>
      </c>
      <c r="H1675" s="24">
        <f>278.15+281.78+169.39+103.37+125+206.88+193.07+208.84+177.37+403.57+100+201.56+147.76+228.31+(127.13+154.46+145.36+204.16+112.83+121.85+148.71+105.11+106.1+170.17+134.99+70.65+209.42+61.47)</f>
        <v>4697.46</v>
      </c>
      <c r="I1675" s="24"/>
      <c r="J1675" s="25" t="str">
        <f t="shared" si="79"/>
        <v>1</v>
      </c>
      <c r="K1675" s="385"/>
      <c r="L1675" s="392"/>
      <c r="M1675" s="386">
        <f t="shared" si="81"/>
        <v>4697.46</v>
      </c>
      <c r="N1675" s="496">
        <v>439.97</v>
      </c>
      <c r="O1675" s="333">
        <f t="shared" si="80"/>
        <v>5137.43</v>
      </c>
      <c r="R1675" s="23" t="str">
        <f>VLOOKUP(C:C,'Historic Data - working'!A:B,1,FALSE)</f>
        <v>SOU103</v>
      </c>
      <c r="U1675" s="323"/>
      <c r="V1675" s="323"/>
      <c r="W1675" s="323"/>
    </row>
    <row r="1676" spans="1:23" s="23" customFormat="1" ht="14.25" hidden="1" x14ac:dyDescent="0.2">
      <c r="A1676" s="381" t="s">
        <v>5482</v>
      </c>
      <c r="B1676" s="381" t="s">
        <v>324</v>
      </c>
      <c r="C1676" s="416" t="s">
        <v>5937</v>
      </c>
      <c r="D1676" s="381" t="s">
        <v>5938</v>
      </c>
      <c r="E1676" s="383" t="s">
        <v>3088</v>
      </c>
      <c r="F1676" s="381" t="s">
        <v>5939</v>
      </c>
      <c r="G1676" s="384" t="s">
        <v>329</v>
      </c>
      <c r="H1676" s="24">
        <v>452.25</v>
      </c>
      <c r="I1676" s="24"/>
      <c r="J1676" s="25" t="str">
        <f t="shared" si="79"/>
        <v>1</v>
      </c>
      <c r="K1676" s="387" t="s">
        <v>5940</v>
      </c>
      <c r="L1676" s="392">
        <v>-0.05</v>
      </c>
      <c r="M1676" s="386">
        <f t="shared" si="81"/>
        <v>452.2</v>
      </c>
      <c r="N1676" s="496">
        <v>175</v>
      </c>
      <c r="O1676" s="333">
        <f t="shared" si="80"/>
        <v>627.20000000000005</v>
      </c>
      <c r="R1676" s="23" t="str">
        <f>VLOOKUP(C:C,'Historic Data - working'!A:B,1,FALSE)</f>
        <v>SOU104</v>
      </c>
      <c r="U1676" s="323"/>
      <c r="V1676" s="323"/>
      <c r="W1676" s="323"/>
    </row>
    <row r="1677" spans="1:23" s="23" customFormat="1" ht="14.25" hidden="1" x14ac:dyDescent="0.2">
      <c r="A1677" s="381" t="s">
        <v>5482</v>
      </c>
      <c r="B1677" s="381" t="s">
        <v>324</v>
      </c>
      <c r="C1677" s="416" t="s">
        <v>5941</v>
      </c>
      <c r="D1677" s="381" t="s">
        <v>5942</v>
      </c>
      <c r="E1677" s="383" t="s">
        <v>127</v>
      </c>
      <c r="F1677" s="381" t="s">
        <v>5943</v>
      </c>
      <c r="G1677" s="384" t="s">
        <v>329</v>
      </c>
      <c r="H1677" s="24"/>
      <c r="I1677" s="24">
        <v>237.73</v>
      </c>
      <c r="J1677" s="25" t="str">
        <f t="shared" si="79"/>
        <v>1</v>
      </c>
      <c r="K1677" s="385"/>
      <c r="L1677" s="392"/>
      <c r="M1677" s="386">
        <f t="shared" si="81"/>
        <v>0</v>
      </c>
      <c r="N1677" s="496">
        <v>342.73</v>
      </c>
      <c r="O1677" s="333">
        <f t="shared" si="80"/>
        <v>342.73</v>
      </c>
      <c r="R1677" s="23" t="str">
        <f>VLOOKUP(C:C,'Historic Data - working'!A:B,1,FALSE)</f>
        <v>SOU105</v>
      </c>
      <c r="U1677" s="323"/>
      <c r="V1677" s="323"/>
      <c r="W1677" s="323"/>
    </row>
    <row r="1678" spans="1:23" s="23" customFormat="1" ht="14.25" hidden="1" x14ac:dyDescent="0.2">
      <c r="A1678" s="381" t="s">
        <v>5482</v>
      </c>
      <c r="B1678" s="381" t="s">
        <v>324</v>
      </c>
      <c r="C1678" s="416" t="s">
        <v>5944</v>
      </c>
      <c r="D1678" s="381" t="s">
        <v>5945</v>
      </c>
      <c r="E1678" s="383" t="s">
        <v>5946</v>
      </c>
      <c r="F1678" s="381" t="s">
        <v>5947</v>
      </c>
      <c r="G1678" s="384"/>
      <c r="H1678" s="24"/>
      <c r="I1678" s="24"/>
      <c r="J1678" s="25" t="str">
        <f t="shared" si="79"/>
        <v xml:space="preserve"> </v>
      </c>
      <c r="K1678" s="385"/>
      <c r="L1678" s="392"/>
      <c r="M1678" s="386">
        <f t="shared" si="81"/>
        <v>0</v>
      </c>
      <c r="N1678" s="496">
        <v>360</v>
      </c>
      <c r="O1678" s="333">
        <f t="shared" si="80"/>
        <v>360</v>
      </c>
      <c r="R1678" s="23" t="str">
        <f>VLOOKUP(C:C,'Historic Data - working'!A:B,1,FALSE)</f>
        <v>SOU106</v>
      </c>
      <c r="U1678" s="323"/>
      <c r="V1678" s="323"/>
      <c r="W1678" s="323"/>
    </row>
    <row r="1679" spans="1:23" s="23" customFormat="1" ht="14.25" hidden="1" x14ac:dyDescent="0.2">
      <c r="A1679" s="381" t="s">
        <v>5482</v>
      </c>
      <c r="B1679" s="381" t="s">
        <v>324</v>
      </c>
      <c r="C1679" s="416" t="s">
        <v>5948</v>
      </c>
      <c r="D1679" s="381" t="s">
        <v>5949</v>
      </c>
      <c r="E1679" s="383" t="s">
        <v>5950</v>
      </c>
      <c r="F1679" s="381" t="s">
        <v>5951</v>
      </c>
      <c r="G1679" s="384"/>
      <c r="H1679" s="24"/>
      <c r="I1679" s="24"/>
      <c r="J1679" s="25" t="str">
        <f t="shared" si="79"/>
        <v xml:space="preserve"> </v>
      </c>
      <c r="K1679" s="385"/>
      <c r="L1679" s="392"/>
      <c r="M1679" s="386">
        <f t="shared" si="81"/>
        <v>0</v>
      </c>
      <c r="N1679" s="496">
        <v>120</v>
      </c>
      <c r="O1679" s="333">
        <f t="shared" si="80"/>
        <v>120</v>
      </c>
      <c r="R1679" s="23" t="str">
        <f>VLOOKUP(C:C,'Historic Data - working'!A:B,1,FALSE)</f>
        <v>SOU107</v>
      </c>
      <c r="U1679" s="323"/>
      <c r="V1679" s="323"/>
      <c r="W1679" s="323"/>
    </row>
    <row r="1680" spans="1:23" s="23" customFormat="1" ht="14.25" hidden="1" x14ac:dyDescent="0.2">
      <c r="A1680" s="381" t="s">
        <v>5482</v>
      </c>
      <c r="B1680" s="381" t="s">
        <v>324</v>
      </c>
      <c r="C1680" s="416" t="s">
        <v>5952</v>
      </c>
      <c r="D1680" s="381" t="s">
        <v>5953</v>
      </c>
      <c r="E1680" s="383" t="s">
        <v>5954</v>
      </c>
      <c r="F1680" s="381" t="s">
        <v>5955</v>
      </c>
      <c r="G1680" s="384"/>
      <c r="H1680" s="24"/>
      <c r="I1680" s="24"/>
      <c r="J1680" s="25" t="str">
        <f t="shared" si="79"/>
        <v xml:space="preserve"> </v>
      </c>
      <c r="K1680" s="385"/>
      <c r="L1680" s="392"/>
      <c r="M1680" s="386">
        <f t="shared" si="81"/>
        <v>0</v>
      </c>
      <c r="N1680" s="496">
        <v>65</v>
      </c>
      <c r="O1680" s="333">
        <f t="shared" si="80"/>
        <v>65</v>
      </c>
      <c r="R1680" s="23" t="str">
        <f>VLOOKUP(C:C,'Historic Data - working'!A:B,1,FALSE)</f>
        <v>SOU108</v>
      </c>
      <c r="U1680" s="323"/>
      <c r="V1680" s="323"/>
      <c r="W1680" s="323"/>
    </row>
    <row r="1681" spans="1:23" s="23" customFormat="1" ht="14.25" hidden="1" x14ac:dyDescent="0.2">
      <c r="A1681" s="381" t="s">
        <v>5482</v>
      </c>
      <c r="B1681" s="381" t="s">
        <v>324</v>
      </c>
      <c r="C1681" s="416" t="s">
        <v>5956</v>
      </c>
      <c r="D1681" s="381" t="s">
        <v>5957</v>
      </c>
      <c r="E1681" s="383" t="s">
        <v>5958</v>
      </c>
      <c r="F1681" s="381" t="s">
        <v>5959</v>
      </c>
      <c r="G1681" s="384"/>
      <c r="H1681" s="24"/>
      <c r="I1681" s="24"/>
      <c r="J1681" s="25" t="str">
        <f t="shared" si="79"/>
        <v xml:space="preserve"> </v>
      </c>
      <c r="K1681" s="385"/>
      <c r="L1681" s="392"/>
      <c r="M1681" s="386">
        <f t="shared" si="81"/>
        <v>0</v>
      </c>
      <c r="N1681" s="496">
        <v>175</v>
      </c>
      <c r="O1681" s="333">
        <f t="shared" si="80"/>
        <v>175</v>
      </c>
      <c r="R1681" s="23" t="str">
        <f>VLOOKUP(C:C,'Historic Data - working'!A:B,1,FALSE)</f>
        <v>SOU109</v>
      </c>
      <c r="U1681" s="323"/>
      <c r="V1681" s="323"/>
      <c r="W1681" s="323"/>
    </row>
    <row r="1682" spans="1:23" s="23" customFormat="1" ht="14.25" hidden="1" x14ac:dyDescent="0.2">
      <c r="A1682" s="381" t="s">
        <v>5482</v>
      </c>
      <c r="B1682" s="381" t="s">
        <v>324</v>
      </c>
      <c r="C1682" s="416" t="s">
        <v>5960</v>
      </c>
      <c r="D1682" s="381" t="s">
        <v>5961</v>
      </c>
      <c r="E1682" s="383" t="s">
        <v>5962</v>
      </c>
      <c r="F1682" s="381" t="s">
        <v>5963</v>
      </c>
      <c r="G1682" s="384"/>
      <c r="H1682" s="24"/>
      <c r="I1682" s="24"/>
      <c r="J1682" s="25" t="str">
        <f t="shared" si="79"/>
        <v xml:space="preserve"> </v>
      </c>
      <c r="K1682" s="385" t="s">
        <v>337</v>
      </c>
      <c r="L1682" s="392">
        <v>122.62</v>
      </c>
      <c r="M1682" s="386">
        <f t="shared" si="81"/>
        <v>122.62</v>
      </c>
      <c r="N1682" s="496">
        <v>155</v>
      </c>
      <c r="O1682" s="333">
        <f t="shared" si="80"/>
        <v>277.62</v>
      </c>
      <c r="R1682" s="23" t="str">
        <f>VLOOKUP(C:C,'Historic Data - working'!A:B,1,FALSE)</f>
        <v>SOU110</v>
      </c>
      <c r="U1682" s="323"/>
      <c r="V1682" s="323"/>
      <c r="W1682" s="323"/>
    </row>
    <row r="1683" spans="1:23" s="23" customFormat="1" ht="14.25" hidden="1" x14ac:dyDescent="0.2">
      <c r="A1683" s="381" t="s">
        <v>5482</v>
      </c>
      <c r="B1683" s="381" t="s">
        <v>324</v>
      </c>
      <c r="C1683" s="416" t="s">
        <v>5964</v>
      </c>
      <c r="D1683" s="381" t="s">
        <v>5965</v>
      </c>
      <c r="E1683" s="383" t="s">
        <v>5966</v>
      </c>
      <c r="F1683" s="381" t="s">
        <v>5967</v>
      </c>
      <c r="G1683" s="384"/>
      <c r="H1683" s="24"/>
      <c r="I1683" s="24"/>
      <c r="J1683" s="25" t="str">
        <f t="shared" si="79"/>
        <v xml:space="preserve"> </v>
      </c>
      <c r="K1683" s="385" t="s">
        <v>337</v>
      </c>
      <c r="L1683" s="392">
        <v>1231.73</v>
      </c>
      <c r="M1683" s="386">
        <f t="shared" si="81"/>
        <v>1231.73</v>
      </c>
      <c r="N1683" s="496">
        <v>285</v>
      </c>
      <c r="O1683" s="333">
        <f t="shared" si="80"/>
        <v>1516.73</v>
      </c>
      <c r="R1683" s="23" t="str">
        <f>VLOOKUP(C:C,'Historic Data - working'!A:B,1,FALSE)</f>
        <v>SOU111</v>
      </c>
      <c r="U1683" s="323"/>
      <c r="V1683" s="323"/>
      <c r="W1683" s="323"/>
    </row>
    <row r="1684" spans="1:23" s="23" customFormat="1" ht="14.25" hidden="1" x14ac:dyDescent="0.2">
      <c r="A1684" s="381" t="s">
        <v>5482</v>
      </c>
      <c r="B1684" s="381" t="s">
        <v>324</v>
      </c>
      <c r="C1684" s="416" t="s">
        <v>5968</v>
      </c>
      <c r="D1684" s="381" t="s">
        <v>5969</v>
      </c>
      <c r="E1684" s="383" t="s">
        <v>1584</v>
      </c>
      <c r="F1684" s="381" t="s">
        <v>5970</v>
      </c>
      <c r="G1684" s="384" t="s">
        <v>329</v>
      </c>
      <c r="H1684" s="24">
        <f>42.84+136.56+50+77.33+90.48</f>
        <v>397.21000000000004</v>
      </c>
      <c r="I1684" s="24"/>
      <c r="J1684" s="25" t="str">
        <f t="shared" si="79"/>
        <v>1</v>
      </c>
      <c r="K1684" s="387" t="s">
        <v>5971</v>
      </c>
      <c r="L1684" s="392">
        <v>-50</v>
      </c>
      <c r="M1684" s="386">
        <f t="shared" si="81"/>
        <v>347.21000000000004</v>
      </c>
      <c r="N1684" s="496">
        <v>182</v>
      </c>
      <c r="O1684" s="333">
        <f t="shared" si="80"/>
        <v>529.21</v>
      </c>
      <c r="R1684" s="23" t="str">
        <f>VLOOKUP(C:C,'Historic Data - working'!A:B,1,FALSE)</f>
        <v>SOU112</v>
      </c>
      <c r="U1684" s="323"/>
      <c r="V1684" s="323"/>
      <c r="W1684" s="323"/>
    </row>
    <row r="1685" spans="1:23" s="23" customFormat="1" ht="14.25" hidden="1" x14ac:dyDescent="0.2">
      <c r="A1685" s="381" t="s">
        <v>5482</v>
      </c>
      <c r="B1685" s="381" t="s">
        <v>324</v>
      </c>
      <c r="C1685" s="416" t="s">
        <v>5972</v>
      </c>
      <c r="D1685" s="381" t="s">
        <v>5973</v>
      </c>
      <c r="E1685" s="383" t="s">
        <v>78</v>
      </c>
      <c r="F1685" s="381" t="s">
        <v>5974</v>
      </c>
      <c r="G1685" s="384"/>
      <c r="H1685" s="24"/>
      <c r="I1685" s="24"/>
      <c r="J1685" s="25" t="str">
        <f t="shared" si="79"/>
        <v xml:space="preserve"> </v>
      </c>
      <c r="K1685" s="385"/>
      <c r="L1685" s="392"/>
      <c r="M1685" s="386">
        <f t="shared" si="81"/>
        <v>0</v>
      </c>
      <c r="N1685" s="496"/>
      <c r="O1685" s="333">
        <f t="shared" si="80"/>
        <v>0</v>
      </c>
      <c r="R1685" s="23" t="e">
        <f>VLOOKUP(C:C,'Historic Data - working'!A:B,1,FALSE)</f>
        <v>#N/A</v>
      </c>
      <c r="U1685" s="323"/>
      <c r="V1685" s="323"/>
      <c r="W1685" s="323"/>
    </row>
    <row r="1686" spans="1:23" s="23" customFormat="1" ht="14.25" hidden="1" x14ac:dyDescent="0.2">
      <c r="A1686" s="381" t="s">
        <v>5482</v>
      </c>
      <c r="B1686" s="381" t="s">
        <v>324</v>
      </c>
      <c r="C1686" s="416" t="s">
        <v>5975</v>
      </c>
      <c r="D1686" s="381" t="s">
        <v>5976</v>
      </c>
      <c r="E1686" s="383" t="s">
        <v>488</v>
      </c>
      <c r="F1686" s="381" t="s">
        <v>5977</v>
      </c>
      <c r="G1686" s="384"/>
      <c r="H1686" s="24"/>
      <c r="I1686" s="24"/>
      <c r="J1686" s="25" t="str">
        <f t="shared" si="79"/>
        <v xml:space="preserve"> </v>
      </c>
      <c r="K1686" s="385"/>
      <c r="L1686" s="392"/>
      <c r="M1686" s="386">
        <f t="shared" si="81"/>
        <v>0</v>
      </c>
      <c r="N1686" s="496"/>
      <c r="O1686" s="333">
        <f t="shared" si="80"/>
        <v>0</v>
      </c>
      <c r="R1686" s="23" t="str">
        <f>VLOOKUP(C:C,'Historic Data - working'!A:B,1,FALSE)</f>
        <v>SOU113</v>
      </c>
      <c r="U1686" s="323"/>
      <c r="V1686" s="323"/>
      <c r="W1686" s="323"/>
    </row>
    <row r="1687" spans="1:23" s="23" customFormat="1" ht="14.25" hidden="1" x14ac:dyDescent="0.2">
      <c r="A1687" s="381" t="s">
        <v>5482</v>
      </c>
      <c r="B1687" s="381" t="s">
        <v>324</v>
      </c>
      <c r="C1687" s="416" t="s">
        <v>5978</v>
      </c>
      <c r="D1687" s="381" t="s">
        <v>5979</v>
      </c>
      <c r="E1687" s="383" t="s">
        <v>5980</v>
      </c>
      <c r="F1687" s="381" t="s">
        <v>5981</v>
      </c>
      <c r="G1687" s="384"/>
      <c r="H1687" s="24"/>
      <c r="I1687" s="24"/>
      <c r="J1687" s="25" t="str">
        <f t="shared" si="79"/>
        <v xml:space="preserve"> </v>
      </c>
      <c r="K1687" s="385"/>
      <c r="L1687" s="392"/>
      <c r="M1687" s="386">
        <f t="shared" si="81"/>
        <v>0</v>
      </c>
      <c r="N1687" s="496">
        <v>1238.78</v>
      </c>
      <c r="O1687" s="333">
        <f t="shared" si="80"/>
        <v>1238.78</v>
      </c>
      <c r="R1687" s="23" t="str">
        <f>VLOOKUP(C:C,'Historic Data - working'!A:B,1,FALSE)</f>
        <v>SOU114</v>
      </c>
      <c r="U1687" s="323"/>
      <c r="V1687" s="323"/>
      <c r="W1687" s="323"/>
    </row>
    <row r="1688" spans="1:23" s="23" customFormat="1" ht="14.25" hidden="1" x14ac:dyDescent="0.2">
      <c r="A1688" s="381" t="s">
        <v>5482</v>
      </c>
      <c r="B1688" s="381" t="s">
        <v>324</v>
      </c>
      <c r="C1688" s="416" t="s">
        <v>5982</v>
      </c>
      <c r="D1688" s="381" t="s">
        <v>5983</v>
      </c>
      <c r="E1688" s="383" t="s">
        <v>5984</v>
      </c>
      <c r="F1688" s="381" t="s">
        <v>5985</v>
      </c>
      <c r="G1688" s="384"/>
      <c r="H1688" s="24"/>
      <c r="I1688" s="24"/>
      <c r="J1688" s="25" t="str">
        <f t="shared" si="79"/>
        <v xml:space="preserve"> </v>
      </c>
      <c r="K1688" s="385"/>
      <c r="L1688" s="392"/>
      <c r="M1688" s="386">
        <f t="shared" si="81"/>
        <v>0</v>
      </c>
      <c r="N1688" s="496">
        <v>270</v>
      </c>
      <c r="O1688" s="333">
        <f t="shared" si="80"/>
        <v>270</v>
      </c>
      <c r="R1688" s="23" t="str">
        <f>VLOOKUP(C:C,'Historic Data - working'!A:B,1,FALSE)</f>
        <v>SOU115</v>
      </c>
      <c r="U1688" s="323"/>
      <c r="V1688" s="323"/>
      <c r="W1688" s="323"/>
    </row>
    <row r="1689" spans="1:23" s="23" customFormat="1" ht="14.25" hidden="1" x14ac:dyDescent="0.2">
      <c r="A1689" s="381" t="s">
        <v>5482</v>
      </c>
      <c r="B1689" s="381" t="s">
        <v>324</v>
      </c>
      <c r="C1689" s="416" t="s">
        <v>5986</v>
      </c>
      <c r="D1689" s="381" t="s">
        <v>5987</v>
      </c>
      <c r="E1689" s="383" t="s">
        <v>5988</v>
      </c>
      <c r="F1689" s="381" t="s">
        <v>5989</v>
      </c>
      <c r="G1689" s="384" t="s">
        <v>329</v>
      </c>
      <c r="H1689" s="24">
        <v>1106.74</v>
      </c>
      <c r="I1689" s="24"/>
      <c r="J1689" s="25" t="str">
        <f t="shared" si="79"/>
        <v>1</v>
      </c>
      <c r="K1689" s="385"/>
      <c r="L1689" s="392"/>
      <c r="M1689" s="386">
        <f t="shared" si="81"/>
        <v>1106.74</v>
      </c>
      <c r="N1689" s="496">
        <v>151.97</v>
      </c>
      <c r="O1689" s="333">
        <f t="shared" si="80"/>
        <v>1258.71</v>
      </c>
      <c r="R1689" s="23" t="str">
        <f>VLOOKUP(C:C,'Historic Data - working'!A:B,1,FALSE)</f>
        <v>SOU116</v>
      </c>
      <c r="U1689" s="323"/>
      <c r="V1689" s="323"/>
      <c r="W1689" s="323"/>
    </row>
    <row r="1690" spans="1:23" s="23" customFormat="1" ht="14.25" hidden="1" x14ac:dyDescent="0.2">
      <c r="A1690" s="381" t="s">
        <v>5482</v>
      </c>
      <c r="B1690" s="381" t="s">
        <v>324</v>
      </c>
      <c r="C1690" s="416" t="s">
        <v>5990</v>
      </c>
      <c r="D1690" s="381" t="s">
        <v>5991</v>
      </c>
      <c r="E1690" s="383" t="s">
        <v>5992</v>
      </c>
      <c r="F1690" s="381" t="s">
        <v>5993</v>
      </c>
      <c r="G1690" s="384" t="s">
        <v>329</v>
      </c>
      <c r="H1690" s="24">
        <f>617.4+455.32</f>
        <v>1072.72</v>
      </c>
      <c r="I1690" s="24"/>
      <c r="J1690" s="25" t="str">
        <f t="shared" si="79"/>
        <v>1</v>
      </c>
      <c r="K1690" s="387" t="s">
        <v>5994</v>
      </c>
      <c r="L1690" s="392">
        <v>-46</v>
      </c>
      <c r="M1690" s="386">
        <f t="shared" si="81"/>
        <v>1026.72</v>
      </c>
      <c r="N1690" s="496">
        <v>209</v>
      </c>
      <c r="O1690" s="333">
        <f t="shared" si="80"/>
        <v>1235.72</v>
      </c>
      <c r="R1690" s="23" t="str">
        <f>VLOOKUP(C:C,'Historic Data - working'!A:B,1,FALSE)</f>
        <v>SOU117</v>
      </c>
      <c r="U1690" s="323"/>
      <c r="V1690" s="323"/>
      <c r="W1690" s="323"/>
    </row>
    <row r="1691" spans="1:23" s="23" customFormat="1" ht="28.5" hidden="1" x14ac:dyDescent="0.2">
      <c r="A1691" s="381" t="s">
        <v>5482</v>
      </c>
      <c r="B1691" s="381" t="s">
        <v>324</v>
      </c>
      <c r="C1691" s="416" t="s">
        <v>5995</v>
      </c>
      <c r="D1691" s="381" t="s">
        <v>5996</v>
      </c>
      <c r="E1691" s="383" t="s">
        <v>5997</v>
      </c>
      <c r="F1691" s="381" t="s">
        <v>5998</v>
      </c>
      <c r="G1691" s="384" t="s">
        <v>329</v>
      </c>
      <c r="H1691" s="24">
        <f>72.58+190+39+207+126.5+65.2+218.45+300.5+50.61</f>
        <v>1269.8399999999999</v>
      </c>
      <c r="I1691" s="24"/>
      <c r="J1691" s="25" t="str">
        <f t="shared" si="79"/>
        <v>1</v>
      </c>
      <c r="K1691" s="385" t="s">
        <v>5999</v>
      </c>
      <c r="L1691" s="392">
        <v>214.5</v>
      </c>
      <c r="M1691" s="386">
        <f t="shared" si="81"/>
        <v>1484.34</v>
      </c>
      <c r="N1691" s="496">
        <v>155</v>
      </c>
      <c r="O1691" s="333">
        <f t="shared" si="80"/>
        <v>1639.34</v>
      </c>
      <c r="R1691" s="23" t="str">
        <f>VLOOKUP(C:C,'Historic Data - working'!A:B,1,FALSE)</f>
        <v>SOU118</v>
      </c>
      <c r="U1691" s="323"/>
      <c r="V1691" s="323"/>
      <c r="W1691" s="323"/>
    </row>
    <row r="1692" spans="1:23" s="23" customFormat="1" ht="14.25" hidden="1" x14ac:dyDescent="0.2">
      <c r="A1692" s="381" t="s">
        <v>5482</v>
      </c>
      <c r="B1692" s="381" t="s">
        <v>324</v>
      </c>
      <c r="C1692" s="416" t="s">
        <v>6000</v>
      </c>
      <c r="D1692" s="381" t="s">
        <v>6001</v>
      </c>
      <c r="E1692" s="383" t="s">
        <v>252</v>
      </c>
      <c r="F1692" s="381" t="s">
        <v>6002</v>
      </c>
      <c r="G1692" s="384" t="s">
        <v>329</v>
      </c>
      <c r="H1692" s="24">
        <v>300</v>
      </c>
      <c r="I1692" s="24"/>
      <c r="J1692" s="25" t="str">
        <f t="shared" si="79"/>
        <v>1</v>
      </c>
      <c r="K1692" s="385"/>
      <c r="L1692" s="392"/>
      <c r="M1692" s="386">
        <f t="shared" si="81"/>
        <v>300</v>
      </c>
      <c r="N1692" s="496">
        <v>10</v>
      </c>
      <c r="O1692" s="333">
        <f t="shared" si="80"/>
        <v>310</v>
      </c>
      <c r="R1692" s="23" t="str">
        <f>VLOOKUP(C:C,'Historic Data - working'!A:B,1,FALSE)</f>
        <v>SOU118X</v>
      </c>
      <c r="U1692" s="323"/>
      <c r="V1692" s="323"/>
      <c r="W1692" s="323"/>
    </row>
    <row r="1693" spans="1:23" s="23" customFormat="1" ht="14.25" hidden="1" x14ac:dyDescent="0.2">
      <c r="A1693" s="381" t="s">
        <v>5482</v>
      </c>
      <c r="B1693" s="381" t="s">
        <v>324</v>
      </c>
      <c r="C1693" s="416" t="s">
        <v>6003</v>
      </c>
      <c r="D1693" s="381" t="s">
        <v>6004</v>
      </c>
      <c r="E1693" s="383" t="s">
        <v>1008</v>
      </c>
      <c r="F1693" s="381" t="s">
        <v>6005</v>
      </c>
      <c r="G1693" s="384" t="s">
        <v>329</v>
      </c>
      <c r="H1693" s="24">
        <f>2897.9+1279.35+2138.91</f>
        <v>6316.16</v>
      </c>
      <c r="I1693" s="24"/>
      <c r="J1693" s="25" t="str">
        <f t="shared" si="79"/>
        <v>1</v>
      </c>
      <c r="K1693" s="385" t="s">
        <v>6006</v>
      </c>
      <c r="L1693" s="392">
        <v>19.25</v>
      </c>
      <c r="M1693" s="386">
        <f t="shared" si="81"/>
        <v>6335.41</v>
      </c>
      <c r="N1693" s="496">
        <v>1125.8499999999999</v>
      </c>
      <c r="O1693" s="333">
        <f t="shared" si="80"/>
        <v>7461.26</v>
      </c>
      <c r="R1693" s="23" t="str">
        <f>VLOOKUP(C:C,'Historic Data - working'!A:B,1,FALSE)</f>
        <v>SOU119</v>
      </c>
      <c r="U1693" s="323"/>
      <c r="V1693" s="323"/>
      <c r="W1693" s="323"/>
    </row>
    <row r="1694" spans="1:23" s="23" customFormat="1" ht="14.25" hidden="1" x14ac:dyDescent="0.2">
      <c r="A1694" s="381" t="s">
        <v>5482</v>
      </c>
      <c r="B1694" s="381" t="s">
        <v>324</v>
      </c>
      <c r="C1694" s="416" t="s">
        <v>6007</v>
      </c>
      <c r="D1694" s="381" t="s">
        <v>6008</v>
      </c>
      <c r="E1694" s="383" t="s">
        <v>6009</v>
      </c>
      <c r="F1694" s="381" t="s">
        <v>6005</v>
      </c>
      <c r="G1694" s="384"/>
      <c r="H1694" s="24"/>
      <c r="I1694" s="24"/>
      <c r="J1694" s="25" t="str">
        <f t="shared" si="79"/>
        <v xml:space="preserve"> </v>
      </c>
      <c r="K1694" s="385"/>
      <c r="L1694" s="392"/>
      <c r="M1694" s="386">
        <f t="shared" si="81"/>
        <v>0</v>
      </c>
      <c r="N1694" s="496"/>
      <c r="O1694" s="333">
        <f t="shared" si="80"/>
        <v>0</v>
      </c>
      <c r="R1694" s="23" t="e">
        <f>VLOOKUP(C:C,'Historic Data - working'!A:B,1,FALSE)</f>
        <v>#N/A</v>
      </c>
      <c r="U1694" s="323"/>
      <c r="V1694" s="323"/>
      <c r="W1694" s="323"/>
    </row>
    <row r="1695" spans="1:23" s="23" customFormat="1" ht="14.25" hidden="1" x14ac:dyDescent="0.2">
      <c r="A1695" s="381" t="s">
        <v>5482</v>
      </c>
      <c r="B1695" s="381" t="s">
        <v>324</v>
      </c>
      <c r="C1695" s="416" t="s">
        <v>6010</v>
      </c>
      <c r="D1695" s="381" t="s">
        <v>6011</v>
      </c>
      <c r="E1695" s="383" t="s">
        <v>6012</v>
      </c>
      <c r="F1695" s="381" t="s">
        <v>6013</v>
      </c>
      <c r="G1695" s="384" t="s">
        <v>329</v>
      </c>
      <c r="H1695" s="24">
        <v>2396.84</v>
      </c>
      <c r="I1695" s="24"/>
      <c r="J1695" s="25" t="str">
        <f t="shared" si="79"/>
        <v>1</v>
      </c>
      <c r="K1695" s="385"/>
      <c r="L1695" s="392"/>
      <c r="M1695" s="386">
        <f t="shared" si="81"/>
        <v>2396.84</v>
      </c>
      <c r="N1695" s="496">
        <v>980</v>
      </c>
      <c r="O1695" s="333">
        <f t="shared" si="80"/>
        <v>3376.84</v>
      </c>
      <c r="R1695" s="23" t="str">
        <f>VLOOKUP(C:C,'Historic Data - working'!A:B,1,FALSE)</f>
        <v>SOU120</v>
      </c>
      <c r="U1695" s="323"/>
      <c r="V1695" s="323"/>
      <c r="W1695" s="323"/>
    </row>
    <row r="1696" spans="1:23" s="23" customFormat="1" ht="14.25" hidden="1" x14ac:dyDescent="0.2">
      <c r="A1696" s="381" t="s">
        <v>5482</v>
      </c>
      <c r="B1696" s="381" t="s">
        <v>324</v>
      </c>
      <c r="C1696" s="416" t="s">
        <v>6014</v>
      </c>
      <c r="D1696" s="381" t="s">
        <v>6015</v>
      </c>
      <c r="E1696" s="383" t="s">
        <v>6016</v>
      </c>
      <c r="F1696" s="381" t="s">
        <v>6017</v>
      </c>
      <c r="G1696" s="384"/>
      <c r="H1696" s="24"/>
      <c r="I1696" s="24"/>
      <c r="J1696" s="25" t="str">
        <f t="shared" si="79"/>
        <v xml:space="preserve"> </v>
      </c>
      <c r="K1696" s="385"/>
      <c r="L1696" s="392"/>
      <c r="M1696" s="386">
        <f t="shared" si="81"/>
        <v>0</v>
      </c>
      <c r="N1696" s="496"/>
      <c r="O1696" s="333">
        <f t="shared" si="80"/>
        <v>0</v>
      </c>
      <c r="R1696" s="23" t="e">
        <f>VLOOKUP(C:C,'Historic Data - working'!A:B,1,FALSE)</f>
        <v>#N/A</v>
      </c>
      <c r="U1696" s="323"/>
      <c r="V1696" s="323"/>
      <c r="W1696" s="323"/>
    </row>
    <row r="1697" spans="1:23" s="23" customFormat="1" ht="14.25" hidden="1" x14ac:dyDescent="0.2">
      <c r="A1697" s="381" t="s">
        <v>5482</v>
      </c>
      <c r="B1697" s="381" t="s">
        <v>324</v>
      </c>
      <c r="C1697" s="416" t="s">
        <v>6018</v>
      </c>
      <c r="D1697" s="381" t="s">
        <v>6019</v>
      </c>
      <c r="E1697" s="383" t="s">
        <v>6020</v>
      </c>
      <c r="F1697" s="381" t="s">
        <v>2076</v>
      </c>
      <c r="G1697" s="384" t="s">
        <v>329</v>
      </c>
      <c r="H1697" s="24"/>
      <c r="I1697" s="24">
        <v>480.28</v>
      </c>
      <c r="J1697" s="25" t="str">
        <f t="shared" si="79"/>
        <v>1</v>
      </c>
      <c r="K1697" s="385"/>
      <c r="L1697" s="392"/>
      <c r="M1697" s="386">
        <f t="shared" si="81"/>
        <v>0</v>
      </c>
      <c r="N1697" s="496">
        <v>940.28</v>
      </c>
      <c r="O1697" s="333">
        <f t="shared" si="80"/>
        <v>940.28</v>
      </c>
      <c r="R1697" s="23" t="str">
        <f>VLOOKUP(C:C,'Historic Data - working'!A:B,1,FALSE)</f>
        <v>SOU121</v>
      </c>
      <c r="U1697" s="323"/>
      <c r="V1697" s="323"/>
      <c r="W1697" s="323"/>
    </row>
    <row r="1698" spans="1:23" s="23" customFormat="1" ht="14.25" hidden="1" x14ac:dyDescent="0.2">
      <c r="A1698" s="381" t="s">
        <v>5482</v>
      </c>
      <c r="B1698" s="381" t="s">
        <v>324</v>
      </c>
      <c r="C1698" s="416" t="s">
        <v>6021</v>
      </c>
      <c r="D1698" s="381" t="s">
        <v>6022</v>
      </c>
      <c r="E1698" s="383" t="s">
        <v>1546</v>
      </c>
      <c r="F1698" s="381" t="s">
        <v>6023</v>
      </c>
      <c r="G1698" s="384" t="s">
        <v>329</v>
      </c>
      <c r="H1698" s="24">
        <f>558.11+93.95+388.46+262+20+244.53+67.5+285.6+308.71+437.31</f>
        <v>2666.17</v>
      </c>
      <c r="I1698" s="24"/>
      <c r="J1698" s="25" t="str">
        <f t="shared" si="79"/>
        <v>1</v>
      </c>
      <c r="K1698" s="385"/>
      <c r="L1698" s="392"/>
      <c r="M1698" s="386">
        <f t="shared" si="81"/>
        <v>2666.17</v>
      </c>
      <c r="N1698" s="496">
        <v>295</v>
      </c>
      <c r="O1698" s="333">
        <f t="shared" si="80"/>
        <v>2961.17</v>
      </c>
      <c r="R1698" s="23" t="str">
        <f>VLOOKUP(C:C,'Historic Data - working'!A:B,1,FALSE)</f>
        <v>SOU121X</v>
      </c>
      <c r="U1698" s="323"/>
      <c r="V1698" s="323"/>
      <c r="W1698" s="323"/>
    </row>
    <row r="1699" spans="1:23" s="23" customFormat="1" ht="14.25" hidden="1" x14ac:dyDescent="0.2">
      <c r="A1699" s="381" t="s">
        <v>5482</v>
      </c>
      <c r="B1699" s="381" t="s">
        <v>324</v>
      </c>
      <c r="C1699" s="416" t="s">
        <v>6024</v>
      </c>
      <c r="D1699" s="381" t="s">
        <v>6025</v>
      </c>
      <c r="E1699" s="383" t="s">
        <v>6026</v>
      </c>
      <c r="F1699" s="381" t="s">
        <v>6027</v>
      </c>
      <c r="G1699" s="384" t="s">
        <v>329</v>
      </c>
      <c r="H1699" s="24">
        <f>789.3+624.89</f>
        <v>1414.19</v>
      </c>
      <c r="I1699" s="24"/>
      <c r="J1699" s="25" t="str">
        <f t="shared" si="79"/>
        <v>1</v>
      </c>
      <c r="K1699" s="387" t="s">
        <v>6028</v>
      </c>
      <c r="L1699" s="392">
        <v>-2</v>
      </c>
      <c r="M1699" s="386">
        <f t="shared" si="81"/>
        <v>1412.19</v>
      </c>
      <c r="N1699" s="496">
        <v>1425</v>
      </c>
      <c r="O1699" s="333">
        <f t="shared" si="80"/>
        <v>2837.19</v>
      </c>
      <c r="R1699" s="23" t="str">
        <f>VLOOKUP(C:C,'Historic Data - working'!A:B,1,FALSE)</f>
        <v>SOU122</v>
      </c>
      <c r="U1699" s="323"/>
      <c r="V1699" s="323"/>
      <c r="W1699" s="323"/>
    </row>
    <row r="1700" spans="1:23" s="23" customFormat="1" ht="14.25" hidden="1" x14ac:dyDescent="0.2">
      <c r="A1700" s="381" t="s">
        <v>5482</v>
      </c>
      <c r="B1700" s="381" t="s">
        <v>324</v>
      </c>
      <c r="C1700" s="416" t="s">
        <v>6029</v>
      </c>
      <c r="D1700" s="381" t="s">
        <v>6030</v>
      </c>
      <c r="E1700" s="383" t="s">
        <v>6031</v>
      </c>
      <c r="F1700" s="381" t="s">
        <v>6032</v>
      </c>
      <c r="G1700" s="384" t="s">
        <v>329</v>
      </c>
      <c r="H1700" s="24">
        <v>1898</v>
      </c>
      <c r="I1700" s="24"/>
      <c r="J1700" s="25" t="str">
        <f t="shared" si="79"/>
        <v>1</v>
      </c>
      <c r="K1700" s="387" t="s">
        <v>6033</v>
      </c>
      <c r="L1700" s="392">
        <v>-162</v>
      </c>
      <c r="M1700" s="386">
        <f t="shared" si="81"/>
        <v>1736</v>
      </c>
      <c r="N1700" s="496">
        <v>915</v>
      </c>
      <c r="O1700" s="333">
        <f t="shared" si="80"/>
        <v>2651</v>
      </c>
      <c r="R1700" s="23" t="str">
        <f>VLOOKUP(C:C,'Historic Data - working'!A:B,1,FALSE)</f>
        <v>SOU123</v>
      </c>
      <c r="U1700" s="323"/>
      <c r="V1700" s="323"/>
      <c r="W1700" s="323"/>
    </row>
    <row r="1701" spans="1:23" s="23" customFormat="1" ht="14.25" hidden="1" x14ac:dyDescent="0.2">
      <c r="A1701" s="381" t="s">
        <v>5482</v>
      </c>
      <c r="B1701" s="381" t="s">
        <v>324</v>
      </c>
      <c r="C1701" s="416" t="s">
        <v>6034</v>
      </c>
      <c r="D1701" s="381" t="s">
        <v>6035</v>
      </c>
      <c r="E1701" s="383" t="s">
        <v>6036</v>
      </c>
      <c r="F1701" s="381" t="s">
        <v>6037</v>
      </c>
      <c r="G1701" s="384"/>
      <c r="H1701" s="24"/>
      <c r="I1701" s="24"/>
      <c r="J1701" s="25" t="str">
        <f t="shared" si="79"/>
        <v xml:space="preserve"> </v>
      </c>
      <c r="K1701" s="385" t="s">
        <v>337</v>
      </c>
      <c r="L1701" s="392">
        <v>516.9</v>
      </c>
      <c r="M1701" s="386">
        <f t="shared" si="81"/>
        <v>516.9</v>
      </c>
      <c r="N1701" s="496">
        <v>200</v>
      </c>
      <c r="O1701" s="333">
        <f t="shared" si="80"/>
        <v>716.9</v>
      </c>
      <c r="R1701" s="23" t="str">
        <f>VLOOKUP(C:C,'Historic Data - working'!A:B,1,FALSE)</f>
        <v>SOU123A</v>
      </c>
      <c r="U1701" s="323"/>
      <c r="V1701" s="323"/>
      <c r="W1701" s="323"/>
    </row>
    <row r="1702" spans="1:23" s="23" customFormat="1" ht="14.25" hidden="1" x14ac:dyDescent="0.2">
      <c r="A1702" s="381" t="s">
        <v>5482</v>
      </c>
      <c r="B1702" s="381" t="s">
        <v>324</v>
      </c>
      <c r="C1702" s="416" t="s">
        <v>6038</v>
      </c>
      <c r="D1702" s="381" t="s">
        <v>6039</v>
      </c>
      <c r="E1702" s="383" t="s">
        <v>989</v>
      </c>
      <c r="F1702" s="381" t="s">
        <v>6040</v>
      </c>
      <c r="G1702" s="384" t="s">
        <v>329</v>
      </c>
      <c r="H1702" s="24">
        <f>156.13+152.23+19.86+63.66+114.73+276.61+190.22+260.64+131.26+60.37+16.36</f>
        <v>1442.0699999999997</v>
      </c>
      <c r="I1702" s="24"/>
      <c r="J1702" s="25" t="str">
        <f t="shared" si="79"/>
        <v>1</v>
      </c>
      <c r="K1702" s="387" t="s">
        <v>6041</v>
      </c>
      <c r="L1702" s="392">
        <v>-0.02</v>
      </c>
      <c r="M1702" s="386">
        <f t="shared" si="81"/>
        <v>1442.0499999999997</v>
      </c>
      <c r="N1702" s="496">
        <v>80</v>
      </c>
      <c r="O1702" s="333">
        <f t="shared" si="80"/>
        <v>1522.0499999999997</v>
      </c>
      <c r="R1702" s="23" t="str">
        <f>VLOOKUP(C:C,'Historic Data - working'!A:B,1,FALSE)</f>
        <v>SOU124</v>
      </c>
      <c r="U1702" s="323"/>
      <c r="V1702" s="323"/>
      <c r="W1702" s="323"/>
    </row>
    <row r="1703" spans="1:23" s="23" customFormat="1" ht="14.25" hidden="1" x14ac:dyDescent="0.2">
      <c r="A1703" s="381" t="s">
        <v>5482</v>
      </c>
      <c r="B1703" s="381" t="s">
        <v>324</v>
      </c>
      <c r="C1703" s="416" t="s">
        <v>6042</v>
      </c>
      <c r="D1703" s="381" t="s">
        <v>6043</v>
      </c>
      <c r="E1703" s="383" t="s">
        <v>532</v>
      </c>
      <c r="F1703" s="381" t="s">
        <v>6044</v>
      </c>
      <c r="G1703" s="384"/>
      <c r="H1703" s="24"/>
      <c r="I1703" s="24"/>
      <c r="J1703" s="25" t="str">
        <f t="shared" si="79"/>
        <v xml:space="preserve"> </v>
      </c>
      <c r="K1703" s="385" t="s">
        <v>337</v>
      </c>
      <c r="L1703" s="392">
        <v>466.38</v>
      </c>
      <c r="M1703" s="386">
        <f t="shared" si="81"/>
        <v>466.38</v>
      </c>
      <c r="N1703" s="496">
        <v>40</v>
      </c>
      <c r="O1703" s="333">
        <f t="shared" si="80"/>
        <v>506.38</v>
      </c>
      <c r="R1703" s="23" t="str">
        <f>VLOOKUP(C:C,'Historic Data - working'!A:B,1,FALSE)</f>
        <v>SOU125</v>
      </c>
      <c r="U1703" s="323"/>
      <c r="V1703" s="323"/>
      <c r="W1703" s="323"/>
    </row>
    <row r="1704" spans="1:23" s="23" customFormat="1" ht="14.25" hidden="1" x14ac:dyDescent="0.2">
      <c r="A1704" s="381" t="s">
        <v>5482</v>
      </c>
      <c r="B1704" s="381" t="s">
        <v>324</v>
      </c>
      <c r="C1704" s="416" t="s">
        <v>6045</v>
      </c>
      <c r="D1704" s="381" t="s">
        <v>6046</v>
      </c>
      <c r="E1704" s="383" t="s">
        <v>6047</v>
      </c>
      <c r="F1704" s="381" t="s">
        <v>6048</v>
      </c>
      <c r="G1704" s="384" t="s">
        <v>329</v>
      </c>
      <c r="H1704" s="24"/>
      <c r="I1704" s="24">
        <v>388.3</v>
      </c>
      <c r="J1704" s="25" t="str">
        <f t="shared" si="79"/>
        <v>1</v>
      </c>
      <c r="K1704" s="385"/>
      <c r="L1704" s="392"/>
      <c r="M1704" s="386">
        <f t="shared" si="81"/>
        <v>0</v>
      </c>
      <c r="N1704" s="496">
        <v>388.3</v>
      </c>
      <c r="O1704" s="333">
        <f t="shared" si="80"/>
        <v>388.3</v>
      </c>
      <c r="R1704" s="23" t="str">
        <f>VLOOKUP(C:C,'Historic Data - working'!A:B,1,FALSE)</f>
        <v>SOU126</v>
      </c>
      <c r="U1704" s="323"/>
      <c r="V1704" s="323"/>
      <c r="W1704" s="323"/>
    </row>
    <row r="1705" spans="1:23" s="23" customFormat="1" ht="14.25" hidden="1" x14ac:dyDescent="0.2">
      <c r="A1705" s="381" t="s">
        <v>5482</v>
      </c>
      <c r="B1705" s="381" t="s">
        <v>324</v>
      </c>
      <c r="C1705" s="416" t="s">
        <v>6049</v>
      </c>
      <c r="D1705" s="381" t="s">
        <v>6050</v>
      </c>
      <c r="E1705" s="383" t="s">
        <v>6051</v>
      </c>
      <c r="F1705" s="381" t="s">
        <v>6052</v>
      </c>
      <c r="G1705" s="384"/>
      <c r="H1705" s="24"/>
      <c r="I1705" s="24"/>
      <c r="J1705" s="25" t="str">
        <f t="shared" si="79"/>
        <v xml:space="preserve"> </v>
      </c>
      <c r="K1705" s="385" t="s">
        <v>337</v>
      </c>
      <c r="L1705" s="392">
        <v>132.96</v>
      </c>
      <c r="M1705" s="386">
        <f t="shared" si="81"/>
        <v>132.96</v>
      </c>
      <c r="N1705" s="496">
        <v>480</v>
      </c>
      <c r="O1705" s="333">
        <f t="shared" si="80"/>
        <v>612.96</v>
      </c>
      <c r="R1705" s="23" t="str">
        <f>VLOOKUP(C:C,'Historic Data - working'!A:B,1,FALSE)</f>
        <v>SOU127</v>
      </c>
      <c r="U1705" s="323"/>
      <c r="V1705" s="323"/>
      <c r="W1705" s="323"/>
    </row>
    <row r="1706" spans="1:23" s="23" customFormat="1" ht="14.25" hidden="1" x14ac:dyDescent="0.2">
      <c r="A1706" s="381" t="s">
        <v>5482</v>
      </c>
      <c r="B1706" s="381" t="s">
        <v>324</v>
      </c>
      <c r="C1706" s="416" t="s">
        <v>6053</v>
      </c>
      <c r="D1706" s="381" t="s">
        <v>6054</v>
      </c>
      <c r="E1706" s="383" t="s">
        <v>1584</v>
      </c>
      <c r="F1706" s="381" t="s">
        <v>6055</v>
      </c>
      <c r="G1706" s="384" t="s">
        <v>329</v>
      </c>
      <c r="H1706" s="24">
        <f>671.95+281.15</f>
        <v>953.1</v>
      </c>
      <c r="I1706" s="24"/>
      <c r="J1706" s="25" t="str">
        <f t="shared" si="79"/>
        <v>1</v>
      </c>
      <c r="K1706" s="387" t="s">
        <v>6056</v>
      </c>
      <c r="L1706" s="392">
        <v>-200.5</v>
      </c>
      <c r="M1706" s="386">
        <f t="shared" si="81"/>
        <v>752.6</v>
      </c>
      <c r="N1706" s="496">
        <v>575</v>
      </c>
      <c r="O1706" s="333">
        <f t="shared" si="80"/>
        <v>1327.6</v>
      </c>
      <c r="R1706" s="23" t="str">
        <f>VLOOKUP(C:C,'Historic Data - working'!A:B,1,FALSE)</f>
        <v>SOU129</v>
      </c>
      <c r="U1706" s="323"/>
      <c r="V1706" s="323"/>
      <c r="W1706" s="323"/>
    </row>
    <row r="1707" spans="1:23" s="23" customFormat="1" ht="14.25" hidden="1" x14ac:dyDescent="0.2">
      <c r="A1707" s="381" t="s">
        <v>5482</v>
      </c>
      <c r="B1707" s="381" t="s">
        <v>324</v>
      </c>
      <c r="C1707" s="416" t="s">
        <v>6057</v>
      </c>
      <c r="D1707" s="381" t="s">
        <v>6058</v>
      </c>
      <c r="E1707" s="383" t="s">
        <v>3603</v>
      </c>
      <c r="F1707" s="381" t="s">
        <v>6059</v>
      </c>
      <c r="G1707" s="384" t="s">
        <v>329</v>
      </c>
      <c r="H1707" s="24">
        <v>1672.89</v>
      </c>
      <c r="I1707" s="24"/>
      <c r="J1707" s="25" t="str">
        <f t="shared" si="79"/>
        <v>1</v>
      </c>
      <c r="K1707" s="387" t="s">
        <v>6060</v>
      </c>
      <c r="L1707" s="392">
        <v>90.87</v>
      </c>
      <c r="M1707" s="386">
        <f t="shared" si="81"/>
        <v>1763.7600000000002</v>
      </c>
      <c r="N1707" s="496"/>
      <c r="O1707" s="333">
        <f t="shared" si="80"/>
        <v>1763.7600000000002</v>
      </c>
      <c r="R1707" s="23" t="str">
        <f>VLOOKUP(C:C,'Historic Data - working'!A:B,1,FALSE)</f>
        <v>SOU130</v>
      </c>
      <c r="U1707" s="323"/>
      <c r="V1707" s="323"/>
      <c r="W1707" s="323"/>
    </row>
    <row r="1708" spans="1:23" s="23" customFormat="1" ht="14.25" hidden="1" x14ac:dyDescent="0.2">
      <c r="A1708" s="381" t="s">
        <v>5482</v>
      </c>
      <c r="B1708" s="381" t="s">
        <v>324</v>
      </c>
      <c r="C1708" s="416" t="s">
        <v>6061</v>
      </c>
      <c r="D1708" s="381" t="s">
        <v>6062</v>
      </c>
      <c r="E1708" s="383" t="s">
        <v>6020</v>
      </c>
      <c r="F1708" s="381" t="s">
        <v>6063</v>
      </c>
      <c r="G1708" s="384" t="s">
        <v>329</v>
      </c>
      <c r="H1708" s="24">
        <f>2608.65+21</f>
        <v>2629.65</v>
      </c>
      <c r="I1708" s="24"/>
      <c r="J1708" s="25" t="str">
        <f t="shared" si="79"/>
        <v>1</v>
      </c>
      <c r="K1708" s="385"/>
      <c r="L1708" s="392"/>
      <c r="M1708" s="386">
        <f t="shared" si="81"/>
        <v>2629.65</v>
      </c>
      <c r="N1708" s="496">
        <v>835</v>
      </c>
      <c r="O1708" s="333">
        <f t="shared" si="80"/>
        <v>3464.65</v>
      </c>
      <c r="R1708" s="23" t="str">
        <f>VLOOKUP(C:C,'Historic Data - working'!A:B,1,FALSE)</f>
        <v>SOU131</v>
      </c>
      <c r="U1708" s="323"/>
      <c r="V1708" s="323"/>
      <c r="W1708" s="323"/>
    </row>
    <row r="1709" spans="1:23" s="23" customFormat="1" ht="14.25" hidden="1" x14ac:dyDescent="0.2">
      <c r="A1709" s="381" t="s">
        <v>5482</v>
      </c>
      <c r="B1709" s="381" t="s">
        <v>324</v>
      </c>
      <c r="C1709" s="416" t="s">
        <v>6064</v>
      </c>
      <c r="D1709" s="381" t="s">
        <v>6065</v>
      </c>
      <c r="E1709" s="383" t="s">
        <v>1054</v>
      </c>
      <c r="F1709" s="381" t="s">
        <v>6066</v>
      </c>
      <c r="G1709" s="384"/>
      <c r="H1709" s="24"/>
      <c r="I1709" s="24"/>
      <c r="J1709" s="25" t="str">
        <f t="shared" ref="J1709:J1772" si="82">IF(G1709="Y","1"," ")</f>
        <v xml:space="preserve"> </v>
      </c>
      <c r="K1709" s="385"/>
      <c r="L1709" s="392"/>
      <c r="M1709" s="386">
        <f t="shared" si="81"/>
        <v>0</v>
      </c>
      <c r="N1709" s="496"/>
      <c r="O1709" s="333">
        <f t="shared" si="80"/>
        <v>0</v>
      </c>
      <c r="R1709" s="23" t="str">
        <f>VLOOKUP(C:C,'Historic Data - working'!A:B,1,FALSE)</f>
        <v>SOU131A</v>
      </c>
      <c r="U1709" s="323"/>
      <c r="V1709" s="323"/>
      <c r="W1709" s="323"/>
    </row>
    <row r="1710" spans="1:23" s="23" customFormat="1" ht="14.25" hidden="1" x14ac:dyDescent="0.2">
      <c r="A1710" s="381" t="s">
        <v>5482</v>
      </c>
      <c r="B1710" s="381" t="s">
        <v>324</v>
      </c>
      <c r="C1710" s="416" t="s">
        <v>6067</v>
      </c>
      <c r="D1710" s="381" t="s">
        <v>6068</v>
      </c>
      <c r="E1710" s="383" t="s">
        <v>532</v>
      </c>
      <c r="F1710" s="381" t="s">
        <v>6069</v>
      </c>
      <c r="G1710" s="384"/>
      <c r="H1710" s="24"/>
      <c r="I1710" s="24"/>
      <c r="J1710" s="25" t="str">
        <f t="shared" si="82"/>
        <v xml:space="preserve"> </v>
      </c>
      <c r="K1710" s="385"/>
      <c r="L1710" s="392"/>
      <c r="M1710" s="386">
        <f t="shared" si="81"/>
        <v>0</v>
      </c>
      <c r="N1710" s="496"/>
      <c r="O1710" s="333">
        <f t="shared" si="80"/>
        <v>0</v>
      </c>
      <c r="R1710" s="23" t="e">
        <f>VLOOKUP(C:C,'Historic Data - working'!A:B,1,FALSE)</f>
        <v>#N/A</v>
      </c>
      <c r="U1710" s="323"/>
      <c r="V1710" s="323"/>
      <c r="W1710" s="323"/>
    </row>
    <row r="1711" spans="1:23" s="23" customFormat="1" ht="14.25" hidden="1" x14ac:dyDescent="0.2">
      <c r="A1711" s="381" t="s">
        <v>5482</v>
      </c>
      <c r="B1711" s="381" t="s">
        <v>324</v>
      </c>
      <c r="C1711" s="416" t="s">
        <v>6070</v>
      </c>
      <c r="D1711" s="381" t="s">
        <v>6071</v>
      </c>
      <c r="E1711" s="383" t="s">
        <v>6072</v>
      </c>
      <c r="F1711" s="381" t="s">
        <v>6073</v>
      </c>
      <c r="G1711" s="384"/>
      <c r="H1711" s="24"/>
      <c r="I1711" s="24"/>
      <c r="J1711" s="25" t="str">
        <f t="shared" si="82"/>
        <v xml:space="preserve"> </v>
      </c>
      <c r="K1711" s="385"/>
      <c r="L1711" s="392"/>
      <c r="M1711" s="386">
        <f t="shared" si="81"/>
        <v>0</v>
      </c>
      <c r="N1711" s="496"/>
      <c r="O1711" s="333">
        <f t="shared" si="80"/>
        <v>0</v>
      </c>
      <c r="R1711" s="23" t="e">
        <f>VLOOKUP(C:C,'Historic Data - working'!A:B,1,FALSE)</f>
        <v>#N/A</v>
      </c>
      <c r="U1711" s="323"/>
      <c r="V1711" s="323"/>
      <c r="W1711" s="323"/>
    </row>
    <row r="1712" spans="1:23" s="23" customFormat="1" ht="14.25" hidden="1" x14ac:dyDescent="0.2">
      <c r="A1712" s="381" t="s">
        <v>5482</v>
      </c>
      <c r="B1712" s="381" t="s">
        <v>324</v>
      </c>
      <c r="C1712" s="416" t="s">
        <v>6074</v>
      </c>
      <c r="D1712" s="381" t="s">
        <v>6075</v>
      </c>
      <c r="E1712" s="383" t="s">
        <v>6076</v>
      </c>
      <c r="F1712" s="381" t="s">
        <v>6077</v>
      </c>
      <c r="G1712" s="384" t="s">
        <v>329</v>
      </c>
      <c r="H1712" s="24">
        <v>634.61</v>
      </c>
      <c r="I1712" s="24"/>
      <c r="J1712" s="25" t="str">
        <f t="shared" si="82"/>
        <v>1</v>
      </c>
      <c r="K1712" s="387" t="s">
        <v>6078</v>
      </c>
      <c r="L1712" s="392">
        <v>50</v>
      </c>
      <c r="M1712" s="386">
        <f t="shared" si="81"/>
        <v>684.61</v>
      </c>
      <c r="N1712" s="496">
        <v>150</v>
      </c>
      <c r="O1712" s="333">
        <f t="shared" si="80"/>
        <v>834.61</v>
      </c>
      <c r="R1712" s="23" t="str">
        <f>VLOOKUP(C:C,'Historic Data - working'!A:B,1,FALSE)</f>
        <v>SOU132</v>
      </c>
      <c r="U1712" s="323"/>
      <c r="V1712" s="323"/>
      <c r="W1712" s="323"/>
    </row>
    <row r="1713" spans="1:23" s="23" customFormat="1" ht="14.25" hidden="1" x14ac:dyDescent="0.2">
      <c r="A1713" s="381" t="s">
        <v>5482</v>
      </c>
      <c r="B1713" s="381" t="s">
        <v>324</v>
      </c>
      <c r="C1713" s="416" t="s">
        <v>6079</v>
      </c>
      <c r="D1713" s="381" t="s">
        <v>6080</v>
      </c>
      <c r="E1713" s="383" t="s">
        <v>3662</v>
      </c>
      <c r="F1713" s="381" t="s">
        <v>6081</v>
      </c>
      <c r="G1713" s="384"/>
      <c r="H1713" s="24"/>
      <c r="I1713" s="24"/>
      <c r="J1713" s="25" t="str">
        <f t="shared" si="82"/>
        <v xml:space="preserve"> </v>
      </c>
      <c r="K1713" s="385"/>
      <c r="L1713" s="392"/>
      <c r="M1713" s="386">
        <f t="shared" si="81"/>
        <v>0</v>
      </c>
      <c r="N1713" s="496"/>
      <c r="O1713" s="333">
        <f t="shared" si="80"/>
        <v>0</v>
      </c>
      <c r="R1713" s="23" t="e">
        <f>VLOOKUP(C:C,'Historic Data - working'!A:B,1,FALSE)</f>
        <v>#N/A</v>
      </c>
      <c r="U1713" s="323"/>
      <c r="V1713" s="323"/>
      <c r="W1713" s="323"/>
    </row>
    <row r="1714" spans="1:23" s="23" customFormat="1" ht="14.25" hidden="1" x14ac:dyDescent="0.2">
      <c r="A1714" s="381" t="s">
        <v>5482</v>
      </c>
      <c r="B1714" s="381" t="s">
        <v>324</v>
      </c>
      <c r="C1714" s="416" t="s">
        <v>6082</v>
      </c>
      <c r="D1714" s="381" t="s">
        <v>6083</v>
      </c>
      <c r="E1714" s="383" t="s">
        <v>705</v>
      </c>
      <c r="F1714" s="381" t="s">
        <v>6084</v>
      </c>
      <c r="G1714" s="384"/>
      <c r="H1714" s="24"/>
      <c r="I1714" s="24"/>
      <c r="J1714" s="25" t="str">
        <f t="shared" si="82"/>
        <v xml:space="preserve"> </v>
      </c>
      <c r="K1714" s="385" t="s">
        <v>337</v>
      </c>
      <c r="L1714" s="392">
        <v>274.97000000000003</v>
      </c>
      <c r="M1714" s="386">
        <f t="shared" si="81"/>
        <v>274.97000000000003</v>
      </c>
      <c r="N1714" s="496">
        <v>55</v>
      </c>
      <c r="O1714" s="333">
        <f t="shared" si="80"/>
        <v>329.97</v>
      </c>
      <c r="R1714" s="23" t="str">
        <f>VLOOKUP(C:C,'Historic Data - working'!A:B,1,FALSE)</f>
        <v>SOU133</v>
      </c>
      <c r="U1714" s="323"/>
      <c r="V1714" s="323"/>
      <c r="W1714" s="323"/>
    </row>
    <row r="1715" spans="1:23" s="23" customFormat="1" ht="14.25" hidden="1" x14ac:dyDescent="0.2">
      <c r="A1715" s="381" t="s">
        <v>5482</v>
      </c>
      <c r="B1715" s="381" t="s">
        <v>324</v>
      </c>
      <c r="C1715" s="416" t="s">
        <v>6085</v>
      </c>
      <c r="D1715" s="381" t="s">
        <v>6086</v>
      </c>
      <c r="E1715" s="383" t="s">
        <v>6087</v>
      </c>
      <c r="F1715" s="381" t="s">
        <v>6088</v>
      </c>
      <c r="G1715" s="384"/>
      <c r="H1715" s="24"/>
      <c r="I1715" s="24"/>
      <c r="J1715" s="25" t="str">
        <f t="shared" si="82"/>
        <v xml:space="preserve"> </v>
      </c>
      <c r="K1715" s="385" t="s">
        <v>337</v>
      </c>
      <c r="L1715" s="392">
        <v>621.32000000000005</v>
      </c>
      <c r="M1715" s="386">
        <f t="shared" si="81"/>
        <v>621.32000000000005</v>
      </c>
      <c r="N1715" s="496">
        <v>365</v>
      </c>
      <c r="O1715" s="333">
        <f t="shared" si="80"/>
        <v>986.32</v>
      </c>
      <c r="R1715" s="23" t="str">
        <f>VLOOKUP(C:C,'Historic Data - working'!A:B,1,FALSE)</f>
        <v>SOU136</v>
      </c>
      <c r="U1715" s="323"/>
      <c r="V1715" s="323"/>
      <c r="W1715" s="323"/>
    </row>
    <row r="1716" spans="1:23" s="23" customFormat="1" ht="14.25" hidden="1" x14ac:dyDescent="0.2">
      <c r="A1716" s="381" t="s">
        <v>5482</v>
      </c>
      <c r="B1716" s="381" t="s">
        <v>324</v>
      </c>
      <c r="C1716" s="416" t="s">
        <v>6089</v>
      </c>
      <c r="D1716" s="381" t="s">
        <v>6090</v>
      </c>
      <c r="E1716" s="383" t="s">
        <v>1284</v>
      </c>
      <c r="F1716" s="381" t="s">
        <v>6091</v>
      </c>
      <c r="G1716" s="384" t="s">
        <v>329</v>
      </c>
      <c r="H1716" s="24">
        <f>880.04+679.89</f>
        <v>1559.9299999999998</v>
      </c>
      <c r="I1716" s="24"/>
      <c r="J1716" s="25" t="str">
        <f t="shared" si="82"/>
        <v>1</v>
      </c>
      <c r="K1716" s="385"/>
      <c r="L1716" s="392"/>
      <c r="M1716" s="386">
        <f t="shared" si="81"/>
        <v>1559.9299999999998</v>
      </c>
      <c r="N1716" s="496">
        <v>110</v>
      </c>
      <c r="O1716" s="333">
        <f t="shared" si="80"/>
        <v>1669.9299999999998</v>
      </c>
      <c r="R1716" s="23" t="str">
        <f>VLOOKUP(C:C,'Historic Data - working'!A:B,1,FALSE)</f>
        <v>SOU137</v>
      </c>
      <c r="U1716" s="323"/>
      <c r="V1716" s="323"/>
      <c r="W1716" s="323"/>
    </row>
    <row r="1717" spans="1:23" s="23" customFormat="1" ht="14.25" hidden="1" x14ac:dyDescent="0.2">
      <c r="A1717" s="381" t="s">
        <v>5482</v>
      </c>
      <c r="B1717" s="381" t="s">
        <v>324</v>
      </c>
      <c r="C1717" s="416" t="s">
        <v>6092</v>
      </c>
      <c r="D1717" s="381" t="s">
        <v>6093</v>
      </c>
      <c r="E1717" s="383" t="s">
        <v>6094</v>
      </c>
      <c r="F1717" s="381" t="s">
        <v>6095</v>
      </c>
      <c r="G1717" s="384" t="s">
        <v>329</v>
      </c>
      <c r="H1717" s="24">
        <f>244.21+97.05+124.79+84.82+66.17</f>
        <v>617.04</v>
      </c>
      <c r="I1717" s="24"/>
      <c r="J1717" s="25" t="str">
        <f t="shared" si="82"/>
        <v>1</v>
      </c>
      <c r="K1717" s="387" t="s">
        <v>6096</v>
      </c>
      <c r="L1717" s="392">
        <v>-0.7</v>
      </c>
      <c r="M1717" s="386">
        <f t="shared" si="81"/>
        <v>616.33999999999992</v>
      </c>
      <c r="N1717" s="496">
        <v>110</v>
      </c>
      <c r="O1717" s="333">
        <f t="shared" si="80"/>
        <v>726.33999999999992</v>
      </c>
      <c r="R1717" s="23" t="str">
        <f>VLOOKUP(C:C,'Historic Data - working'!A:B,1,FALSE)</f>
        <v>SOU138</v>
      </c>
      <c r="U1717" s="323"/>
      <c r="V1717" s="323"/>
      <c r="W1717" s="323"/>
    </row>
    <row r="1718" spans="1:23" s="23" customFormat="1" ht="14.25" hidden="1" x14ac:dyDescent="0.2">
      <c r="A1718" s="381" t="s">
        <v>5482</v>
      </c>
      <c r="B1718" s="381" t="s">
        <v>324</v>
      </c>
      <c r="C1718" s="416" t="s">
        <v>6097</v>
      </c>
      <c r="D1718" s="381" t="s">
        <v>6098</v>
      </c>
      <c r="E1718" s="383" t="s">
        <v>198</v>
      </c>
      <c r="F1718" s="381" t="s">
        <v>6099</v>
      </c>
      <c r="G1718" s="384"/>
      <c r="H1718" s="24"/>
      <c r="I1718" s="24"/>
      <c r="J1718" s="25" t="str">
        <f t="shared" si="82"/>
        <v xml:space="preserve"> </v>
      </c>
      <c r="K1718" s="385"/>
      <c r="L1718" s="392"/>
      <c r="M1718" s="386">
        <f t="shared" si="81"/>
        <v>0</v>
      </c>
      <c r="N1718" s="496"/>
      <c r="O1718" s="333">
        <f t="shared" si="80"/>
        <v>0</v>
      </c>
      <c r="R1718" s="23" t="str">
        <f>VLOOKUP(C:C,'Historic Data - working'!A:B,1,FALSE)</f>
        <v>SOU139</v>
      </c>
      <c r="U1718" s="323"/>
      <c r="V1718" s="323"/>
      <c r="W1718" s="323"/>
    </row>
    <row r="1719" spans="1:23" s="23" customFormat="1" ht="14.25" hidden="1" x14ac:dyDescent="0.2">
      <c r="A1719" s="381" t="s">
        <v>5482</v>
      </c>
      <c r="B1719" s="381" t="s">
        <v>324</v>
      </c>
      <c r="C1719" s="416" t="s">
        <v>6100</v>
      </c>
      <c r="D1719" s="381" t="s">
        <v>6101</v>
      </c>
      <c r="E1719" s="383" t="s">
        <v>83</v>
      </c>
      <c r="F1719" s="381" t="s">
        <v>6102</v>
      </c>
      <c r="G1719" s="384" t="s">
        <v>329</v>
      </c>
      <c r="H1719" s="24">
        <f>108.39+501.91+664.83+840.25+36.72+777.11</f>
        <v>2929.21</v>
      </c>
      <c r="I1719" s="24"/>
      <c r="J1719" s="25" t="str">
        <f t="shared" si="82"/>
        <v>1</v>
      </c>
      <c r="K1719" s="385"/>
      <c r="L1719" s="392"/>
      <c r="M1719" s="386">
        <f t="shared" si="81"/>
        <v>2929.21</v>
      </c>
      <c r="N1719" s="496">
        <v>25</v>
      </c>
      <c r="O1719" s="333">
        <f t="shared" si="80"/>
        <v>2954.21</v>
      </c>
      <c r="R1719" s="23" t="str">
        <f>VLOOKUP(C:C,'Historic Data - working'!A:B,1,FALSE)</f>
        <v>SOU140</v>
      </c>
      <c r="U1719" s="323"/>
      <c r="V1719" s="323"/>
      <c r="W1719" s="323"/>
    </row>
    <row r="1720" spans="1:23" s="23" customFormat="1" ht="14.25" hidden="1" x14ac:dyDescent="0.2">
      <c r="A1720" s="381" t="s">
        <v>5482</v>
      </c>
      <c r="B1720" s="381" t="s">
        <v>324</v>
      </c>
      <c r="C1720" s="416" t="s">
        <v>6103</v>
      </c>
      <c r="D1720" s="381" t="s">
        <v>6104</v>
      </c>
      <c r="E1720" s="383" t="s">
        <v>6105</v>
      </c>
      <c r="F1720" s="381" t="s">
        <v>6106</v>
      </c>
      <c r="G1720" s="384"/>
      <c r="H1720" s="24"/>
      <c r="I1720" s="24"/>
      <c r="J1720" s="25" t="str">
        <f t="shared" si="82"/>
        <v xml:space="preserve"> </v>
      </c>
      <c r="K1720" s="385" t="s">
        <v>337</v>
      </c>
      <c r="L1720" s="392">
        <v>702.18</v>
      </c>
      <c r="M1720" s="386">
        <f t="shared" si="81"/>
        <v>702.18</v>
      </c>
      <c r="N1720" s="496">
        <v>203.94</v>
      </c>
      <c r="O1720" s="333">
        <f t="shared" si="80"/>
        <v>906.11999999999989</v>
      </c>
      <c r="R1720" s="23" t="str">
        <f>VLOOKUP(C:C,'Historic Data - working'!A:B,1,FALSE)</f>
        <v>SOU141</v>
      </c>
      <c r="U1720" s="323"/>
      <c r="V1720" s="323"/>
      <c r="W1720" s="323"/>
    </row>
    <row r="1721" spans="1:23" s="23" customFormat="1" ht="14.25" hidden="1" x14ac:dyDescent="0.2">
      <c r="A1721" s="381" t="s">
        <v>5482</v>
      </c>
      <c r="B1721" s="381" t="s">
        <v>324</v>
      </c>
      <c r="C1721" s="416" t="s">
        <v>6107</v>
      </c>
      <c r="D1721" s="381" t="s">
        <v>6108</v>
      </c>
      <c r="E1721" s="383" t="s">
        <v>83</v>
      </c>
      <c r="F1721" s="381" t="s">
        <v>6109</v>
      </c>
      <c r="G1721" s="384"/>
      <c r="H1721" s="24"/>
      <c r="I1721" s="24"/>
      <c r="J1721" s="25" t="str">
        <f t="shared" si="82"/>
        <v xml:space="preserve"> </v>
      </c>
      <c r="K1721" s="385"/>
      <c r="L1721" s="392"/>
      <c r="M1721" s="386">
        <f t="shared" si="81"/>
        <v>0</v>
      </c>
      <c r="N1721" s="496">
        <v>75</v>
      </c>
      <c r="O1721" s="333">
        <f t="shared" si="80"/>
        <v>75</v>
      </c>
      <c r="R1721" s="23" t="str">
        <f>VLOOKUP(C:C,'Historic Data - working'!A:B,1,FALSE)</f>
        <v>SOU142</v>
      </c>
      <c r="U1721" s="323"/>
      <c r="V1721" s="323"/>
      <c r="W1721" s="323"/>
    </row>
    <row r="1722" spans="1:23" s="23" customFormat="1" ht="14.25" hidden="1" x14ac:dyDescent="0.2">
      <c r="A1722" s="381" t="s">
        <v>5482</v>
      </c>
      <c r="B1722" s="381" t="s">
        <v>324</v>
      </c>
      <c r="C1722" s="416" t="s">
        <v>6110</v>
      </c>
      <c r="D1722" s="381" t="s">
        <v>6111</v>
      </c>
      <c r="E1722" s="383" t="s">
        <v>1165</v>
      </c>
      <c r="F1722" s="381" t="s">
        <v>6040</v>
      </c>
      <c r="G1722" s="384"/>
      <c r="H1722" s="24"/>
      <c r="I1722" s="24"/>
      <c r="J1722" s="25" t="str">
        <f t="shared" si="82"/>
        <v xml:space="preserve"> </v>
      </c>
      <c r="K1722" s="385"/>
      <c r="L1722" s="392"/>
      <c r="M1722" s="386">
        <f t="shared" si="81"/>
        <v>0</v>
      </c>
      <c r="N1722" s="496"/>
      <c r="O1722" s="333">
        <f t="shared" si="80"/>
        <v>0</v>
      </c>
      <c r="R1722" s="23" t="e">
        <f>VLOOKUP(C:C,'Historic Data - working'!A:B,1,FALSE)</f>
        <v>#N/A</v>
      </c>
      <c r="U1722" s="323"/>
      <c r="V1722" s="323"/>
      <c r="W1722" s="323"/>
    </row>
    <row r="1723" spans="1:23" s="23" customFormat="1" ht="14.25" hidden="1" x14ac:dyDescent="0.2">
      <c r="A1723" s="381" t="s">
        <v>5482</v>
      </c>
      <c r="B1723" s="381" t="s">
        <v>324</v>
      </c>
      <c r="C1723" s="416" t="s">
        <v>6112</v>
      </c>
      <c r="D1723" s="381" t="s">
        <v>6113</v>
      </c>
      <c r="E1723" s="383" t="s">
        <v>6114</v>
      </c>
      <c r="F1723" s="381" t="s">
        <v>6115</v>
      </c>
      <c r="G1723" s="384"/>
      <c r="H1723" s="24"/>
      <c r="I1723" s="24"/>
      <c r="J1723" s="25" t="str">
        <f t="shared" si="82"/>
        <v xml:space="preserve"> </v>
      </c>
      <c r="K1723" s="385"/>
      <c r="L1723" s="392"/>
      <c r="M1723" s="386">
        <f t="shared" si="81"/>
        <v>0</v>
      </c>
      <c r="N1723" s="496">
        <v>240.31</v>
      </c>
      <c r="O1723" s="333">
        <f t="shared" si="80"/>
        <v>240.31</v>
      </c>
      <c r="R1723" s="23" t="str">
        <f>VLOOKUP(C:C,'Historic Data - working'!A:B,1,FALSE)</f>
        <v>SOU143</v>
      </c>
      <c r="U1723" s="323"/>
      <c r="V1723" s="323"/>
      <c r="W1723" s="323"/>
    </row>
    <row r="1724" spans="1:23" s="23" customFormat="1" ht="14.25" hidden="1" x14ac:dyDescent="0.2">
      <c r="A1724" s="381" t="s">
        <v>5482</v>
      </c>
      <c r="B1724" s="381" t="s">
        <v>324</v>
      </c>
      <c r="C1724" s="416" t="s">
        <v>6116</v>
      </c>
      <c r="D1724" s="381" t="s">
        <v>6117</v>
      </c>
      <c r="E1724" s="383" t="s">
        <v>6118</v>
      </c>
      <c r="F1724" s="381" t="s">
        <v>6119</v>
      </c>
      <c r="G1724" s="384"/>
      <c r="H1724" s="24"/>
      <c r="I1724" s="24"/>
      <c r="J1724" s="25" t="str">
        <f t="shared" si="82"/>
        <v xml:space="preserve"> </v>
      </c>
      <c r="K1724" s="385"/>
      <c r="L1724" s="392"/>
      <c r="M1724" s="386">
        <f t="shared" si="81"/>
        <v>0</v>
      </c>
      <c r="N1724" s="496"/>
      <c r="O1724" s="333">
        <f t="shared" si="80"/>
        <v>0</v>
      </c>
      <c r="R1724" s="23" t="e">
        <f>VLOOKUP(C:C,'Historic Data - working'!A:B,1,FALSE)</f>
        <v>#N/A</v>
      </c>
      <c r="U1724" s="323"/>
      <c r="V1724" s="323"/>
      <c r="W1724" s="323"/>
    </row>
    <row r="1725" spans="1:23" s="23" customFormat="1" ht="14.25" hidden="1" x14ac:dyDescent="0.2">
      <c r="A1725" s="381" t="s">
        <v>5482</v>
      </c>
      <c r="B1725" s="381" t="s">
        <v>324</v>
      </c>
      <c r="C1725" s="416" t="s">
        <v>6120</v>
      </c>
      <c r="D1725" s="381" t="s">
        <v>6121</v>
      </c>
      <c r="E1725" s="383" t="s">
        <v>198</v>
      </c>
      <c r="F1725" s="381" t="s">
        <v>6122</v>
      </c>
      <c r="G1725" s="384" t="s">
        <v>329</v>
      </c>
      <c r="H1725" s="24">
        <f>(364.23+43.47)+(45+372.82+20)</f>
        <v>845.52</v>
      </c>
      <c r="I1725" s="24"/>
      <c r="J1725" s="25" t="str">
        <f t="shared" si="82"/>
        <v>1</v>
      </c>
      <c r="K1725" s="385" t="s">
        <v>6123</v>
      </c>
      <c r="L1725" s="392">
        <v>-43.47</v>
      </c>
      <c r="M1725" s="386">
        <f t="shared" si="81"/>
        <v>802.05</v>
      </c>
      <c r="N1725" s="496">
        <v>395</v>
      </c>
      <c r="O1725" s="333">
        <f t="shared" si="80"/>
        <v>1197.05</v>
      </c>
      <c r="R1725" s="23" t="str">
        <f>VLOOKUP(C:C,'Historic Data - working'!A:B,1,FALSE)</f>
        <v>SOU144</v>
      </c>
      <c r="U1725" s="323"/>
      <c r="V1725" s="323"/>
      <c r="W1725" s="323"/>
    </row>
    <row r="1726" spans="1:23" s="23" customFormat="1" ht="14.25" hidden="1" x14ac:dyDescent="0.2">
      <c r="A1726" s="381" t="s">
        <v>5482</v>
      </c>
      <c r="B1726" s="381" t="s">
        <v>324</v>
      </c>
      <c r="C1726" s="416" t="s">
        <v>6124</v>
      </c>
      <c r="D1726" s="381" t="s">
        <v>6125</v>
      </c>
      <c r="E1726" s="383" t="s">
        <v>238</v>
      </c>
      <c r="F1726" s="381" t="s">
        <v>6126</v>
      </c>
      <c r="G1726" s="384"/>
      <c r="H1726" s="24"/>
      <c r="I1726" s="24"/>
      <c r="J1726" s="25" t="str">
        <f t="shared" si="82"/>
        <v xml:space="preserve"> </v>
      </c>
      <c r="K1726" s="385"/>
      <c r="L1726" s="392"/>
      <c r="M1726" s="386">
        <f t="shared" si="81"/>
        <v>0</v>
      </c>
      <c r="N1726" s="496">
        <v>240</v>
      </c>
      <c r="O1726" s="333">
        <f t="shared" si="80"/>
        <v>240</v>
      </c>
      <c r="R1726" s="23" t="str">
        <f>VLOOKUP(C:C,'Historic Data - working'!A:B,1,FALSE)</f>
        <v>SOU144X</v>
      </c>
      <c r="U1726" s="323"/>
      <c r="V1726" s="323"/>
      <c r="W1726" s="323"/>
    </row>
    <row r="1727" spans="1:23" s="23" customFormat="1" ht="14.25" hidden="1" x14ac:dyDescent="0.2">
      <c r="A1727" s="381" t="s">
        <v>5482</v>
      </c>
      <c r="B1727" s="381" t="s">
        <v>324</v>
      </c>
      <c r="C1727" s="416" t="s">
        <v>6127</v>
      </c>
      <c r="D1727" s="381" t="s">
        <v>6128</v>
      </c>
      <c r="E1727" s="383" t="s">
        <v>6129</v>
      </c>
      <c r="F1727" s="381" t="s">
        <v>6130</v>
      </c>
      <c r="G1727" s="384" t="s">
        <v>329</v>
      </c>
      <c r="H1727" s="24">
        <f>579.84+611.39</f>
        <v>1191.23</v>
      </c>
      <c r="I1727" s="24"/>
      <c r="J1727" s="25" t="str">
        <f t="shared" si="82"/>
        <v>1</v>
      </c>
      <c r="K1727" s="385"/>
      <c r="L1727" s="392"/>
      <c r="M1727" s="386">
        <f t="shared" si="81"/>
        <v>1191.23</v>
      </c>
      <c r="N1727" s="496">
        <v>235</v>
      </c>
      <c r="O1727" s="333">
        <f t="shared" si="80"/>
        <v>1426.23</v>
      </c>
      <c r="R1727" s="23" t="str">
        <f>VLOOKUP(C:C,'Historic Data - working'!A:B,1,FALSE)</f>
        <v>SOU145</v>
      </c>
      <c r="U1727" s="323"/>
      <c r="V1727" s="323"/>
      <c r="W1727" s="323"/>
    </row>
    <row r="1728" spans="1:23" s="23" customFormat="1" ht="14.25" hidden="1" x14ac:dyDescent="0.2">
      <c r="A1728" s="381" t="s">
        <v>5482</v>
      </c>
      <c r="B1728" s="381" t="s">
        <v>324</v>
      </c>
      <c r="C1728" s="416" t="s">
        <v>6131</v>
      </c>
      <c r="D1728" s="381" t="s">
        <v>6132</v>
      </c>
      <c r="E1728" s="383" t="s">
        <v>3161</v>
      </c>
      <c r="F1728" s="381" t="s">
        <v>6133</v>
      </c>
      <c r="G1728" s="384"/>
      <c r="H1728" s="24"/>
      <c r="I1728" s="24"/>
      <c r="J1728" s="25" t="str">
        <f t="shared" si="82"/>
        <v xml:space="preserve"> </v>
      </c>
      <c r="K1728" s="385"/>
      <c r="L1728" s="392"/>
      <c r="M1728" s="386">
        <f t="shared" si="81"/>
        <v>0</v>
      </c>
      <c r="N1728" s="496">
        <v>551</v>
      </c>
      <c r="O1728" s="333">
        <f t="shared" si="80"/>
        <v>551</v>
      </c>
      <c r="R1728" s="23" t="str">
        <f>VLOOKUP(C:C,'Historic Data - working'!A:B,1,FALSE)</f>
        <v>SOU146</v>
      </c>
      <c r="U1728" s="323"/>
      <c r="V1728" s="323"/>
      <c r="W1728" s="323"/>
    </row>
    <row r="1729" spans="1:23" s="23" customFormat="1" ht="14.25" hidden="1" x14ac:dyDescent="0.2">
      <c r="A1729" s="381" t="s">
        <v>5482</v>
      </c>
      <c r="B1729" s="381" t="s">
        <v>324</v>
      </c>
      <c r="C1729" s="416" t="s">
        <v>6134</v>
      </c>
      <c r="D1729" s="381" t="s">
        <v>6135</v>
      </c>
      <c r="E1729" s="383" t="s">
        <v>5984</v>
      </c>
      <c r="F1729" s="381" t="s">
        <v>6136</v>
      </c>
      <c r="G1729" s="384"/>
      <c r="H1729" s="24"/>
      <c r="I1729" s="24"/>
      <c r="J1729" s="25" t="str">
        <f t="shared" si="82"/>
        <v xml:space="preserve"> </v>
      </c>
      <c r="K1729" s="385"/>
      <c r="L1729" s="392"/>
      <c r="M1729" s="386">
        <f t="shared" si="81"/>
        <v>0</v>
      </c>
      <c r="N1729" s="496"/>
      <c r="O1729" s="333">
        <f t="shared" si="80"/>
        <v>0</v>
      </c>
      <c r="R1729" s="23" t="str">
        <f>VLOOKUP(C:C,'Historic Data - working'!A:B,1,FALSE)</f>
        <v>SOU146A</v>
      </c>
      <c r="U1729" s="323"/>
      <c r="V1729" s="323"/>
      <c r="W1729" s="323"/>
    </row>
    <row r="1730" spans="1:23" s="23" customFormat="1" ht="14.25" hidden="1" x14ac:dyDescent="0.2">
      <c r="A1730" s="381" t="s">
        <v>5482</v>
      </c>
      <c r="B1730" s="381" t="s">
        <v>324</v>
      </c>
      <c r="C1730" s="416" t="s">
        <v>6137</v>
      </c>
      <c r="D1730" s="381" t="s">
        <v>6138</v>
      </c>
      <c r="E1730" s="383" t="s">
        <v>6139</v>
      </c>
      <c r="F1730" s="381" t="s">
        <v>6140</v>
      </c>
      <c r="G1730" s="384"/>
      <c r="H1730" s="24"/>
      <c r="I1730" s="24"/>
      <c r="J1730" s="25" t="str">
        <f t="shared" si="82"/>
        <v xml:space="preserve"> </v>
      </c>
      <c r="K1730" s="385"/>
      <c r="L1730" s="392"/>
      <c r="M1730" s="386">
        <f t="shared" si="81"/>
        <v>0</v>
      </c>
      <c r="N1730" s="496">
        <v>70</v>
      </c>
      <c r="O1730" s="333">
        <f t="shared" ref="O1730:O1793" si="83">M1730+N1730</f>
        <v>70</v>
      </c>
      <c r="R1730" s="23" t="str">
        <f>VLOOKUP(C:C,'Historic Data - working'!A:B,1,FALSE)</f>
        <v>SOU146X</v>
      </c>
      <c r="U1730" s="323"/>
      <c r="V1730" s="323"/>
      <c r="W1730" s="323"/>
    </row>
    <row r="1731" spans="1:23" s="23" customFormat="1" ht="14.25" hidden="1" x14ac:dyDescent="0.2">
      <c r="A1731" s="381" t="s">
        <v>5482</v>
      </c>
      <c r="B1731" s="381" t="s">
        <v>324</v>
      </c>
      <c r="C1731" s="416" t="s">
        <v>6141</v>
      </c>
      <c r="D1731" s="381" t="s">
        <v>6142</v>
      </c>
      <c r="E1731" s="383" t="s">
        <v>5904</v>
      </c>
      <c r="F1731" s="381" t="s">
        <v>6143</v>
      </c>
      <c r="G1731" s="384"/>
      <c r="H1731" s="24"/>
      <c r="I1731" s="24"/>
      <c r="J1731" s="25" t="str">
        <f t="shared" si="82"/>
        <v xml:space="preserve"> </v>
      </c>
      <c r="K1731" s="385"/>
      <c r="L1731" s="392"/>
      <c r="M1731" s="386">
        <f t="shared" ref="M1731:M1794" si="84">H1731+L1731</f>
        <v>0</v>
      </c>
      <c r="N1731" s="496">
        <v>45</v>
      </c>
      <c r="O1731" s="333">
        <f t="shared" si="83"/>
        <v>45</v>
      </c>
      <c r="R1731" s="23" t="str">
        <f>VLOOKUP(C:C,'Historic Data - working'!A:B,1,FALSE)</f>
        <v>SOU147</v>
      </c>
      <c r="U1731" s="323"/>
      <c r="V1731" s="323"/>
      <c r="W1731" s="323"/>
    </row>
    <row r="1732" spans="1:23" s="23" customFormat="1" ht="14.25" hidden="1" x14ac:dyDescent="0.2">
      <c r="A1732" s="381" t="s">
        <v>5482</v>
      </c>
      <c r="B1732" s="381" t="s">
        <v>324</v>
      </c>
      <c r="C1732" s="416" t="s">
        <v>6144</v>
      </c>
      <c r="D1732" s="381" t="s">
        <v>6145</v>
      </c>
      <c r="E1732" s="383" t="s">
        <v>564</v>
      </c>
      <c r="F1732" s="381" t="s">
        <v>6146</v>
      </c>
      <c r="G1732" s="384" t="s">
        <v>329</v>
      </c>
      <c r="H1732" s="24">
        <f>240.15+120.14</f>
        <v>360.29</v>
      </c>
      <c r="I1732" s="24"/>
      <c r="J1732" s="25" t="str">
        <f t="shared" si="82"/>
        <v>1</v>
      </c>
      <c r="K1732" s="385"/>
      <c r="L1732" s="392"/>
      <c r="M1732" s="386">
        <f t="shared" si="84"/>
        <v>360.29</v>
      </c>
      <c r="N1732" s="496">
        <v>340</v>
      </c>
      <c r="O1732" s="333">
        <f t="shared" si="83"/>
        <v>700.29</v>
      </c>
      <c r="R1732" s="23" t="str">
        <f>VLOOKUP(C:C,'Historic Data - working'!A:B,1,FALSE)</f>
        <v>SOU147X</v>
      </c>
      <c r="U1732" s="323"/>
      <c r="V1732" s="323"/>
      <c r="W1732" s="323"/>
    </row>
    <row r="1733" spans="1:23" s="23" customFormat="1" ht="14.25" hidden="1" x14ac:dyDescent="0.2">
      <c r="A1733" s="381" t="s">
        <v>5482</v>
      </c>
      <c r="B1733" s="381" t="s">
        <v>324</v>
      </c>
      <c r="C1733" s="416" t="s">
        <v>6147</v>
      </c>
      <c r="D1733" s="381" t="s">
        <v>6148</v>
      </c>
      <c r="E1733" s="383" t="s">
        <v>6149</v>
      </c>
      <c r="F1733" s="381" t="s">
        <v>6150</v>
      </c>
      <c r="G1733" s="384"/>
      <c r="H1733" s="24"/>
      <c r="I1733" s="24"/>
      <c r="J1733" s="25" t="str">
        <f t="shared" si="82"/>
        <v xml:space="preserve"> </v>
      </c>
      <c r="K1733" s="385" t="s">
        <v>337</v>
      </c>
      <c r="L1733" s="392">
        <v>663.86</v>
      </c>
      <c r="M1733" s="386">
        <f t="shared" si="84"/>
        <v>663.86</v>
      </c>
      <c r="N1733" s="496">
        <v>1276.2</v>
      </c>
      <c r="O1733" s="333">
        <f t="shared" si="83"/>
        <v>1940.06</v>
      </c>
      <c r="R1733" s="23" t="str">
        <f>VLOOKUP(C:C,'Historic Data - working'!A:B,1,FALSE)</f>
        <v>SOU148</v>
      </c>
      <c r="U1733" s="323"/>
      <c r="V1733" s="323"/>
      <c r="W1733" s="323"/>
    </row>
    <row r="1734" spans="1:23" s="23" customFormat="1" ht="14.25" hidden="1" x14ac:dyDescent="0.2">
      <c r="A1734" s="381" t="s">
        <v>5482</v>
      </c>
      <c r="B1734" s="381" t="s">
        <v>324</v>
      </c>
      <c r="C1734" s="416" t="s">
        <v>6151</v>
      </c>
      <c r="D1734" s="381" t="s">
        <v>6152</v>
      </c>
      <c r="E1734" s="383" t="s">
        <v>4774</v>
      </c>
      <c r="F1734" s="381" t="s">
        <v>6153</v>
      </c>
      <c r="G1734" s="384" t="s">
        <v>329</v>
      </c>
      <c r="H1734" s="24">
        <f>613.27+273.88+211.74</f>
        <v>1098.8899999999999</v>
      </c>
      <c r="I1734" s="24"/>
      <c r="J1734" s="25" t="str">
        <f t="shared" si="82"/>
        <v>1</v>
      </c>
      <c r="K1734" s="385"/>
      <c r="L1734" s="392"/>
      <c r="M1734" s="386">
        <f t="shared" si="84"/>
        <v>1098.8899999999999</v>
      </c>
      <c r="N1734" s="496">
        <v>395</v>
      </c>
      <c r="O1734" s="333">
        <f t="shared" si="83"/>
        <v>1493.8899999999999</v>
      </c>
      <c r="R1734" s="23" t="str">
        <f>VLOOKUP(C:C,'Historic Data - working'!A:B,1,FALSE)</f>
        <v>SOU149</v>
      </c>
      <c r="U1734" s="323"/>
      <c r="V1734" s="323"/>
      <c r="W1734" s="323"/>
    </row>
    <row r="1735" spans="1:23" s="23" customFormat="1" ht="14.25" hidden="1" x14ac:dyDescent="0.2">
      <c r="A1735" s="381" t="s">
        <v>5482</v>
      </c>
      <c r="B1735" s="381" t="s">
        <v>324</v>
      </c>
      <c r="C1735" s="416" t="s">
        <v>6154</v>
      </c>
      <c r="D1735" s="381" t="s">
        <v>6155</v>
      </c>
      <c r="E1735" s="383" t="s">
        <v>11</v>
      </c>
      <c r="F1735" s="381" t="s">
        <v>6156</v>
      </c>
      <c r="G1735" s="384" t="s">
        <v>329</v>
      </c>
      <c r="H1735" s="24">
        <f>502.04+125.02+5.45+5+56.57</f>
        <v>694.08000000000015</v>
      </c>
      <c r="I1735" s="24">
        <v>50</v>
      </c>
      <c r="J1735" s="25" t="str">
        <f t="shared" si="82"/>
        <v>1</v>
      </c>
      <c r="K1735" s="385"/>
      <c r="L1735" s="392"/>
      <c r="M1735" s="386">
        <f t="shared" si="84"/>
        <v>694.08000000000015</v>
      </c>
      <c r="N1735" s="496">
        <v>470</v>
      </c>
      <c r="O1735" s="333">
        <f t="shared" si="83"/>
        <v>1164.0800000000002</v>
      </c>
      <c r="R1735" s="23" t="str">
        <f>VLOOKUP(C:C,'Historic Data - working'!A:B,1,FALSE)</f>
        <v>SOU150</v>
      </c>
      <c r="U1735" s="323"/>
      <c r="V1735" s="323"/>
      <c r="W1735" s="323"/>
    </row>
    <row r="1736" spans="1:23" s="23" customFormat="1" ht="14.25" hidden="1" x14ac:dyDescent="0.2">
      <c r="A1736" s="381" t="s">
        <v>5482</v>
      </c>
      <c r="B1736" s="381" t="s">
        <v>324</v>
      </c>
      <c r="C1736" s="416" t="s">
        <v>6157</v>
      </c>
      <c r="D1736" s="381" t="s">
        <v>6158</v>
      </c>
      <c r="E1736" s="383" t="s">
        <v>6159</v>
      </c>
      <c r="F1736" s="381" t="s">
        <v>6160</v>
      </c>
      <c r="G1736" s="384"/>
      <c r="H1736" s="24"/>
      <c r="I1736" s="24"/>
      <c r="J1736" s="25" t="str">
        <f t="shared" si="82"/>
        <v xml:space="preserve"> </v>
      </c>
      <c r="K1736" s="385"/>
      <c r="L1736" s="392"/>
      <c r="M1736" s="386">
        <f t="shared" si="84"/>
        <v>0</v>
      </c>
      <c r="N1736" s="496"/>
      <c r="O1736" s="333">
        <f t="shared" si="83"/>
        <v>0</v>
      </c>
      <c r="R1736" s="23" t="e">
        <f>VLOOKUP(C:C,'Historic Data - working'!A:B,1,FALSE)</f>
        <v>#N/A</v>
      </c>
      <c r="U1736" s="323"/>
      <c r="V1736" s="323"/>
      <c r="W1736" s="323"/>
    </row>
    <row r="1737" spans="1:23" s="23" customFormat="1" ht="14.25" hidden="1" x14ac:dyDescent="0.2">
      <c r="A1737" s="381" t="s">
        <v>5482</v>
      </c>
      <c r="B1737" s="381" t="s">
        <v>324</v>
      </c>
      <c r="C1737" s="416" t="s">
        <v>6161</v>
      </c>
      <c r="D1737" s="381" t="s">
        <v>6162</v>
      </c>
      <c r="E1737" s="383" t="s">
        <v>242</v>
      </c>
      <c r="F1737" s="381" t="s">
        <v>6163</v>
      </c>
      <c r="G1737" s="384"/>
      <c r="H1737" s="24"/>
      <c r="I1737" s="24"/>
      <c r="J1737" s="25" t="str">
        <f t="shared" si="82"/>
        <v xml:space="preserve"> </v>
      </c>
      <c r="K1737" s="385" t="s">
        <v>337</v>
      </c>
      <c r="L1737" s="392">
        <v>1148.8699999999999</v>
      </c>
      <c r="M1737" s="386">
        <f t="shared" si="84"/>
        <v>1148.8699999999999</v>
      </c>
      <c r="N1737" s="496">
        <v>62</v>
      </c>
      <c r="O1737" s="333">
        <f t="shared" si="83"/>
        <v>1210.8699999999999</v>
      </c>
      <c r="R1737" s="23" t="str">
        <f>VLOOKUP(C:C,'Historic Data - working'!A:B,1,FALSE)</f>
        <v>SOU151</v>
      </c>
      <c r="U1737" s="323"/>
      <c r="V1737" s="323"/>
      <c r="W1737" s="323"/>
    </row>
    <row r="1738" spans="1:23" s="23" customFormat="1" ht="14.25" hidden="1" x14ac:dyDescent="0.2">
      <c r="A1738" s="381" t="s">
        <v>5482</v>
      </c>
      <c r="B1738" s="381" t="s">
        <v>324</v>
      </c>
      <c r="C1738" s="416" t="s">
        <v>6164</v>
      </c>
      <c r="D1738" s="381" t="s">
        <v>6165</v>
      </c>
      <c r="E1738" s="383" t="s">
        <v>6166</v>
      </c>
      <c r="F1738" s="381" t="s">
        <v>6163</v>
      </c>
      <c r="G1738" s="384" t="s">
        <v>329</v>
      </c>
      <c r="H1738" s="24"/>
      <c r="I1738" s="24">
        <f>30+67.77+19.36+146.53</f>
        <v>263.65999999999997</v>
      </c>
      <c r="J1738" s="25" t="str">
        <f t="shared" si="82"/>
        <v>1</v>
      </c>
      <c r="K1738" s="385"/>
      <c r="L1738" s="392"/>
      <c r="M1738" s="386">
        <f t="shared" si="84"/>
        <v>0</v>
      </c>
      <c r="N1738" s="496">
        <v>263.66000000000003</v>
      </c>
      <c r="O1738" s="333">
        <f t="shared" si="83"/>
        <v>263.66000000000003</v>
      </c>
      <c r="R1738" s="23" t="str">
        <f>VLOOKUP(C:C,'Historic Data - working'!A:B,1,FALSE)</f>
        <v>SOU152</v>
      </c>
      <c r="U1738" s="323"/>
      <c r="V1738" s="323"/>
      <c r="W1738" s="323"/>
    </row>
    <row r="1739" spans="1:23" s="23" customFormat="1" ht="14.25" hidden="1" x14ac:dyDescent="0.2">
      <c r="A1739" s="381" t="s">
        <v>5482</v>
      </c>
      <c r="B1739" s="381" t="s">
        <v>324</v>
      </c>
      <c r="C1739" s="416" t="s">
        <v>6167</v>
      </c>
      <c r="D1739" s="381" t="s">
        <v>6168</v>
      </c>
      <c r="E1739" s="383" t="s">
        <v>583</v>
      </c>
      <c r="F1739" s="381" t="s">
        <v>6169</v>
      </c>
      <c r="G1739" s="384"/>
      <c r="H1739" s="24"/>
      <c r="I1739" s="24"/>
      <c r="J1739" s="25" t="str">
        <f t="shared" si="82"/>
        <v xml:space="preserve"> </v>
      </c>
      <c r="K1739" s="385"/>
      <c r="L1739" s="392"/>
      <c r="M1739" s="386">
        <f t="shared" si="84"/>
        <v>0</v>
      </c>
      <c r="N1739" s="496">
        <v>121</v>
      </c>
      <c r="O1739" s="333">
        <f t="shared" si="83"/>
        <v>121</v>
      </c>
      <c r="R1739" s="23" t="str">
        <f>VLOOKUP(C:C,'Historic Data - working'!A:B,1,FALSE)</f>
        <v>SOU153</v>
      </c>
      <c r="U1739" s="323"/>
      <c r="V1739" s="323"/>
      <c r="W1739" s="323"/>
    </row>
    <row r="1740" spans="1:23" s="23" customFormat="1" ht="14.25" hidden="1" x14ac:dyDescent="0.2">
      <c r="A1740" s="381" t="s">
        <v>5482</v>
      </c>
      <c r="B1740" s="381" t="s">
        <v>324</v>
      </c>
      <c r="C1740" s="416" t="s">
        <v>6170</v>
      </c>
      <c r="D1740" s="381" t="s">
        <v>6171</v>
      </c>
      <c r="E1740" s="383" t="s">
        <v>2176</v>
      </c>
      <c r="F1740" s="381" t="s">
        <v>6172</v>
      </c>
      <c r="G1740" s="384"/>
      <c r="H1740" s="24"/>
      <c r="I1740" s="24"/>
      <c r="J1740" s="25" t="str">
        <f t="shared" si="82"/>
        <v xml:space="preserve"> </v>
      </c>
      <c r="K1740" s="385"/>
      <c r="L1740" s="392"/>
      <c r="M1740" s="386">
        <f t="shared" si="84"/>
        <v>0</v>
      </c>
      <c r="N1740" s="496">
        <v>445</v>
      </c>
      <c r="O1740" s="333">
        <f t="shared" si="83"/>
        <v>445</v>
      </c>
      <c r="R1740" s="23" t="str">
        <f>VLOOKUP(C:C,'Historic Data - working'!A:B,1,FALSE)</f>
        <v>SOU154</v>
      </c>
      <c r="U1740" s="323"/>
      <c r="V1740" s="323"/>
      <c r="W1740" s="323"/>
    </row>
    <row r="1741" spans="1:23" s="23" customFormat="1" ht="14.25" hidden="1" x14ac:dyDescent="0.2">
      <c r="A1741" s="381" t="s">
        <v>5482</v>
      </c>
      <c r="B1741" s="381" t="s">
        <v>324</v>
      </c>
      <c r="C1741" s="416" t="s">
        <v>6173</v>
      </c>
      <c r="D1741" s="381" t="s">
        <v>6174</v>
      </c>
      <c r="E1741" s="383" t="s">
        <v>66</v>
      </c>
      <c r="F1741" s="381" t="s">
        <v>6175</v>
      </c>
      <c r="G1741" s="384" t="s">
        <v>329</v>
      </c>
      <c r="H1741" s="24">
        <f>333+484</f>
        <v>817</v>
      </c>
      <c r="I1741" s="24"/>
      <c r="J1741" s="25" t="str">
        <f t="shared" si="82"/>
        <v>1</v>
      </c>
      <c r="K1741" s="385" t="s">
        <v>6176</v>
      </c>
      <c r="L1741" s="392"/>
      <c r="M1741" s="386">
        <f t="shared" si="84"/>
        <v>817</v>
      </c>
      <c r="N1741" s="496">
        <v>310</v>
      </c>
      <c r="O1741" s="333">
        <f t="shared" si="83"/>
        <v>1127</v>
      </c>
      <c r="R1741" s="23" t="str">
        <f>VLOOKUP(C:C,'Historic Data - working'!A:B,1,FALSE)</f>
        <v>SOU155</v>
      </c>
      <c r="U1741" s="323"/>
      <c r="V1741" s="323"/>
      <c r="W1741" s="323"/>
    </row>
    <row r="1742" spans="1:23" s="23" customFormat="1" ht="14.25" hidden="1" x14ac:dyDescent="0.2">
      <c r="A1742" s="381" t="s">
        <v>5482</v>
      </c>
      <c r="B1742" s="381" t="s">
        <v>324</v>
      </c>
      <c r="C1742" s="416" t="s">
        <v>6177</v>
      </c>
      <c r="D1742" s="381" t="s">
        <v>6178</v>
      </c>
      <c r="E1742" s="383" t="s">
        <v>2720</v>
      </c>
      <c r="F1742" s="381" t="s">
        <v>6179</v>
      </c>
      <c r="G1742" s="384" t="s">
        <v>329</v>
      </c>
      <c r="H1742" s="24">
        <f>494+285+95+20+680+267+175+25</f>
        <v>2041</v>
      </c>
      <c r="I1742" s="24"/>
      <c r="J1742" s="25" t="str">
        <f t="shared" si="82"/>
        <v>1</v>
      </c>
      <c r="K1742" s="385"/>
      <c r="L1742" s="392"/>
      <c r="M1742" s="386">
        <f t="shared" si="84"/>
        <v>2041</v>
      </c>
      <c r="N1742" s="496">
        <v>140</v>
      </c>
      <c r="O1742" s="333">
        <f t="shared" si="83"/>
        <v>2181</v>
      </c>
      <c r="R1742" s="23" t="str">
        <f>VLOOKUP(C:C,'Historic Data - working'!A:B,1,FALSE)</f>
        <v>SOU156</v>
      </c>
      <c r="U1742" s="323"/>
      <c r="V1742" s="323"/>
      <c r="W1742" s="323"/>
    </row>
    <row r="1743" spans="1:23" s="23" customFormat="1" ht="14.25" hidden="1" x14ac:dyDescent="0.2">
      <c r="A1743" s="381" t="s">
        <v>5482</v>
      </c>
      <c r="B1743" s="381" t="s">
        <v>324</v>
      </c>
      <c r="C1743" s="416" t="s">
        <v>6180</v>
      </c>
      <c r="D1743" s="381" t="s">
        <v>6181</v>
      </c>
      <c r="E1743" s="383" t="s">
        <v>6182</v>
      </c>
      <c r="F1743" s="381" t="s">
        <v>6183</v>
      </c>
      <c r="G1743" s="384" t="s">
        <v>329</v>
      </c>
      <c r="H1743" s="24">
        <f>289+151.84+273+134.31+333+91.4+225+210.51+50</f>
        <v>1758.0600000000002</v>
      </c>
      <c r="I1743" s="24"/>
      <c r="J1743" s="25" t="str">
        <f t="shared" si="82"/>
        <v>1</v>
      </c>
      <c r="K1743" s="385"/>
      <c r="L1743" s="392"/>
      <c r="M1743" s="386">
        <f t="shared" si="84"/>
        <v>1758.0600000000002</v>
      </c>
      <c r="N1743" s="496">
        <v>150</v>
      </c>
      <c r="O1743" s="333">
        <f t="shared" si="83"/>
        <v>1908.0600000000002</v>
      </c>
      <c r="R1743" s="23" t="str">
        <f>VLOOKUP(C:C,'Historic Data - working'!A:B,1,FALSE)</f>
        <v>SOU157</v>
      </c>
      <c r="U1743" s="323"/>
      <c r="V1743" s="323"/>
      <c r="W1743" s="323"/>
    </row>
    <row r="1744" spans="1:23" s="23" customFormat="1" ht="14.25" hidden="1" x14ac:dyDescent="0.2">
      <c r="A1744" s="381" t="s">
        <v>5482</v>
      </c>
      <c r="B1744" s="381" t="s">
        <v>324</v>
      </c>
      <c r="C1744" s="416" t="s">
        <v>6184</v>
      </c>
      <c r="D1744" s="381" t="s">
        <v>6185</v>
      </c>
      <c r="E1744" s="383" t="s">
        <v>6186</v>
      </c>
      <c r="F1744" s="381" t="s">
        <v>6187</v>
      </c>
      <c r="G1744" s="384" t="s">
        <v>329</v>
      </c>
      <c r="H1744" s="24"/>
      <c r="I1744" s="24">
        <v>1470.52</v>
      </c>
      <c r="J1744" s="25" t="str">
        <f t="shared" si="82"/>
        <v>1</v>
      </c>
      <c r="K1744" s="385"/>
      <c r="L1744" s="392"/>
      <c r="M1744" s="386">
        <f t="shared" si="84"/>
        <v>0</v>
      </c>
      <c r="N1744" s="496">
        <v>2100.02</v>
      </c>
      <c r="O1744" s="333">
        <f t="shared" si="83"/>
        <v>2100.02</v>
      </c>
      <c r="R1744" s="23" t="str">
        <f>VLOOKUP(C:C,'Historic Data - working'!A:B,1,FALSE)</f>
        <v>SOU158</v>
      </c>
      <c r="U1744" s="323"/>
      <c r="V1744" s="323"/>
      <c r="W1744" s="323"/>
    </row>
    <row r="1745" spans="1:23" s="23" customFormat="1" ht="14.25" hidden="1" x14ac:dyDescent="0.2">
      <c r="A1745" s="381" t="s">
        <v>5482</v>
      </c>
      <c r="B1745" s="381" t="s">
        <v>324</v>
      </c>
      <c r="C1745" s="416" t="s">
        <v>6188</v>
      </c>
      <c r="D1745" s="381" t="s">
        <v>6189</v>
      </c>
      <c r="E1745" s="383" t="s">
        <v>83</v>
      </c>
      <c r="F1745" s="381" t="s">
        <v>6190</v>
      </c>
      <c r="G1745" s="384"/>
      <c r="H1745" s="24"/>
      <c r="I1745" s="24"/>
      <c r="J1745" s="25" t="str">
        <f t="shared" si="82"/>
        <v xml:space="preserve"> </v>
      </c>
      <c r="K1745" s="385"/>
      <c r="L1745" s="392"/>
      <c r="M1745" s="386">
        <f t="shared" si="84"/>
        <v>0</v>
      </c>
      <c r="N1745" s="496"/>
      <c r="O1745" s="333">
        <f t="shared" si="83"/>
        <v>0</v>
      </c>
      <c r="R1745" s="23" t="str">
        <f>VLOOKUP(C:C,'Historic Data - working'!A:B,1,FALSE)</f>
        <v>SOU159</v>
      </c>
      <c r="U1745" s="323"/>
      <c r="V1745" s="323"/>
      <c r="W1745" s="323"/>
    </row>
    <row r="1746" spans="1:23" s="23" customFormat="1" ht="14.25" hidden="1" x14ac:dyDescent="0.2">
      <c r="A1746" s="381" t="s">
        <v>5482</v>
      </c>
      <c r="B1746" s="381" t="s">
        <v>324</v>
      </c>
      <c r="C1746" s="416" t="s">
        <v>6191</v>
      </c>
      <c r="D1746" s="381" t="s">
        <v>6192</v>
      </c>
      <c r="E1746" s="383" t="s">
        <v>6193</v>
      </c>
      <c r="F1746" s="381" t="s">
        <v>6194</v>
      </c>
      <c r="G1746" s="384" t="s">
        <v>329</v>
      </c>
      <c r="H1746" s="24"/>
      <c r="I1746" s="24">
        <v>654.15</v>
      </c>
      <c r="J1746" s="25" t="str">
        <f t="shared" si="82"/>
        <v>1</v>
      </c>
      <c r="K1746" s="385"/>
      <c r="L1746" s="392"/>
      <c r="M1746" s="386">
        <f t="shared" si="84"/>
        <v>0</v>
      </c>
      <c r="N1746" s="496">
        <v>669.15</v>
      </c>
      <c r="O1746" s="333">
        <f t="shared" si="83"/>
        <v>669.15</v>
      </c>
      <c r="R1746" s="23" t="str">
        <f>VLOOKUP(C:C,'Historic Data - working'!A:B,1,FALSE)</f>
        <v>SOU160</v>
      </c>
      <c r="U1746" s="323"/>
      <c r="V1746" s="323"/>
      <c r="W1746" s="323"/>
    </row>
    <row r="1747" spans="1:23" s="23" customFormat="1" ht="14.25" hidden="1" x14ac:dyDescent="0.2">
      <c r="A1747" s="381" t="s">
        <v>5482</v>
      </c>
      <c r="B1747" s="381" t="s">
        <v>324</v>
      </c>
      <c r="C1747" s="416" t="s">
        <v>6195</v>
      </c>
      <c r="D1747" s="381" t="s">
        <v>6196</v>
      </c>
      <c r="E1747" s="383" t="s">
        <v>5610</v>
      </c>
      <c r="F1747" s="381" t="s">
        <v>6197</v>
      </c>
      <c r="G1747" s="384" t="s">
        <v>329</v>
      </c>
      <c r="H1747" s="24"/>
      <c r="I1747" s="24">
        <f>527.7+680.88</f>
        <v>1208.58</v>
      </c>
      <c r="J1747" s="25" t="str">
        <f t="shared" si="82"/>
        <v>1</v>
      </c>
      <c r="K1747" s="385" t="s">
        <v>337</v>
      </c>
      <c r="L1747" s="392">
        <v>1208.58</v>
      </c>
      <c r="M1747" s="386">
        <f t="shared" si="84"/>
        <v>1208.58</v>
      </c>
      <c r="N1747" s="496">
        <v>365</v>
      </c>
      <c r="O1747" s="333">
        <f t="shared" si="83"/>
        <v>1573.58</v>
      </c>
      <c r="R1747" s="23" t="str">
        <f>VLOOKUP(C:C,'Historic Data - working'!A:B,1,FALSE)</f>
        <v>SOU161</v>
      </c>
      <c r="U1747" s="323"/>
      <c r="V1747" s="323"/>
      <c r="W1747" s="323"/>
    </row>
    <row r="1748" spans="1:23" s="23" customFormat="1" ht="14.25" hidden="1" x14ac:dyDescent="0.2">
      <c r="A1748" s="381" t="s">
        <v>5482</v>
      </c>
      <c r="B1748" s="381" t="s">
        <v>324</v>
      </c>
      <c r="C1748" s="416" t="s">
        <v>6198</v>
      </c>
      <c r="D1748" s="381" t="s">
        <v>6199</v>
      </c>
      <c r="E1748" s="383" t="s">
        <v>6200</v>
      </c>
      <c r="F1748" s="381" t="s">
        <v>6201</v>
      </c>
      <c r="G1748" s="384"/>
      <c r="H1748" s="24"/>
      <c r="I1748" s="24"/>
      <c r="J1748" s="25" t="str">
        <f t="shared" si="82"/>
        <v xml:space="preserve"> </v>
      </c>
      <c r="K1748" s="385"/>
      <c r="L1748" s="392"/>
      <c r="M1748" s="386">
        <f t="shared" si="84"/>
        <v>0</v>
      </c>
      <c r="N1748" s="496">
        <v>5</v>
      </c>
      <c r="O1748" s="333">
        <f t="shared" si="83"/>
        <v>5</v>
      </c>
      <c r="R1748" s="23" t="str">
        <f>VLOOKUP(C:C,'Historic Data - working'!A:B,1,FALSE)</f>
        <v>SOU162</v>
      </c>
      <c r="U1748" s="323"/>
      <c r="V1748" s="323"/>
      <c r="W1748" s="323"/>
    </row>
    <row r="1749" spans="1:23" s="23" customFormat="1" ht="14.25" hidden="1" x14ac:dyDescent="0.2">
      <c r="A1749" s="381" t="s">
        <v>5482</v>
      </c>
      <c r="B1749" s="381" t="s">
        <v>324</v>
      </c>
      <c r="C1749" s="416" t="s">
        <v>6202</v>
      </c>
      <c r="D1749" s="381" t="s">
        <v>6203</v>
      </c>
      <c r="E1749" s="383" t="s">
        <v>2061</v>
      </c>
      <c r="F1749" s="381" t="s">
        <v>6204</v>
      </c>
      <c r="G1749" s="384" t="s">
        <v>329</v>
      </c>
      <c r="H1749" s="24">
        <f>20.4+84.4+173.63+262.4+174.51+193.4+276.49+205.37+47.94+63.13</f>
        <v>1501.67</v>
      </c>
      <c r="I1749" s="24"/>
      <c r="J1749" s="25" t="str">
        <f t="shared" si="82"/>
        <v>1</v>
      </c>
      <c r="K1749" s="385"/>
      <c r="L1749" s="392"/>
      <c r="M1749" s="386">
        <f t="shared" si="84"/>
        <v>1501.67</v>
      </c>
      <c r="N1749" s="496">
        <v>490</v>
      </c>
      <c r="O1749" s="333">
        <f t="shared" si="83"/>
        <v>1991.67</v>
      </c>
      <c r="R1749" s="23" t="str">
        <f>VLOOKUP(C:C,'Historic Data - working'!A:B,1,FALSE)</f>
        <v>SOU163</v>
      </c>
      <c r="U1749" s="323"/>
      <c r="V1749" s="323"/>
      <c r="W1749" s="323"/>
    </row>
    <row r="1750" spans="1:23" s="23" customFormat="1" ht="14.25" hidden="1" x14ac:dyDescent="0.2">
      <c r="A1750" s="381" t="s">
        <v>5482</v>
      </c>
      <c r="B1750" s="381" t="s">
        <v>324</v>
      </c>
      <c r="C1750" s="416" t="s">
        <v>6205</v>
      </c>
      <c r="D1750" s="381" t="s">
        <v>6206</v>
      </c>
      <c r="E1750" s="383" t="s">
        <v>1008</v>
      </c>
      <c r="F1750" s="381" t="s">
        <v>6207</v>
      </c>
      <c r="G1750" s="384"/>
      <c r="H1750" s="24"/>
      <c r="I1750" s="24"/>
      <c r="J1750" s="25" t="str">
        <f t="shared" si="82"/>
        <v xml:space="preserve"> </v>
      </c>
      <c r="K1750" s="385"/>
      <c r="L1750" s="392"/>
      <c r="M1750" s="386">
        <f t="shared" si="84"/>
        <v>0</v>
      </c>
      <c r="N1750" s="496">
        <v>68</v>
      </c>
      <c r="O1750" s="333">
        <f t="shared" si="83"/>
        <v>68</v>
      </c>
      <c r="R1750" s="23" t="str">
        <f>VLOOKUP(C:C,'Historic Data - working'!A:B,1,FALSE)</f>
        <v>SOU164</v>
      </c>
      <c r="U1750" s="323"/>
      <c r="V1750" s="323"/>
      <c r="W1750" s="323"/>
    </row>
    <row r="1751" spans="1:23" s="23" customFormat="1" ht="14.25" hidden="1" x14ac:dyDescent="0.2">
      <c r="A1751" s="381" t="s">
        <v>5482</v>
      </c>
      <c r="B1751" s="381" t="s">
        <v>324</v>
      </c>
      <c r="C1751" s="416" t="s">
        <v>6208</v>
      </c>
      <c r="D1751" s="381" t="s">
        <v>6209</v>
      </c>
      <c r="E1751" s="383" t="s">
        <v>6210</v>
      </c>
      <c r="F1751" s="381" t="s">
        <v>5590</v>
      </c>
      <c r="G1751" s="384"/>
      <c r="H1751" s="24"/>
      <c r="I1751" s="24"/>
      <c r="J1751" s="25" t="str">
        <f t="shared" si="82"/>
        <v xml:space="preserve"> </v>
      </c>
      <c r="K1751" s="385"/>
      <c r="L1751" s="392"/>
      <c r="M1751" s="386">
        <f t="shared" si="84"/>
        <v>0</v>
      </c>
      <c r="N1751" s="496">
        <v>70</v>
      </c>
      <c r="O1751" s="333">
        <f t="shared" si="83"/>
        <v>70</v>
      </c>
      <c r="R1751" s="23" t="str">
        <f>VLOOKUP(C:C,'Historic Data - working'!A:B,1,FALSE)</f>
        <v>SOU165</v>
      </c>
      <c r="U1751" s="323"/>
      <c r="V1751" s="323"/>
      <c r="W1751" s="323"/>
    </row>
    <row r="1752" spans="1:23" s="23" customFormat="1" ht="14.25" hidden="1" x14ac:dyDescent="0.2">
      <c r="A1752" s="381" t="s">
        <v>5482</v>
      </c>
      <c r="B1752" s="381" t="s">
        <v>324</v>
      </c>
      <c r="C1752" s="416" t="s">
        <v>6211</v>
      </c>
      <c r="D1752" s="381" t="s">
        <v>6212</v>
      </c>
      <c r="E1752" s="383" t="s">
        <v>6213</v>
      </c>
      <c r="F1752" s="381" t="s">
        <v>6214</v>
      </c>
      <c r="G1752" s="384" t="s">
        <v>329</v>
      </c>
      <c r="H1752" s="24">
        <f>127.38+66.15+786.95+53.33+75.99+10.35+163.91+238.26+101.64+195.89+265.41+127.98</f>
        <v>2213.2399999999998</v>
      </c>
      <c r="I1752" s="24"/>
      <c r="J1752" s="25" t="str">
        <f t="shared" si="82"/>
        <v>1</v>
      </c>
      <c r="K1752" s="385"/>
      <c r="L1752" s="392"/>
      <c r="M1752" s="386">
        <f t="shared" si="84"/>
        <v>2213.2399999999998</v>
      </c>
      <c r="N1752" s="496">
        <v>145</v>
      </c>
      <c r="O1752" s="333">
        <f t="shared" si="83"/>
        <v>2358.2399999999998</v>
      </c>
      <c r="R1752" s="23" t="str">
        <f>VLOOKUP(C:C,'Historic Data - working'!A:B,1,FALSE)</f>
        <v>SOU166</v>
      </c>
      <c r="U1752" s="323"/>
      <c r="V1752" s="323"/>
      <c r="W1752" s="323"/>
    </row>
    <row r="1753" spans="1:23" s="23" customFormat="1" ht="14.25" hidden="1" x14ac:dyDescent="0.2">
      <c r="A1753" s="381" t="s">
        <v>5482</v>
      </c>
      <c r="B1753" s="381" t="s">
        <v>324</v>
      </c>
      <c r="C1753" s="416" t="s">
        <v>6215</v>
      </c>
      <c r="D1753" s="381" t="s">
        <v>6216</v>
      </c>
      <c r="E1753" s="383" t="s">
        <v>6217</v>
      </c>
      <c r="F1753" s="381" t="s">
        <v>6218</v>
      </c>
      <c r="G1753" s="384" t="s">
        <v>329</v>
      </c>
      <c r="H1753" s="24">
        <f>271.42+328.16</f>
        <v>599.58000000000004</v>
      </c>
      <c r="I1753" s="24"/>
      <c r="J1753" s="25" t="str">
        <f t="shared" si="82"/>
        <v>1</v>
      </c>
      <c r="K1753" s="387" t="s">
        <v>6219</v>
      </c>
      <c r="L1753" s="392">
        <v>400</v>
      </c>
      <c r="M1753" s="386">
        <f t="shared" si="84"/>
        <v>999.58</v>
      </c>
      <c r="N1753" s="496">
        <v>530</v>
      </c>
      <c r="O1753" s="333">
        <f t="shared" si="83"/>
        <v>1529.58</v>
      </c>
      <c r="R1753" s="23" t="str">
        <f>VLOOKUP(C:C,'Historic Data - working'!A:B,1,FALSE)</f>
        <v>SOU167</v>
      </c>
      <c r="U1753" s="323"/>
      <c r="V1753" s="323"/>
      <c r="W1753" s="323"/>
    </row>
    <row r="1754" spans="1:23" s="23" customFormat="1" ht="14.25" hidden="1" x14ac:dyDescent="0.2">
      <c r="A1754" s="381" t="s">
        <v>5482</v>
      </c>
      <c r="B1754" s="381" t="s">
        <v>324</v>
      </c>
      <c r="C1754" s="416" t="s">
        <v>6220</v>
      </c>
      <c r="D1754" s="381" t="s">
        <v>6221</v>
      </c>
      <c r="E1754" s="383" t="s">
        <v>4774</v>
      </c>
      <c r="F1754" s="381" t="s">
        <v>6222</v>
      </c>
      <c r="G1754" s="384"/>
      <c r="H1754" s="24"/>
      <c r="I1754" s="24"/>
      <c r="J1754" s="25" t="str">
        <f t="shared" si="82"/>
        <v xml:space="preserve"> </v>
      </c>
      <c r="K1754" s="385"/>
      <c r="L1754" s="392"/>
      <c r="M1754" s="386">
        <f t="shared" si="84"/>
        <v>0</v>
      </c>
      <c r="N1754" s="496">
        <v>96.66</v>
      </c>
      <c r="O1754" s="333">
        <f t="shared" si="83"/>
        <v>96.66</v>
      </c>
      <c r="R1754" s="23" t="str">
        <f>VLOOKUP(C:C,'Historic Data - working'!A:B,1,FALSE)</f>
        <v>SOU168</v>
      </c>
      <c r="U1754" s="323"/>
      <c r="V1754" s="323"/>
      <c r="W1754" s="323"/>
    </row>
    <row r="1755" spans="1:23" s="23" customFormat="1" ht="14.25" hidden="1" x14ac:dyDescent="0.2">
      <c r="A1755" s="381" t="s">
        <v>5482</v>
      </c>
      <c r="B1755" s="381" t="s">
        <v>324</v>
      </c>
      <c r="C1755" s="416" t="s">
        <v>6223</v>
      </c>
      <c r="D1755" s="381" t="s">
        <v>6224</v>
      </c>
      <c r="E1755" s="383" t="s">
        <v>532</v>
      </c>
      <c r="F1755" s="381" t="s">
        <v>6225</v>
      </c>
      <c r="G1755" s="384"/>
      <c r="H1755" s="24"/>
      <c r="I1755" s="24"/>
      <c r="J1755" s="25" t="str">
        <f t="shared" si="82"/>
        <v xml:space="preserve"> </v>
      </c>
      <c r="K1755" s="385"/>
      <c r="L1755" s="392"/>
      <c r="M1755" s="386">
        <f t="shared" si="84"/>
        <v>0</v>
      </c>
      <c r="N1755" s="496"/>
      <c r="O1755" s="333">
        <f t="shared" si="83"/>
        <v>0</v>
      </c>
      <c r="R1755" s="23" t="e">
        <f>VLOOKUP(C:C,'Historic Data - working'!A:B,1,FALSE)</f>
        <v>#N/A</v>
      </c>
      <c r="U1755" s="323"/>
      <c r="V1755" s="323"/>
      <c r="W1755" s="323"/>
    </row>
    <row r="1756" spans="1:23" s="23" customFormat="1" ht="14.25" hidden="1" x14ac:dyDescent="0.2">
      <c r="A1756" s="381" t="s">
        <v>5482</v>
      </c>
      <c r="B1756" s="381" t="s">
        <v>324</v>
      </c>
      <c r="C1756" s="416" t="s">
        <v>6226</v>
      </c>
      <c r="D1756" s="381" t="s">
        <v>6227</v>
      </c>
      <c r="E1756" s="383" t="s">
        <v>1284</v>
      </c>
      <c r="F1756" s="381" t="s">
        <v>6228</v>
      </c>
      <c r="G1756" s="384"/>
      <c r="H1756" s="24"/>
      <c r="I1756" s="24"/>
      <c r="J1756" s="25" t="str">
        <f t="shared" si="82"/>
        <v xml:space="preserve"> </v>
      </c>
      <c r="K1756" s="385"/>
      <c r="L1756" s="392"/>
      <c r="M1756" s="386">
        <f t="shared" si="84"/>
        <v>0</v>
      </c>
      <c r="N1756" s="496">
        <v>857.61</v>
      </c>
      <c r="O1756" s="333">
        <f t="shared" si="83"/>
        <v>857.61</v>
      </c>
      <c r="R1756" s="23" t="str">
        <f>VLOOKUP(C:C,'Historic Data - working'!A:B,1,FALSE)</f>
        <v>SOU169</v>
      </c>
      <c r="U1756" s="323"/>
      <c r="V1756" s="323"/>
      <c r="W1756" s="323"/>
    </row>
    <row r="1757" spans="1:23" s="23" customFormat="1" ht="14.25" hidden="1" x14ac:dyDescent="0.2">
      <c r="A1757" s="381" t="s">
        <v>5482</v>
      </c>
      <c r="B1757" s="381" t="s">
        <v>324</v>
      </c>
      <c r="C1757" s="416" t="s">
        <v>6229</v>
      </c>
      <c r="D1757" s="381" t="s">
        <v>6230</v>
      </c>
      <c r="E1757" s="383" t="s">
        <v>6231</v>
      </c>
      <c r="F1757" s="381" t="s">
        <v>5928</v>
      </c>
      <c r="G1757" s="384"/>
      <c r="H1757" s="24"/>
      <c r="I1757" s="24"/>
      <c r="J1757" s="25" t="str">
        <f t="shared" si="82"/>
        <v xml:space="preserve"> </v>
      </c>
      <c r="K1757" s="385"/>
      <c r="L1757" s="392"/>
      <c r="M1757" s="386">
        <f t="shared" si="84"/>
        <v>0</v>
      </c>
      <c r="N1757" s="496"/>
      <c r="O1757" s="333">
        <f t="shared" si="83"/>
        <v>0</v>
      </c>
      <c r="R1757" s="23" t="e">
        <f>VLOOKUP(C:C,'Historic Data - working'!A:B,1,FALSE)</f>
        <v>#N/A</v>
      </c>
      <c r="U1757" s="323"/>
      <c r="V1757" s="323"/>
      <c r="W1757" s="323"/>
    </row>
    <row r="1758" spans="1:23" s="23" customFormat="1" ht="14.25" hidden="1" x14ac:dyDescent="0.2">
      <c r="A1758" s="381" t="s">
        <v>5482</v>
      </c>
      <c r="B1758" s="381" t="s">
        <v>324</v>
      </c>
      <c r="C1758" s="416" t="s">
        <v>6232</v>
      </c>
      <c r="D1758" s="381" t="s">
        <v>6233</v>
      </c>
      <c r="E1758" s="383" t="s">
        <v>6234</v>
      </c>
      <c r="F1758" s="381" t="s">
        <v>6235</v>
      </c>
      <c r="G1758" s="384" t="s">
        <v>329</v>
      </c>
      <c r="H1758" s="24">
        <f>37.75+3.99+60+15.08+16.23+238.99</f>
        <v>372.04</v>
      </c>
      <c r="I1758" s="24"/>
      <c r="J1758" s="25" t="str">
        <f t="shared" si="82"/>
        <v>1</v>
      </c>
      <c r="K1758" s="385" t="s">
        <v>6236</v>
      </c>
      <c r="L1758" s="392">
        <v>-238.99</v>
      </c>
      <c r="M1758" s="386">
        <f t="shared" si="84"/>
        <v>133.05000000000001</v>
      </c>
      <c r="N1758" s="496">
        <v>300</v>
      </c>
      <c r="O1758" s="333">
        <f t="shared" si="83"/>
        <v>433.05</v>
      </c>
      <c r="R1758" s="23" t="str">
        <f>VLOOKUP(C:C,'Historic Data - working'!A:B,1,FALSE)</f>
        <v>SOU170</v>
      </c>
      <c r="U1758" s="323"/>
      <c r="V1758" s="323"/>
      <c r="W1758" s="323"/>
    </row>
    <row r="1759" spans="1:23" s="23" customFormat="1" ht="14.25" hidden="1" x14ac:dyDescent="0.2">
      <c r="A1759" s="381" t="s">
        <v>5482</v>
      </c>
      <c r="B1759" s="381" t="s">
        <v>324</v>
      </c>
      <c r="C1759" s="416" t="s">
        <v>6237</v>
      </c>
      <c r="D1759" s="381" t="s">
        <v>6238</v>
      </c>
      <c r="E1759" s="383" t="s">
        <v>6239</v>
      </c>
      <c r="F1759" s="381" t="s">
        <v>6240</v>
      </c>
      <c r="G1759" s="384" t="s">
        <v>329</v>
      </c>
      <c r="H1759" s="24">
        <f>440+301.31+475.69+364.52</f>
        <v>1581.52</v>
      </c>
      <c r="I1759" s="24"/>
      <c r="J1759" s="25" t="str">
        <f t="shared" si="82"/>
        <v>1</v>
      </c>
      <c r="K1759" s="387" t="s">
        <v>6241</v>
      </c>
      <c r="L1759" s="392">
        <v>9.61</v>
      </c>
      <c r="M1759" s="386">
        <f t="shared" si="84"/>
        <v>1591.1299999999999</v>
      </c>
      <c r="N1759" s="496">
        <v>190</v>
      </c>
      <c r="O1759" s="333">
        <f t="shared" si="83"/>
        <v>1781.1299999999999</v>
      </c>
      <c r="R1759" s="23" t="str">
        <f>VLOOKUP(C:C,'Historic Data - working'!A:B,1,FALSE)</f>
        <v>SOU171</v>
      </c>
      <c r="U1759" s="323"/>
      <c r="V1759" s="323"/>
      <c r="W1759" s="323"/>
    </row>
    <row r="1760" spans="1:23" s="23" customFormat="1" ht="14.25" hidden="1" x14ac:dyDescent="0.2">
      <c r="A1760" s="381" t="s">
        <v>5482</v>
      </c>
      <c r="B1760" s="381" t="s">
        <v>324</v>
      </c>
      <c r="C1760" s="416" t="s">
        <v>6242</v>
      </c>
      <c r="D1760" s="381" t="s">
        <v>6243</v>
      </c>
      <c r="E1760" s="383" t="s">
        <v>214</v>
      </c>
      <c r="F1760" s="381" t="s">
        <v>6244</v>
      </c>
      <c r="G1760" s="384"/>
      <c r="H1760" s="24"/>
      <c r="I1760" s="24"/>
      <c r="J1760" s="25" t="str">
        <f t="shared" si="82"/>
        <v xml:space="preserve"> </v>
      </c>
      <c r="K1760" s="385"/>
      <c r="L1760" s="392"/>
      <c r="M1760" s="386">
        <f t="shared" si="84"/>
        <v>0</v>
      </c>
      <c r="N1760" s="496">
        <v>1941.66</v>
      </c>
      <c r="O1760" s="333">
        <f t="shared" si="83"/>
        <v>1941.66</v>
      </c>
      <c r="R1760" s="23" t="str">
        <f>VLOOKUP(C:C,'Historic Data - working'!A:B,1,FALSE)</f>
        <v>SOU172</v>
      </c>
      <c r="U1760" s="323"/>
      <c r="V1760" s="323"/>
      <c r="W1760" s="323"/>
    </row>
    <row r="1761" spans="1:23" s="23" customFormat="1" ht="14.25" hidden="1" x14ac:dyDescent="0.2">
      <c r="A1761" s="381" t="s">
        <v>5482</v>
      </c>
      <c r="B1761" s="381" t="s">
        <v>324</v>
      </c>
      <c r="C1761" s="416" t="s">
        <v>6245</v>
      </c>
      <c r="D1761" s="381" t="s">
        <v>6246</v>
      </c>
      <c r="E1761" s="383" t="s">
        <v>6247</v>
      </c>
      <c r="F1761" s="381" t="s">
        <v>6248</v>
      </c>
      <c r="G1761" s="384"/>
      <c r="H1761" s="24"/>
      <c r="I1761" s="24"/>
      <c r="J1761" s="25" t="str">
        <f t="shared" si="82"/>
        <v xml:space="preserve"> </v>
      </c>
      <c r="K1761" s="385"/>
      <c r="L1761" s="392"/>
      <c r="M1761" s="386">
        <f t="shared" si="84"/>
        <v>0</v>
      </c>
      <c r="N1761" s="496">
        <v>245.34</v>
      </c>
      <c r="O1761" s="333">
        <f t="shared" si="83"/>
        <v>245.34</v>
      </c>
      <c r="R1761" s="23" t="e">
        <f>VLOOKUP(C:C,'Historic Data - working'!A:B,1,FALSE)</f>
        <v>#N/A</v>
      </c>
      <c r="U1761" s="323"/>
      <c r="V1761" s="323"/>
      <c r="W1761" s="323"/>
    </row>
    <row r="1762" spans="1:23" s="23" customFormat="1" ht="14.25" hidden="1" x14ac:dyDescent="0.2">
      <c r="A1762" s="381" t="s">
        <v>5482</v>
      </c>
      <c r="B1762" s="381" t="s">
        <v>324</v>
      </c>
      <c r="C1762" s="416" t="s">
        <v>6249</v>
      </c>
      <c r="D1762" s="381" t="s">
        <v>6250</v>
      </c>
      <c r="E1762" s="383" t="s">
        <v>6251</v>
      </c>
      <c r="F1762" s="381" t="s">
        <v>6248</v>
      </c>
      <c r="G1762" s="384"/>
      <c r="H1762" s="24"/>
      <c r="I1762" s="24"/>
      <c r="J1762" s="25" t="str">
        <f t="shared" si="82"/>
        <v xml:space="preserve"> </v>
      </c>
      <c r="K1762" s="385"/>
      <c r="L1762" s="392"/>
      <c r="M1762" s="386">
        <f t="shared" si="84"/>
        <v>0</v>
      </c>
      <c r="N1762" s="496"/>
      <c r="O1762" s="333">
        <f t="shared" si="83"/>
        <v>0</v>
      </c>
      <c r="R1762" s="23" t="e">
        <f>VLOOKUP(C:C,'Historic Data - working'!A:B,1,FALSE)</f>
        <v>#N/A</v>
      </c>
      <c r="U1762" s="323"/>
      <c r="V1762" s="323"/>
      <c r="W1762" s="323"/>
    </row>
    <row r="1763" spans="1:23" s="23" customFormat="1" ht="14.25" hidden="1" x14ac:dyDescent="0.2">
      <c r="A1763" s="381" t="s">
        <v>5482</v>
      </c>
      <c r="B1763" s="381" t="s">
        <v>324</v>
      </c>
      <c r="C1763" s="416" t="s">
        <v>6252</v>
      </c>
      <c r="D1763" s="381" t="s">
        <v>6253</v>
      </c>
      <c r="E1763" s="383" t="s">
        <v>6254</v>
      </c>
      <c r="F1763" s="381" t="s">
        <v>6255</v>
      </c>
      <c r="G1763" s="384" t="s">
        <v>329</v>
      </c>
      <c r="H1763" s="24">
        <f>134.4+229.76+186.21+620.82+43.81</f>
        <v>1215</v>
      </c>
      <c r="I1763" s="24"/>
      <c r="J1763" s="25" t="str">
        <f t="shared" si="82"/>
        <v>1</v>
      </c>
      <c r="K1763" s="385"/>
      <c r="L1763" s="392"/>
      <c r="M1763" s="386">
        <f t="shared" si="84"/>
        <v>1215</v>
      </c>
      <c r="N1763" s="496">
        <v>110</v>
      </c>
      <c r="O1763" s="333">
        <f t="shared" si="83"/>
        <v>1325</v>
      </c>
      <c r="R1763" s="23" t="str">
        <f>VLOOKUP(C:C,'Historic Data - working'!A:B,1,FALSE)</f>
        <v>SOU175</v>
      </c>
      <c r="U1763" s="323"/>
      <c r="V1763" s="323"/>
      <c r="W1763" s="323"/>
    </row>
    <row r="1764" spans="1:23" s="23" customFormat="1" ht="14.25" hidden="1" x14ac:dyDescent="0.2">
      <c r="A1764" s="381" t="s">
        <v>5482</v>
      </c>
      <c r="B1764" s="381" t="s">
        <v>324</v>
      </c>
      <c r="C1764" s="416" t="s">
        <v>6256</v>
      </c>
      <c r="D1764" s="381" t="s">
        <v>6257</v>
      </c>
      <c r="E1764" s="383" t="s">
        <v>989</v>
      </c>
      <c r="F1764" s="381" t="s">
        <v>5492</v>
      </c>
      <c r="G1764" s="384"/>
      <c r="H1764" s="24"/>
      <c r="I1764" s="24"/>
      <c r="J1764" s="25" t="str">
        <f t="shared" si="82"/>
        <v xml:space="preserve"> </v>
      </c>
      <c r="K1764" s="385"/>
      <c r="L1764" s="392"/>
      <c r="M1764" s="386">
        <f t="shared" si="84"/>
        <v>0</v>
      </c>
      <c r="N1764" s="496"/>
      <c r="O1764" s="333">
        <f t="shared" si="83"/>
        <v>0</v>
      </c>
      <c r="R1764" s="23" t="e">
        <f>VLOOKUP(C:C,'Historic Data - working'!A:B,1,FALSE)</f>
        <v>#N/A</v>
      </c>
      <c r="U1764" s="323"/>
      <c r="V1764" s="323"/>
      <c r="W1764" s="323"/>
    </row>
    <row r="1765" spans="1:23" s="23" customFormat="1" ht="14.25" hidden="1" x14ac:dyDescent="0.2">
      <c r="A1765" s="381" t="s">
        <v>5482</v>
      </c>
      <c r="B1765" s="381" t="s">
        <v>324</v>
      </c>
      <c r="C1765" s="416" t="s">
        <v>6258</v>
      </c>
      <c r="D1765" s="381" t="s">
        <v>6259</v>
      </c>
      <c r="E1765" s="383" t="s">
        <v>6260</v>
      </c>
      <c r="F1765" s="381" t="s">
        <v>6261</v>
      </c>
      <c r="G1765" s="384"/>
      <c r="H1765" s="24"/>
      <c r="I1765" s="24"/>
      <c r="J1765" s="25" t="str">
        <f t="shared" si="82"/>
        <v xml:space="preserve"> </v>
      </c>
      <c r="K1765" s="385"/>
      <c r="L1765" s="392"/>
      <c r="M1765" s="386">
        <f t="shared" si="84"/>
        <v>0</v>
      </c>
      <c r="N1765" s="496"/>
      <c r="O1765" s="333">
        <f t="shared" si="83"/>
        <v>0</v>
      </c>
      <c r="R1765" s="23" t="str">
        <f>VLOOKUP(C:C,'Historic Data - working'!A:B,1,FALSE)</f>
        <v>SOU177</v>
      </c>
      <c r="U1765" s="323"/>
      <c r="V1765" s="323"/>
      <c r="W1765" s="323"/>
    </row>
    <row r="1766" spans="1:23" s="23" customFormat="1" ht="14.25" hidden="1" x14ac:dyDescent="0.2">
      <c r="A1766" s="381" t="s">
        <v>5482</v>
      </c>
      <c r="B1766" s="381" t="s">
        <v>324</v>
      </c>
      <c r="C1766" s="416" t="s">
        <v>6262</v>
      </c>
      <c r="D1766" s="381" t="s">
        <v>6263</v>
      </c>
      <c r="E1766" s="383" t="s">
        <v>6264</v>
      </c>
      <c r="F1766" s="385"/>
      <c r="G1766" s="384"/>
      <c r="H1766" s="24"/>
      <c r="I1766" s="24"/>
      <c r="J1766" s="25" t="str">
        <f t="shared" si="82"/>
        <v xml:space="preserve"> </v>
      </c>
      <c r="K1766" s="385"/>
      <c r="L1766" s="417">
        <v>1499.52</v>
      </c>
      <c r="M1766" s="386">
        <f t="shared" si="84"/>
        <v>1499.52</v>
      </c>
      <c r="N1766" s="496">
        <v>30</v>
      </c>
      <c r="O1766" s="333">
        <f t="shared" si="83"/>
        <v>1529.52</v>
      </c>
      <c r="R1766" s="23" t="str">
        <f>VLOOKUP(C:C,'Historic Data - working'!A:B,1,FALSE)</f>
        <v>SOU999</v>
      </c>
      <c r="U1766" s="323"/>
      <c r="V1766" s="323"/>
      <c r="W1766" s="323"/>
    </row>
    <row r="1767" spans="1:23" s="23" customFormat="1" ht="14.25" hidden="1" x14ac:dyDescent="0.2">
      <c r="A1767" s="381" t="s">
        <v>6265</v>
      </c>
      <c r="B1767" s="381" t="s">
        <v>324</v>
      </c>
      <c r="C1767" s="418" t="s">
        <v>6266</v>
      </c>
      <c r="D1767" s="381" t="s">
        <v>6267</v>
      </c>
      <c r="E1767" s="383" t="s">
        <v>6268</v>
      </c>
      <c r="F1767" s="381" t="s">
        <v>1832</v>
      </c>
      <c r="G1767" s="384"/>
      <c r="H1767" s="24"/>
      <c r="I1767" s="24"/>
      <c r="J1767" s="25" t="str">
        <f t="shared" si="82"/>
        <v xml:space="preserve"> </v>
      </c>
      <c r="K1767" s="385"/>
      <c r="L1767" s="392"/>
      <c r="M1767" s="386">
        <f t="shared" si="84"/>
        <v>0</v>
      </c>
      <c r="N1767" s="496">
        <v>3473.1400000000003</v>
      </c>
      <c r="O1767" s="333">
        <f t="shared" si="83"/>
        <v>3473.1400000000003</v>
      </c>
      <c r="R1767" s="23" t="str">
        <f>VLOOKUP(C:C,'Historic Data - working'!A:B,1,FALSE)</f>
        <v>WES001</v>
      </c>
      <c r="U1767" s="323"/>
      <c r="V1767" s="323"/>
      <c r="W1767" s="323"/>
    </row>
    <row r="1768" spans="1:23" s="23" customFormat="1" ht="14.25" hidden="1" x14ac:dyDescent="0.2">
      <c r="A1768" s="381" t="s">
        <v>6265</v>
      </c>
      <c r="B1768" s="381" t="s">
        <v>324</v>
      </c>
      <c r="C1768" s="418" t="s">
        <v>6269</v>
      </c>
      <c r="D1768" s="381" t="s">
        <v>6270</v>
      </c>
      <c r="E1768" s="383" t="s">
        <v>6271</v>
      </c>
      <c r="F1768" s="381" t="s">
        <v>1832</v>
      </c>
      <c r="G1768" s="384"/>
      <c r="H1768" s="24"/>
      <c r="I1768" s="24"/>
      <c r="J1768" s="25" t="str">
        <f t="shared" si="82"/>
        <v xml:space="preserve"> </v>
      </c>
      <c r="K1768" s="385"/>
      <c r="L1768" s="392"/>
      <c r="M1768" s="386">
        <f t="shared" si="84"/>
        <v>0</v>
      </c>
      <c r="N1768" s="496"/>
      <c r="O1768" s="333">
        <f t="shared" si="83"/>
        <v>0</v>
      </c>
      <c r="R1768" s="23" t="e">
        <f>VLOOKUP(C:C,'Historic Data - working'!A:B,1,FALSE)</f>
        <v>#N/A</v>
      </c>
      <c r="U1768" s="323"/>
      <c r="V1768" s="323"/>
      <c r="W1768" s="323"/>
    </row>
    <row r="1769" spans="1:23" s="23" customFormat="1" ht="14.25" hidden="1" x14ac:dyDescent="0.2">
      <c r="A1769" s="381" t="s">
        <v>6265</v>
      </c>
      <c r="B1769" s="381" t="s">
        <v>324</v>
      </c>
      <c r="C1769" s="418" t="s">
        <v>6272</v>
      </c>
      <c r="D1769" s="381" t="s">
        <v>6273</v>
      </c>
      <c r="E1769" s="383" t="s">
        <v>6274</v>
      </c>
      <c r="F1769" s="381" t="s">
        <v>6275</v>
      </c>
      <c r="G1769" s="384" t="s">
        <v>329</v>
      </c>
      <c r="H1769" s="24">
        <v>936.68</v>
      </c>
      <c r="I1769" s="24"/>
      <c r="J1769" s="25" t="str">
        <f t="shared" si="82"/>
        <v>1</v>
      </c>
      <c r="K1769" s="385"/>
      <c r="L1769" s="392"/>
      <c r="M1769" s="386">
        <f t="shared" si="84"/>
        <v>936.68</v>
      </c>
      <c r="N1769" s="496">
        <v>1750</v>
      </c>
      <c r="O1769" s="333">
        <f t="shared" si="83"/>
        <v>2686.68</v>
      </c>
      <c r="R1769" s="23" t="str">
        <f>VLOOKUP(C:C,'Historic Data - working'!A:B,1,FALSE)</f>
        <v>WES002</v>
      </c>
      <c r="U1769" s="323"/>
      <c r="V1769" s="323"/>
      <c r="W1769" s="323"/>
    </row>
    <row r="1770" spans="1:23" s="23" customFormat="1" ht="14.25" hidden="1" x14ac:dyDescent="0.2">
      <c r="A1770" s="381" t="s">
        <v>6265</v>
      </c>
      <c r="B1770" s="381" t="s">
        <v>324</v>
      </c>
      <c r="C1770" s="418" t="s">
        <v>6276</v>
      </c>
      <c r="D1770" s="381" t="s">
        <v>6277</v>
      </c>
      <c r="E1770" s="383" t="s">
        <v>193</v>
      </c>
      <c r="F1770" s="381" t="s">
        <v>1832</v>
      </c>
      <c r="G1770" s="384" t="s">
        <v>329</v>
      </c>
      <c r="H1770" s="24">
        <f>332.28+235.38+79.08</f>
        <v>646.74</v>
      </c>
      <c r="I1770" s="24"/>
      <c r="J1770" s="25" t="str">
        <f t="shared" si="82"/>
        <v>1</v>
      </c>
      <c r="K1770" s="385"/>
      <c r="L1770" s="392"/>
      <c r="M1770" s="386">
        <f t="shared" si="84"/>
        <v>646.74</v>
      </c>
      <c r="N1770" s="496">
        <v>135</v>
      </c>
      <c r="O1770" s="333">
        <f t="shared" si="83"/>
        <v>781.74</v>
      </c>
      <c r="R1770" s="23" t="str">
        <f>VLOOKUP(C:C,'Historic Data - working'!A:B,1,FALSE)</f>
        <v>WES003</v>
      </c>
      <c r="U1770" s="323"/>
      <c r="V1770" s="323"/>
      <c r="W1770" s="323"/>
    </row>
    <row r="1771" spans="1:23" s="23" customFormat="1" ht="14.25" hidden="1" x14ac:dyDescent="0.2">
      <c r="A1771" s="381" t="s">
        <v>6265</v>
      </c>
      <c r="B1771" s="381" t="s">
        <v>324</v>
      </c>
      <c r="C1771" s="418" t="s">
        <v>6278</v>
      </c>
      <c r="D1771" s="381" t="s">
        <v>6279</v>
      </c>
      <c r="E1771" s="383" t="s">
        <v>6280</v>
      </c>
      <c r="F1771" s="381" t="s">
        <v>1832</v>
      </c>
      <c r="G1771" s="384"/>
      <c r="H1771" s="24"/>
      <c r="I1771" s="24"/>
      <c r="J1771" s="25" t="str">
        <f t="shared" si="82"/>
        <v xml:space="preserve"> </v>
      </c>
      <c r="K1771" s="385"/>
      <c r="L1771" s="392"/>
      <c r="M1771" s="386">
        <f t="shared" si="84"/>
        <v>0</v>
      </c>
      <c r="N1771" s="496">
        <v>757.84</v>
      </c>
      <c r="O1771" s="333">
        <f t="shared" si="83"/>
        <v>757.84</v>
      </c>
      <c r="R1771" s="23" t="str">
        <f>VLOOKUP(C:C,'Historic Data - working'!A:B,1,FALSE)</f>
        <v>WES004</v>
      </c>
      <c r="U1771" s="323"/>
      <c r="V1771" s="323"/>
      <c r="W1771" s="323"/>
    </row>
    <row r="1772" spans="1:23" s="23" customFormat="1" ht="14.25" hidden="1" x14ac:dyDescent="0.2">
      <c r="A1772" s="381" t="s">
        <v>6265</v>
      </c>
      <c r="B1772" s="381" t="s">
        <v>324</v>
      </c>
      <c r="C1772" s="418" t="s">
        <v>6281</v>
      </c>
      <c r="D1772" s="381" t="s">
        <v>6282</v>
      </c>
      <c r="E1772" s="383" t="s">
        <v>335</v>
      </c>
      <c r="F1772" s="381" t="s">
        <v>1832</v>
      </c>
      <c r="G1772" s="384"/>
      <c r="H1772" s="24"/>
      <c r="I1772" s="24"/>
      <c r="J1772" s="25" t="str">
        <f t="shared" si="82"/>
        <v xml:space="preserve"> </v>
      </c>
      <c r="K1772" s="385"/>
      <c r="L1772" s="392"/>
      <c r="M1772" s="386">
        <f t="shared" si="84"/>
        <v>0</v>
      </c>
      <c r="N1772" s="496">
        <v>500</v>
      </c>
      <c r="O1772" s="333">
        <f t="shared" si="83"/>
        <v>500</v>
      </c>
      <c r="R1772" s="23" t="str">
        <f>VLOOKUP(C:C,'Historic Data - working'!A:B,1,FALSE)</f>
        <v>WES005</v>
      </c>
      <c r="U1772" s="323"/>
      <c r="V1772" s="323"/>
      <c r="W1772" s="323"/>
    </row>
    <row r="1773" spans="1:23" s="23" customFormat="1" ht="14.25" hidden="1" x14ac:dyDescent="0.2">
      <c r="A1773" s="381" t="s">
        <v>6265</v>
      </c>
      <c r="B1773" s="381" t="s">
        <v>324</v>
      </c>
      <c r="C1773" s="418" t="s">
        <v>6283</v>
      </c>
      <c r="D1773" s="381" t="s">
        <v>6284</v>
      </c>
      <c r="E1773" s="383" t="s">
        <v>6285</v>
      </c>
      <c r="F1773" s="381" t="s">
        <v>5505</v>
      </c>
      <c r="G1773" s="384" t="s">
        <v>329</v>
      </c>
      <c r="H1773" s="24">
        <f>991.36+1093.08</f>
        <v>2084.44</v>
      </c>
      <c r="I1773" s="24"/>
      <c r="J1773" s="25" t="str">
        <f t="shared" ref="J1773:J1836" si="85">IF(G1773="Y","1"," ")</f>
        <v>1</v>
      </c>
      <c r="K1773" s="385"/>
      <c r="L1773" s="392"/>
      <c r="M1773" s="386">
        <f t="shared" si="84"/>
        <v>2084.44</v>
      </c>
      <c r="N1773" s="496">
        <v>120</v>
      </c>
      <c r="O1773" s="333">
        <f t="shared" si="83"/>
        <v>2204.44</v>
      </c>
      <c r="R1773" s="23" t="str">
        <f>VLOOKUP(C:C,'Historic Data - working'!A:B,1,FALSE)</f>
        <v>WES006</v>
      </c>
      <c r="U1773" s="323"/>
      <c r="V1773" s="323"/>
      <c r="W1773" s="323"/>
    </row>
    <row r="1774" spans="1:23" s="23" customFormat="1" ht="14.25" hidden="1" x14ac:dyDescent="0.2">
      <c r="A1774" s="381" t="s">
        <v>6265</v>
      </c>
      <c r="B1774" s="381" t="s">
        <v>324</v>
      </c>
      <c r="C1774" s="418" t="s">
        <v>6286</v>
      </c>
      <c r="D1774" s="381" t="s">
        <v>6287</v>
      </c>
      <c r="E1774" s="383" t="s">
        <v>6288</v>
      </c>
      <c r="F1774" s="381" t="s">
        <v>6289</v>
      </c>
      <c r="G1774" s="384" t="s">
        <v>329</v>
      </c>
      <c r="H1774" s="24"/>
      <c r="I1774" s="24">
        <f>320+146.5+45+290+144.21</f>
        <v>945.71</v>
      </c>
      <c r="J1774" s="25" t="str">
        <f t="shared" si="85"/>
        <v>1</v>
      </c>
      <c r="K1774" s="385"/>
      <c r="L1774" s="392"/>
      <c r="M1774" s="386">
        <f t="shared" si="84"/>
        <v>0</v>
      </c>
      <c r="N1774" s="496">
        <v>995.71</v>
      </c>
      <c r="O1774" s="333">
        <f t="shared" si="83"/>
        <v>995.71</v>
      </c>
      <c r="R1774" s="23" t="str">
        <f>VLOOKUP(C:C,'Historic Data - working'!A:B,1,FALSE)</f>
        <v>WES007</v>
      </c>
      <c r="U1774" s="323"/>
      <c r="V1774" s="323"/>
      <c r="W1774" s="323"/>
    </row>
    <row r="1775" spans="1:23" s="23" customFormat="1" ht="14.25" hidden="1" x14ac:dyDescent="0.2">
      <c r="A1775" s="381" t="s">
        <v>6265</v>
      </c>
      <c r="B1775" s="381" t="s">
        <v>324</v>
      </c>
      <c r="C1775" s="418" t="s">
        <v>6290</v>
      </c>
      <c r="D1775" s="381" t="s">
        <v>6291</v>
      </c>
      <c r="E1775" s="383" t="s">
        <v>6292</v>
      </c>
      <c r="F1775" s="381" t="s">
        <v>6293</v>
      </c>
      <c r="G1775" s="384"/>
      <c r="H1775" s="24"/>
      <c r="I1775" s="24"/>
      <c r="J1775" s="25" t="str">
        <f t="shared" si="85"/>
        <v xml:space="preserve"> </v>
      </c>
      <c r="K1775" s="385" t="s">
        <v>337</v>
      </c>
      <c r="L1775" s="392">
        <v>125.29</v>
      </c>
      <c r="M1775" s="386">
        <f t="shared" si="84"/>
        <v>125.29</v>
      </c>
      <c r="N1775" s="496">
        <v>490.15999999999997</v>
      </c>
      <c r="O1775" s="333">
        <f t="shared" si="83"/>
        <v>615.44999999999993</v>
      </c>
      <c r="R1775" s="23" t="str">
        <f>VLOOKUP(C:C,'Historic Data - working'!A:B,1,FALSE)</f>
        <v>WES008</v>
      </c>
      <c r="U1775" s="323"/>
      <c r="V1775" s="323"/>
      <c r="W1775" s="323"/>
    </row>
    <row r="1776" spans="1:23" s="23" customFormat="1" ht="14.25" hidden="1" x14ac:dyDescent="0.2">
      <c r="A1776" s="381" t="s">
        <v>6265</v>
      </c>
      <c r="B1776" s="381" t="s">
        <v>324</v>
      </c>
      <c r="C1776" s="418" t="s">
        <v>6294</v>
      </c>
      <c r="D1776" s="381" t="s">
        <v>6295</v>
      </c>
      <c r="E1776" s="383" t="s">
        <v>1004</v>
      </c>
      <c r="F1776" s="381" t="s">
        <v>1832</v>
      </c>
      <c r="G1776" s="384" t="s">
        <v>329</v>
      </c>
      <c r="H1776" s="24">
        <v>327.52999999999997</v>
      </c>
      <c r="I1776" s="24"/>
      <c r="J1776" s="25" t="str">
        <f t="shared" si="85"/>
        <v>1</v>
      </c>
      <c r="K1776" s="385"/>
      <c r="L1776" s="392"/>
      <c r="M1776" s="386">
        <f t="shared" si="84"/>
        <v>327.52999999999997</v>
      </c>
      <c r="N1776" s="496">
        <v>190</v>
      </c>
      <c r="O1776" s="333">
        <f t="shared" si="83"/>
        <v>517.53</v>
      </c>
      <c r="R1776" s="23" t="str">
        <f>VLOOKUP(C:C,'Historic Data - working'!A:B,1,FALSE)</f>
        <v>WES009</v>
      </c>
      <c r="U1776" s="323"/>
      <c r="V1776" s="323"/>
      <c r="W1776" s="323"/>
    </row>
    <row r="1777" spans="1:23" s="23" customFormat="1" ht="14.25" hidden="1" x14ac:dyDescent="0.2">
      <c r="A1777" s="381" t="s">
        <v>6265</v>
      </c>
      <c r="B1777" s="381" t="s">
        <v>351</v>
      </c>
      <c r="C1777" s="418" t="s">
        <v>6296</v>
      </c>
      <c r="D1777" s="381" t="s">
        <v>6297</v>
      </c>
      <c r="E1777" s="383" t="s">
        <v>428</v>
      </c>
      <c r="F1777" s="381" t="s">
        <v>6298</v>
      </c>
      <c r="G1777" s="384" t="s">
        <v>329</v>
      </c>
      <c r="H1777" s="24">
        <f>411+171+326</f>
        <v>908</v>
      </c>
      <c r="I1777" s="24"/>
      <c r="J1777" s="25" t="str">
        <f t="shared" si="85"/>
        <v>1</v>
      </c>
      <c r="K1777" s="385"/>
      <c r="L1777" s="392"/>
      <c r="M1777" s="386">
        <f t="shared" si="84"/>
        <v>908</v>
      </c>
      <c r="N1777" s="496">
        <v>186</v>
      </c>
      <c r="O1777" s="333">
        <f t="shared" si="83"/>
        <v>1094</v>
      </c>
      <c r="R1777" s="23" t="str">
        <f>VLOOKUP(C:C,'Historic Data - working'!A:B,1,FALSE)</f>
        <v>WES010</v>
      </c>
      <c r="U1777" s="323"/>
      <c r="V1777" s="323"/>
      <c r="W1777" s="323"/>
    </row>
    <row r="1778" spans="1:23" s="23" customFormat="1" ht="14.25" hidden="1" x14ac:dyDescent="0.2">
      <c r="A1778" s="381" t="s">
        <v>6265</v>
      </c>
      <c r="B1778" s="381" t="s">
        <v>324</v>
      </c>
      <c r="C1778" s="418" t="s">
        <v>6299</v>
      </c>
      <c r="D1778" s="381" t="s">
        <v>6300</v>
      </c>
      <c r="E1778" s="383" t="s">
        <v>127</v>
      </c>
      <c r="F1778" s="381" t="s">
        <v>1832</v>
      </c>
      <c r="G1778" s="384"/>
      <c r="H1778" s="24"/>
      <c r="I1778" s="24"/>
      <c r="J1778" s="25" t="str">
        <f t="shared" si="85"/>
        <v xml:space="preserve"> </v>
      </c>
      <c r="K1778" s="385"/>
      <c r="L1778" s="392"/>
      <c r="M1778" s="386">
        <f t="shared" si="84"/>
        <v>0</v>
      </c>
      <c r="N1778" s="496">
        <v>435</v>
      </c>
      <c r="O1778" s="333">
        <f t="shared" si="83"/>
        <v>435</v>
      </c>
      <c r="R1778" s="23" t="str">
        <f>VLOOKUP(C:C,'Historic Data - working'!A:B,1,FALSE)</f>
        <v>WES011</v>
      </c>
      <c r="U1778" s="323"/>
      <c r="V1778" s="323"/>
      <c r="W1778" s="323"/>
    </row>
    <row r="1779" spans="1:23" s="23" customFormat="1" ht="14.25" hidden="1" x14ac:dyDescent="0.2">
      <c r="A1779" s="381" t="s">
        <v>6265</v>
      </c>
      <c r="B1779" s="381" t="s">
        <v>324</v>
      </c>
      <c r="C1779" s="418" t="s">
        <v>6301</v>
      </c>
      <c r="D1779" s="381" t="s">
        <v>6302</v>
      </c>
      <c r="E1779" s="383" t="s">
        <v>6303</v>
      </c>
      <c r="F1779" s="381" t="s">
        <v>6304</v>
      </c>
      <c r="G1779" s="384" t="s">
        <v>329</v>
      </c>
      <c r="H1779" s="24">
        <v>2227.9699999999998</v>
      </c>
      <c r="I1779" s="24">
        <v>70</v>
      </c>
      <c r="J1779" s="25" t="str">
        <f t="shared" si="85"/>
        <v>1</v>
      </c>
      <c r="K1779" s="387" t="s">
        <v>6305</v>
      </c>
      <c r="L1779" s="392">
        <v>-0.09</v>
      </c>
      <c r="M1779" s="386">
        <f t="shared" si="84"/>
        <v>2227.8799999999997</v>
      </c>
      <c r="N1779" s="496">
        <v>935</v>
      </c>
      <c r="O1779" s="333">
        <f t="shared" si="83"/>
        <v>3162.8799999999997</v>
      </c>
      <c r="R1779" s="23" t="str">
        <f>VLOOKUP(C:C,'Historic Data - working'!A:B,1,FALSE)</f>
        <v>WES012</v>
      </c>
      <c r="U1779" s="323"/>
      <c r="V1779" s="323"/>
      <c r="W1779" s="323"/>
    </row>
    <row r="1780" spans="1:23" s="23" customFormat="1" ht="14.25" hidden="1" x14ac:dyDescent="0.2">
      <c r="A1780" s="381" t="s">
        <v>6265</v>
      </c>
      <c r="B1780" s="381" t="s">
        <v>324</v>
      </c>
      <c r="C1780" s="418" t="s">
        <v>6306</v>
      </c>
      <c r="D1780" s="381" t="s">
        <v>6307</v>
      </c>
      <c r="E1780" s="383" t="s">
        <v>6308</v>
      </c>
      <c r="F1780" s="381" t="s">
        <v>6309</v>
      </c>
      <c r="G1780" s="384" t="s">
        <v>329</v>
      </c>
      <c r="H1780" s="24">
        <v>1396</v>
      </c>
      <c r="I1780" s="24"/>
      <c r="J1780" s="25" t="str">
        <f t="shared" si="85"/>
        <v>1</v>
      </c>
      <c r="K1780" s="387" t="s">
        <v>6310</v>
      </c>
      <c r="L1780" s="392">
        <v>232</v>
      </c>
      <c r="M1780" s="386">
        <f t="shared" si="84"/>
        <v>1628</v>
      </c>
      <c r="N1780" s="496">
        <v>125</v>
      </c>
      <c r="O1780" s="333">
        <f t="shared" si="83"/>
        <v>1753</v>
      </c>
      <c r="R1780" s="23" t="str">
        <f>VLOOKUP(C:C,'Historic Data - working'!A:B,1,FALSE)</f>
        <v>WES013</v>
      </c>
      <c r="U1780" s="323"/>
      <c r="V1780" s="323"/>
      <c r="W1780" s="323"/>
    </row>
    <row r="1781" spans="1:23" s="23" customFormat="1" ht="14.25" hidden="1" x14ac:dyDescent="0.2">
      <c r="A1781" s="381" t="s">
        <v>6265</v>
      </c>
      <c r="B1781" s="381" t="s">
        <v>324</v>
      </c>
      <c r="C1781" s="418" t="s">
        <v>6311</v>
      </c>
      <c r="D1781" s="381" t="s">
        <v>6312</v>
      </c>
      <c r="E1781" s="383" t="s">
        <v>6313</v>
      </c>
      <c r="F1781" s="381" t="s">
        <v>6309</v>
      </c>
      <c r="G1781" s="384" t="s">
        <v>329</v>
      </c>
      <c r="H1781" s="24">
        <v>714</v>
      </c>
      <c r="I1781" s="24"/>
      <c r="J1781" s="25" t="str">
        <f t="shared" si="85"/>
        <v>1</v>
      </c>
      <c r="K1781" s="385"/>
      <c r="L1781" s="392"/>
      <c r="M1781" s="386">
        <f t="shared" si="84"/>
        <v>714</v>
      </c>
      <c r="N1781" s="496">
        <v>156</v>
      </c>
      <c r="O1781" s="333">
        <f t="shared" si="83"/>
        <v>870</v>
      </c>
      <c r="R1781" s="23" t="str">
        <f>VLOOKUP(C:C,'Historic Data - working'!A:B,1,FALSE)</f>
        <v>WES014</v>
      </c>
      <c r="U1781" s="323"/>
      <c r="V1781" s="323"/>
      <c r="W1781" s="323"/>
    </row>
    <row r="1782" spans="1:23" s="23" customFormat="1" ht="14.25" hidden="1" x14ac:dyDescent="0.2">
      <c r="A1782" s="381" t="s">
        <v>6265</v>
      </c>
      <c r="B1782" s="381" t="s">
        <v>324</v>
      </c>
      <c r="C1782" s="418" t="s">
        <v>6314</v>
      </c>
      <c r="D1782" s="381" t="s">
        <v>6315</v>
      </c>
      <c r="E1782" s="383" t="s">
        <v>6316</v>
      </c>
      <c r="F1782" s="381" t="s">
        <v>6317</v>
      </c>
      <c r="G1782" s="384"/>
      <c r="H1782" s="24"/>
      <c r="I1782" s="24"/>
      <c r="J1782" s="25" t="str">
        <f t="shared" si="85"/>
        <v xml:space="preserve"> </v>
      </c>
      <c r="K1782" s="385"/>
      <c r="L1782" s="392"/>
      <c r="M1782" s="386">
        <f t="shared" si="84"/>
        <v>0</v>
      </c>
      <c r="N1782" s="496">
        <v>25</v>
      </c>
      <c r="O1782" s="333">
        <f t="shared" si="83"/>
        <v>25</v>
      </c>
      <c r="R1782" s="23" t="str">
        <f>VLOOKUP(C:C,'Historic Data - working'!A:B,1,FALSE)</f>
        <v>WES015</v>
      </c>
      <c r="U1782" s="323"/>
      <c r="V1782" s="323"/>
      <c r="W1782" s="323"/>
    </row>
    <row r="1783" spans="1:23" s="23" customFormat="1" ht="14.25" hidden="1" x14ac:dyDescent="0.2">
      <c r="A1783" s="381" t="s">
        <v>6265</v>
      </c>
      <c r="B1783" s="381" t="s">
        <v>324</v>
      </c>
      <c r="C1783" s="418" t="s">
        <v>6318</v>
      </c>
      <c r="D1783" s="381" t="s">
        <v>6319</v>
      </c>
      <c r="E1783" s="383" t="s">
        <v>6320</v>
      </c>
      <c r="F1783" s="381" t="s">
        <v>1832</v>
      </c>
      <c r="G1783" s="384"/>
      <c r="H1783" s="24"/>
      <c r="I1783" s="24"/>
      <c r="J1783" s="25" t="str">
        <f t="shared" si="85"/>
        <v xml:space="preserve"> </v>
      </c>
      <c r="K1783" s="385"/>
      <c r="L1783" s="392"/>
      <c r="M1783" s="386">
        <f t="shared" si="84"/>
        <v>0</v>
      </c>
      <c r="N1783" s="496">
        <v>220</v>
      </c>
      <c r="O1783" s="333">
        <f t="shared" si="83"/>
        <v>220</v>
      </c>
      <c r="R1783" s="23" t="str">
        <f>VLOOKUP(C:C,'Historic Data - working'!A:B,1,FALSE)</f>
        <v>WES016</v>
      </c>
      <c r="U1783" s="323"/>
      <c r="V1783" s="323"/>
      <c r="W1783" s="323"/>
    </row>
    <row r="1784" spans="1:23" s="23" customFormat="1" ht="14.25" hidden="1" x14ac:dyDescent="0.2">
      <c r="A1784" s="381" t="s">
        <v>6265</v>
      </c>
      <c r="B1784" s="381" t="s">
        <v>324</v>
      </c>
      <c r="C1784" s="418" t="s">
        <v>6321</v>
      </c>
      <c r="D1784" s="381" t="s">
        <v>6322</v>
      </c>
      <c r="E1784" s="383" t="s">
        <v>6323</v>
      </c>
      <c r="F1784" s="381" t="s">
        <v>1832</v>
      </c>
      <c r="G1784" s="384"/>
      <c r="H1784" s="24"/>
      <c r="I1784" s="24"/>
      <c r="J1784" s="25" t="str">
        <f t="shared" si="85"/>
        <v xml:space="preserve"> </v>
      </c>
      <c r="K1784" s="385"/>
      <c r="L1784" s="392"/>
      <c r="M1784" s="386">
        <f t="shared" si="84"/>
        <v>0</v>
      </c>
      <c r="N1784" s="496"/>
      <c r="O1784" s="333">
        <f t="shared" si="83"/>
        <v>0</v>
      </c>
      <c r="R1784" s="23" t="str">
        <f>VLOOKUP(C:C,'Historic Data - working'!A:B,1,FALSE)</f>
        <v>WES017</v>
      </c>
      <c r="U1784" s="323"/>
      <c r="V1784" s="323"/>
      <c r="W1784" s="323"/>
    </row>
    <row r="1785" spans="1:23" s="23" customFormat="1" ht="14.25" hidden="1" x14ac:dyDescent="0.2">
      <c r="A1785" s="381" t="s">
        <v>6265</v>
      </c>
      <c r="B1785" s="381" t="s">
        <v>324</v>
      </c>
      <c r="C1785" s="418" t="s">
        <v>6324</v>
      </c>
      <c r="D1785" s="381" t="s">
        <v>6325</v>
      </c>
      <c r="E1785" s="383" t="s">
        <v>6326</v>
      </c>
      <c r="F1785" s="381" t="s">
        <v>6327</v>
      </c>
      <c r="G1785" s="384" t="s">
        <v>329</v>
      </c>
      <c r="H1785" s="24">
        <v>52.05</v>
      </c>
      <c r="I1785" s="24"/>
      <c r="J1785" s="25" t="str">
        <f t="shared" si="85"/>
        <v>1</v>
      </c>
      <c r="K1785" s="385"/>
      <c r="L1785" s="385"/>
      <c r="M1785" s="386">
        <f t="shared" si="84"/>
        <v>52.05</v>
      </c>
      <c r="N1785" s="496">
        <v>345</v>
      </c>
      <c r="O1785" s="333">
        <f t="shared" si="83"/>
        <v>397.05</v>
      </c>
      <c r="R1785" s="23" t="str">
        <f>VLOOKUP(C:C,'Historic Data - working'!A:B,1,FALSE)</f>
        <v>WES018</v>
      </c>
      <c r="U1785" s="323"/>
      <c r="V1785" s="323"/>
      <c r="W1785" s="323"/>
    </row>
    <row r="1786" spans="1:23" s="23" customFormat="1" ht="14.25" hidden="1" x14ac:dyDescent="0.2">
      <c r="A1786" s="381" t="s">
        <v>6265</v>
      </c>
      <c r="B1786" s="381" t="s">
        <v>324</v>
      </c>
      <c r="C1786" s="418" t="s">
        <v>6328</v>
      </c>
      <c r="D1786" s="381" t="s">
        <v>6329</v>
      </c>
      <c r="E1786" s="383" t="s">
        <v>1054</v>
      </c>
      <c r="F1786" s="381" t="s">
        <v>1832</v>
      </c>
      <c r="G1786" s="384"/>
      <c r="H1786" s="24"/>
      <c r="I1786" s="24"/>
      <c r="J1786" s="25" t="str">
        <f t="shared" si="85"/>
        <v xml:space="preserve"> </v>
      </c>
      <c r="K1786" s="385"/>
      <c r="L1786" s="392"/>
      <c r="M1786" s="386">
        <f t="shared" si="84"/>
        <v>0</v>
      </c>
      <c r="N1786" s="496">
        <v>115</v>
      </c>
      <c r="O1786" s="333">
        <f t="shared" si="83"/>
        <v>115</v>
      </c>
      <c r="R1786" s="23" t="str">
        <f>VLOOKUP(C:C,'Historic Data - working'!A:B,1,FALSE)</f>
        <v>WES019</v>
      </c>
      <c r="U1786" s="323"/>
      <c r="V1786" s="323"/>
      <c r="W1786" s="323"/>
    </row>
    <row r="1787" spans="1:23" s="23" customFormat="1" ht="14.25" hidden="1" x14ac:dyDescent="0.2">
      <c r="A1787" s="381" t="s">
        <v>6265</v>
      </c>
      <c r="B1787" s="381" t="s">
        <v>324</v>
      </c>
      <c r="C1787" s="418" t="s">
        <v>6330</v>
      </c>
      <c r="D1787" s="381" t="s">
        <v>6331</v>
      </c>
      <c r="E1787" s="383" t="s">
        <v>61</v>
      </c>
      <c r="F1787" s="381" t="s">
        <v>1832</v>
      </c>
      <c r="G1787" s="384"/>
      <c r="H1787" s="24"/>
      <c r="I1787" s="24"/>
      <c r="J1787" s="25" t="str">
        <f t="shared" si="85"/>
        <v xml:space="preserve"> </v>
      </c>
      <c r="K1787" s="385"/>
      <c r="L1787" s="392"/>
      <c r="M1787" s="386">
        <f t="shared" si="84"/>
        <v>0</v>
      </c>
      <c r="N1787" s="496">
        <v>130</v>
      </c>
      <c r="O1787" s="333">
        <f t="shared" si="83"/>
        <v>130</v>
      </c>
      <c r="R1787" s="23" t="str">
        <f>VLOOKUP(C:C,'Historic Data - working'!A:B,1,FALSE)</f>
        <v>WES020</v>
      </c>
      <c r="U1787" s="323"/>
      <c r="V1787" s="323"/>
      <c r="W1787" s="323"/>
    </row>
    <row r="1788" spans="1:23" s="23" customFormat="1" ht="14.25" hidden="1" x14ac:dyDescent="0.2">
      <c r="A1788" s="381" t="s">
        <v>6265</v>
      </c>
      <c r="B1788" s="381" t="s">
        <v>324</v>
      </c>
      <c r="C1788" s="418" t="s">
        <v>6332</v>
      </c>
      <c r="D1788" s="381" t="s">
        <v>6333</v>
      </c>
      <c r="E1788" s="383" t="s">
        <v>2907</v>
      </c>
      <c r="F1788" s="381" t="s">
        <v>6334</v>
      </c>
      <c r="G1788" s="384" t="s">
        <v>329</v>
      </c>
      <c r="H1788" s="24"/>
      <c r="I1788" s="24">
        <v>146.80000000000001</v>
      </c>
      <c r="J1788" s="25" t="str">
        <f t="shared" si="85"/>
        <v>1</v>
      </c>
      <c r="K1788" s="385"/>
      <c r="L1788" s="392"/>
      <c r="M1788" s="386">
        <f t="shared" si="84"/>
        <v>0</v>
      </c>
      <c r="N1788" s="496">
        <v>397.74</v>
      </c>
      <c r="O1788" s="333">
        <f t="shared" si="83"/>
        <v>397.74</v>
      </c>
      <c r="R1788" s="23" t="str">
        <f>VLOOKUP(C:C,'Historic Data - working'!A:B,1,FALSE)</f>
        <v>WES021</v>
      </c>
      <c r="U1788" s="323"/>
      <c r="V1788" s="323"/>
      <c r="W1788" s="323"/>
    </row>
    <row r="1789" spans="1:23" s="23" customFormat="1" ht="14.25" hidden="1" x14ac:dyDescent="0.2">
      <c r="A1789" s="381" t="s">
        <v>6265</v>
      </c>
      <c r="B1789" s="381" t="s">
        <v>324</v>
      </c>
      <c r="C1789" s="418" t="s">
        <v>6335</v>
      </c>
      <c r="D1789" s="381" t="s">
        <v>6336</v>
      </c>
      <c r="E1789" s="383" t="s">
        <v>4917</v>
      </c>
      <c r="F1789" s="381" t="s">
        <v>6337</v>
      </c>
      <c r="G1789" s="384" t="s">
        <v>329</v>
      </c>
      <c r="H1789" s="24">
        <f>286.44+435.27</f>
        <v>721.71</v>
      </c>
      <c r="I1789" s="24"/>
      <c r="J1789" s="25" t="str">
        <f t="shared" si="85"/>
        <v>1</v>
      </c>
      <c r="K1789" s="385"/>
      <c r="L1789" s="392"/>
      <c r="M1789" s="386">
        <f t="shared" si="84"/>
        <v>721.71</v>
      </c>
      <c r="N1789" s="496">
        <v>70</v>
      </c>
      <c r="O1789" s="333">
        <f t="shared" si="83"/>
        <v>791.71</v>
      </c>
      <c r="R1789" s="23" t="str">
        <f>VLOOKUP(C:C,'Historic Data - working'!A:B,1,FALSE)</f>
        <v>WES022</v>
      </c>
      <c r="U1789" s="323"/>
      <c r="V1789" s="323"/>
      <c r="W1789" s="323"/>
    </row>
    <row r="1790" spans="1:23" s="23" customFormat="1" ht="14.25" hidden="1" x14ac:dyDescent="0.2">
      <c r="A1790" s="381" t="s">
        <v>6265</v>
      </c>
      <c r="B1790" s="381" t="s">
        <v>324</v>
      </c>
      <c r="C1790" s="418" t="s">
        <v>6338</v>
      </c>
      <c r="D1790" s="381" t="s">
        <v>6339</v>
      </c>
      <c r="E1790" s="383" t="s">
        <v>6340</v>
      </c>
      <c r="F1790" s="381" t="s">
        <v>6341</v>
      </c>
      <c r="G1790" s="384"/>
      <c r="H1790" s="24"/>
      <c r="I1790" s="24"/>
      <c r="J1790" s="25" t="str">
        <f t="shared" si="85"/>
        <v xml:space="preserve"> </v>
      </c>
      <c r="K1790" s="385" t="s">
        <v>337</v>
      </c>
      <c r="L1790" s="392">
        <v>1218.8</v>
      </c>
      <c r="M1790" s="386">
        <f t="shared" si="84"/>
        <v>1218.8</v>
      </c>
      <c r="N1790" s="496">
        <v>290</v>
      </c>
      <c r="O1790" s="333">
        <f t="shared" si="83"/>
        <v>1508.8</v>
      </c>
      <c r="R1790" s="23" t="str">
        <f>VLOOKUP(C:C,'Historic Data - working'!A:B,1,FALSE)</f>
        <v>WES023</v>
      </c>
      <c r="U1790" s="323"/>
      <c r="V1790" s="323"/>
      <c r="W1790" s="323"/>
    </row>
    <row r="1791" spans="1:23" s="23" customFormat="1" ht="14.25" hidden="1" x14ac:dyDescent="0.2">
      <c r="A1791" s="381" t="s">
        <v>6265</v>
      </c>
      <c r="B1791" s="381" t="s">
        <v>324</v>
      </c>
      <c r="C1791" s="418" t="s">
        <v>6342</v>
      </c>
      <c r="D1791" s="381" t="s">
        <v>6343</v>
      </c>
      <c r="E1791" s="383" t="s">
        <v>6344</v>
      </c>
      <c r="F1791" s="381" t="s">
        <v>1832</v>
      </c>
      <c r="G1791" s="384"/>
      <c r="H1791" s="24"/>
      <c r="I1791" s="24"/>
      <c r="J1791" s="25" t="str">
        <f t="shared" si="85"/>
        <v xml:space="preserve"> </v>
      </c>
      <c r="K1791" s="385"/>
      <c r="L1791" s="392"/>
      <c r="M1791" s="386">
        <f t="shared" si="84"/>
        <v>0</v>
      </c>
      <c r="N1791" s="496">
        <v>117</v>
      </c>
      <c r="O1791" s="333">
        <f t="shared" si="83"/>
        <v>117</v>
      </c>
      <c r="R1791" s="23" t="str">
        <f>VLOOKUP(C:C,'Historic Data - working'!A:B,1,FALSE)</f>
        <v>WES024</v>
      </c>
      <c r="U1791" s="323"/>
      <c r="V1791" s="323"/>
      <c r="W1791" s="323"/>
    </row>
    <row r="1792" spans="1:23" s="23" customFormat="1" ht="14.25" hidden="1" x14ac:dyDescent="0.2">
      <c r="A1792" s="381" t="s">
        <v>6265</v>
      </c>
      <c r="B1792" s="381" t="s">
        <v>324</v>
      </c>
      <c r="C1792" s="418" t="s">
        <v>6345</v>
      </c>
      <c r="D1792" s="381" t="s">
        <v>6346</v>
      </c>
      <c r="E1792" s="383" t="s">
        <v>61</v>
      </c>
      <c r="F1792" s="381" t="s">
        <v>6341</v>
      </c>
      <c r="G1792" s="384"/>
      <c r="H1792" s="24"/>
      <c r="I1792" s="24"/>
      <c r="J1792" s="25" t="str">
        <f t="shared" si="85"/>
        <v xml:space="preserve"> </v>
      </c>
      <c r="K1792" s="385"/>
      <c r="L1792" s="392"/>
      <c r="M1792" s="386">
        <f t="shared" si="84"/>
        <v>0</v>
      </c>
      <c r="N1792" s="496">
        <v>60</v>
      </c>
      <c r="O1792" s="333">
        <f t="shared" si="83"/>
        <v>60</v>
      </c>
      <c r="R1792" s="23" t="str">
        <f>VLOOKUP(C:C,'Historic Data - working'!A:B,1,FALSE)</f>
        <v>WES025</v>
      </c>
      <c r="U1792" s="323"/>
      <c r="V1792" s="323"/>
      <c r="W1792" s="323"/>
    </row>
    <row r="1793" spans="1:23" s="23" customFormat="1" ht="14.25" hidden="1" x14ac:dyDescent="0.2">
      <c r="A1793" s="381" t="s">
        <v>6265</v>
      </c>
      <c r="B1793" s="381" t="s">
        <v>324</v>
      </c>
      <c r="C1793" s="418" t="s">
        <v>6347</v>
      </c>
      <c r="D1793" s="381" t="s">
        <v>6348</v>
      </c>
      <c r="E1793" s="383" t="s">
        <v>31</v>
      </c>
      <c r="F1793" s="381" t="s">
        <v>1832</v>
      </c>
      <c r="G1793" s="384"/>
      <c r="H1793" s="24"/>
      <c r="I1793" s="24"/>
      <c r="J1793" s="25" t="str">
        <f t="shared" si="85"/>
        <v xml:space="preserve"> </v>
      </c>
      <c r="K1793" s="385"/>
      <c r="L1793" s="392"/>
      <c r="M1793" s="386">
        <f t="shared" si="84"/>
        <v>0</v>
      </c>
      <c r="N1793" s="496">
        <v>890</v>
      </c>
      <c r="O1793" s="333">
        <f t="shared" si="83"/>
        <v>890</v>
      </c>
      <c r="R1793" s="23" t="str">
        <f>VLOOKUP(C:C,'Historic Data - working'!A:B,1,FALSE)</f>
        <v>WES026</v>
      </c>
      <c r="U1793" s="323"/>
      <c r="V1793" s="323"/>
      <c r="W1793" s="323"/>
    </row>
    <row r="1794" spans="1:23" s="23" customFormat="1" ht="14.25" hidden="1" x14ac:dyDescent="0.2">
      <c r="A1794" s="381" t="s">
        <v>6265</v>
      </c>
      <c r="B1794" s="381" t="s">
        <v>324</v>
      </c>
      <c r="C1794" s="418" t="s">
        <v>6349</v>
      </c>
      <c r="D1794" s="381" t="s">
        <v>6350</v>
      </c>
      <c r="E1794" s="383" t="s">
        <v>6351</v>
      </c>
      <c r="F1794" s="381" t="s">
        <v>1832</v>
      </c>
      <c r="G1794" s="384" t="s">
        <v>329</v>
      </c>
      <c r="H1794" s="24">
        <f>18+159.36+198.5+261</f>
        <v>636.86</v>
      </c>
      <c r="I1794" s="24"/>
      <c r="J1794" s="25" t="str">
        <f t="shared" si="85"/>
        <v>1</v>
      </c>
      <c r="K1794" s="387" t="s">
        <v>6352</v>
      </c>
      <c r="L1794" s="392">
        <v>326.5</v>
      </c>
      <c r="M1794" s="386">
        <f t="shared" si="84"/>
        <v>963.36</v>
      </c>
      <c r="N1794" s="496">
        <v>1056.72</v>
      </c>
      <c r="O1794" s="333">
        <f t="shared" ref="O1794:O1857" si="86">M1794+N1794</f>
        <v>2020.08</v>
      </c>
      <c r="R1794" s="23" t="str">
        <f>VLOOKUP(C:C,'Historic Data - working'!A:B,1,FALSE)</f>
        <v>WES027</v>
      </c>
      <c r="U1794" s="323"/>
      <c r="V1794" s="323"/>
      <c r="W1794" s="323"/>
    </row>
    <row r="1795" spans="1:23" s="23" customFormat="1" ht="14.25" hidden="1" x14ac:dyDescent="0.2">
      <c r="A1795" s="381" t="s">
        <v>6265</v>
      </c>
      <c r="B1795" s="381" t="s">
        <v>324</v>
      </c>
      <c r="C1795" s="418" t="s">
        <v>6353</v>
      </c>
      <c r="D1795" s="381" t="s">
        <v>6354</v>
      </c>
      <c r="E1795" s="383" t="s">
        <v>564</v>
      </c>
      <c r="F1795" s="381" t="s">
        <v>6355</v>
      </c>
      <c r="G1795" s="384"/>
      <c r="H1795" s="24"/>
      <c r="I1795" s="24"/>
      <c r="J1795" s="25" t="str">
        <f t="shared" si="85"/>
        <v xml:space="preserve"> </v>
      </c>
      <c r="K1795" s="385"/>
      <c r="L1795" s="392"/>
      <c r="M1795" s="386">
        <f t="shared" ref="M1795:M1858" si="87">H1795+L1795</f>
        <v>0</v>
      </c>
      <c r="N1795" s="496">
        <v>75</v>
      </c>
      <c r="O1795" s="333">
        <f t="shared" si="86"/>
        <v>75</v>
      </c>
      <c r="R1795" s="23" t="str">
        <f>VLOOKUP(C:C,'Historic Data - working'!A:B,1,FALSE)</f>
        <v>WES028A</v>
      </c>
      <c r="U1795" s="323"/>
      <c r="V1795" s="323"/>
      <c r="W1795" s="323"/>
    </row>
    <row r="1796" spans="1:23" s="23" customFormat="1" ht="14.25" hidden="1" x14ac:dyDescent="0.2">
      <c r="A1796" s="381" t="s">
        <v>6265</v>
      </c>
      <c r="B1796" s="381" t="s">
        <v>351</v>
      </c>
      <c r="C1796" s="418" t="s">
        <v>6356</v>
      </c>
      <c r="D1796" s="381" t="s">
        <v>6357</v>
      </c>
      <c r="E1796" s="383" t="s">
        <v>6358</v>
      </c>
      <c r="F1796" s="381" t="s">
        <v>1832</v>
      </c>
      <c r="G1796" s="384" t="s">
        <v>329</v>
      </c>
      <c r="H1796" s="24"/>
      <c r="I1796" s="24">
        <v>25.37</v>
      </c>
      <c r="J1796" s="25" t="str">
        <f t="shared" si="85"/>
        <v>1</v>
      </c>
      <c r="K1796" s="385"/>
      <c r="L1796" s="392"/>
      <c r="M1796" s="386">
        <f t="shared" si="87"/>
        <v>0</v>
      </c>
      <c r="N1796" s="496">
        <v>1055.3699999999999</v>
      </c>
      <c r="O1796" s="333">
        <f t="shared" si="86"/>
        <v>1055.3699999999999</v>
      </c>
      <c r="R1796" s="23" t="str">
        <f>VLOOKUP(C:C,'Historic Data - working'!A:B,1,FALSE)</f>
        <v>WES029</v>
      </c>
      <c r="U1796" s="323"/>
      <c r="V1796" s="323"/>
      <c r="W1796" s="323"/>
    </row>
    <row r="1797" spans="1:23" s="23" customFormat="1" ht="14.25" hidden="1" x14ac:dyDescent="0.2">
      <c r="A1797" s="381" t="s">
        <v>6265</v>
      </c>
      <c r="B1797" s="381" t="s">
        <v>324</v>
      </c>
      <c r="C1797" s="418" t="s">
        <v>6359</v>
      </c>
      <c r="D1797" s="381" t="s">
        <v>6360</v>
      </c>
      <c r="E1797" s="383" t="s">
        <v>989</v>
      </c>
      <c r="F1797" s="381" t="s">
        <v>6361</v>
      </c>
      <c r="G1797" s="384" t="s">
        <v>329</v>
      </c>
      <c r="H1797" s="24">
        <f>123.94+104.86+88.92+225.77</f>
        <v>543.49</v>
      </c>
      <c r="I1797" s="24"/>
      <c r="J1797" s="25" t="str">
        <f t="shared" si="85"/>
        <v>1</v>
      </c>
      <c r="K1797" s="387" t="s">
        <v>6362</v>
      </c>
      <c r="L1797" s="392">
        <v>-0.8</v>
      </c>
      <c r="M1797" s="386">
        <f t="shared" si="87"/>
        <v>542.69000000000005</v>
      </c>
      <c r="N1797" s="496">
        <v>30</v>
      </c>
      <c r="O1797" s="333">
        <f t="shared" si="86"/>
        <v>572.69000000000005</v>
      </c>
      <c r="R1797" s="23" t="str">
        <f>VLOOKUP(C:C,'Historic Data - working'!A:B,1,FALSE)</f>
        <v>WES030</v>
      </c>
      <c r="U1797" s="323"/>
      <c r="V1797" s="323"/>
      <c r="W1797" s="323"/>
    </row>
    <row r="1798" spans="1:23" s="23" customFormat="1" ht="14.25" hidden="1" x14ac:dyDescent="0.2">
      <c r="A1798" s="381" t="s">
        <v>6265</v>
      </c>
      <c r="B1798" s="381" t="s">
        <v>324</v>
      </c>
      <c r="C1798" s="418" t="s">
        <v>6363</v>
      </c>
      <c r="D1798" s="381" t="s">
        <v>6364</v>
      </c>
      <c r="E1798" s="383" t="s">
        <v>6365</v>
      </c>
      <c r="F1798" s="381" t="s">
        <v>1832</v>
      </c>
      <c r="G1798" s="384" t="s">
        <v>329</v>
      </c>
      <c r="H1798" s="24"/>
      <c r="I1798" s="24">
        <f>133.51+363.4+101.67+84.95+80.58+177.3</f>
        <v>941.41000000000008</v>
      </c>
      <c r="J1798" s="25" t="str">
        <f t="shared" si="85"/>
        <v>1</v>
      </c>
      <c r="K1798" s="385"/>
      <c r="L1798" s="392"/>
      <c r="M1798" s="386">
        <f t="shared" si="87"/>
        <v>0</v>
      </c>
      <c r="N1798" s="496">
        <v>1151.4099999999999</v>
      </c>
      <c r="O1798" s="333">
        <f t="shared" si="86"/>
        <v>1151.4099999999999</v>
      </c>
      <c r="R1798" s="23" t="str">
        <f>VLOOKUP(C:C,'Historic Data - working'!A:B,1,FALSE)</f>
        <v>WES031</v>
      </c>
      <c r="U1798" s="323"/>
      <c r="V1798" s="323"/>
      <c r="W1798" s="323"/>
    </row>
    <row r="1799" spans="1:23" s="23" customFormat="1" ht="14.25" hidden="1" x14ac:dyDescent="0.2">
      <c r="A1799" s="381" t="s">
        <v>6265</v>
      </c>
      <c r="B1799" s="381" t="s">
        <v>324</v>
      </c>
      <c r="C1799" s="418" t="s">
        <v>6366</v>
      </c>
      <c r="D1799" s="381" t="s">
        <v>6367</v>
      </c>
      <c r="E1799" s="383" t="s">
        <v>981</v>
      </c>
      <c r="F1799" s="381" t="s">
        <v>1832</v>
      </c>
      <c r="G1799" s="384"/>
      <c r="H1799" s="24"/>
      <c r="I1799" s="24"/>
      <c r="J1799" s="25" t="str">
        <f t="shared" si="85"/>
        <v xml:space="preserve"> </v>
      </c>
      <c r="K1799" s="385"/>
      <c r="L1799" s="392"/>
      <c r="M1799" s="386">
        <f t="shared" si="87"/>
        <v>0</v>
      </c>
      <c r="N1799" s="496"/>
      <c r="O1799" s="333">
        <f t="shared" si="86"/>
        <v>0</v>
      </c>
      <c r="R1799" s="23" t="str">
        <f>VLOOKUP(C:C,'Historic Data - working'!A:B,1,FALSE)</f>
        <v>WES032</v>
      </c>
      <c r="U1799" s="323"/>
      <c r="V1799" s="323"/>
      <c r="W1799" s="323"/>
    </row>
    <row r="1800" spans="1:23" s="23" customFormat="1" ht="14.25" hidden="1" x14ac:dyDescent="0.2">
      <c r="A1800" s="381" t="s">
        <v>6265</v>
      </c>
      <c r="B1800" s="381" t="s">
        <v>324</v>
      </c>
      <c r="C1800" s="418" t="s">
        <v>6368</v>
      </c>
      <c r="D1800" s="381" t="s">
        <v>6369</v>
      </c>
      <c r="E1800" s="383" t="s">
        <v>1731</v>
      </c>
      <c r="F1800" s="381" t="s">
        <v>1832</v>
      </c>
      <c r="G1800" s="384"/>
      <c r="H1800" s="24"/>
      <c r="I1800" s="24"/>
      <c r="J1800" s="25" t="str">
        <f t="shared" si="85"/>
        <v xml:space="preserve"> </v>
      </c>
      <c r="K1800" s="385"/>
      <c r="L1800" s="392"/>
      <c r="M1800" s="386">
        <f t="shared" si="87"/>
        <v>0</v>
      </c>
      <c r="N1800" s="496">
        <v>30</v>
      </c>
      <c r="O1800" s="333">
        <f t="shared" si="86"/>
        <v>30</v>
      </c>
      <c r="R1800" s="23" t="str">
        <f>VLOOKUP(C:C,'Historic Data - working'!A:B,1,FALSE)</f>
        <v>WES033</v>
      </c>
      <c r="U1800" s="323"/>
      <c r="V1800" s="323"/>
      <c r="W1800" s="323"/>
    </row>
    <row r="1801" spans="1:23" s="23" customFormat="1" ht="14.25" hidden="1" x14ac:dyDescent="0.2">
      <c r="A1801" s="381" t="s">
        <v>6265</v>
      </c>
      <c r="B1801" s="381" t="s">
        <v>324</v>
      </c>
      <c r="C1801" s="418" t="s">
        <v>6370</v>
      </c>
      <c r="D1801" s="381" t="s">
        <v>6371</v>
      </c>
      <c r="E1801" s="383" t="s">
        <v>6372</v>
      </c>
      <c r="F1801" s="381" t="s">
        <v>1832</v>
      </c>
      <c r="G1801" s="384"/>
      <c r="H1801" s="24"/>
      <c r="I1801" s="24"/>
      <c r="J1801" s="25" t="str">
        <f t="shared" si="85"/>
        <v xml:space="preserve"> </v>
      </c>
      <c r="K1801" s="385"/>
      <c r="L1801" s="392"/>
      <c r="M1801" s="386">
        <f t="shared" si="87"/>
        <v>0</v>
      </c>
      <c r="N1801" s="496">
        <v>790</v>
      </c>
      <c r="O1801" s="333">
        <f t="shared" si="86"/>
        <v>790</v>
      </c>
      <c r="R1801" s="23" t="str">
        <f>VLOOKUP(C:C,'Historic Data - working'!A:B,1,FALSE)</f>
        <v>WES034</v>
      </c>
      <c r="U1801" s="323"/>
      <c r="V1801" s="323"/>
      <c r="W1801" s="323"/>
    </row>
    <row r="1802" spans="1:23" s="23" customFormat="1" ht="14.25" hidden="1" x14ac:dyDescent="0.2">
      <c r="A1802" s="381" t="s">
        <v>6265</v>
      </c>
      <c r="B1802" s="381" t="s">
        <v>324</v>
      </c>
      <c r="C1802" s="418" t="s">
        <v>6373</v>
      </c>
      <c r="D1802" s="381" t="s">
        <v>6374</v>
      </c>
      <c r="E1802" s="383" t="s">
        <v>6375</v>
      </c>
      <c r="F1802" s="381" t="s">
        <v>1832</v>
      </c>
      <c r="G1802" s="384" t="s">
        <v>329</v>
      </c>
      <c r="H1802" s="24"/>
      <c r="I1802" s="24">
        <v>1404</v>
      </c>
      <c r="J1802" s="25" t="str">
        <f t="shared" si="85"/>
        <v>1</v>
      </c>
      <c r="K1802" s="385"/>
      <c r="L1802" s="392"/>
      <c r="M1802" s="386">
        <f t="shared" si="87"/>
        <v>0</v>
      </c>
      <c r="N1802" s="496">
        <v>1474</v>
      </c>
      <c r="O1802" s="333">
        <f t="shared" si="86"/>
        <v>1474</v>
      </c>
      <c r="R1802" s="23" t="str">
        <f>VLOOKUP(C:C,'Historic Data - working'!A:B,1,FALSE)</f>
        <v>WES035</v>
      </c>
      <c r="U1802" s="323"/>
      <c r="V1802" s="323"/>
      <c r="W1802" s="323"/>
    </row>
    <row r="1803" spans="1:23" s="23" customFormat="1" ht="14.25" hidden="1" x14ac:dyDescent="0.2">
      <c r="A1803" s="381" t="s">
        <v>6265</v>
      </c>
      <c r="B1803" s="381" t="s">
        <v>324</v>
      </c>
      <c r="C1803" s="418" t="s">
        <v>6376</v>
      </c>
      <c r="D1803" s="381" t="s">
        <v>6377</v>
      </c>
      <c r="E1803" s="383" t="s">
        <v>6378</v>
      </c>
      <c r="F1803" s="381" t="s">
        <v>1832</v>
      </c>
      <c r="G1803" s="384"/>
      <c r="H1803" s="24"/>
      <c r="I1803" s="24"/>
      <c r="J1803" s="25" t="str">
        <f t="shared" si="85"/>
        <v xml:space="preserve"> </v>
      </c>
      <c r="K1803" s="385"/>
      <c r="L1803" s="392"/>
      <c r="M1803" s="386">
        <f t="shared" si="87"/>
        <v>0</v>
      </c>
      <c r="N1803" s="496"/>
      <c r="O1803" s="333">
        <f t="shared" si="86"/>
        <v>0</v>
      </c>
      <c r="R1803" s="23" t="e">
        <f>VLOOKUP(C:C,'Historic Data - working'!A:B,1,FALSE)</f>
        <v>#N/A</v>
      </c>
      <c r="U1803" s="323"/>
      <c r="V1803" s="323"/>
      <c r="W1803" s="323"/>
    </row>
    <row r="1804" spans="1:23" s="23" customFormat="1" ht="14.25" hidden="1" x14ac:dyDescent="0.2">
      <c r="A1804" s="381" t="s">
        <v>6265</v>
      </c>
      <c r="B1804" s="381" t="s">
        <v>324</v>
      </c>
      <c r="C1804" s="418" t="s">
        <v>6379</v>
      </c>
      <c r="D1804" s="381" t="s">
        <v>6380</v>
      </c>
      <c r="E1804" s="383" t="s">
        <v>6381</v>
      </c>
      <c r="F1804" s="381" t="s">
        <v>6382</v>
      </c>
      <c r="G1804" s="384"/>
      <c r="H1804" s="24"/>
      <c r="I1804" s="24"/>
      <c r="J1804" s="25" t="str">
        <f t="shared" si="85"/>
        <v xml:space="preserve"> </v>
      </c>
      <c r="K1804" s="385"/>
      <c r="L1804" s="392"/>
      <c r="M1804" s="386">
        <f t="shared" si="87"/>
        <v>0</v>
      </c>
      <c r="N1804" s="496">
        <v>80</v>
      </c>
      <c r="O1804" s="333">
        <f t="shared" si="86"/>
        <v>80</v>
      </c>
      <c r="R1804" s="23" t="str">
        <f>VLOOKUP(C:C,'Historic Data - working'!A:B,1,FALSE)</f>
        <v>WES037</v>
      </c>
      <c r="U1804" s="323"/>
      <c r="V1804" s="323"/>
      <c r="W1804" s="323"/>
    </row>
    <row r="1805" spans="1:23" s="23" customFormat="1" ht="14.25" hidden="1" x14ac:dyDescent="0.2">
      <c r="A1805" s="381" t="s">
        <v>6265</v>
      </c>
      <c r="B1805" s="381" t="s">
        <v>324</v>
      </c>
      <c r="C1805" s="418" t="s">
        <v>6383</v>
      </c>
      <c r="D1805" s="381" t="s">
        <v>6384</v>
      </c>
      <c r="E1805" s="383" t="s">
        <v>479</v>
      </c>
      <c r="F1805" s="381" t="s">
        <v>1832</v>
      </c>
      <c r="G1805" s="384" t="s">
        <v>329</v>
      </c>
      <c r="H1805" s="24">
        <v>875.15</v>
      </c>
      <c r="I1805" s="24"/>
      <c r="J1805" s="25" t="str">
        <f t="shared" si="85"/>
        <v>1</v>
      </c>
      <c r="K1805" s="385"/>
      <c r="L1805" s="392"/>
      <c r="M1805" s="386">
        <f t="shared" si="87"/>
        <v>875.15</v>
      </c>
      <c r="N1805" s="496">
        <v>95</v>
      </c>
      <c r="O1805" s="333">
        <f t="shared" si="86"/>
        <v>970.15</v>
      </c>
      <c r="R1805" s="23" t="str">
        <f>VLOOKUP(C:C,'Historic Data - working'!A:B,1,FALSE)</f>
        <v>WES038</v>
      </c>
      <c r="U1805" s="323"/>
      <c r="V1805" s="323"/>
      <c r="W1805" s="323"/>
    </row>
    <row r="1806" spans="1:23" s="23" customFormat="1" ht="14.25" hidden="1" x14ac:dyDescent="0.2">
      <c r="A1806" s="381" t="s">
        <v>6265</v>
      </c>
      <c r="B1806" s="381" t="s">
        <v>324</v>
      </c>
      <c r="C1806" s="418" t="s">
        <v>6385</v>
      </c>
      <c r="D1806" s="381" t="s">
        <v>6386</v>
      </c>
      <c r="E1806" s="383" t="s">
        <v>1843</v>
      </c>
      <c r="F1806" s="381" t="s">
        <v>6361</v>
      </c>
      <c r="G1806" s="384" t="s">
        <v>329</v>
      </c>
      <c r="H1806" s="24"/>
      <c r="I1806" s="24">
        <f>332.35+167.86</f>
        <v>500.21000000000004</v>
      </c>
      <c r="J1806" s="25" t="str">
        <f t="shared" si="85"/>
        <v>1</v>
      </c>
      <c r="K1806" s="385"/>
      <c r="L1806" s="392"/>
      <c r="M1806" s="386">
        <f t="shared" si="87"/>
        <v>0</v>
      </c>
      <c r="N1806" s="496">
        <v>565.21</v>
      </c>
      <c r="O1806" s="333">
        <f t="shared" si="86"/>
        <v>565.21</v>
      </c>
      <c r="R1806" s="23" t="str">
        <f>VLOOKUP(C:C,'Historic Data - working'!A:B,1,FALSE)</f>
        <v>WES039</v>
      </c>
      <c r="U1806" s="323"/>
      <c r="V1806" s="323"/>
      <c r="W1806" s="323"/>
    </row>
    <row r="1807" spans="1:23" s="23" customFormat="1" ht="14.25" hidden="1" x14ac:dyDescent="0.2">
      <c r="A1807" s="381" t="s">
        <v>6265</v>
      </c>
      <c r="B1807" s="381" t="s">
        <v>324</v>
      </c>
      <c r="C1807" s="418" t="s">
        <v>6387</v>
      </c>
      <c r="D1807" s="381" t="s">
        <v>6388</v>
      </c>
      <c r="E1807" s="383" t="s">
        <v>3742</v>
      </c>
      <c r="F1807" s="381" t="s">
        <v>6389</v>
      </c>
      <c r="G1807" s="384"/>
      <c r="H1807" s="24"/>
      <c r="I1807" s="24"/>
      <c r="J1807" s="25" t="str">
        <f t="shared" si="85"/>
        <v xml:space="preserve"> </v>
      </c>
      <c r="K1807" s="385"/>
      <c r="L1807" s="392"/>
      <c r="M1807" s="386">
        <f t="shared" si="87"/>
        <v>0</v>
      </c>
      <c r="N1807" s="496">
        <v>130</v>
      </c>
      <c r="O1807" s="333">
        <f t="shared" si="86"/>
        <v>130</v>
      </c>
      <c r="R1807" s="23" t="str">
        <f>VLOOKUP(C:C,'Historic Data - working'!A:B,1,FALSE)</f>
        <v>WES040</v>
      </c>
      <c r="U1807" s="323"/>
      <c r="V1807" s="323"/>
      <c r="W1807" s="323"/>
    </row>
    <row r="1808" spans="1:23" s="23" customFormat="1" ht="14.25" hidden="1" x14ac:dyDescent="0.2">
      <c r="A1808" s="381" t="s">
        <v>6265</v>
      </c>
      <c r="B1808" s="381" t="s">
        <v>324</v>
      </c>
      <c r="C1808" s="418" t="s">
        <v>6390</v>
      </c>
      <c r="D1808" s="381" t="s">
        <v>6391</v>
      </c>
      <c r="E1808" s="383" t="s">
        <v>6392</v>
      </c>
      <c r="F1808" s="381" t="s">
        <v>1832</v>
      </c>
      <c r="G1808" s="384" t="s">
        <v>329</v>
      </c>
      <c r="H1808" s="24">
        <v>12.14</v>
      </c>
      <c r="I1808" s="24"/>
      <c r="J1808" s="25" t="str">
        <f t="shared" si="85"/>
        <v>1</v>
      </c>
      <c r="K1808" s="385"/>
      <c r="L1808" s="392"/>
      <c r="M1808" s="386">
        <f t="shared" si="87"/>
        <v>12.14</v>
      </c>
      <c r="N1808" s="496">
        <v>331</v>
      </c>
      <c r="O1808" s="333">
        <f t="shared" si="86"/>
        <v>343.14</v>
      </c>
      <c r="R1808" s="23" t="str">
        <f>VLOOKUP(C:C,'Historic Data - working'!A:B,1,FALSE)</f>
        <v>WES041</v>
      </c>
      <c r="U1808" s="323"/>
      <c r="V1808" s="323"/>
      <c r="W1808" s="323"/>
    </row>
    <row r="1809" spans="1:23" s="23" customFormat="1" ht="14.25" hidden="1" x14ac:dyDescent="0.2">
      <c r="A1809" s="381" t="s">
        <v>6265</v>
      </c>
      <c r="B1809" s="381" t="s">
        <v>324</v>
      </c>
      <c r="C1809" s="418" t="s">
        <v>6393</v>
      </c>
      <c r="D1809" s="381" t="s">
        <v>6394</v>
      </c>
      <c r="E1809" s="383" t="s">
        <v>6395</v>
      </c>
      <c r="F1809" s="381" t="s">
        <v>1832</v>
      </c>
      <c r="G1809" s="384" t="s">
        <v>329</v>
      </c>
      <c r="H1809" s="24">
        <v>1573.84</v>
      </c>
      <c r="I1809" s="24"/>
      <c r="J1809" s="25" t="str">
        <f t="shared" si="85"/>
        <v>1</v>
      </c>
      <c r="K1809" s="385" t="s">
        <v>6396</v>
      </c>
      <c r="L1809" s="392">
        <v>220.52</v>
      </c>
      <c r="M1809" s="386">
        <f t="shared" si="87"/>
        <v>1794.36</v>
      </c>
      <c r="N1809" s="496">
        <v>3479</v>
      </c>
      <c r="O1809" s="333">
        <f t="shared" si="86"/>
        <v>5273.36</v>
      </c>
      <c r="R1809" s="23" t="str">
        <f>VLOOKUP(C:C,'Historic Data - working'!A:B,1,FALSE)</f>
        <v>WES042</v>
      </c>
      <c r="U1809" s="323"/>
      <c r="V1809" s="323"/>
      <c r="W1809" s="323"/>
    </row>
    <row r="1810" spans="1:23" s="23" customFormat="1" ht="14.25" hidden="1" x14ac:dyDescent="0.2">
      <c r="A1810" s="381" t="s">
        <v>6265</v>
      </c>
      <c r="B1810" s="381" t="s">
        <v>324</v>
      </c>
      <c r="C1810" s="418" t="s">
        <v>6397</v>
      </c>
      <c r="D1810" s="381" t="s">
        <v>6398</v>
      </c>
      <c r="E1810" s="383" t="s">
        <v>56</v>
      </c>
      <c r="F1810" s="381" t="s">
        <v>6399</v>
      </c>
      <c r="G1810" s="384"/>
      <c r="H1810" s="24"/>
      <c r="I1810" s="24"/>
      <c r="J1810" s="25" t="str">
        <f t="shared" si="85"/>
        <v xml:space="preserve"> </v>
      </c>
      <c r="K1810" s="385" t="s">
        <v>337</v>
      </c>
      <c r="L1810" s="392">
        <v>821.98</v>
      </c>
      <c r="M1810" s="386">
        <f t="shared" si="87"/>
        <v>821.98</v>
      </c>
      <c r="N1810" s="496">
        <v>65</v>
      </c>
      <c r="O1810" s="333">
        <f t="shared" si="86"/>
        <v>886.98</v>
      </c>
      <c r="R1810" s="23" t="str">
        <f>VLOOKUP(C:C,'Historic Data - working'!A:B,1,FALSE)</f>
        <v>WES044</v>
      </c>
      <c r="U1810" s="323"/>
      <c r="V1810" s="323"/>
      <c r="W1810" s="323"/>
    </row>
    <row r="1811" spans="1:23" s="23" customFormat="1" ht="14.25" hidden="1" x14ac:dyDescent="0.2">
      <c r="A1811" s="381" t="s">
        <v>6265</v>
      </c>
      <c r="B1811" s="381" t="s">
        <v>324</v>
      </c>
      <c r="C1811" s="418" t="s">
        <v>6400</v>
      </c>
      <c r="D1811" s="381" t="s">
        <v>6401</v>
      </c>
      <c r="E1811" s="383" t="s">
        <v>709</v>
      </c>
      <c r="F1811" s="381" t="s">
        <v>6337</v>
      </c>
      <c r="G1811" s="384"/>
      <c r="H1811" s="24"/>
      <c r="I1811" s="24"/>
      <c r="J1811" s="25" t="str">
        <f t="shared" si="85"/>
        <v xml:space="preserve"> </v>
      </c>
      <c r="K1811" s="385"/>
      <c r="L1811" s="392"/>
      <c r="M1811" s="386">
        <f t="shared" si="87"/>
        <v>0</v>
      </c>
      <c r="N1811" s="496">
        <v>845</v>
      </c>
      <c r="O1811" s="333">
        <f t="shared" si="86"/>
        <v>845</v>
      </c>
      <c r="R1811" s="23" t="str">
        <f>VLOOKUP(C:C,'Historic Data - working'!A:B,1,FALSE)</f>
        <v>WES045</v>
      </c>
      <c r="U1811" s="323"/>
      <c r="V1811" s="323"/>
      <c r="W1811" s="323"/>
    </row>
    <row r="1812" spans="1:23" s="23" customFormat="1" ht="14.25" hidden="1" x14ac:dyDescent="0.2">
      <c r="A1812" s="381" t="s">
        <v>6265</v>
      </c>
      <c r="B1812" s="381" t="s">
        <v>324</v>
      </c>
      <c r="C1812" s="418" t="s">
        <v>6402</v>
      </c>
      <c r="D1812" s="381" t="s">
        <v>6403</v>
      </c>
      <c r="E1812" s="383" t="s">
        <v>6404</v>
      </c>
      <c r="F1812" s="381" t="s">
        <v>1832</v>
      </c>
      <c r="G1812" s="384"/>
      <c r="H1812" s="24"/>
      <c r="I1812" s="24"/>
      <c r="J1812" s="25" t="str">
        <f t="shared" si="85"/>
        <v xml:space="preserve"> </v>
      </c>
      <c r="K1812" s="385"/>
      <c r="L1812" s="392"/>
      <c r="M1812" s="386">
        <f t="shared" si="87"/>
        <v>0</v>
      </c>
      <c r="N1812" s="496">
        <v>637.18000000000006</v>
      </c>
      <c r="O1812" s="333">
        <f t="shared" si="86"/>
        <v>637.18000000000006</v>
      </c>
      <c r="R1812" s="23" t="str">
        <f>VLOOKUP(C:C,'Historic Data - working'!A:B,1,FALSE)</f>
        <v>WES046</v>
      </c>
      <c r="U1812" s="323"/>
      <c r="V1812" s="323"/>
      <c r="W1812" s="323"/>
    </row>
    <row r="1813" spans="1:23" s="23" customFormat="1" ht="14.25" hidden="1" x14ac:dyDescent="0.2">
      <c r="A1813" s="381" t="s">
        <v>6265</v>
      </c>
      <c r="B1813" s="381" t="s">
        <v>324</v>
      </c>
      <c r="C1813" s="418" t="s">
        <v>6405</v>
      </c>
      <c r="D1813" s="381" t="s">
        <v>6406</v>
      </c>
      <c r="E1813" s="383" t="s">
        <v>6407</v>
      </c>
      <c r="F1813" s="381" t="s">
        <v>1832</v>
      </c>
      <c r="G1813" s="384"/>
      <c r="H1813" s="24"/>
      <c r="I1813" s="24"/>
      <c r="J1813" s="25" t="str">
        <f t="shared" si="85"/>
        <v xml:space="preserve"> </v>
      </c>
      <c r="K1813" s="385"/>
      <c r="L1813" s="392"/>
      <c r="M1813" s="386">
        <f t="shared" si="87"/>
        <v>0</v>
      </c>
      <c r="N1813" s="496">
        <v>76.25</v>
      </c>
      <c r="O1813" s="333">
        <f t="shared" si="86"/>
        <v>76.25</v>
      </c>
      <c r="R1813" s="23" t="str">
        <f>VLOOKUP(C:C,'Historic Data - working'!A:B,1,FALSE)</f>
        <v>WES047</v>
      </c>
      <c r="U1813" s="323"/>
      <c r="V1813" s="323"/>
      <c r="W1813" s="323"/>
    </row>
    <row r="1814" spans="1:23" s="23" customFormat="1" ht="14.25" hidden="1" x14ac:dyDescent="0.2">
      <c r="A1814" s="381" t="s">
        <v>6265</v>
      </c>
      <c r="B1814" s="381" t="s">
        <v>324</v>
      </c>
      <c r="C1814" s="418" t="s">
        <v>6408</v>
      </c>
      <c r="D1814" s="381" t="s">
        <v>6409</v>
      </c>
      <c r="E1814" s="383" t="s">
        <v>6410</v>
      </c>
      <c r="F1814" s="381" t="s">
        <v>6411</v>
      </c>
      <c r="G1814" s="384" t="s">
        <v>329</v>
      </c>
      <c r="H1814" s="24">
        <v>1465.83</v>
      </c>
      <c r="I1814" s="24"/>
      <c r="J1814" s="25" t="str">
        <f t="shared" si="85"/>
        <v>1</v>
      </c>
      <c r="K1814" s="385"/>
      <c r="L1814" s="392"/>
      <c r="M1814" s="386">
        <f t="shared" si="87"/>
        <v>1465.83</v>
      </c>
      <c r="N1814" s="496">
        <v>1162</v>
      </c>
      <c r="O1814" s="333">
        <f t="shared" si="86"/>
        <v>2627.83</v>
      </c>
      <c r="R1814" s="23" t="str">
        <f>VLOOKUP(C:C,'Historic Data - working'!A:B,1,FALSE)</f>
        <v>WES048</v>
      </c>
      <c r="U1814" s="323"/>
      <c r="V1814" s="323"/>
      <c r="W1814" s="323"/>
    </row>
    <row r="1815" spans="1:23" s="23" customFormat="1" ht="14.25" hidden="1" x14ac:dyDescent="0.2">
      <c r="A1815" s="381" t="s">
        <v>6265</v>
      </c>
      <c r="B1815" s="381" t="s">
        <v>324</v>
      </c>
      <c r="C1815" s="418" t="s">
        <v>6412</v>
      </c>
      <c r="D1815" s="381" t="s">
        <v>6413</v>
      </c>
      <c r="E1815" s="383" t="s">
        <v>6414</v>
      </c>
      <c r="F1815" s="381" t="s">
        <v>6415</v>
      </c>
      <c r="G1815" s="384"/>
      <c r="H1815" s="24"/>
      <c r="I1815" s="24"/>
      <c r="J1815" s="25" t="str">
        <f t="shared" si="85"/>
        <v xml:space="preserve"> </v>
      </c>
      <c r="K1815" s="385"/>
      <c r="L1815" s="392"/>
      <c r="M1815" s="386">
        <f t="shared" si="87"/>
        <v>0</v>
      </c>
      <c r="N1815" s="496"/>
      <c r="O1815" s="333">
        <f t="shared" si="86"/>
        <v>0</v>
      </c>
      <c r="R1815" s="23" t="e">
        <f>VLOOKUP(C:C,'Historic Data - working'!A:B,1,FALSE)</f>
        <v>#N/A</v>
      </c>
      <c r="U1815" s="323"/>
      <c r="V1815" s="323"/>
      <c r="W1815" s="323"/>
    </row>
    <row r="1816" spans="1:23" s="23" customFormat="1" ht="14.25" hidden="1" x14ac:dyDescent="0.2">
      <c r="A1816" s="381" t="s">
        <v>6265</v>
      </c>
      <c r="B1816" s="381" t="s">
        <v>324</v>
      </c>
      <c r="C1816" s="418" t="s">
        <v>6416</v>
      </c>
      <c r="D1816" s="381" t="s">
        <v>6417</v>
      </c>
      <c r="E1816" s="383" t="s">
        <v>297</v>
      </c>
      <c r="F1816" s="381" t="s">
        <v>1832</v>
      </c>
      <c r="G1816" s="384"/>
      <c r="H1816" s="24"/>
      <c r="I1816" s="24"/>
      <c r="J1816" s="25" t="str">
        <f t="shared" si="85"/>
        <v xml:space="preserve"> </v>
      </c>
      <c r="K1816" s="385"/>
      <c r="L1816" s="392"/>
      <c r="M1816" s="386">
        <f t="shared" si="87"/>
        <v>0</v>
      </c>
      <c r="N1816" s="496"/>
      <c r="O1816" s="333">
        <f t="shared" si="86"/>
        <v>0</v>
      </c>
      <c r="R1816" s="23" t="str">
        <f>VLOOKUP(C:C,'Historic Data - working'!A:B,1,FALSE)</f>
        <v>WES051</v>
      </c>
      <c r="U1816" s="323"/>
      <c r="V1816" s="323"/>
      <c r="W1816" s="323"/>
    </row>
    <row r="1817" spans="1:23" s="23" customFormat="1" ht="14.25" hidden="1" x14ac:dyDescent="0.2">
      <c r="A1817" s="381" t="s">
        <v>6265</v>
      </c>
      <c r="B1817" s="381" t="s">
        <v>324</v>
      </c>
      <c r="C1817" s="418" t="s">
        <v>6418</v>
      </c>
      <c r="D1817" s="381" t="s">
        <v>6419</v>
      </c>
      <c r="E1817" s="383" t="s">
        <v>5765</v>
      </c>
      <c r="F1817" s="381" t="s">
        <v>6420</v>
      </c>
      <c r="G1817" s="384" t="s">
        <v>329</v>
      </c>
      <c r="H1817" s="24">
        <f>344.75+226.82+194.52+129.45+271.85+106.53</f>
        <v>1273.9199999999998</v>
      </c>
      <c r="I1817" s="24"/>
      <c r="J1817" s="25" t="str">
        <f t="shared" si="85"/>
        <v>1</v>
      </c>
      <c r="K1817" s="385"/>
      <c r="L1817" s="392"/>
      <c r="M1817" s="386">
        <f t="shared" si="87"/>
        <v>1273.9199999999998</v>
      </c>
      <c r="N1817" s="496">
        <v>134.62</v>
      </c>
      <c r="O1817" s="333">
        <f t="shared" si="86"/>
        <v>1408.54</v>
      </c>
      <c r="R1817" s="23" t="str">
        <f>VLOOKUP(C:C,'Historic Data - working'!A:B,1,FALSE)</f>
        <v>WES052</v>
      </c>
      <c r="U1817" s="323"/>
      <c r="V1817" s="323"/>
      <c r="W1817" s="323"/>
    </row>
    <row r="1818" spans="1:23" s="23" customFormat="1" ht="14.25" hidden="1" x14ac:dyDescent="0.2">
      <c r="A1818" s="381" t="s">
        <v>6265</v>
      </c>
      <c r="B1818" s="381" t="s">
        <v>324</v>
      </c>
      <c r="C1818" s="418" t="s">
        <v>6421</v>
      </c>
      <c r="D1818" s="381" t="s">
        <v>6422</v>
      </c>
      <c r="E1818" s="383" t="s">
        <v>5379</v>
      </c>
      <c r="F1818" s="381" t="s">
        <v>1832</v>
      </c>
      <c r="G1818" s="384"/>
      <c r="H1818" s="24"/>
      <c r="I1818" s="24"/>
      <c r="J1818" s="25" t="str">
        <f t="shared" si="85"/>
        <v xml:space="preserve"> </v>
      </c>
      <c r="K1818" s="385"/>
      <c r="L1818" s="392"/>
      <c r="M1818" s="386">
        <f t="shared" si="87"/>
        <v>0</v>
      </c>
      <c r="N1818" s="496">
        <v>1210.4099999999999</v>
      </c>
      <c r="O1818" s="333">
        <f t="shared" si="86"/>
        <v>1210.4099999999999</v>
      </c>
      <c r="R1818" s="23" t="str">
        <f>VLOOKUP(C:C,'Historic Data - working'!A:B,1,FALSE)</f>
        <v>WES053</v>
      </c>
      <c r="U1818" s="323"/>
      <c r="V1818" s="323"/>
      <c r="W1818" s="323"/>
    </row>
    <row r="1819" spans="1:23" s="23" customFormat="1" ht="14.25" hidden="1" x14ac:dyDescent="0.2">
      <c r="A1819" s="381" t="s">
        <v>6265</v>
      </c>
      <c r="B1819" s="381" t="s">
        <v>324</v>
      </c>
      <c r="C1819" s="418" t="s">
        <v>6423</v>
      </c>
      <c r="D1819" s="381" t="s">
        <v>6424</v>
      </c>
      <c r="E1819" s="383" t="s">
        <v>31</v>
      </c>
      <c r="F1819" s="381" t="s">
        <v>1832</v>
      </c>
      <c r="G1819" s="384" t="s">
        <v>329</v>
      </c>
      <c r="H1819" s="24">
        <v>480.34</v>
      </c>
      <c r="I1819" s="24"/>
      <c r="J1819" s="25" t="str">
        <f t="shared" si="85"/>
        <v>1</v>
      </c>
      <c r="K1819" s="385"/>
      <c r="L1819" s="392"/>
      <c r="M1819" s="386">
        <f t="shared" si="87"/>
        <v>480.34</v>
      </c>
      <c r="N1819" s="496">
        <v>381</v>
      </c>
      <c r="O1819" s="333">
        <f t="shared" si="86"/>
        <v>861.33999999999992</v>
      </c>
      <c r="R1819" s="23" t="str">
        <f>VLOOKUP(C:C,'Historic Data - working'!A:B,1,FALSE)</f>
        <v>WES054</v>
      </c>
      <c r="U1819" s="323"/>
      <c r="V1819" s="323"/>
      <c r="W1819" s="323"/>
    </row>
    <row r="1820" spans="1:23" s="23" customFormat="1" ht="14.25" hidden="1" x14ac:dyDescent="0.2">
      <c r="A1820" s="381" t="s">
        <v>6265</v>
      </c>
      <c r="B1820" s="381" t="s">
        <v>324</v>
      </c>
      <c r="C1820" s="418" t="s">
        <v>6425</v>
      </c>
      <c r="D1820" s="381" t="s">
        <v>6426</v>
      </c>
      <c r="E1820" s="383" t="s">
        <v>1932</v>
      </c>
      <c r="F1820" s="381" t="s">
        <v>1832</v>
      </c>
      <c r="G1820" s="384"/>
      <c r="H1820" s="24"/>
      <c r="I1820" s="24"/>
      <c r="J1820" s="25" t="str">
        <f t="shared" si="85"/>
        <v xml:space="preserve"> </v>
      </c>
      <c r="K1820" s="385"/>
      <c r="L1820" s="392"/>
      <c r="M1820" s="386">
        <f t="shared" si="87"/>
        <v>0</v>
      </c>
      <c r="N1820" s="496">
        <v>290</v>
      </c>
      <c r="O1820" s="333">
        <f t="shared" si="86"/>
        <v>290</v>
      </c>
      <c r="R1820" s="23" t="str">
        <f>VLOOKUP(C:C,'Historic Data - working'!A:B,1,FALSE)</f>
        <v>WES055</v>
      </c>
      <c r="U1820" s="323"/>
      <c r="V1820" s="323"/>
      <c r="W1820" s="323"/>
    </row>
    <row r="1821" spans="1:23" s="23" customFormat="1" ht="14.25" hidden="1" x14ac:dyDescent="0.2">
      <c r="A1821" s="381" t="s">
        <v>6265</v>
      </c>
      <c r="B1821" s="381" t="s">
        <v>324</v>
      </c>
      <c r="C1821" s="418" t="s">
        <v>6427</v>
      </c>
      <c r="D1821" s="381" t="s">
        <v>6428</v>
      </c>
      <c r="E1821" s="383" t="s">
        <v>6429</v>
      </c>
      <c r="F1821" s="381" t="s">
        <v>1832</v>
      </c>
      <c r="G1821" s="384"/>
      <c r="H1821" s="24"/>
      <c r="I1821" s="24"/>
      <c r="J1821" s="25" t="str">
        <f t="shared" si="85"/>
        <v xml:space="preserve"> </v>
      </c>
      <c r="K1821" s="385"/>
      <c r="L1821" s="392"/>
      <c r="M1821" s="386">
        <f t="shared" si="87"/>
        <v>0</v>
      </c>
      <c r="N1821" s="496">
        <v>50</v>
      </c>
      <c r="O1821" s="333">
        <f t="shared" si="86"/>
        <v>50</v>
      </c>
      <c r="R1821" s="23" t="str">
        <f>VLOOKUP(C:C,'Historic Data - working'!A:B,1,FALSE)</f>
        <v>WES056</v>
      </c>
      <c r="U1821" s="323"/>
      <c r="V1821" s="323"/>
      <c r="W1821" s="323"/>
    </row>
    <row r="1822" spans="1:23" s="23" customFormat="1" ht="14.25" hidden="1" x14ac:dyDescent="0.2">
      <c r="A1822" s="381" t="s">
        <v>6265</v>
      </c>
      <c r="B1822" s="381" t="s">
        <v>324</v>
      </c>
      <c r="C1822" s="418" t="s">
        <v>6430</v>
      </c>
      <c r="D1822" s="381" t="s">
        <v>6431</v>
      </c>
      <c r="E1822" s="383" t="s">
        <v>6432</v>
      </c>
      <c r="F1822" s="381" t="s">
        <v>1832</v>
      </c>
      <c r="G1822" s="384"/>
      <c r="H1822" s="24"/>
      <c r="I1822" s="24"/>
      <c r="J1822" s="25" t="str">
        <f t="shared" si="85"/>
        <v xml:space="preserve"> </v>
      </c>
      <c r="K1822" s="385"/>
      <c r="L1822" s="392"/>
      <c r="M1822" s="386">
        <f t="shared" si="87"/>
        <v>0</v>
      </c>
      <c r="N1822" s="496"/>
      <c r="O1822" s="333">
        <f t="shared" si="86"/>
        <v>0</v>
      </c>
      <c r="R1822" s="23" t="e">
        <f>VLOOKUP(C:C,'Historic Data - working'!A:B,1,FALSE)</f>
        <v>#N/A</v>
      </c>
      <c r="U1822" s="323"/>
      <c r="V1822" s="323"/>
      <c r="W1822" s="323"/>
    </row>
    <row r="1823" spans="1:23" s="23" customFormat="1" ht="14.25" hidden="1" x14ac:dyDescent="0.2">
      <c r="A1823" s="381" t="s">
        <v>6265</v>
      </c>
      <c r="B1823" s="381" t="s">
        <v>324</v>
      </c>
      <c r="C1823" s="418" t="s">
        <v>6433</v>
      </c>
      <c r="D1823" s="381" t="s">
        <v>6434</v>
      </c>
      <c r="E1823" s="383" t="s">
        <v>6020</v>
      </c>
      <c r="F1823" s="381" t="s">
        <v>1832</v>
      </c>
      <c r="G1823" s="384"/>
      <c r="H1823" s="24"/>
      <c r="I1823" s="24"/>
      <c r="J1823" s="25" t="str">
        <f t="shared" si="85"/>
        <v xml:space="preserve"> </v>
      </c>
      <c r="K1823" s="385"/>
      <c r="L1823" s="392"/>
      <c r="M1823" s="386">
        <f t="shared" si="87"/>
        <v>0</v>
      </c>
      <c r="N1823" s="496">
        <v>395</v>
      </c>
      <c r="O1823" s="333">
        <f t="shared" si="86"/>
        <v>395</v>
      </c>
      <c r="R1823" s="23" t="str">
        <f>VLOOKUP(C:C,'Historic Data - working'!A:B,1,FALSE)</f>
        <v>WES057</v>
      </c>
      <c r="U1823" s="323"/>
      <c r="V1823" s="323"/>
      <c r="W1823" s="323"/>
    </row>
    <row r="1824" spans="1:23" s="23" customFormat="1" ht="14.25" hidden="1" x14ac:dyDescent="0.2">
      <c r="A1824" s="381" t="s">
        <v>6265</v>
      </c>
      <c r="B1824" s="381" t="s">
        <v>324</v>
      </c>
      <c r="C1824" s="418" t="s">
        <v>6435</v>
      </c>
      <c r="D1824" s="381" t="s">
        <v>6436</v>
      </c>
      <c r="E1824" s="383" t="s">
        <v>6437</v>
      </c>
      <c r="F1824" s="381" t="s">
        <v>1832</v>
      </c>
      <c r="G1824" s="384"/>
      <c r="H1824" s="24"/>
      <c r="I1824" s="24"/>
      <c r="J1824" s="25" t="str">
        <f t="shared" si="85"/>
        <v xml:space="preserve"> </v>
      </c>
      <c r="K1824" s="385"/>
      <c r="L1824" s="392"/>
      <c r="M1824" s="386">
        <f t="shared" si="87"/>
        <v>0</v>
      </c>
      <c r="N1824" s="496">
        <v>80</v>
      </c>
      <c r="O1824" s="333">
        <f t="shared" si="86"/>
        <v>80</v>
      </c>
      <c r="R1824" s="23" t="str">
        <f>VLOOKUP(C:C,'Historic Data - working'!A:B,1,FALSE)</f>
        <v>WES058</v>
      </c>
      <c r="U1824" s="323"/>
      <c r="V1824" s="323"/>
      <c r="W1824" s="323"/>
    </row>
    <row r="1825" spans="1:23" s="23" customFormat="1" ht="14.25" hidden="1" x14ac:dyDescent="0.2">
      <c r="A1825" s="381" t="s">
        <v>6265</v>
      </c>
      <c r="B1825" s="381" t="s">
        <v>324</v>
      </c>
      <c r="C1825" s="418" t="s">
        <v>6438</v>
      </c>
      <c r="D1825" s="381" t="s">
        <v>6439</v>
      </c>
      <c r="E1825" s="383" t="s">
        <v>6440</v>
      </c>
      <c r="F1825" s="381" t="s">
        <v>6341</v>
      </c>
      <c r="G1825" s="384" t="s">
        <v>329</v>
      </c>
      <c r="H1825" s="24">
        <f>572.77+7.77+732.33+67.67+59.9+54.83+52.29+20+72.98</f>
        <v>1640.54</v>
      </c>
      <c r="I1825" s="24"/>
      <c r="J1825" s="25" t="str">
        <f t="shared" si="85"/>
        <v>1</v>
      </c>
      <c r="K1825" s="387" t="s">
        <v>6441</v>
      </c>
      <c r="L1825" s="392">
        <v>41.52</v>
      </c>
      <c r="M1825" s="386">
        <f t="shared" si="87"/>
        <v>1682.06</v>
      </c>
      <c r="N1825" s="496">
        <v>375</v>
      </c>
      <c r="O1825" s="333">
        <f t="shared" si="86"/>
        <v>2057.06</v>
      </c>
      <c r="R1825" s="23" t="str">
        <f>VLOOKUP(C:C,'Historic Data - working'!A:B,1,FALSE)</f>
        <v>WES059</v>
      </c>
      <c r="U1825" s="323"/>
      <c r="V1825" s="323"/>
      <c r="W1825" s="323"/>
    </row>
    <row r="1826" spans="1:23" s="23" customFormat="1" ht="14.25" hidden="1" x14ac:dyDescent="0.2">
      <c r="A1826" s="381" t="s">
        <v>6265</v>
      </c>
      <c r="B1826" s="381" t="s">
        <v>324</v>
      </c>
      <c r="C1826" s="418" t="s">
        <v>6442</v>
      </c>
      <c r="D1826" s="381" t="s">
        <v>6443</v>
      </c>
      <c r="E1826" s="383" t="s">
        <v>242</v>
      </c>
      <c r="F1826" s="381" t="s">
        <v>1832</v>
      </c>
      <c r="G1826" s="384"/>
      <c r="H1826" s="24"/>
      <c r="I1826" s="24"/>
      <c r="J1826" s="25" t="str">
        <f t="shared" si="85"/>
        <v xml:space="preserve"> </v>
      </c>
      <c r="K1826" s="385"/>
      <c r="L1826" s="392"/>
      <c r="M1826" s="386">
        <f t="shared" si="87"/>
        <v>0</v>
      </c>
      <c r="N1826" s="496"/>
      <c r="O1826" s="333">
        <f t="shared" si="86"/>
        <v>0</v>
      </c>
      <c r="R1826" s="23" t="e">
        <f>VLOOKUP(C:C,'Historic Data - working'!A:B,1,FALSE)</f>
        <v>#N/A</v>
      </c>
      <c r="U1826" s="323"/>
      <c r="V1826" s="323"/>
      <c r="W1826" s="323"/>
    </row>
    <row r="1827" spans="1:23" s="23" customFormat="1" ht="14.25" hidden="1" x14ac:dyDescent="0.2">
      <c r="A1827" s="381" t="s">
        <v>6265</v>
      </c>
      <c r="B1827" s="381" t="s">
        <v>324</v>
      </c>
      <c r="C1827" s="418" t="s">
        <v>6444</v>
      </c>
      <c r="D1827" s="381" t="s">
        <v>6445</v>
      </c>
      <c r="E1827" s="383" t="s">
        <v>72</v>
      </c>
      <c r="F1827" s="381" t="s">
        <v>1832</v>
      </c>
      <c r="G1827" s="384" t="s">
        <v>329</v>
      </c>
      <c r="H1827" s="24">
        <v>248.4</v>
      </c>
      <c r="I1827" s="24"/>
      <c r="J1827" s="25" t="str">
        <f t="shared" si="85"/>
        <v>1</v>
      </c>
      <c r="K1827" s="385"/>
      <c r="L1827" s="392"/>
      <c r="M1827" s="386">
        <f t="shared" si="87"/>
        <v>248.4</v>
      </c>
      <c r="N1827" s="496">
        <v>335</v>
      </c>
      <c r="O1827" s="333">
        <f t="shared" si="86"/>
        <v>583.4</v>
      </c>
      <c r="R1827" s="23" t="str">
        <f>VLOOKUP(C:C,'Historic Data - working'!A:B,1,FALSE)</f>
        <v>WES061</v>
      </c>
      <c r="U1827" s="323"/>
      <c r="V1827" s="323"/>
      <c r="W1827" s="323"/>
    </row>
    <row r="1828" spans="1:23" s="23" customFormat="1" ht="14.25" hidden="1" x14ac:dyDescent="0.2">
      <c r="A1828" s="381" t="s">
        <v>6265</v>
      </c>
      <c r="B1828" s="381" t="s">
        <v>324</v>
      </c>
      <c r="C1828" s="418" t="s">
        <v>6446</v>
      </c>
      <c r="D1828" s="381" t="s">
        <v>6447</v>
      </c>
      <c r="E1828" s="383" t="s">
        <v>63</v>
      </c>
      <c r="F1828" s="381" t="s">
        <v>1832</v>
      </c>
      <c r="G1828" s="384" t="s">
        <v>329</v>
      </c>
      <c r="H1828" s="24"/>
      <c r="I1828" s="24">
        <v>100</v>
      </c>
      <c r="J1828" s="25" t="str">
        <f t="shared" si="85"/>
        <v>1</v>
      </c>
      <c r="K1828" s="385"/>
      <c r="L1828" s="392"/>
      <c r="M1828" s="386">
        <f t="shared" si="87"/>
        <v>0</v>
      </c>
      <c r="N1828" s="496">
        <v>135</v>
      </c>
      <c r="O1828" s="333">
        <f t="shared" si="86"/>
        <v>135</v>
      </c>
      <c r="R1828" s="23" t="str">
        <f>VLOOKUP(C:C,'Historic Data - working'!A:B,1,FALSE)</f>
        <v>WES062</v>
      </c>
      <c r="U1828" s="323"/>
      <c r="V1828" s="323"/>
      <c r="W1828" s="323"/>
    </row>
    <row r="1829" spans="1:23" s="23" customFormat="1" ht="14.25" hidden="1" x14ac:dyDescent="0.2">
      <c r="A1829" s="381" t="s">
        <v>6265</v>
      </c>
      <c r="B1829" s="381" t="s">
        <v>324</v>
      </c>
      <c r="C1829" s="418" t="s">
        <v>6448</v>
      </c>
      <c r="D1829" s="381" t="s">
        <v>6449</v>
      </c>
      <c r="E1829" s="383" t="s">
        <v>6450</v>
      </c>
      <c r="F1829" s="381" t="s">
        <v>6451</v>
      </c>
      <c r="G1829" s="384" t="s">
        <v>329</v>
      </c>
      <c r="H1829" s="24">
        <f>953.49+535.28+681.29+58</f>
        <v>2228.06</v>
      </c>
      <c r="I1829" s="24"/>
      <c r="J1829" s="25" t="str">
        <f t="shared" si="85"/>
        <v>1</v>
      </c>
      <c r="K1829" s="385"/>
      <c r="L1829" s="392"/>
      <c r="M1829" s="386">
        <f t="shared" si="87"/>
        <v>2228.06</v>
      </c>
      <c r="N1829" s="496">
        <v>461</v>
      </c>
      <c r="O1829" s="333">
        <f t="shared" si="86"/>
        <v>2689.06</v>
      </c>
      <c r="R1829" s="23" t="str">
        <f>VLOOKUP(C:C,'Historic Data - working'!A:B,1,FALSE)</f>
        <v>WES063</v>
      </c>
      <c r="U1829" s="323"/>
      <c r="V1829" s="323"/>
      <c r="W1829" s="323"/>
    </row>
    <row r="1830" spans="1:23" s="23" customFormat="1" ht="14.25" hidden="1" x14ac:dyDescent="0.2">
      <c r="A1830" s="381" t="s">
        <v>6265</v>
      </c>
      <c r="B1830" s="381" t="s">
        <v>324</v>
      </c>
      <c r="C1830" s="418" t="s">
        <v>6452</v>
      </c>
      <c r="D1830" s="381" t="s">
        <v>6453</v>
      </c>
      <c r="E1830" s="383" t="s">
        <v>61</v>
      </c>
      <c r="F1830" s="381" t="s">
        <v>1832</v>
      </c>
      <c r="G1830" s="384"/>
      <c r="H1830" s="24"/>
      <c r="I1830" s="24"/>
      <c r="J1830" s="25" t="str">
        <f t="shared" si="85"/>
        <v xml:space="preserve"> </v>
      </c>
      <c r="K1830" s="385"/>
      <c r="L1830" s="392"/>
      <c r="M1830" s="386">
        <f t="shared" si="87"/>
        <v>0</v>
      </c>
      <c r="N1830" s="496">
        <v>10</v>
      </c>
      <c r="O1830" s="333">
        <f t="shared" si="86"/>
        <v>10</v>
      </c>
      <c r="R1830" s="23" t="str">
        <f>VLOOKUP(C:C,'Historic Data - working'!A:B,1,FALSE)</f>
        <v>WES064</v>
      </c>
      <c r="U1830" s="323"/>
      <c r="V1830" s="323"/>
      <c r="W1830" s="323"/>
    </row>
    <row r="1831" spans="1:23" s="23" customFormat="1" ht="14.25" hidden="1" x14ac:dyDescent="0.2">
      <c r="A1831" s="381" t="s">
        <v>6265</v>
      </c>
      <c r="B1831" s="381" t="s">
        <v>351</v>
      </c>
      <c r="C1831" s="418" t="s">
        <v>6454</v>
      </c>
      <c r="D1831" s="381" t="s">
        <v>6455</v>
      </c>
      <c r="E1831" s="383" t="s">
        <v>796</v>
      </c>
      <c r="F1831" s="381" t="s">
        <v>1832</v>
      </c>
      <c r="G1831" s="384" t="s">
        <v>329</v>
      </c>
      <c r="H1831" s="24">
        <f>184.52+120.36+223.47</f>
        <v>528.35</v>
      </c>
      <c r="I1831" s="24"/>
      <c r="J1831" s="25" t="str">
        <f t="shared" si="85"/>
        <v>1</v>
      </c>
      <c r="K1831" s="385"/>
      <c r="L1831" s="392"/>
      <c r="M1831" s="386">
        <f t="shared" si="87"/>
        <v>528.35</v>
      </c>
      <c r="N1831" s="496">
        <v>60</v>
      </c>
      <c r="O1831" s="333">
        <f t="shared" si="86"/>
        <v>588.35</v>
      </c>
      <c r="R1831" s="23" t="str">
        <f>VLOOKUP(C:C,'Historic Data - working'!A:B,1,FALSE)</f>
        <v>WES065</v>
      </c>
      <c r="U1831" s="323"/>
      <c r="V1831" s="323"/>
      <c r="W1831" s="323"/>
    </row>
    <row r="1832" spans="1:23" s="23" customFormat="1" ht="14.25" hidden="1" x14ac:dyDescent="0.2">
      <c r="A1832" s="381" t="s">
        <v>6265</v>
      </c>
      <c r="B1832" s="381" t="s">
        <v>324</v>
      </c>
      <c r="C1832" s="418" t="s">
        <v>6456</v>
      </c>
      <c r="D1832" s="381" t="s">
        <v>6457</v>
      </c>
      <c r="E1832" s="383" t="s">
        <v>1008</v>
      </c>
      <c r="F1832" s="381" t="s">
        <v>1832</v>
      </c>
      <c r="G1832" s="384"/>
      <c r="H1832" s="24"/>
      <c r="I1832" s="24"/>
      <c r="J1832" s="25" t="str">
        <f t="shared" si="85"/>
        <v xml:space="preserve"> </v>
      </c>
      <c r="K1832" s="385"/>
      <c r="L1832" s="392"/>
      <c r="M1832" s="386">
        <f t="shared" si="87"/>
        <v>0</v>
      </c>
      <c r="N1832" s="496">
        <v>80</v>
      </c>
      <c r="O1832" s="333">
        <f t="shared" si="86"/>
        <v>80</v>
      </c>
      <c r="R1832" s="23" t="str">
        <f>VLOOKUP(C:C,'Historic Data - working'!A:B,1,FALSE)</f>
        <v>WES066</v>
      </c>
      <c r="U1832" s="323"/>
      <c r="V1832" s="323"/>
      <c r="W1832" s="323"/>
    </row>
    <row r="1833" spans="1:23" s="23" customFormat="1" ht="14.25" hidden="1" x14ac:dyDescent="0.2">
      <c r="A1833" s="381" t="s">
        <v>6265</v>
      </c>
      <c r="B1833" s="381" t="s">
        <v>324</v>
      </c>
      <c r="C1833" s="418" t="s">
        <v>6458</v>
      </c>
      <c r="D1833" s="381" t="s">
        <v>6459</v>
      </c>
      <c r="E1833" s="383" t="s">
        <v>2176</v>
      </c>
      <c r="F1833" s="381" t="s">
        <v>1832</v>
      </c>
      <c r="G1833" s="384"/>
      <c r="H1833" s="24"/>
      <c r="I1833" s="24"/>
      <c r="J1833" s="25" t="str">
        <f t="shared" si="85"/>
        <v xml:space="preserve"> </v>
      </c>
      <c r="K1833" s="385"/>
      <c r="L1833" s="392"/>
      <c r="M1833" s="386">
        <f t="shared" si="87"/>
        <v>0</v>
      </c>
      <c r="N1833" s="496">
        <v>10</v>
      </c>
      <c r="O1833" s="333">
        <f t="shared" si="86"/>
        <v>10</v>
      </c>
      <c r="R1833" s="23" t="str">
        <f>VLOOKUP(C:C,'Historic Data - working'!A:B,1,FALSE)</f>
        <v>WES067</v>
      </c>
      <c r="U1833" s="323"/>
      <c r="V1833" s="323"/>
      <c r="W1833" s="323"/>
    </row>
    <row r="1834" spans="1:23" s="23" customFormat="1" ht="14.25" hidden="1" x14ac:dyDescent="0.2">
      <c r="A1834" s="381" t="s">
        <v>6265</v>
      </c>
      <c r="B1834" s="381" t="s">
        <v>324</v>
      </c>
      <c r="C1834" s="418" t="s">
        <v>6460</v>
      </c>
      <c r="D1834" s="381" t="s">
        <v>6461</v>
      </c>
      <c r="E1834" s="383" t="s">
        <v>31</v>
      </c>
      <c r="F1834" s="381" t="s">
        <v>1832</v>
      </c>
      <c r="G1834" s="384"/>
      <c r="H1834" s="24"/>
      <c r="I1834" s="24"/>
      <c r="J1834" s="25" t="str">
        <f t="shared" si="85"/>
        <v xml:space="preserve"> </v>
      </c>
      <c r="K1834" s="385"/>
      <c r="L1834" s="392"/>
      <c r="M1834" s="386">
        <f t="shared" si="87"/>
        <v>0</v>
      </c>
      <c r="N1834" s="496">
        <v>25</v>
      </c>
      <c r="O1834" s="333">
        <f t="shared" si="86"/>
        <v>25</v>
      </c>
      <c r="R1834" s="23" t="str">
        <f>VLOOKUP(C:C,'Historic Data - working'!A:B,1,FALSE)</f>
        <v>WES068</v>
      </c>
      <c r="U1834" s="323"/>
      <c r="V1834" s="323"/>
      <c r="W1834" s="323"/>
    </row>
    <row r="1835" spans="1:23" s="23" customFormat="1" ht="14.25" hidden="1" x14ac:dyDescent="0.2">
      <c r="A1835" s="381" t="s">
        <v>6265</v>
      </c>
      <c r="B1835" s="381" t="s">
        <v>324</v>
      </c>
      <c r="C1835" s="418" t="s">
        <v>6462</v>
      </c>
      <c r="D1835" s="381" t="s">
        <v>6463</v>
      </c>
      <c r="E1835" s="383" t="s">
        <v>6464</v>
      </c>
      <c r="F1835" s="381" t="s">
        <v>6465</v>
      </c>
      <c r="G1835" s="384"/>
      <c r="H1835" s="24"/>
      <c r="I1835" s="24"/>
      <c r="J1835" s="25" t="str">
        <f t="shared" si="85"/>
        <v xml:space="preserve"> </v>
      </c>
      <c r="K1835" s="385" t="s">
        <v>337</v>
      </c>
      <c r="L1835" s="392">
        <v>175.07</v>
      </c>
      <c r="M1835" s="386">
        <f t="shared" si="87"/>
        <v>175.07</v>
      </c>
      <c r="N1835" s="496">
        <v>80</v>
      </c>
      <c r="O1835" s="333">
        <f t="shared" si="86"/>
        <v>255.07</v>
      </c>
      <c r="R1835" s="23" t="str">
        <f>VLOOKUP(C:C,'Historic Data - working'!A:B,1,FALSE)</f>
        <v>WES069</v>
      </c>
      <c r="U1835" s="323"/>
      <c r="V1835" s="323"/>
      <c r="W1835" s="323"/>
    </row>
    <row r="1836" spans="1:23" s="23" customFormat="1" ht="14.25" hidden="1" x14ac:dyDescent="0.2">
      <c r="A1836" s="381" t="s">
        <v>6265</v>
      </c>
      <c r="B1836" s="381" t="s">
        <v>324</v>
      </c>
      <c r="C1836" s="418" t="s">
        <v>6466</v>
      </c>
      <c r="D1836" s="381" t="s">
        <v>6467</v>
      </c>
      <c r="E1836" s="383" t="s">
        <v>460</v>
      </c>
      <c r="F1836" s="381" t="s">
        <v>6465</v>
      </c>
      <c r="G1836" s="384" t="s">
        <v>329</v>
      </c>
      <c r="H1836" s="24">
        <f>635.84+316.18+481.98+235+82.05</f>
        <v>1751.05</v>
      </c>
      <c r="I1836" s="24"/>
      <c r="J1836" s="25" t="str">
        <f t="shared" si="85"/>
        <v>1</v>
      </c>
      <c r="K1836" s="385"/>
      <c r="L1836" s="392"/>
      <c r="M1836" s="386">
        <f t="shared" si="87"/>
        <v>1751.05</v>
      </c>
      <c r="N1836" s="496">
        <v>669</v>
      </c>
      <c r="O1836" s="333">
        <f t="shared" si="86"/>
        <v>2420.0500000000002</v>
      </c>
      <c r="R1836" s="23" t="str">
        <f>VLOOKUP(C:C,'Historic Data - working'!A:B,1,FALSE)</f>
        <v>WES070</v>
      </c>
      <c r="U1836" s="323"/>
      <c r="V1836" s="323"/>
      <c r="W1836" s="323"/>
    </row>
    <row r="1837" spans="1:23" s="23" customFormat="1" ht="14.25" hidden="1" x14ac:dyDescent="0.2">
      <c r="A1837" s="381" t="s">
        <v>6265</v>
      </c>
      <c r="B1837" s="381" t="s">
        <v>324</v>
      </c>
      <c r="C1837" s="418" t="s">
        <v>6468</v>
      </c>
      <c r="D1837" s="381" t="s">
        <v>6469</v>
      </c>
      <c r="E1837" s="383" t="s">
        <v>3238</v>
      </c>
      <c r="F1837" s="381" t="s">
        <v>1832</v>
      </c>
      <c r="G1837" s="384" t="s">
        <v>329</v>
      </c>
      <c r="H1837" s="24">
        <v>1454.79</v>
      </c>
      <c r="I1837" s="24"/>
      <c r="J1837" s="25" t="str">
        <f t="shared" ref="J1837:J1900" si="88">IF(G1837="Y","1"," ")</f>
        <v>1</v>
      </c>
      <c r="K1837" s="385"/>
      <c r="L1837" s="392"/>
      <c r="M1837" s="386">
        <f t="shared" si="87"/>
        <v>1454.79</v>
      </c>
      <c r="N1837" s="496">
        <v>795</v>
      </c>
      <c r="O1837" s="333">
        <f t="shared" si="86"/>
        <v>2249.79</v>
      </c>
      <c r="R1837" s="23" t="str">
        <f>VLOOKUP(C:C,'Historic Data - working'!A:B,1,FALSE)</f>
        <v>WES071</v>
      </c>
      <c r="U1837" s="323"/>
      <c r="V1837" s="323"/>
      <c r="W1837" s="323"/>
    </row>
    <row r="1838" spans="1:23" s="23" customFormat="1" ht="14.25" hidden="1" x14ac:dyDescent="0.2">
      <c r="A1838" s="381" t="s">
        <v>6265</v>
      </c>
      <c r="B1838" s="381" t="s">
        <v>324</v>
      </c>
      <c r="C1838" s="418" t="s">
        <v>6470</v>
      </c>
      <c r="D1838" s="381" t="s">
        <v>6471</v>
      </c>
      <c r="E1838" s="383" t="s">
        <v>564</v>
      </c>
      <c r="F1838" s="381" t="s">
        <v>6472</v>
      </c>
      <c r="G1838" s="384"/>
      <c r="H1838" s="24"/>
      <c r="I1838" s="24"/>
      <c r="J1838" s="25" t="str">
        <f t="shared" si="88"/>
        <v xml:space="preserve"> </v>
      </c>
      <c r="K1838" s="385"/>
      <c r="L1838" s="392"/>
      <c r="M1838" s="386">
        <f t="shared" si="87"/>
        <v>0</v>
      </c>
      <c r="N1838" s="496">
        <v>60</v>
      </c>
      <c r="O1838" s="333">
        <f t="shared" si="86"/>
        <v>60</v>
      </c>
      <c r="R1838" s="23" t="str">
        <f>VLOOKUP(C:C,'Historic Data - working'!A:B,1,FALSE)</f>
        <v>WES072</v>
      </c>
      <c r="U1838" s="323"/>
      <c r="V1838" s="323"/>
      <c r="W1838" s="323"/>
    </row>
    <row r="1839" spans="1:23" s="23" customFormat="1" ht="14.25" hidden="1" x14ac:dyDescent="0.2">
      <c r="A1839" s="381" t="s">
        <v>6265</v>
      </c>
      <c r="B1839" s="381" t="s">
        <v>324</v>
      </c>
      <c r="C1839" s="418" t="s">
        <v>6473</v>
      </c>
      <c r="D1839" s="381" t="s">
        <v>6474</v>
      </c>
      <c r="E1839" s="383" t="s">
        <v>1203</v>
      </c>
      <c r="F1839" s="381" t="s">
        <v>6475</v>
      </c>
      <c r="G1839" s="384" t="s">
        <v>329</v>
      </c>
      <c r="H1839" s="24">
        <v>424.2</v>
      </c>
      <c r="I1839" s="24"/>
      <c r="J1839" s="25" t="str">
        <f t="shared" si="88"/>
        <v>1</v>
      </c>
      <c r="K1839" s="385"/>
      <c r="L1839" s="392"/>
      <c r="M1839" s="386">
        <f t="shared" si="87"/>
        <v>424.2</v>
      </c>
      <c r="N1839" s="496">
        <v>770</v>
      </c>
      <c r="O1839" s="333">
        <f t="shared" si="86"/>
        <v>1194.2</v>
      </c>
      <c r="R1839" s="23" t="str">
        <f>VLOOKUP(C:C,'Historic Data - working'!A:B,1,FALSE)</f>
        <v>WES073</v>
      </c>
      <c r="U1839" s="323"/>
      <c r="V1839" s="323"/>
      <c r="W1839" s="323"/>
    </row>
    <row r="1840" spans="1:23" s="23" customFormat="1" ht="14.25" hidden="1" x14ac:dyDescent="0.2">
      <c r="A1840" s="381" t="s">
        <v>6265</v>
      </c>
      <c r="B1840" s="381" t="s">
        <v>324</v>
      </c>
      <c r="C1840" s="418" t="s">
        <v>6476</v>
      </c>
      <c r="D1840" s="381" t="s">
        <v>6477</v>
      </c>
      <c r="E1840" s="383" t="s">
        <v>6478</v>
      </c>
      <c r="F1840" s="381" t="s">
        <v>6479</v>
      </c>
      <c r="G1840" s="384" t="s">
        <v>329</v>
      </c>
      <c r="H1840" s="24">
        <f>1068.93+44.57+46.03+469.65</f>
        <v>1629.1799999999998</v>
      </c>
      <c r="I1840" s="24"/>
      <c r="J1840" s="25" t="str">
        <f t="shared" si="88"/>
        <v>1</v>
      </c>
      <c r="K1840" s="385"/>
      <c r="L1840" s="392"/>
      <c r="M1840" s="386">
        <f t="shared" si="87"/>
        <v>1629.1799999999998</v>
      </c>
      <c r="N1840" s="496">
        <v>912.38</v>
      </c>
      <c r="O1840" s="333">
        <f t="shared" si="86"/>
        <v>2541.56</v>
      </c>
      <c r="R1840" s="23" t="str">
        <f>VLOOKUP(C:C,'Historic Data - working'!A:B,1,FALSE)</f>
        <v>WES075</v>
      </c>
      <c r="U1840" s="323"/>
      <c r="V1840" s="323"/>
      <c r="W1840" s="323"/>
    </row>
    <row r="1841" spans="1:23" s="23" customFormat="1" ht="14.25" hidden="1" x14ac:dyDescent="0.2">
      <c r="A1841" s="381" t="s">
        <v>6265</v>
      </c>
      <c r="B1841" s="381" t="s">
        <v>324</v>
      </c>
      <c r="C1841" s="418" t="s">
        <v>6480</v>
      </c>
      <c r="D1841" s="381" t="s">
        <v>6481</v>
      </c>
      <c r="E1841" s="383" t="s">
        <v>2578</v>
      </c>
      <c r="F1841" s="381" t="s">
        <v>6479</v>
      </c>
      <c r="G1841" s="384"/>
      <c r="H1841" s="24"/>
      <c r="I1841" s="24"/>
      <c r="J1841" s="25" t="str">
        <f t="shared" si="88"/>
        <v xml:space="preserve"> </v>
      </c>
      <c r="K1841" s="385"/>
      <c r="L1841" s="392"/>
      <c r="M1841" s="386">
        <f t="shared" si="87"/>
        <v>0</v>
      </c>
      <c r="N1841" s="496">
        <v>232.5</v>
      </c>
      <c r="O1841" s="333">
        <f t="shared" si="86"/>
        <v>232.5</v>
      </c>
      <c r="R1841" s="23" t="str">
        <f>VLOOKUP(C:C,'Historic Data - working'!A:B,1,FALSE)</f>
        <v>WES076</v>
      </c>
      <c r="U1841" s="323"/>
      <c r="V1841" s="323"/>
      <c r="W1841" s="323"/>
    </row>
    <row r="1842" spans="1:23" s="23" customFormat="1" ht="14.25" hidden="1" x14ac:dyDescent="0.2">
      <c r="A1842" s="381" t="s">
        <v>6265</v>
      </c>
      <c r="B1842" s="381" t="s">
        <v>324</v>
      </c>
      <c r="C1842" s="418" t="s">
        <v>6482</v>
      </c>
      <c r="D1842" s="381" t="s">
        <v>6483</v>
      </c>
      <c r="E1842" s="383" t="s">
        <v>6484</v>
      </c>
      <c r="F1842" s="381" t="s">
        <v>6479</v>
      </c>
      <c r="G1842" s="384" t="s">
        <v>329</v>
      </c>
      <c r="H1842" s="24">
        <f>220+138.89+251.86+24.32+47.21+360</f>
        <v>1042.2800000000002</v>
      </c>
      <c r="I1842" s="24"/>
      <c r="J1842" s="25" t="str">
        <f t="shared" si="88"/>
        <v>1</v>
      </c>
      <c r="K1842" s="385"/>
      <c r="L1842" s="392"/>
      <c r="M1842" s="386">
        <f t="shared" si="87"/>
        <v>1042.2800000000002</v>
      </c>
      <c r="N1842" s="496">
        <v>630</v>
      </c>
      <c r="O1842" s="333">
        <f t="shared" si="86"/>
        <v>1672.2800000000002</v>
      </c>
      <c r="R1842" s="23" t="str">
        <f>VLOOKUP(C:C,'Historic Data - working'!A:B,1,FALSE)</f>
        <v>WES077</v>
      </c>
      <c r="U1842" s="323"/>
      <c r="V1842" s="323"/>
      <c r="W1842" s="323"/>
    </row>
    <row r="1843" spans="1:23" s="23" customFormat="1" ht="14.25" hidden="1" x14ac:dyDescent="0.2">
      <c r="A1843" s="381" t="s">
        <v>6265</v>
      </c>
      <c r="B1843" s="381" t="s">
        <v>324</v>
      </c>
      <c r="C1843" s="418" t="s">
        <v>6485</v>
      </c>
      <c r="D1843" s="381" t="s">
        <v>6486</v>
      </c>
      <c r="E1843" s="383" t="s">
        <v>6487</v>
      </c>
      <c r="F1843" s="381" t="s">
        <v>6488</v>
      </c>
      <c r="G1843" s="384"/>
      <c r="H1843" s="24"/>
      <c r="I1843" s="24"/>
      <c r="J1843" s="25" t="str">
        <f t="shared" si="88"/>
        <v xml:space="preserve"> </v>
      </c>
      <c r="K1843" s="385"/>
      <c r="L1843" s="392"/>
      <c r="M1843" s="386">
        <f t="shared" si="87"/>
        <v>0</v>
      </c>
      <c r="N1843" s="496"/>
      <c r="O1843" s="333">
        <f t="shared" si="86"/>
        <v>0</v>
      </c>
      <c r="R1843" s="23" t="e">
        <f>VLOOKUP(C:C,'Historic Data - working'!A:B,1,FALSE)</f>
        <v>#N/A</v>
      </c>
      <c r="U1843" s="323"/>
      <c r="V1843" s="323"/>
      <c r="W1843" s="323"/>
    </row>
    <row r="1844" spans="1:23" s="23" customFormat="1" ht="14.25" hidden="1" x14ac:dyDescent="0.2">
      <c r="A1844" s="381" t="s">
        <v>6265</v>
      </c>
      <c r="B1844" s="381" t="s">
        <v>324</v>
      </c>
      <c r="C1844" s="418" t="s">
        <v>6489</v>
      </c>
      <c r="D1844" s="381" t="s">
        <v>6490</v>
      </c>
      <c r="E1844" s="383" t="s">
        <v>6491</v>
      </c>
      <c r="F1844" s="381" t="s">
        <v>1832</v>
      </c>
      <c r="G1844" s="384"/>
      <c r="H1844" s="24"/>
      <c r="I1844" s="24"/>
      <c r="J1844" s="25" t="str">
        <f t="shared" si="88"/>
        <v xml:space="preserve"> </v>
      </c>
      <c r="K1844" s="385"/>
      <c r="L1844" s="392"/>
      <c r="M1844" s="386">
        <f t="shared" si="87"/>
        <v>0</v>
      </c>
      <c r="N1844" s="496">
        <v>550.5</v>
      </c>
      <c r="O1844" s="333">
        <f t="shared" si="86"/>
        <v>550.5</v>
      </c>
      <c r="R1844" s="23" t="str">
        <f>VLOOKUP(C:C,'Historic Data - working'!A:B,1,FALSE)</f>
        <v>WES078</v>
      </c>
      <c r="U1844" s="323"/>
      <c r="V1844" s="323"/>
      <c r="W1844" s="323"/>
    </row>
    <row r="1845" spans="1:23" s="23" customFormat="1" ht="14.25" hidden="1" x14ac:dyDescent="0.2">
      <c r="A1845" s="381" t="s">
        <v>6265</v>
      </c>
      <c r="B1845" s="381" t="s">
        <v>324</v>
      </c>
      <c r="C1845" s="418" t="s">
        <v>6492</v>
      </c>
      <c r="D1845" s="381" t="s">
        <v>6493</v>
      </c>
      <c r="E1845" s="383" t="s">
        <v>6494</v>
      </c>
      <c r="F1845" s="381" t="s">
        <v>6495</v>
      </c>
      <c r="G1845" s="384" t="s">
        <v>329</v>
      </c>
      <c r="H1845" s="24">
        <f>47.29+73.88+26.51+30.82+61+25+25+24+73+47.01+73.19</f>
        <v>506.7</v>
      </c>
      <c r="I1845" s="24"/>
      <c r="J1845" s="25" t="str">
        <f t="shared" si="88"/>
        <v>1</v>
      </c>
      <c r="K1845" s="385"/>
      <c r="L1845" s="392"/>
      <c r="M1845" s="386">
        <f t="shared" si="87"/>
        <v>506.7</v>
      </c>
      <c r="N1845" s="496">
        <v>1443.1399999999999</v>
      </c>
      <c r="O1845" s="333">
        <f t="shared" si="86"/>
        <v>1949.84</v>
      </c>
      <c r="R1845" s="23" t="str">
        <f>VLOOKUP(C:C,'Historic Data - working'!A:B,1,FALSE)</f>
        <v>WES079</v>
      </c>
      <c r="U1845" s="323"/>
      <c r="V1845" s="323"/>
      <c r="W1845" s="323"/>
    </row>
    <row r="1846" spans="1:23" s="23" customFormat="1" ht="14.25" hidden="1" x14ac:dyDescent="0.2">
      <c r="A1846" s="381" t="s">
        <v>6265</v>
      </c>
      <c r="B1846" s="381" t="s">
        <v>324</v>
      </c>
      <c r="C1846" s="418" t="s">
        <v>6496</v>
      </c>
      <c r="D1846" s="381" t="s">
        <v>6497</v>
      </c>
      <c r="E1846" s="383" t="s">
        <v>453</v>
      </c>
      <c r="F1846" s="381" t="s">
        <v>6498</v>
      </c>
      <c r="G1846" s="384"/>
      <c r="H1846" s="24"/>
      <c r="I1846" s="24"/>
      <c r="J1846" s="25" t="str">
        <f t="shared" si="88"/>
        <v xml:space="preserve"> </v>
      </c>
      <c r="K1846" s="385"/>
      <c r="L1846" s="392"/>
      <c r="M1846" s="386">
        <f t="shared" si="87"/>
        <v>0</v>
      </c>
      <c r="N1846" s="496"/>
      <c r="O1846" s="333">
        <f t="shared" si="86"/>
        <v>0</v>
      </c>
      <c r="R1846" s="23" t="e">
        <f>VLOOKUP(C:C,'Historic Data - working'!A:B,1,FALSE)</f>
        <v>#N/A</v>
      </c>
      <c r="U1846" s="323"/>
      <c r="V1846" s="323"/>
      <c r="W1846" s="323"/>
    </row>
    <row r="1847" spans="1:23" s="23" customFormat="1" ht="14.25" hidden="1" x14ac:dyDescent="0.2">
      <c r="A1847" s="381" t="s">
        <v>6265</v>
      </c>
      <c r="B1847" s="381" t="s">
        <v>324</v>
      </c>
      <c r="C1847" s="418" t="s">
        <v>6499</v>
      </c>
      <c r="D1847" s="381" t="s">
        <v>6500</v>
      </c>
      <c r="E1847" s="383" t="s">
        <v>6501</v>
      </c>
      <c r="F1847" s="381" t="s">
        <v>6502</v>
      </c>
      <c r="G1847" s="384"/>
      <c r="H1847" s="24"/>
      <c r="I1847" s="24"/>
      <c r="J1847" s="25" t="str">
        <f t="shared" si="88"/>
        <v xml:space="preserve"> </v>
      </c>
      <c r="K1847" s="385"/>
      <c r="L1847" s="392"/>
      <c r="M1847" s="386">
        <f t="shared" si="87"/>
        <v>0</v>
      </c>
      <c r="N1847" s="496"/>
      <c r="O1847" s="333">
        <f t="shared" si="86"/>
        <v>0</v>
      </c>
      <c r="R1847" s="23" t="str">
        <f>VLOOKUP(C:C,'Historic Data - working'!A:B,1,FALSE)</f>
        <v>WES080</v>
      </c>
      <c r="U1847" s="323"/>
      <c r="V1847" s="323"/>
      <c r="W1847" s="323"/>
    </row>
    <row r="1848" spans="1:23" s="23" customFormat="1" ht="14.25" hidden="1" x14ac:dyDescent="0.2">
      <c r="A1848" s="381" t="s">
        <v>6265</v>
      </c>
      <c r="B1848" s="381" t="s">
        <v>324</v>
      </c>
      <c r="C1848" s="418" t="s">
        <v>6503</v>
      </c>
      <c r="D1848" s="381" t="s">
        <v>6504</v>
      </c>
      <c r="E1848" s="383" t="s">
        <v>6505</v>
      </c>
      <c r="F1848" s="381" t="s">
        <v>1832</v>
      </c>
      <c r="G1848" s="384"/>
      <c r="H1848" s="24"/>
      <c r="I1848" s="24"/>
      <c r="J1848" s="25" t="str">
        <f t="shared" si="88"/>
        <v xml:space="preserve"> </v>
      </c>
      <c r="K1848" s="385"/>
      <c r="L1848" s="392"/>
      <c r="M1848" s="386">
        <f t="shared" si="87"/>
        <v>0</v>
      </c>
      <c r="N1848" s="496">
        <v>636.04</v>
      </c>
      <c r="O1848" s="333">
        <f t="shared" si="86"/>
        <v>636.04</v>
      </c>
      <c r="R1848" s="23" t="str">
        <f>VLOOKUP(C:C,'Historic Data - working'!A:B,1,FALSE)</f>
        <v>WES081</v>
      </c>
      <c r="U1848" s="323"/>
      <c r="V1848" s="323"/>
      <c r="W1848" s="323"/>
    </row>
    <row r="1849" spans="1:23" s="23" customFormat="1" ht="14.25" hidden="1" x14ac:dyDescent="0.2">
      <c r="A1849" s="381" t="s">
        <v>6265</v>
      </c>
      <c r="B1849" s="381" t="s">
        <v>324</v>
      </c>
      <c r="C1849" s="418" t="s">
        <v>6506</v>
      </c>
      <c r="D1849" s="381" t="s">
        <v>6507</v>
      </c>
      <c r="E1849" s="383" t="s">
        <v>6508</v>
      </c>
      <c r="F1849" s="381" t="s">
        <v>6509</v>
      </c>
      <c r="G1849" s="384"/>
      <c r="H1849" s="24"/>
      <c r="I1849" s="24"/>
      <c r="J1849" s="25" t="str">
        <f t="shared" si="88"/>
        <v xml:space="preserve"> </v>
      </c>
      <c r="K1849" s="385"/>
      <c r="L1849" s="392"/>
      <c r="M1849" s="386">
        <f t="shared" si="87"/>
        <v>0</v>
      </c>
      <c r="N1849" s="496">
        <v>148</v>
      </c>
      <c r="O1849" s="333">
        <f t="shared" si="86"/>
        <v>148</v>
      </c>
      <c r="R1849" s="23" t="str">
        <f>VLOOKUP(C:C,'Historic Data - working'!A:B,1,FALSE)</f>
        <v>WES082</v>
      </c>
      <c r="U1849" s="323"/>
      <c r="V1849" s="323"/>
      <c r="W1849" s="323"/>
    </row>
    <row r="1850" spans="1:23" s="23" customFormat="1" ht="14.25" hidden="1" x14ac:dyDescent="0.2">
      <c r="A1850" s="381" t="s">
        <v>6265</v>
      </c>
      <c r="B1850" s="381" t="s">
        <v>324</v>
      </c>
      <c r="C1850" s="418" t="s">
        <v>6510</v>
      </c>
      <c r="D1850" s="381" t="s">
        <v>6511</v>
      </c>
      <c r="E1850" s="383" t="s">
        <v>260</v>
      </c>
      <c r="F1850" s="381" t="s">
        <v>6512</v>
      </c>
      <c r="G1850" s="384" t="s">
        <v>329</v>
      </c>
      <c r="H1850" s="24">
        <v>77</v>
      </c>
      <c r="I1850" s="24"/>
      <c r="J1850" s="25" t="str">
        <f t="shared" si="88"/>
        <v>1</v>
      </c>
      <c r="K1850" s="385"/>
      <c r="L1850" s="392"/>
      <c r="M1850" s="386">
        <f t="shared" si="87"/>
        <v>77</v>
      </c>
      <c r="N1850" s="496">
        <v>140</v>
      </c>
      <c r="O1850" s="333">
        <f t="shared" si="86"/>
        <v>217</v>
      </c>
      <c r="R1850" s="23" t="str">
        <f>VLOOKUP(C:C,'Historic Data - working'!A:B,1,FALSE)</f>
        <v>WES083</v>
      </c>
      <c r="U1850" s="323"/>
      <c r="V1850" s="323"/>
      <c r="W1850" s="323"/>
    </row>
    <row r="1851" spans="1:23" s="23" customFormat="1" ht="14.25" hidden="1" x14ac:dyDescent="0.2">
      <c r="A1851" s="381" t="s">
        <v>6265</v>
      </c>
      <c r="B1851" s="381" t="s">
        <v>324</v>
      </c>
      <c r="C1851" s="418" t="s">
        <v>6513</v>
      </c>
      <c r="D1851" s="381" t="s">
        <v>6514</v>
      </c>
      <c r="E1851" s="383" t="s">
        <v>6515</v>
      </c>
      <c r="F1851" s="381" t="s">
        <v>6516</v>
      </c>
      <c r="G1851" s="384"/>
      <c r="H1851" s="24"/>
      <c r="I1851" s="24"/>
      <c r="J1851" s="25" t="str">
        <f t="shared" si="88"/>
        <v xml:space="preserve"> </v>
      </c>
      <c r="K1851" s="385"/>
      <c r="L1851" s="392"/>
      <c r="M1851" s="386">
        <f t="shared" si="87"/>
        <v>0</v>
      </c>
      <c r="N1851" s="496">
        <v>397</v>
      </c>
      <c r="O1851" s="333">
        <f t="shared" si="86"/>
        <v>397</v>
      </c>
      <c r="R1851" s="23" t="str">
        <f>VLOOKUP(C:C,'Historic Data - working'!A:B,1,FALSE)</f>
        <v>WES084</v>
      </c>
      <c r="U1851" s="323"/>
      <c r="V1851" s="323"/>
      <c r="W1851" s="323"/>
    </row>
    <row r="1852" spans="1:23" s="23" customFormat="1" ht="14.25" hidden="1" x14ac:dyDescent="0.2">
      <c r="A1852" s="381" t="s">
        <v>6265</v>
      </c>
      <c r="B1852" s="381" t="s">
        <v>324</v>
      </c>
      <c r="C1852" s="418" t="s">
        <v>6517</v>
      </c>
      <c r="D1852" s="381" t="s">
        <v>6518</v>
      </c>
      <c r="E1852" s="383" t="s">
        <v>6519</v>
      </c>
      <c r="F1852" s="381" t="s">
        <v>6520</v>
      </c>
      <c r="G1852" s="384"/>
      <c r="H1852" s="24"/>
      <c r="I1852" s="24"/>
      <c r="J1852" s="25" t="str">
        <f t="shared" si="88"/>
        <v xml:space="preserve"> </v>
      </c>
      <c r="K1852" s="385"/>
      <c r="L1852" s="392"/>
      <c r="M1852" s="386">
        <f t="shared" si="87"/>
        <v>0</v>
      </c>
      <c r="N1852" s="496">
        <v>305</v>
      </c>
      <c r="O1852" s="333">
        <f t="shared" si="86"/>
        <v>305</v>
      </c>
      <c r="R1852" s="23" t="str">
        <f>VLOOKUP(C:C,'Historic Data - working'!A:B,1,FALSE)</f>
        <v>WES085</v>
      </c>
      <c r="U1852" s="323"/>
      <c r="V1852" s="323"/>
      <c r="W1852" s="323"/>
    </row>
    <row r="1853" spans="1:23" s="23" customFormat="1" ht="28.5" hidden="1" x14ac:dyDescent="0.2">
      <c r="A1853" s="381" t="s">
        <v>6265</v>
      </c>
      <c r="B1853" s="381" t="s">
        <v>324</v>
      </c>
      <c r="C1853" s="418" t="s">
        <v>6521</v>
      </c>
      <c r="D1853" s="381" t="s">
        <v>6522</v>
      </c>
      <c r="E1853" s="383" t="s">
        <v>6523</v>
      </c>
      <c r="F1853" s="381" t="s">
        <v>6520</v>
      </c>
      <c r="G1853" s="384" t="s">
        <v>329</v>
      </c>
      <c r="H1853" s="24">
        <v>1598.25</v>
      </c>
      <c r="I1853" s="24"/>
      <c r="J1853" s="25" t="str">
        <f t="shared" si="88"/>
        <v>1</v>
      </c>
      <c r="K1853" s="385" t="s">
        <v>6524</v>
      </c>
      <c r="L1853" s="392">
        <v>-1026.6400000000001</v>
      </c>
      <c r="M1853" s="386">
        <f t="shared" si="87"/>
        <v>571.6099999999999</v>
      </c>
      <c r="N1853" s="496">
        <v>210</v>
      </c>
      <c r="O1853" s="333">
        <f t="shared" si="86"/>
        <v>781.6099999999999</v>
      </c>
      <c r="R1853" s="23" t="str">
        <f>VLOOKUP(C:C,'Historic Data - working'!A:B,1,FALSE)</f>
        <v>WES086</v>
      </c>
      <c r="U1853" s="323"/>
      <c r="V1853" s="323"/>
      <c r="W1853" s="323"/>
    </row>
    <row r="1854" spans="1:23" s="23" customFormat="1" ht="28.5" hidden="1" x14ac:dyDescent="0.2">
      <c r="A1854" s="381" t="s">
        <v>6265</v>
      </c>
      <c r="B1854" s="381" t="s">
        <v>324</v>
      </c>
      <c r="C1854" s="418" t="s">
        <v>6525</v>
      </c>
      <c r="D1854" s="381" t="s">
        <v>6526</v>
      </c>
      <c r="E1854" s="383" t="s">
        <v>6527</v>
      </c>
      <c r="F1854" s="381" t="s">
        <v>6520</v>
      </c>
      <c r="G1854" s="384"/>
      <c r="H1854" s="24"/>
      <c r="I1854" s="24"/>
      <c r="J1854" s="25" t="str">
        <f t="shared" si="88"/>
        <v xml:space="preserve"> </v>
      </c>
      <c r="K1854" s="385"/>
      <c r="L1854" s="392"/>
      <c r="M1854" s="386">
        <f t="shared" si="87"/>
        <v>0</v>
      </c>
      <c r="N1854" s="496">
        <v>101</v>
      </c>
      <c r="O1854" s="333">
        <f t="shared" si="86"/>
        <v>101</v>
      </c>
      <c r="R1854" s="23" t="str">
        <f>VLOOKUP(C:C,'Historic Data - working'!A:B,1,FALSE)</f>
        <v>WES087</v>
      </c>
      <c r="U1854" s="323"/>
      <c r="V1854" s="323"/>
      <c r="W1854" s="323"/>
    </row>
    <row r="1855" spans="1:23" s="23" customFormat="1" ht="14.25" hidden="1" x14ac:dyDescent="0.2">
      <c r="A1855" s="381" t="s">
        <v>6265</v>
      </c>
      <c r="B1855" s="381" t="s">
        <v>324</v>
      </c>
      <c r="C1855" s="418" t="s">
        <v>6528</v>
      </c>
      <c r="D1855" s="381" t="s">
        <v>6529</v>
      </c>
      <c r="E1855" s="383" t="s">
        <v>6530</v>
      </c>
      <c r="F1855" s="381" t="s">
        <v>1832</v>
      </c>
      <c r="G1855" s="384" t="s">
        <v>329</v>
      </c>
      <c r="H1855" s="24"/>
      <c r="I1855" s="24">
        <f>258.19+71.6</f>
        <v>329.78999999999996</v>
      </c>
      <c r="J1855" s="25" t="str">
        <f t="shared" si="88"/>
        <v>1</v>
      </c>
      <c r="K1855" s="385"/>
      <c r="L1855" s="392"/>
      <c r="M1855" s="386">
        <f t="shared" si="87"/>
        <v>0</v>
      </c>
      <c r="N1855" s="496">
        <v>510.57000000000005</v>
      </c>
      <c r="O1855" s="333">
        <f t="shared" si="86"/>
        <v>510.57000000000005</v>
      </c>
      <c r="R1855" s="23" t="str">
        <f>VLOOKUP(C:C,'Historic Data - working'!A:B,1,FALSE)</f>
        <v>WES088</v>
      </c>
      <c r="U1855" s="323"/>
      <c r="V1855" s="323"/>
      <c r="W1855" s="323"/>
    </row>
    <row r="1856" spans="1:23" s="23" customFormat="1" ht="14.25" hidden="1" x14ac:dyDescent="0.2">
      <c r="A1856" s="381" t="s">
        <v>6265</v>
      </c>
      <c r="B1856" s="381" t="s">
        <v>324</v>
      </c>
      <c r="C1856" s="418" t="s">
        <v>6531</v>
      </c>
      <c r="D1856" s="381" t="s">
        <v>6532</v>
      </c>
      <c r="E1856" s="383" t="s">
        <v>124</v>
      </c>
      <c r="F1856" s="381" t="s">
        <v>1832</v>
      </c>
      <c r="G1856" s="384"/>
      <c r="H1856" s="24"/>
      <c r="I1856" s="24"/>
      <c r="J1856" s="25" t="str">
        <f t="shared" si="88"/>
        <v xml:space="preserve"> </v>
      </c>
      <c r="K1856" s="385"/>
      <c r="L1856" s="392"/>
      <c r="M1856" s="386">
        <f t="shared" si="87"/>
        <v>0</v>
      </c>
      <c r="N1856" s="496">
        <v>110</v>
      </c>
      <c r="O1856" s="333">
        <f t="shared" si="86"/>
        <v>110</v>
      </c>
      <c r="R1856" s="23" t="str">
        <f>VLOOKUP(C:C,'Historic Data - working'!A:B,1,FALSE)</f>
        <v>WES089</v>
      </c>
      <c r="U1856" s="323"/>
      <c r="V1856" s="323"/>
      <c r="W1856" s="323"/>
    </row>
    <row r="1857" spans="1:23" s="23" customFormat="1" ht="14.25" hidden="1" x14ac:dyDescent="0.2">
      <c r="A1857" s="381" t="s">
        <v>6265</v>
      </c>
      <c r="B1857" s="381" t="s">
        <v>324</v>
      </c>
      <c r="C1857" s="418" t="s">
        <v>6533</v>
      </c>
      <c r="D1857" s="381" t="s">
        <v>6534</v>
      </c>
      <c r="E1857" s="383" t="s">
        <v>6535</v>
      </c>
      <c r="F1857" s="381" t="s">
        <v>6536</v>
      </c>
      <c r="G1857" s="384" t="s">
        <v>329</v>
      </c>
      <c r="H1857" s="24">
        <f>417.15+374.41</f>
        <v>791.56</v>
      </c>
      <c r="I1857" s="24"/>
      <c r="J1857" s="25" t="str">
        <f t="shared" si="88"/>
        <v>1</v>
      </c>
      <c r="K1857" s="385"/>
      <c r="L1857" s="392"/>
      <c r="M1857" s="386">
        <f t="shared" si="87"/>
        <v>791.56</v>
      </c>
      <c r="N1857" s="496">
        <v>245</v>
      </c>
      <c r="O1857" s="333">
        <f t="shared" si="86"/>
        <v>1036.56</v>
      </c>
      <c r="R1857" s="23" t="str">
        <f>VLOOKUP(C:C,'Historic Data - working'!A:B,1,FALSE)</f>
        <v>WES090</v>
      </c>
      <c r="U1857" s="323"/>
      <c r="V1857" s="323"/>
      <c r="W1857" s="323"/>
    </row>
    <row r="1858" spans="1:23" s="23" customFormat="1" ht="14.25" hidden="1" x14ac:dyDescent="0.2">
      <c r="A1858" s="381" t="s">
        <v>6265</v>
      </c>
      <c r="B1858" s="381" t="s">
        <v>324</v>
      </c>
      <c r="C1858" s="418" t="s">
        <v>6537</v>
      </c>
      <c r="D1858" s="381" t="s">
        <v>6538</v>
      </c>
      <c r="E1858" s="383" t="s">
        <v>44</v>
      </c>
      <c r="F1858" s="381" t="s">
        <v>6539</v>
      </c>
      <c r="G1858" s="384"/>
      <c r="H1858" s="24"/>
      <c r="I1858" s="24"/>
      <c r="J1858" s="25" t="str">
        <f t="shared" si="88"/>
        <v xml:space="preserve"> </v>
      </c>
      <c r="K1858" s="385" t="s">
        <v>337</v>
      </c>
      <c r="L1858" s="392">
        <v>1034.31</v>
      </c>
      <c r="M1858" s="386">
        <f t="shared" si="87"/>
        <v>1034.31</v>
      </c>
      <c r="N1858" s="496">
        <v>456</v>
      </c>
      <c r="O1858" s="333">
        <f t="shared" ref="O1858:O1921" si="89">M1858+N1858</f>
        <v>1490.31</v>
      </c>
      <c r="R1858" s="23" t="str">
        <f>VLOOKUP(C:C,'Historic Data - working'!A:B,1,FALSE)</f>
        <v>WES091</v>
      </c>
      <c r="U1858" s="323"/>
      <c r="V1858" s="323"/>
      <c r="W1858" s="323"/>
    </row>
    <row r="1859" spans="1:23" s="23" customFormat="1" ht="14.25" hidden="1" x14ac:dyDescent="0.2">
      <c r="A1859" s="381" t="s">
        <v>6265</v>
      </c>
      <c r="B1859" s="381" t="s">
        <v>324</v>
      </c>
      <c r="C1859" s="418" t="s">
        <v>6540</v>
      </c>
      <c r="D1859" s="381" t="s">
        <v>6541</v>
      </c>
      <c r="E1859" s="383" t="s">
        <v>6542</v>
      </c>
      <c r="F1859" s="381" t="s">
        <v>1832</v>
      </c>
      <c r="G1859" s="384" t="s">
        <v>329</v>
      </c>
      <c r="H1859" s="24">
        <f>352.5+317</f>
        <v>669.5</v>
      </c>
      <c r="I1859" s="24"/>
      <c r="J1859" s="25" t="str">
        <f t="shared" si="88"/>
        <v>1</v>
      </c>
      <c r="K1859" s="387" t="s">
        <v>6543</v>
      </c>
      <c r="L1859" s="392">
        <v>0.05</v>
      </c>
      <c r="M1859" s="386">
        <f t="shared" ref="M1859:M1922" si="90">H1859+L1859</f>
        <v>669.55</v>
      </c>
      <c r="N1859" s="496">
        <v>10</v>
      </c>
      <c r="O1859" s="333">
        <f t="shared" si="89"/>
        <v>679.55</v>
      </c>
      <c r="R1859" s="23" t="str">
        <f>VLOOKUP(C:C,'Historic Data - working'!A:B,1,FALSE)</f>
        <v>WES092</v>
      </c>
      <c r="U1859" s="323"/>
      <c r="V1859" s="323"/>
      <c r="W1859" s="323"/>
    </row>
    <row r="1860" spans="1:23" s="23" customFormat="1" ht="14.25" hidden="1" x14ac:dyDescent="0.2">
      <c r="A1860" s="381" t="s">
        <v>6265</v>
      </c>
      <c r="B1860" s="381" t="s">
        <v>324</v>
      </c>
      <c r="C1860" s="418" t="s">
        <v>6544</v>
      </c>
      <c r="D1860" s="381" t="s">
        <v>6545</v>
      </c>
      <c r="E1860" s="383" t="s">
        <v>6546</v>
      </c>
      <c r="F1860" s="381" t="s">
        <v>1832</v>
      </c>
      <c r="G1860" s="384"/>
      <c r="H1860" s="24"/>
      <c r="I1860" s="24"/>
      <c r="J1860" s="25" t="str">
        <f t="shared" si="88"/>
        <v xml:space="preserve"> </v>
      </c>
      <c r="K1860" s="385"/>
      <c r="L1860" s="392"/>
      <c r="M1860" s="386">
        <f t="shared" si="90"/>
        <v>0</v>
      </c>
      <c r="N1860" s="496">
        <v>165</v>
      </c>
      <c r="O1860" s="333">
        <f t="shared" si="89"/>
        <v>165</v>
      </c>
      <c r="R1860" s="23" t="str">
        <f>VLOOKUP(C:C,'Historic Data - working'!A:B,1,FALSE)</f>
        <v>WES093</v>
      </c>
      <c r="U1860" s="323"/>
      <c r="V1860" s="323"/>
      <c r="W1860" s="323"/>
    </row>
    <row r="1861" spans="1:23" s="23" customFormat="1" ht="14.25" hidden="1" x14ac:dyDescent="0.2">
      <c r="A1861" s="381" t="s">
        <v>6265</v>
      </c>
      <c r="B1861" s="381" t="s">
        <v>324</v>
      </c>
      <c r="C1861" s="418" t="s">
        <v>6547</v>
      </c>
      <c r="D1861" s="381" t="s">
        <v>6548</v>
      </c>
      <c r="E1861" s="383" t="s">
        <v>822</v>
      </c>
      <c r="F1861" s="381" t="s">
        <v>6472</v>
      </c>
      <c r="G1861" s="384"/>
      <c r="H1861" s="24"/>
      <c r="I1861" s="24"/>
      <c r="J1861" s="25" t="str">
        <f t="shared" si="88"/>
        <v xml:space="preserve"> </v>
      </c>
      <c r="K1861" s="385"/>
      <c r="L1861" s="392"/>
      <c r="M1861" s="386">
        <f t="shared" si="90"/>
        <v>0</v>
      </c>
      <c r="N1861" s="496">
        <v>384.81</v>
      </c>
      <c r="O1861" s="333">
        <f t="shared" si="89"/>
        <v>384.81</v>
      </c>
      <c r="R1861" s="23" t="str">
        <f>VLOOKUP(C:C,'Historic Data - working'!A:B,1,FALSE)</f>
        <v>WES094</v>
      </c>
      <c r="U1861" s="323"/>
      <c r="V1861" s="323"/>
      <c r="W1861" s="323"/>
    </row>
    <row r="1862" spans="1:23" s="23" customFormat="1" ht="14.25" hidden="1" x14ac:dyDescent="0.2">
      <c r="A1862" s="381" t="s">
        <v>6265</v>
      </c>
      <c r="B1862" s="381" t="s">
        <v>324</v>
      </c>
      <c r="C1862" s="418" t="s">
        <v>6549</v>
      </c>
      <c r="D1862" s="381" t="s">
        <v>6550</v>
      </c>
      <c r="E1862" s="383" t="s">
        <v>6551</v>
      </c>
      <c r="F1862" s="381" t="s">
        <v>6552</v>
      </c>
      <c r="G1862" s="384"/>
      <c r="H1862" s="24"/>
      <c r="I1862" s="24"/>
      <c r="J1862" s="25" t="str">
        <f t="shared" si="88"/>
        <v xml:space="preserve"> </v>
      </c>
      <c r="K1862" s="385"/>
      <c r="L1862" s="392"/>
      <c r="M1862" s="386">
        <f t="shared" si="90"/>
        <v>0</v>
      </c>
      <c r="N1862" s="496">
        <v>1271.78</v>
      </c>
      <c r="O1862" s="333">
        <f t="shared" si="89"/>
        <v>1271.78</v>
      </c>
      <c r="R1862" s="23" t="str">
        <f>VLOOKUP(C:C,'Historic Data - working'!A:B,1,FALSE)</f>
        <v>WES095</v>
      </c>
      <c r="U1862" s="323"/>
      <c r="V1862" s="323"/>
      <c r="W1862" s="323"/>
    </row>
    <row r="1863" spans="1:23" s="23" customFormat="1" ht="14.25" hidden="1" x14ac:dyDescent="0.2">
      <c r="A1863" s="381" t="s">
        <v>6265</v>
      </c>
      <c r="B1863" s="381" t="s">
        <v>324</v>
      </c>
      <c r="C1863" s="418" t="s">
        <v>6553</v>
      </c>
      <c r="D1863" s="381" t="s">
        <v>6554</v>
      </c>
      <c r="E1863" s="383" t="s">
        <v>2176</v>
      </c>
      <c r="F1863" s="381" t="s">
        <v>6555</v>
      </c>
      <c r="G1863" s="384"/>
      <c r="H1863" s="24"/>
      <c r="I1863" s="24"/>
      <c r="J1863" s="25" t="str">
        <f t="shared" si="88"/>
        <v xml:space="preserve"> </v>
      </c>
      <c r="K1863" s="385" t="s">
        <v>337</v>
      </c>
      <c r="L1863" s="392">
        <v>1887.1</v>
      </c>
      <c r="M1863" s="386">
        <f t="shared" si="90"/>
        <v>1887.1</v>
      </c>
      <c r="N1863" s="496">
        <v>497</v>
      </c>
      <c r="O1863" s="333">
        <f t="shared" si="89"/>
        <v>2384.1</v>
      </c>
      <c r="R1863" s="23" t="str">
        <f>VLOOKUP(C:C,'Historic Data - working'!A:B,1,FALSE)</f>
        <v>WES096</v>
      </c>
      <c r="U1863" s="323"/>
      <c r="V1863" s="323"/>
      <c r="W1863" s="323"/>
    </row>
    <row r="1864" spans="1:23" s="23" customFormat="1" ht="14.25" hidden="1" x14ac:dyDescent="0.2">
      <c r="A1864" s="381" t="s">
        <v>6265</v>
      </c>
      <c r="B1864" s="381" t="s">
        <v>324</v>
      </c>
      <c r="C1864" s="418" t="s">
        <v>6556</v>
      </c>
      <c r="D1864" s="381" t="s">
        <v>6557</v>
      </c>
      <c r="E1864" s="383" t="s">
        <v>3225</v>
      </c>
      <c r="F1864" s="381" t="s">
        <v>1832</v>
      </c>
      <c r="G1864" s="384"/>
      <c r="H1864" s="24"/>
      <c r="I1864" s="24"/>
      <c r="J1864" s="25" t="str">
        <f t="shared" si="88"/>
        <v xml:space="preserve"> </v>
      </c>
      <c r="K1864" s="385"/>
      <c r="L1864" s="392"/>
      <c r="M1864" s="386">
        <f t="shared" si="90"/>
        <v>0</v>
      </c>
      <c r="N1864" s="496">
        <v>119.78999999999999</v>
      </c>
      <c r="O1864" s="333">
        <f t="shared" si="89"/>
        <v>119.78999999999999</v>
      </c>
      <c r="R1864" s="23" t="str">
        <f>VLOOKUP(C:C,'Historic Data - working'!A:B,1,FALSE)</f>
        <v>WES097</v>
      </c>
      <c r="U1864" s="323"/>
      <c r="V1864" s="323"/>
      <c r="W1864" s="323"/>
    </row>
    <row r="1865" spans="1:23" s="23" customFormat="1" ht="14.25" hidden="1" x14ac:dyDescent="0.2">
      <c r="A1865" s="381" t="s">
        <v>6265</v>
      </c>
      <c r="B1865" s="381" t="s">
        <v>324</v>
      </c>
      <c r="C1865" s="418" t="s">
        <v>6558</v>
      </c>
      <c r="D1865" s="381" t="s">
        <v>6559</v>
      </c>
      <c r="E1865" s="383" t="s">
        <v>6560</v>
      </c>
      <c r="F1865" s="381" t="s">
        <v>1832</v>
      </c>
      <c r="G1865" s="384" t="s">
        <v>329</v>
      </c>
      <c r="H1865" s="24">
        <f>140.14+59.85+69.67+90.45</f>
        <v>360.10999999999996</v>
      </c>
      <c r="I1865" s="24"/>
      <c r="J1865" s="25" t="str">
        <f t="shared" si="88"/>
        <v>1</v>
      </c>
      <c r="K1865" s="385"/>
      <c r="L1865" s="392"/>
      <c r="M1865" s="386">
        <f t="shared" si="90"/>
        <v>360.10999999999996</v>
      </c>
      <c r="N1865" s="496">
        <v>650</v>
      </c>
      <c r="O1865" s="333">
        <f t="shared" si="89"/>
        <v>1010.1099999999999</v>
      </c>
      <c r="R1865" s="23" t="str">
        <f>VLOOKUP(C:C,'Historic Data - working'!A:B,1,FALSE)</f>
        <v>WES098</v>
      </c>
      <c r="U1865" s="323"/>
      <c r="V1865" s="323"/>
      <c r="W1865" s="323"/>
    </row>
    <row r="1866" spans="1:23" s="23" customFormat="1" ht="14.25" hidden="1" x14ac:dyDescent="0.2">
      <c r="A1866" s="381" t="s">
        <v>6265</v>
      </c>
      <c r="B1866" s="381" t="s">
        <v>324</v>
      </c>
      <c r="C1866" s="418" t="s">
        <v>6561</v>
      </c>
      <c r="D1866" s="381" t="s">
        <v>6562</v>
      </c>
      <c r="E1866" s="383" t="s">
        <v>6563</v>
      </c>
      <c r="F1866" s="381" t="s">
        <v>6382</v>
      </c>
      <c r="G1866" s="384"/>
      <c r="H1866" s="24"/>
      <c r="I1866" s="24"/>
      <c r="J1866" s="25" t="str">
        <f t="shared" si="88"/>
        <v xml:space="preserve"> </v>
      </c>
      <c r="K1866" s="385"/>
      <c r="L1866" s="392"/>
      <c r="M1866" s="386">
        <f t="shared" si="90"/>
        <v>0</v>
      </c>
      <c r="N1866" s="496">
        <v>522</v>
      </c>
      <c r="O1866" s="333">
        <f t="shared" si="89"/>
        <v>522</v>
      </c>
      <c r="R1866" s="23" t="str">
        <f>VLOOKUP(C:C,'Historic Data - working'!A:B,1,FALSE)</f>
        <v>WES099</v>
      </c>
      <c r="U1866" s="323"/>
      <c r="V1866" s="323"/>
      <c r="W1866" s="323"/>
    </row>
    <row r="1867" spans="1:23" s="23" customFormat="1" ht="14.25" hidden="1" x14ac:dyDescent="0.2">
      <c r="A1867" s="381" t="s">
        <v>6265</v>
      </c>
      <c r="B1867" s="381" t="s">
        <v>324</v>
      </c>
      <c r="C1867" s="418" t="s">
        <v>6564</v>
      </c>
      <c r="D1867" s="381" t="s">
        <v>6565</v>
      </c>
      <c r="E1867" s="383" t="s">
        <v>6566</v>
      </c>
      <c r="F1867" s="381" t="s">
        <v>1832</v>
      </c>
      <c r="G1867" s="384"/>
      <c r="H1867" s="24"/>
      <c r="I1867" s="24"/>
      <c r="J1867" s="25" t="str">
        <f t="shared" si="88"/>
        <v xml:space="preserve"> </v>
      </c>
      <c r="K1867" s="385" t="s">
        <v>337</v>
      </c>
      <c r="L1867" s="392">
        <v>536.63</v>
      </c>
      <c r="M1867" s="386">
        <f t="shared" si="90"/>
        <v>536.63</v>
      </c>
      <c r="N1867" s="496">
        <v>625</v>
      </c>
      <c r="O1867" s="333">
        <f t="shared" si="89"/>
        <v>1161.6300000000001</v>
      </c>
      <c r="R1867" s="23" t="str">
        <f>VLOOKUP(C:C,'Historic Data - working'!A:B,1,FALSE)</f>
        <v>WES100</v>
      </c>
      <c r="U1867" s="323"/>
      <c r="V1867" s="323"/>
      <c r="W1867" s="323"/>
    </row>
    <row r="1868" spans="1:23" s="23" customFormat="1" ht="14.25" hidden="1" x14ac:dyDescent="0.2">
      <c r="A1868" s="381" t="s">
        <v>6265</v>
      </c>
      <c r="B1868" s="381" t="s">
        <v>324</v>
      </c>
      <c r="C1868" s="418" t="s">
        <v>6567</v>
      </c>
      <c r="D1868" s="381" t="s">
        <v>6568</v>
      </c>
      <c r="E1868" s="383" t="s">
        <v>6569</v>
      </c>
      <c r="F1868" s="381" t="s">
        <v>6570</v>
      </c>
      <c r="G1868" s="384" t="s">
        <v>329</v>
      </c>
      <c r="H1868" s="24">
        <f>105.84+49.76+103+50.18+55.03+144.43+48.36+166.52+73+78.05+106.75+79.48+69.99+62.07+159.31+42.6+168.06+131.79+52</f>
        <v>1746.2199999999996</v>
      </c>
      <c r="I1868" s="24"/>
      <c r="J1868" s="25" t="str">
        <f t="shared" si="88"/>
        <v>1</v>
      </c>
      <c r="K1868" s="385" t="s">
        <v>6571</v>
      </c>
      <c r="L1868" s="392">
        <v>-133.28</v>
      </c>
      <c r="M1868" s="386">
        <f t="shared" si="90"/>
        <v>1612.9399999999996</v>
      </c>
      <c r="N1868" s="496">
        <v>100</v>
      </c>
      <c r="O1868" s="333">
        <f t="shared" si="89"/>
        <v>1712.9399999999996</v>
      </c>
      <c r="R1868" s="23" t="str">
        <f>VLOOKUP(C:C,'Historic Data - working'!A:B,1,FALSE)</f>
        <v>WES101</v>
      </c>
      <c r="U1868" s="323"/>
      <c r="V1868" s="323"/>
      <c r="W1868" s="323"/>
    </row>
    <row r="1869" spans="1:23" s="23" customFormat="1" ht="14.25" hidden="1" x14ac:dyDescent="0.2">
      <c r="A1869" s="381" t="s">
        <v>6265</v>
      </c>
      <c r="B1869" s="381" t="s">
        <v>324</v>
      </c>
      <c r="C1869" s="418" t="s">
        <v>6572</v>
      </c>
      <c r="D1869" s="381" t="s">
        <v>6573</v>
      </c>
      <c r="E1869" s="383" t="s">
        <v>164</v>
      </c>
      <c r="F1869" s="381" t="s">
        <v>1832</v>
      </c>
      <c r="G1869" s="384"/>
      <c r="H1869" s="24"/>
      <c r="I1869" s="24"/>
      <c r="J1869" s="25" t="str">
        <f t="shared" si="88"/>
        <v xml:space="preserve"> </v>
      </c>
      <c r="K1869" s="385" t="s">
        <v>337</v>
      </c>
      <c r="L1869" s="392">
        <v>29</v>
      </c>
      <c r="M1869" s="386">
        <f t="shared" si="90"/>
        <v>29</v>
      </c>
      <c r="N1869" s="496">
        <v>25</v>
      </c>
      <c r="O1869" s="333">
        <f t="shared" si="89"/>
        <v>54</v>
      </c>
      <c r="R1869" s="23" t="str">
        <f>VLOOKUP(C:C,'Historic Data - working'!A:B,1,FALSE)</f>
        <v>WES102</v>
      </c>
      <c r="U1869" s="323"/>
      <c r="V1869" s="323"/>
      <c r="W1869" s="323"/>
    </row>
    <row r="1870" spans="1:23" s="23" customFormat="1" ht="14.25" hidden="1" x14ac:dyDescent="0.2">
      <c r="A1870" s="381" t="s">
        <v>6265</v>
      </c>
      <c r="B1870" s="381" t="s">
        <v>324</v>
      </c>
      <c r="C1870" s="418" t="s">
        <v>6574</v>
      </c>
      <c r="D1870" s="381" t="s">
        <v>6575</v>
      </c>
      <c r="E1870" s="383" t="s">
        <v>276</v>
      </c>
      <c r="F1870" s="381" t="s">
        <v>1832</v>
      </c>
      <c r="G1870" s="384"/>
      <c r="H1870" s="24"/>
      <c r="I1870" s="24"/>
      <c r="J1870" s="25" t="str">
        <f t="shared" si="88"/>
        <v xml:space="preserve"> </v>
      </c>
      <c r="K1870" s="385"/>
      <c r="L1870" s="392"/>
      <c r="M1870" s="386">
        <f t="shared" si="90"/>
        <v>0</v>
      </c>
      <c r="N1870" s="496"/>
      <c r="O1870" s="333">
        <f t="shared" si="89"/>
        <v>0</v>
      </c>
      <c r="R1870" s="23" t="e">
        <f>VLOOKUP(C:C,'Historic Data - working'!A:B,1,FALSE)</f>
        <v>#N/A</v>
      </c>
      <c r="U1870" s="323"/>
      <c r="V1870" s="323"/>
      <c r="W1870" s="323"/>
    </row>
    <row r="1871" spans="1:23" s="23" customFormat="1" ht="14.25" hidden="1" x14ac:dyDescent="0.2">
      <c r="A1871" s="381" t="s">
        <v>6265</v>
      </c>
      <c r="B1871" s="381" t="s">
        <v>324</v>
      </c>
      <c r="C1871" s="418" t="s">
        <v>6576</v>
      </c>
      <c r="D1871" s="381" t="s">
        <v>6577</v>
      </c>
      <c r="E1871" s="383" t="s">
        <v>6578</v>
      </c>
      <c r="F1871" s="381" t="s">
        <v>1832</v>
      </c>
      <c r="G1871" s="384" t="s">
        <v>329</v>
      </c>
      <c r="H1871" s="24">
        <v>959.87</v>
      </c>
      <c r="I1871" s="24"/>
      <c r="J1871" s="25" t="str">
        <f t="shared" si="88"/>
        <v>1</v>
      </c>
      <c r="K1871" s="388"/>
      <c r="L1871" s="392"/>
      <c r="M1871" s="386">
        <f t="shared" si="90"/>
        <v>959.87</v>
      </c>
      <c r="N1871" s="496">
        <v>70</v>
      </c>
      <c r="O1871" s="333">
        <f t="shared" si="89"/>
        <v>1029.8699999999999</v>
      </c>
      <c r="R1871" s="23" t="str">
        <f>VLOOKUP(C:C,'Historic Data - working'!A:B,1,FALSE)</f>
        <v>WES104</v>
      </c>
      <c r="U1871" s="323"/>
      <c r="V1871" s="323"/>
      <c r="W1871" s="323"/>
    </row>
    <row r="1872" spans="1:23" s="23" customFormat="1" ht="14.25" hidden="1" x14ac:dyDescent="0.2">
      <c r="A1872" s="381" t="s">
        <v>6265</v>
      </c>
      <c r="B1872" s="381" t="s">
        <v>324</v>
      </c>
      <c r="C1872" s="418" t="s">
        <v>6579</v>
      </c>
      <c r="D1872" s="381" t="s">
        <v>6580</v>
      </c>
      <c r="E1872" s="383" t="s">
        <v>6581</v>
      </c>
      <c r="F1872" s="381" t="s">
        <v>1832</v>
      </c>
      <c r="G1872" s="384"/>
      <c r="H1872" s="24"/>
      <c r="I1872" s="24"/>
      <c r="J1872" s="25" t="str">
        <f t="shared" si="88"/>
        <v xml:space="preserve"> </v>
      </c>
      <c r="K1872" s="385" t="s">
        <v>337</v>
      </c>
      <c r="L1872" s="392">
        <v>383.35</v>
      </c>
      <c r="M1872" s="386">
        <f t="shared" si="90"/>
        <v>383.35</v>
      </c>
      <c r="N1872" s="496">
        <v>310</v>
      </c>
      <c r="O1872" s="333">
        <f t="shared" si="89"/>
        <v>693.35</v>
      </c>
      <c r="R1872" s="23" t="str">
        <f>VLOOKUP(C:C,'Historic Data - working'!A:B,1,FALSE)</f>
        <v>WES105</v>
      </c>
      <c r="U1872" s="323"/>
      <c r="V1872" s="323"/>
      <c r="W1872" s="323"/>
    </row>
    <row r="1873" spans="1:23" s="23" customFormat="1" ht="14.25" hidden="1" x14ac:dyDescent="0.2">
      <c r="A1873" s="381" t="s">
        <v>6265</v>
      </c>
      <c r="B1873" s="381" t="s">
        <v>324</v>
      </c>
      <c r="C1873" s="418" t="s">
        <v>6582</v>
      </c>
      <c r="D1873" s="381" t="s">
        <v>6583</v>
      </c>
      <c r="E1873" s="383" t="s">
        <v>4281</v>
      </c>
      <c r="F1873" s="381" t="s">
        <v>1832</v>
      </c>
      <c r="G1873" s="384" t="s">
        <v>329</v>
      </c>
      <c r="H1873" s="24"/>
      <c r="I1873" s="24">
        <v>362.38</v>
      </c>
      <c r="J1873" s="25" t="str">
        <f t="shared" si="88"/>
        <v>1</v>
      </c>
      <c r="K1873" s="385"/>
      <c r="L1873" s="392"/>
      <c r="M1873" s="386">
        <f t="shared" si="90"/>
        <v>0</v>
      </c>
      <c r="N1873" s="496">
        <v>1217.3800000000001</v>
      </c>
      <c r="O1873" s="333">
        <f t="shared" si="89"/>
        <v>1217.3800000000001</v>
      </c>
      <c r="R1873" s="23" t="str">
        <f>VLOOKUP(C:C,'Historic Data - working'!A:B,1,FALSE)</f>
        <v>WES106</v>
      </c>
      <c r="U1873" s="323"/>
      <c r="V1873" s="323"/>
      <c r="W1873" s="323"/>
    </row>
    <row r="1874" spans="1:23" s="23" customFormat="1" ht="14.25" hidden="1" x14ac:dyDescent="0.2">
      <c r="A1874" s="381" t="s">
        <v>6265</v>
      </c>
      <c r="B1874" s="381" t="s">
        <v>324</v>
      </c>
      <c r="C1874" s="418" t="s">
        <v>6584</v>
      </c>
      <c r="D1874" s="381" t="s">
        <v>6585</v>
      </c>
      <c r="E1874" s="383" t="s">
        <v>6586</v>
      </c>
      <c r="F1874" s="381" t="s">
        <v>1832</v>
      </c>
      <c r="G1874" s="384"/>
      <c r="H1874" s="24"/>
      <c r="I1874" s="24"/>
      <c r="J1874" s="25" t="str">
        <f t="shared" si="88"/>
        <v xml:space="preserve"> </v>
      </c>
      <c r="K1874" s="385"/>
      <c r="L1874" s="392"/>
      <c r="M1874" s="386">
        <f t="shared" si="90"/>
        <v>0</v>
      </c>
      <c r="N1874" s="496">
        <v>133</v>
      </c>
      <c r="O1874" s="333">
        <f t="shared" si="89"/>
        <v>133</v>
      </c>
      <c r="R1874" s="23" t="str">
        <f>VLOOKUP(C:C,'Historic Data - working'!A:B,1,FALSE)</f>
        <v>WES108</v>
      </c>
      <c r="U1874" s="323"/>
      <c r="V1874" s="323"/>
      <c r="W1874" s="323"/>
    </row>
    <row r="1875" spans="1:23" s="23" customFormat="1" ht="14.25" hidden="1" x14ac:dyDescent="0.2">
      <c r="A1875" s="381" t="s">
        <v>6265</v>
      </c>
      <c r="B1875" s="381" t="s">
        <v>324</v>
      </c>
      <c r="C1875" s="418" t="s">
        <v>6587</v>
      </c>
      <c r="D1875" s="381" t="s">
        <v>6588</v>
      </c>
      <c r="E1875" s="383" t="s">
        <v>783</v>
      </c>
      <c r="F1875" s="381" t="s">
        <v>1832</v>
      </c>
      <c r="G1875" s="384"/>
      <c r="H1875" s="24"/>
      <c r="I1875" s="24"/>
      <c r="J1875" s="25" t="str">
        <f t="shared" si="88"/>
        <v xml:space="preserve"> </v>
      </c>
      <c r="K1875" s="385"/>
      <c r="L1875" s="392"/>
      <c r="M1875" s="386">
        <f t="shared" si="90"/>
        <v>0</v>
      </c>
      <c r="N1875" s="496">
        <v>461.21000000000004</v>
      </c>
      <c r="O1875" s="333">
        <f t="shared" si="89"/>
        <v>461.21000000000004</v>
      </c>
      <c r="R1875" s="23" t="str">
        <f>VLOOKUP(C:C,'Historic Data - working'!A:B,1,FALSE)</f>
        <v>WES109</v>
      </c>
      <c r="U1875" s="323"/>
      <c r="V1875" s="323"/>
      <c r="W1875" s="323"/>
    </row>
    <row r="1876" spans="1:23" s="23" customFormat="1" ht="14.25" hidden="1" x14ac:dyDescent="0.2">
      <c r="A1876" s="381" t="s">
        <v>6265</v>
      </c>
      <c r="B1876" s="381" t="s">
        <v>324</v>
      </c>
      <c r="C1876" s="418" t="s">
        <v>6589</v>
      </c>
      <c r="D1876" s="381" t="s">
        <v>6590</v>
      </c>
      <c r="E1876" s="383" t="s">
        <v>1871</v>
      </c>
      <c r="F1876" s="381" t="s">
        <v>6479</v>
      </c>
      <c r="G1876" s="384" t="s">
        <v>329</v>
      </c>
      <c r="H1876" s="24">
        <f>269+135.47+296.55+305.99+205.8</f>
        <v>1212.81</v>
      </c>
      <c r="I1876" s="24"/>
      <c r="J1876" s="25" t="str">
        <f t="shared" si="88"/>
        <v>1</v>
      </c>
      <c r="K1876" s="385"/>
      <c r="L1876" s="392"/>
      <c r="M1876" s="386">
        <f t="shared" si="90"/>
        <v>1212.81</v>
      </c>
      <c r="N1876" s="496">
        <v>682</v>
      </c>
      <c r="O1876" s="333">
        <f t="shared" si="89"/>
        <v>1894.81</v>
      </c>
      <c r="R1876" s="23" t="str">
        <f>VLOOKUP(C:C,'Historic Data - working'!A:B,1,FALSE)</f>
        <v>WES110</v>
      </c>
      <c r="U1876" s="323"/>
      <c r="V1876" s="323"/>
      <c r="W1876" s="323"/>
    </row>
    <row r="1877" spans="1:23" s="23" customFormat="1" ht="14.25" hidden="1" x14ac:dyDescent="0.2">
      <c r="A1877" s="381" t="s">
        <v>6265</v>
      </c>
      <c r="B1877" s="381" t="s">
        <v>324</v>
      </c>
      <c r="C1877" s="418" t="s">
        <v>6591</v>
      </c>
      <c r="D1877" s="381" t="s">
        <v>6592</v>
      </c>
      <c r="E1877" s="383" t="s">
        <v>6593</v>
      </c>
      <c r="F1877" s="381" t="s">
        <v>1832</v>
      </c>
      <c r="G1877" s="384"/>
      <c r="H1877" s="24"/>
      <c r="I1877" s="24"/>
      <c r="J1877" s="25" t="str">
        <f t="shared" si="88"/>
        <v xml:space="preserve"> </v>
      </c>
      <c r="K1877" s="385"/>
      <c r="L1877" s="392"/>
      <c r="M1877" s="386">
        <f t="shared" si="90"/>
        <v>0</v>
      </c>
      <c r="N1877" s="496">
        <v>319.89999999999998</v>
      </c>
      <c r="O1877" s="333">
        <f t="shared" si="89"/>
        <v>319.89999999999998</v>
      </c>
      <c r="R1877" s="23" t="str">
        <f>VLOOKUP(C:C,'Historic Data - working'!A:B,1,FALSE)</f>
        <v>WES111</v>
      </c>
      <c r="U1877" s="323"/>
      <c r="V1877" s="323"/>
      <c r="W1877" s="323"/>
    </row>
    <row r="1878" spans="1:23" s="23" customFormat="1" ht="14.25" hidden="1" x14ac:dyDescent="0.2">
      <c r="A1878" s="381" t="s">
        <v>6265</v>
      </c>
      <c r="B1878" s="381" t="s">
        <v>324</v>
      </c>
      <c r="C1878" s="418" t="s">
        <v>6594</v>
      </c>
      <c r="D1878" s="381" t="s">
        <v>6595</v>
      </c>
      <c r="E1878" s="383" t="s">
        <v>3662</v>
      </c>
      <c r="F1878" s="381" t="s">
        <v>1832</v>
      </c>
      <c r="G1878" s="384"/>
      <c r="H1878" s="24"/>
      <c r="I1878" s="24"/>
      <c r="J1878" s="25" t="str">
        <f t="shared" si="88"/>
        <v xml:space="preserve"> </v>
      </c>
      <c r="K1878" s="385"/>
      <c r="L1878" s="392"/>
      <c r="M1878" s="386">
        <f t="shared" si="90"/>
        <v>0</v>
      </c>
      <c r="N1878" s="496"/>
      <c r="O1878" s="333">
        <f t="shared" si="89"/>
        <v>0</v>
      </c>
      <c r="R1878" s="23" t="e">
        <f>VLOOKUP(C:C,'Historic Data - working'!A:B,1,FALSE)</f>
        <v>#N/A</v>
      </c>
      <c r="U1878" s="323"/>
      <c r="V1878" s="323"/>
      <c r="W1878" s="323"/>
    </row>
    <row r="1879" spans="1:23" s="23" customFormat="1" ht="14.25" hidden="1" x14ac:dyDescent="0.2">
      <c r="A1879" s="381" t="s">
        <v>6265</v>
      </c>
      <c r="B1879" s="381" t="s">
        <v>324</v>
      </c>
      <c r="C1879" s="418" t="s">
        <v>6596</v>
      </c>
      <c r="D1879" s="381" t="s">
        <v>6597</v>
      </c>
      <c r="E1879" s="383" t="s">
        <v>6598</v>
      </c>
      <c r="F1879" s="381" t="s">
        <v>1832</v>
      </c>
      <c r="G1879" s="384"/>
      <c r="H1879" s="24"/>
      <c r="I1879" s="24"/>
      <c r="J1879" s="25" t="str">
        <f t="shared" si="88"/>
        <v xml:space="preserve"> </v>
      </c>
      <c r="K1879" s="385" t="s">
        <v>337</v>
      </c>
      <c r="L1879" s="392">
        <v>483.2</v>
      </c>
      <c r="M1879" s="386">
        <f t="shared" si="90"/>
        <v>483.2</v>
      </c>
      <c r="N1879" s="496">
        <v>1130</v>
      </c>
      <c r="O1879" s="333">
        <f t="shared" si="89"/>
        <v>1613.2</v>
      </c>
      <c r="R1879" s="23" t="str">
        <f>VLOOKUP(C:C,'Historic Data - working'!A:B,1,FALSE)</f>
        <v>WES112</v>
      </c>
      <c r="U1879" s="323"/>
      <c r="V1879" s="323"/>
      <c r="W1879" s="323"/>
    </row>
    <row r="1880" spans="1:23" s="23" customFormat="1" ht="14.25" hidden="1" x14ac:dyDescent="0.2">
      <c r="A1880" s="381" t="s">
        <v>6265</v>
      </c>
      <c r="B1880" s="381" t="s">
        <v>324</v>
      </c>
      <c r="C1880" s="418" t="s">
        <v>6599</v>
      </c>
      <c r="D1880" s="381" t="s">
        <v>6600</v>
      </c>
      <c r="E1880" s="383" t="s">
        <v>3238</v>
      </c>
      <c r="F1880" s="381" t="s">
        <v>1832</v>
      </c>
      <c r="G1880" s="384"/>
      <c r="H1880" s="24"/>
      <c r="I1880" s="24"/>
      <c r="J1880" s="25" t="str">
        <f t="shared" si="88"/>
        <v xml:space="preserve"> </v>
      </c>
      <c r="K1880" s="385"/>
      <c r="L1880" s="392"/>
      <c r="M1880" s="386">
        <f t="shared" si="90"/>
        <v>0</v>
      </c>
      <c r="N1880" s="496">
        <v>429.53</v>
      </c>
      <c r="O1880" s="333">
        <f t="shared" si="89"/>
        <v>429.53</v>
      </c>
      <c r="R1880" s="23" t="str">
        <f>VLOOKUP(C:C,'Historic Data - working'!A:B,1,FALSE)</f>
        <v>WES113</v>
      </c>
      <c r="U1880" s="323"/>
      <c r="V1880" s="323"/>
      <c r="W1880" s="323"/>
    </row>
    <row r="1881" spans="1:23" s="23" customFormat="1" ht="14.25" hidden="1" x14ac:dyDescent="0.2">
      <c r="A1881" s="381" t="s">
        <v>6265</v>
      </c>
      <c r="B1881" s="381" t="s">
        <v>324</v>
      </c>
      <c r="C1881" s="418" t="s">
        <v>6601</v>
      </c>
      <c r="D1881" s="381" t="s">
        <v>6602</v>
      </c>
      <c r="E1881" s="383" t="s">
        <v>56</v>
      </c>
      <c r="F1881" s="381" t="s">
        <v>6603</v>
      </c>
      <c r="G1881" s="384" t="s">
        <v>329</v>
      </c>
      <c r="H1881" s="24"/>
      <c r="I1881" s="24">
        <f>413.45+487.5</f>
        <v>900.95</v>
      </c>
      <c r="J1881" s="25" t="str">
        <f t="shared" si="88"/>
        <v>1</v>
      </c>
      <c r="K1881" s="385" t="s">
        <v>337</v>
      </c>
      <c r="L1881" s="392">
        <v>487.5</v>
      </c>
      <c r="M1881" s="386">
        <f t="shared" si="90"/>
        <v>487.5</v>
      </c>
      <c r="N1881" s="496">
        <v>478.45</v>
      </c>
      <c r="O1881" s="333">
        <f t="shared" si="89"/>
        <v>965.95</v>
      </c>
      <c r="R1881" s="23" t="str">
        <f>VLOOKUP(C:C,'Historic Data - working'!A:B,1,FALSE)</f>
        <v>WES114</v>
      </c>
      <c r="U1881" s="323"/>
      <c r="V1881" s="323"/>
      <c r="W1881" s="323"/>
    </row>
    <row r="1882" spans="1:23" s="23" customFormat="1" ht="14.25" hidden="1" x14ac:dyDescent="0.2">
      <c r="A1882" s="381" t="s">
        <v>6265</v>
      </c>
      <c r="B1882" s="381" t="s">
        <v>324</v>
      </c>
      <c r="C1882" s="418" t="s">
        <v>6604</v>
      </c>
      <c r="D1882" s="381" t="s">
        <v>6605</v>
      </c>
      <c r="E1882" s="383" t="s">
        <v>612</v>
      </c>
      <c r="F1882" s="381" t="s">
        <v>6606</v>
      </c>
      <c r="G1882" s="384" t="s">
        <v>329</v>
      </c>
      <c r="H1882" s="24"/>
      <c r="I1882" s="24">
        <f>160.18+252.42+37.2+184.05+84.02+50</f>
        <v>767.87</v>
      </c>
      <c r="J1882" s="25" t="str">
        <f t="shared" si="88"/>
        <v>1</v>
      </c>
      <c r="K1882" s="385"/>
      <c r="L1882" s="392"/>
      <c r="M1882" s="386">
        <f t="shared" si="90"/>
        <v>0</v>
      </c>
      <c r="N1882" s="496">
        <v>1918.78</v>
      </c>
      <c r="O1882" s="333">
        <f t="shared" si="89"/>
        <v>1918.78</v>
      </c>
      <c r="R1882" s="23" t="str">
        <f>VLOOKUP(C:C,'Historic Data - working'!A:B,1,FALSE)</f>
        <v>WES116</v>
      </c>
      <c r="U1882" s="323"/>
      <c r="V1882" s="323"/>
      <c r="W1882" s="323"/>
    </row>
    <row r="1883" spans="1:23" s="23" customFormat="1" ht="14.25" hidden="1" x14ac:dyDescent="0.2">
      <c r="A1883" s="381" t="s">
        <v>6265</v>
      </c>
      <c r="B1883" s="381" t="s">
        <v>324</v>
      </c>
      <c r="C1883" s="418" t="s">
        <v>6607</v>
      </c>
      <c r="D1883" s="381" t="s">
        <v>6608</v>
      </c>
      <c r="E1883" s="383" t="s">
        <v>6609</v>
      </c>
      <c r="F1883" s="381" t="s">
        <v>1832</v>
      </c>
      <c r="G1883" s="384"/>
      <c r="H1883" s="24"/>
      <c r="I1883" s="24"/>
      <c r="J1883" s="25" t="str">
        <f t="shared" si="88"/>
        <v xml:space="preserve"> </v>
      </c>
      <c r="K1883" s="385"/>
      <c r="L1883" s="392"/>
      <c r="M1883" s="386">
        <f t="shared" si="90"/>
        <v>0</v>
      </c>
      <c r="N1883" s="496">
        <v>238.98000000000002</v>
      </c>
      <c r="O1883" s="333">
        <f t="shared" si="89"/>
        <v>238.98000000000002</v>
      </c>
      <c r="R1883" s="23" t="str">
        <f>VLOOKUP(C:C,'Historic Data - working'!A:B,1,FALSE)</f>
        <v>WES117</v>
      </c>
      <c r="U1883" s="323"/>
      <c r="V1883" s="323"/>
      <c r="W1883" s="323"/>
    </row>
    <row r="1884" spans="1:23" s="23" customFormat="1" ht="14.25" hidden="1" x14ac:dyDescent="0.2">
      <c r="A1884" s="381" t="s">
        <v>6265</v>
      </c>
      <c r="B1884" s="381" t="s">
        <v>324</v>
      </c>
      <c r="C1884" s="418" t="s">
        <v>6610</v>
      </c>
      <c r="D1884" s="381" t="s">
        <v>6611</v>
      </c>
      <c r="E1884" s="383" t="s">
        <v>6612</v>
      </c>
      <c r="F1884" s="381" t="s">
        <v>1832</v>
      </c>
      <c r="G1884" s="384" t="s">
        <v>329</v>
      </c>
      <c r="H1884" s="24">
        <f>89.38+63.15+714.41+222.6+57.85+36.45+65.49+289.54+300.51+160.21</f>
        <v>1999.59</v>
      </c>
      <c r="I1884" s="24"/>
      <c r="J1884" s="25" t="str">
        <f t="shared" si="88"/>
        <v>1</v>
      </c>
      <c r="K1884" s="385"/>
      <c r="L1884" s="392"/>
      <c r="M1884" s="386">
        <f t="shared" si="90"/>
        <v>1999.59</v>
      </c>
      <c r="N1884" s="496">
        <v>325</v>
      </c>
      <c r="O1884" s="333">
        <f t="shared" si="89"/>
        <v>2324.59</v>
      </c>
      <c r="R1884" s="23" t="str">
        <f>VLOOKUP(C:C,'Historic Data - working'!A:B,1,FALSE)</f>
        <v>WES118</v>
      </c>
      <c r="U1884" s="323"/>
      <c r="V1884" s="323"/>
      <c r="W1884" s="323"/>
    </row>
    <row r="1885" spans="1:23" s="23" customFormat="1" ht="14.25" hidden="1" x14ac:dyDescent="0.2">
      <c r="A1885" s="381" t="s">
        <v>6265</v>
      </c>
      <c r="B1885" s="381" t="s">
        <v>324</v>
      </c>
      <c r="C1885" s="418" t="s">
        <v>6613</v>
      </c>
      <c r="D1885" s="381" t="s">
        <v>6614</v>
      </c>
      <c r="E1885" s="383" t="s">
        <v>6615</v>
      </c>
      <c r="F1885" s="381" t="s">
        <v>1832</v>
      </c>
      <c r="G1885" s="384"/>
      <c r="H1885" s="24"/>
      <c r="I1885" s="24"/>
      <c r="J1885" s="25" t="str">
        <f t="shared" si="88"/>
        <v xml:space="preserve"> </v>
      </c>
      <c r="K1885" s="385"/>
      <c r="L1885" s="392"/>
      <c r="M1885" s="386">
        <f t="shared" si="90"/>
        <v>0</v>
      </c>
      <c r="N1885" s="496"/>
      <c r="O1885" s="333">
        <f t="shared" si="89"/>
        <v>0</v>
      </c>
      <c r="R1885" s="23" t="str">
        <f>VLOOKUP(C:C,'Historic Data - working'!A:B,1,FALSE)</f>
        <v>WES119</v>
      </c>
      <c r="U1885" s="323"/>
      <c r="V1885" s="323"/>
      <c r="W1885" s="323"/>
    </row>
    <row r="1886" spans="1:23" s="23" customFormat="1" ht="14.25" hidden="1" x14ac:dyDescent="0.2">
      <c r="A1886" s="381" t="s">
        <v>6265</v>
      </c>
      <c r="B1886" s="381" t="s">
        <v>324</v>
      </c>
      <c r="C1886" s="418" t="s">
        <v>6616</v>
      </c>
      <c r="D1886" s="381" t="s">
        <v>6617</v>
      </c>
      <c r="E1886" s="383" t="s">
        <v>6618</v>
      </c>
      <c r="F1886" s="381" t="s">
        <v>6619</v>
      </c>
      <c r="G1886" s="384" t="s">
        <v>329</v>
      </c>
      <c r="H1886" s="24">
        <v>492</v>
      </c>
      <c r="I1886" s="24"/>
      <c r="J1886" s="25" t="str">
        <f t="shared" si="88"/>
        <v>1</v>
      </c>
      <c r="K1886" s="385"/>
      <c r="L1886" s="392"/>
      <c r="M1886" s="386">
        <f t="shared" si="90"/>
        <v>492</v>
      </c>
      <c r="N1886" s="496">
        <v>65</v>
      </c>
      <c r="O1886" s="333">
        <f t="shared" si="89"/>
        <v>557</v>
      </c>
      <c r="R1886" s="23" t="str">
        <f>VLOOKUP(C:C,'Historic Data - working'!A:B,1,FALSE)</f>
        <v>WES121</v>
      </c>
      <c r="U1886" s="323"/>
      <c r="V1886" s="323"/>
      <c r="W1886" s="323"/>
    </row>
    <row r="1887" spans="1:23" s="23" customFormat="1" ht="14.25" hidden="1" x14ac:dyDescent="0.2">
      <c r="A1887" s="381" t="s">
        <v>6265</v>
      </c>
      <c r="B1887" s="381" t="s">
        <v>324</v>
      </c>
      <c r="C1887" s="418" t="s">
        <v>6620</v>
      </c>
      <c r="D1887" s="381" t="s">
        <v>6621</v>
      </c>
      <c r="E1887" s="383" t="s">
        <v>11</v>
      </c>
      <c r="F1887" s="381" t="s">
        <v>1832</v>
      </c>
      <c r="G1887" s="384"/>
      <c r="H1887" s="24"/>
      <c r="I1887" s="24"/>
      <c r="J1887" s="25" t="str">
        <f t="shared" si="88"/>
        <v xml:space="preserve"> </v>
      </c>
      <c r="K1887" s="385"/>
      <c r="L1887" s="385"/>
      <c r="M1887" s="386">
        <f t="shared" si="90"/>
        <v>0</v>
      </c>
      <c r="N1887" s="496"/>
      <c r="O1887" s="426">
        <f t="shared" si="89"/>
        <v>0</v>
      </c>
      <c r="P1887" s="427"/>
      <c r="Q1887" s="428"/>
      <c r="R1887" s="428" t="e">
        <f>VLOOKUP(C:C,'Historic Data - working'!A:B,1,FALSE)</f>
        <v>#N/A</v>
      </c>
      <c r="U1887" s="323"/>
      <c r="V1887" s="323"/>
      <c r="W1887" s="323"/>
    </row>
    <row r="1888" spans="1:23" s="23" customFormat="1" ht="14.25" hidden="1" x14ac:dyDescent="0.2">
      <c r="A1888" s="381" t="s">
        <v>6265</v>
      </c>
      <c r="B1888" s="381" t="s">
        <v>324</v>
      </c>
      <c r="C1888" s="418" t="s">
        <v>6622</v>
      </c>
      <c r="D1888" s="381" t="s">
        <v>6623</v>
      </c>
      <c r="E1888" s="383" t="s">
        <v>56</v>
      </c>
      <c r="F1888" s="381" t="s">
        <v>1832</v>
      </c>
      <c r="G1888" s="384"/>
      <c r="H1888" s="24"/>
      <c r="I1888" s="24"/>
      <c r="J1888" s="25" t="str">
        <f t="shared" si="88"/>
        <v xml:space="preserve"> </v>
      </c>
      <c r="K1888" s="385"/>
      <c r="L1888" s="392"/>
      <c r="M1888" s="386">
        <f t="shared" si="90"/>
        <v>0</v>
      </c>
      <c r="N1888" s="496">
        <v>387.68</v>
      </c>
      <c r="O1888" s="333">
        <f t="shared" si="89"/>
        <v>387.68</v>
      </c>
      <c r="R1888" s="23" t="str">
        <f>VLOOKUP(C:C,'Historic Data - working'!A:B,1,FALSE)</f>
        <v>WES124</v>
      </c>
      <c r="U1888" s="323"/>
      <c r="V1888" s="323"/>
      <c r="W1888" s="323"/>
    </row>
    <row r="1889" spans="1:23" s="23" customFormat="1" ht="14.25" hidden="1" x14ac:dyDescent="0.2">
      <c r="A1889" s="381" t="s">
        <v>6265</v>
      </c>
      <c r="B1889" s="381" t="s">
        <v>324</v>
      </c>
      <c r="C1889" s="418" t="s">
        <v>6624</v>
      </c>
      <c r="D1889" s="381" t="s">
        <v>6625</v>
      </c>
      <c r="E1889" s="383" t="s">
        <v>6626</v>
      </c>
      <c r="F1889" s="381" t="s">
        <v>1832</v>
      </c>
      <c r="G1889" s="384" t="s">
        <v>329</v>
      </c>
      <c r="H1889" s="24">
        <f>45.31+9.34+35.33+6.21+48.3+21.95+7.59+20.38</f>
        <v>194.41</v>
      </c>
      <c r="I1889" s="24"/>
      <c r="J1889" s="25" t="str">
        <f t="shared" si="88"/>
        <v>1</v>
      </c>
      <c r="K1889" s="385"/>
      <c r="L1889" s="392"/>
      <c r="M1889" s="386">
        <f t="shared" si="90"/>
        <v>194.41</v>
      </c>
      <c r="N1889" s="496">
        <v>170</v>
      </c>
      <c r="O1889" s="333">
        <f t="shared" si="89"/>
        <v>364.40999999999997</v>
      </c>
      <c r="R1889" s="23" t="str">
        <f>VLOOKUP(C:C,'Historic Data - working'!A:B,1,FALSE)</f>
        <v>WES126</v>
      </c>
      <c r="U1889" s="323"/>
      <c r="V1889" s="323"/>
      <c r="W1889" s="323"/>
    </row>
    <row r="1890" spans="1:23" s="23" customFormat="1" ht="14.25" hidden="1" x14ac:dyDescent="0.2">
      <c r="A1890" s="381" t="s">
        <v>6265</v>
      </c>
      <c r="B1890" s="381" t="s">
        <v>324</v>
      </c>
      <c r="C1890" s="418" t="s">
        <v>6627</v>
      </c>
      <c r="D1890" s="381" t="s">
        <v>6628</v>
      </c>
      <c r="E1890" s="383" t="s">
        <v>3549</v>
      </c>
      <c r="F1890" s="381" t="s">
        <v>1832</v>
      </c>
      <c r="G1890" s="384"/>
      <c r="H1890" s="24"/>
      <c r="I1890" s="24"/>
      <c r="J1890" s="25" t="str">
        <f t="shared" si="88"/>
        <v xml:space="preserve"> </v>
      </c>
      <c r="K1890" s="385"/>
      <c r="L1890" s="392"/>
      <c r="M1890" s="386">
        <f t="shared" si="90"/>
        <v>0</v>
      </c>
      <c r="N1890" s="496">
        <v>357.87</v>
      </c>
      <c r="O1890" s="333">
        <f t="shared" si="89"/>
        <v>357.87</v>
      </c>
      <c r="R1890" s="23" t="str">
        <f>VLOOKUP(C:C,'Historic Data - working'!A:B,1,FALSE)</f>
        <v>WES127</v>
      </c>
      <c r="U1890" s="323"/>
      <c r="V1890" s="323"/>
      <c r="W1890" s="323"/>
    </row>
    <row r="1891" spans="1:23" s="23" customFormat="1" ht="14.25" hidden="1" x14ac:dyDescent="0.2">
      <c r="A1891" s="381" t="s">
        <v>6265</v>
      </c>
      <c r="B1891" s="381" t="s">
        <v>324</v>
      </c>
      <c r="C1891" s="418" t="s">
        <v>6629</v>
      </c>
      <c r="D1891" s="381" t="s">
        <v>6630</v>
      </c>
      <c r="E1891" s="383" t="s">
        <v>164</v>
      </c>
      <c r="F1891" s="381" t="s">
        <v>6361</v>
      </c>
      <c r="G1891" s="384" t="s">
        <v>329</v>
      </c>
      <c r="H1891" s="24">
        <f>293+65+15.18+14.95+42+25.75+8.64+236.5+43.91</f>
        <v>744.93</v>
      </c>
      <c r="I1891" s="24"/>
      <c r="J1891" s="25" t="str">
        <f t="shared" si="88"/>
        <v>1</v>
      </c>
      <c r="K1891" s="385"/>
      <c r="L1891" s="392"/>
      <c r="M1891" s="386">
        <f t="shared" si="90"/>
        <v>744.93</v>
      </c>
      <c r="N1891" s="496">
        <v>162.18</v>
      </c>
      <c r="O1891" s="333">
        <f t="shared" si="89"/>
        <v>907.1099999999999</v>
      </c>
      <c r="R1891" s="23" t="str">
        <f>VLOOKUP(C:C,'Historic Data - working'!A:B,1,FALSE)</f>
        <v>WES128</v>
      </c>
      <c r="U1891" s="323"/>
      <c r="V1891" s="323"/>
      <c r="W1891" s="323"/>
    </row>
    <row r="1892" spans="1:23" s="23" customFormat="1" ht="14.25" hidden="1" x14ac:dyDescent="0.2">
      <c r="A1892" s="381" t="s">
        <v>6265</v>
      </c>
      <c r="B1892" s="381" t="s">
        <v>324</v>
      </c>
      <c r="C1892" s="418" t="s">
        <v>6631</v>
      </c>
      <c r="D1892" s="381" t="s">
        <v>6632</v>
      </c>
      <c r="E1892" s="383" t="s">
        <v>6633</v>
      </c>
      <c r="F1892" s="381" t="s">
        <v>1832</v>
      </c>
      <c r="G1892" s="384" t="s">
        <v>329</v>
      </c>
      <c r="H1892" s="24">
        <f>216.11+152.5+184.22+60+62.06+149.65+102.57+137.8+142.22+199+232.85+197.84+102.77+142.97+120.51</f>
        <v>2203.0700000000002</v>
      </c>
      <c r="I1892" s="24"/>
      <c r="J1892" s="25" t="str">
        <f t="shared" si="88"/>
        <v>1</v>
      </c>
      <c r="K1892" s="385"/>
      <c r="L1892" s="392"/>
      <c r="M1892" s="386">
        <f t="shared" si="90"/>
        <v>2203.0700000000002</v>
      </c>
      <c r="N1892" s="496">
        <v>1470</v>
      </c>
      <c r="O1892" s="333">
        <f t="shared" si="89"/>
        <v>3673.07</v>
      </c>
      <c r="R1892" s="23" t="str">
        <f>VLOOKUP(C:C,'Historic Data - working'!A:B,1,FALSE)</f>
        <v>WES129</v>
      </c>
      <c r="U1892" s="323"/>
      <c r="V1892" s="323"/>
      <c r="W1892" s="323"/>
    </row>
    <row r="1893" spans="1:23" s="23" customFormat="1" ht="14.25" hidden="1" x14ac:dyDescent="0.2">
      <c r="A1893" s="381" t="s">
        <v>6265</v>
      </c>
      <c r="B1893" s="381" t="s">
        <v>324</v>
      </c>
      <c r="C1893" s="418" t="s">
        <v>6634</v>
      </c>
      <c r="D1893" s="381" t="s">
        <v>6635</v>
      </c>
      <c r="E1893" s="383" t="s">
        <v>6636</v>
      </c>
      <c r="F1893" s="381" t="s">
        <v>1832</v>
      </c>
      <c r="G1893" s="384"/>
      <c r="H1893" s="24"/>
      <c r="I1893" s="24"/>
      <c r="J1893" s="25" t="str">
        <f t="shared" si="88"/>
        <v xml:space="preserve"> </v>
      </c>
      <c r="K1893" s="385"/>
      <c r="L1893" s="392"/>
      <c r="M1893" s="386">
        <f t="shared" si="90"/>
        <v>0</v>
      </c>
      <c r="N1893" s="496">
        <v>139.59</v>
      </c>
      <c r="O1893" s="333">
        <f t="shared" si="89"/>
        <v>139.59</v>
      </c>
      <c r="R1893" s="23" t="str">
        <f>VLOOKUP(C:C,'Historic Data - working'!A:B,1,FALSE)</f>
        <v>WES132</v>
      </c>
      <c r="U1893" s="323"/>
      <c r="V1893" s="323"/>
      <c r="W1893" s="323"/>
    </row>
    <row r="1894" spans="1:23" s="23" customFormat="1" ht="14.25" hidden="1" x14ac:dyDescent="0.2">
      <c r="A1894" s="381" t="s">
        <v>6265</v>
      </c>
      <c r="B1894" s="381" t="s">
        <v>324</v>
      </c>
      <c r="C1894" s="418" t="s">
        <v>6637</v>
      </c>
      <c r="D1894" s="381" t="s">
        <v>6638</v>
      </c>
      <c r="E1894" s="383" t="s">
        <v>6639</v>
      </c>
      <c r="F1894" s="381" t="s">
        <v>1832</v>
      </c>
      <c r="G1894" s="384"/>
      <c r="H1894" s="24"/>
      <c r="I1894" s="24"/>
      <c r="J1894" s="25" t="str">
        <f t="shared" si="88"/>
        <v xml:space="preserve"> </v>
      </c>
      <c r="K1894" s="385"/>
      <c r="L1894" s="392"/>
      <c r="M1894" s="386">
        <f t="shared" si="90"/>
        <v>0</v>
      </c>
      <c r="N1894" s="496"/>
      <c r="O1894" s="333">
        <f t="shared" si="89"/>
        <v>0</v>
      </c>
      <c r="R1894" s="23" t="str">
        <f>VLOOKUP(C:C,'Historic Data - working'!A:B,1,FALSE)</f>
        <v>WES133</v>
      </c>
      <c r="U1894" s="323"/>
      <c r="V1894" s="323"/>
      <c r="W1894" s="323"/>
    </row>
    <row r="1895" spans="1:23" s="23" customFormat="1" ht="14.25" hidden="1" x14ac:dyDescent="0.2">
      <c r="A1895" s="381" t="s">
        <v>6265</v>
      </c>
      <c r="B1895" s="381" t="s">
        <v>324</v>
      </c>
      <c r="C1895" s="418" t="s">
        <v>6640</v>
      </c>
      <c r="D1895" s="381" t="s">
        <v>6641</v>
      </c>
      <c r="E1895" s="383" t="s">
        <v>6642</v>
      </c>
      <c r="F1895" s="381" t="s">
        <v>6643</v>
      </c>
      <c r="G1895" s="384"/>
      <c r="H1895" s="24"/>
      <c r="I1895" s="24"/>
      <c r="J1895" s="25" t="str">
        <f t="shared" si="88"/>
        <v xml:space="preserve"> </v>
      </c>
      <c r="K1895" s="385"/>
      <c r="L1895" s="392"/>
      <c r="M1895" s="386">
        <f t="shared" si="90"/>
        <v>0</v>
      </c>
      <c r="N1895" s="496">
        <v>513.56999999999994</v>
      </c>
      <c r="O1895" s="333">
        <f t="shared" si="89"/>
        <v>513.56999999999994</v>
      </c>
      <c r="R1895" s="23" t="str">
        <f>VLOOKUP(C:C,'Historic Data - working'!A:B,1,FALSE)</f>
        <v>WES133A</v>
      </c>
      <c r="U1895" s="323"/>
      <c r="V1895" s="323"/>
      <c r="W1895" s="323"/>
    </row>
    <row r="1896" spans="1:23" s="23" customFormat="1" ht="14.25" hidden="1" x14ac:dyDescent="0.2">
      <c r="A1896" s="381" t="s">
        <v>6265</v>
      </c>
      <c r="B1896" s="381" t="s">
        <v>324</v>
      </c>
      <c r="C1896" s="418" t="s">
        <v>6644</v>
      </c>
      <c r="D1896" s="381" t="s">
        <v>6645</v>
      </c>
      <c r="E1896" s="383" t="s">
        <v>2828</v>
      </c>
      <c r="F1896" s="381" t="s">
        <v>6646</v>
      </c>
      <c r="G1896" s="384"/>
      <c r="H1896" s="24"/>
      <c r="I1896" s="24"/>
      <c r="J1896" s="25" t="str">
        <f t="shared" si="88"/>
        <v xml:space="preserve"> </v>
      </c>
      <c r="K1896" s="385"/>
      <c r="L1896" s="385"/>
      <c r="M1896" s="386">
        <f t="shared" si="90"/>
        <v>0</v>
      </c>
      <c r="N1896" s="496"/>
      <c r="O1896" s="333">
        <f t="shared" si="89"/>
        <v>0</v>
      </c>
      <c r="R1896" s="23" t="e">
        <f>VLOOKUP(C:C,'Historic Data - working'!A:B,1,FALSE)</f>
        <v>#N/A</v>
      </c>
      <c r="U1896" s="323"/>
      <c r="V1896" s="323"/>
      <c r="W1896" s="323"/>
    </row>
    <row r="1897" spans="1:23" s="23" customFormat="1" ht="14.25" hidden="1" x14ac:dyDescent="0.2">
      <c r="A1897" s="381" t="s">
        <v>6265</v>
      </c>
      <c r="B1897" s="381" t="s">
        <v>324</v>
      </c>
      <c r="C1897" s="418" t="s">
        <v>6647</v>
      </c>
      <c r="D1897" s="381" t="s">
        <v>6648</v>
      </c>
      <c r="E1897" s="383" t="s">
        <v>124</v>
      </c>
      <c r="F1897" s="381" t="s">
        <v>1832</v>
      </c>
      <c r="G1897" s="384"/>
      <c r="H1897" s="24"/>
      <c r="I1897" s="24"/>
      <c r="J1897" s="25" t="str">
        <f t="shared" si="88"/>
        <v xml:space="preserve"> </v>
      </c>
      <c r="K1897" s="385"/>
      <c r="L1897" s="392"/>
      <c r="M1897" s="386">
        <f t="shared" si="90"/>
        <v>0</v>
      </c>
      <c r="N1897" s="496">
        <v>70</v>
      </c>
      <c r="O1897" s="333">
        <f t="shared" si="89"/>
        <v>70</v>
      </c>
      <c r="R1897" s="23" t="str">
        <f>VLOOKUP(C:C,'Historic Data - working'!A:B,1,FALSE)</f>
        <v>WES134</v>
      </c>
      <c r="U1897" s="323"/>
      <c r="V1897" s="323"/>
      <c r="W1897" s="323"/>
    </row>
    <row r="1898" spans="1:23" s="23" customFormat="1" ht="14.25" hidden="1" x14ac:dyDescent="0.2">
      <c r="A1898" s="381" t="s">
        <v>6265</v>
      </c>
      <c r="B1898" s="381" t="s">
        <v>324</v>
      </c>
      <c r="C1898" s="418" t="s">
        <v>6649</v>
      </c>
      <c r="D1898" s="381" t="s">
        <v>6650</v>
      </c>
      <c r="E1898" s="383" t="s">
        <v>6651</v>
      </c>
      <c r="F1898" s="381" t="s">
        <v>1832</v>
      </c>
      <c r="G1898" s="384"/>
      <c r="H1898" s="24"/>
      <c r="I1898" s="24"/>
      <c r="J1898" s="25" t="str">
        <f t="shared" si="88"/>
        <v xml:space="preserve"> </v>
      </c>
      <c r="K1898" s="385"/>
      <c r="L1898" s="392"/>
      <c r="M1898" s="386">
        <f t="shared" si="90"/>
        <v>0</v>
      </c>
      <c r="N1898" s="496">
        <v>735</v>
      </c>
      <c r="O1898" s="333">
        <f t="shared" si="89"/>
        <v>735</v>
      </c>
      <c r="R1898" s="23" t="str">
        <f>VLOOKUP(C:C,'Historic Data - working'!A:B,1,FALSE)</f>
        <v>WES135</v>
      </c>
      <c r="U1898" s="323"/>
      <c r="V1898" s="323"/>
      <c r="W1898" s="323"/>
    </row>
    <row r="1899" spans="1:23" s="23" customFormat="1" ht="14.25" hidden="1" x14ac:dyDescent="0.2">
      <c r="A1899" s="381" t="s">
        <v>6265</v>
      </c>
      <c r="B1899" s="381" t="s">
        <v>324</v>
      </c>
      <c r="C1899" s="418" t="s">
        <v>6652</v>
      </c>
      <c r="D1899" s="381" t="s">
        <v>6653</v>
      </c>
      <c r="E1899" s="383" t="s">
        <v>6654</v>
      </c>
      <c r="F1899" s="381" t="s">
        <v>6293</v>
      </c>
      <c r="G1899" s="384" t="s">
        <v>329</v>
      </c>
      <c r="H1899" s="24">
        <v>1005</v>
      </c>
      <c r="I1899" s="24"/>
      <c r="J1899" s="25" t="str">
        <f t="shared" si="88"/>
        <v>1</v>
      </c>
      <c r="K1899" s="387" t="s">
        <v>6655</v>
      </c>
      <c r="L1899" s="392">
        <v>-95</v>
      </c>
      <c r="M1899" s="386">
        <f t="shared" si="90"/>
        <v>910</v>
      </c>
      <c r="N1899" s="496">
        <v>145</v>
      </c>
      <c r="O1899" s="333">
        <f t="shared" si="89"/>
        <v>1055</v>
      </c>
      <c r="R1899" s="23" t="str">
        <f>VLOOKUP(C:C,'Historic Data - working'!A:B,1,FALSE)</f>
        <v>WES136</v>
      </c>
      <c r="U1899" s="323"/>
      <c r="V1899" s="323"/>
      <c r="W1899" s="323"/>
    </row>
    <row r="1900" spans="1:23" s="23" customFormat="1" ht="14.25" hidden="1" x14ac:dyDescent="0.2">
      <c r="A1900" s="381" t="s">
        <v>6265</v>
      </c>
      <c r="B1900" s="381" t="s">
        <v>324</v>
      </c>
      <c r="C1900" s="418" t="s">
        <v>6656</v>
      </c>
      <c r="D1900" s="381" t="s">
        <v>6657</v>
      </c>
      <c r="E1900" s="383" t="s">
        <v>1203</v>
      </c>
      <c r="F1900" s="381" t="s">
        <v>1832</v>
      </c>
      <c r="G1900" s="384"/>
      <c r="H1900" s="24"/>
      <c r="I1900" s="24"/>
      <c r="J1900" s="25" t="str">
        <f t="shared" si="88"/>
        <v xml:space="preserve"> </v>
      </c>
      <c r="K1900" s="385"/>
      <c r="L1900" s="392"/>
      <c r="M1900" s="386">
        <f t="shared" si="90"/>
        <v>0</v>
      </c>
      <c r="N1900" s="496">
        <v>759</v>
      </c>
      <c r="O1900" s="333">
        <f t="shared" si="89"/>
        <v>759</v>
      </c>
      <c r="R1900" s="23" t="str">
        <f>VLOOKUP(C:C,'Historic Data - working'!A:B,1,FALSE)</f>
        <v>WES137</v>
      </c>
      <c r="U1900" s="323"/>
      <c r="V1900" s="323"/>
      <c r="W1900" s="323"/>
    </row>
    <row r="1901" spans="1:23" s="23" customFormat="1" ht="14.25" hidden="1" x14ac:dyDescent="0.2">
      <c r="A1901" s="381" t="s">
        <v>6265</v>
      </c>
      <c r="B1901" s="381" t="s">
        <v>324</v>
      </c>
      <c r="C1901" s="418" t="s">
        <v>6658</v>
      </c>
      <c r="D1901" s="381" t="s">
        <v>6659</v>
      </c>
      <c r="E1901" s="383" t="s">
        <v>1352</v>
      </c>
      <c r="F1901" s="381" t="s">
        <v>1832</v>
      </c>
      <c r="G1901" s="384"/>
      <c r="H1901" s="24"/>
      <c r="I1901" s="24"/>
      <c r="J1901" s="25" t="str">
        <f t="shared" ref="J1901:J1964" si="91">IF(G1901="Y","1"," ")</f>
        <v xml:space="preserve"> </v>
      </c>
      <c r="K1901" s="385"/>
      <c r="L1901" s="392"/>
      <c r="M1901" s="386">
        <f t="shared" si="90"/>
        <v>0</v>
      </c>
      <c r="N1901" s="496">
        <v>625</v>
      </c>
      <c r="O1901" s="333">
        <f t="shared" si="89"/>
        <v>625</v>
      </c>
      <c r="R1901" s="23" t="str">
        <f>VLOOKUP(C:C,'Historic Data - working'!A:B,1,FALSE)</f>
        <v>WES138</v>
      </c>
      <c r="U1901" s="323"/>
      <c r="V1901" s="323"/>
      <c r="W1901" s="323"/>
    </row>
    <row r="1902" spans="1:23" s="23" customFormat="1" ht="14.25" hidden="1" x14ac:dyDescent="0.2">
      <c r="A1902" s="381" t="s">
        <v>6265</v>
      </c>
      <c r="B1902" s="381" t="s">
        <v>324</v>
      </c>
      <c r="C1902" s="418" t="s">
        <v>6660</v>
      </c>
      <c r="D1902" s="381" t="s">
        <v>6661</v>
      </c>
      <c r="E1902" s="383" t="s">
        <v>6662</v>
      </c>
      <c r="F1902" s="381" t="s">
        <v>6663</v>
      </c>
      <c r="G1902" s="384" t="s">
        <v>329</v>
      </c>
      <c r="H1902" s="24">
        <f>139+73+47+39+34</f>
        <v>332</v>
      </c>
      <c r="I1902" s="24"/>
      <c r="J1902" s="25" t="str">
        <f t="shared" si="91"/>
        <v>1</v>
      </c>
      <c r="K1902" s="387" t="s">
        <v>6664</v>
      </c>
      <c r="L1902" s="392">
        <v>20</v>
      </c>
      <c r="M1902" s="386">
        <f t="shared" si="90"/>
        <v>352</v>
      </c>
      <c r="N1902" s="496">
        <v>405</v>
      </c>
      <c r="O1902" s="333">
        <f t="shared" si="89"/>
        <v>757</v>
      </c>
      <c r="R1902" s="23" t="str">
        <f>VLOOKUP(C:C,'Historic Data - working'!A:B,1,FALSE)</f>
        <v>WES139</v>
      </c>
      <c r="U1902" s="323"/>
      <c r="V1902" s="323"/>
      <c r="W1902" s="323"/>
    </row>
    <row r="1903" spans="1:23" s="23" customFormat="1" ht="14.25" hidden="1" x14ac:dyDescent="0.2">
      <c r="A1903" s="381" t="s">
        <v>6265</v>
      </c>
      <c r="B1903" s="381" t="s">
        <v>324</v>
      </c>
      <c r="C1903" s="418" t="s">
        <v>6665</v>
      </c>
      <c r="D1903" s="381" t="s">
        <v>6666</v>
      </c>
      <c r="E1903" s="383" t="s">
        <v>183</v>
      </c>
      <c r="F1903" s="381" t="s">
        <v>1832</v>
      </c>
      <c r="G1903" s="384"/>
      <c r="H1903" s="24"/>
      <c r="I1903" s="24"/>
      <c r="J1903" s="25" t="str">
        <f t="shared" si="91"/>
        <v xml:space="preserve"> </v>
      </c>
      <c r="K1903" s="385"/>
      <c r="L1903" s="392"/>
      <c r="M1903" s="386">
        <f t="shared" si="90"/>
        <v>0</v>
      </c>
      <c r="N1903" s="496">
        <v>70</v>
      </c>
      <c r="O1903" s="333">
        <f t="shared" si="89"/>
        <v>70</v>
      </c>
      <c r="R1903" s="23" t="str">
        <f>VLOOKUP(C:C,'Historic Data - working'!A:B,1,FALSE)</f>
        <v>WES140</v>
      </c>
      <c r="U1903" s="323"/>
      <c r="V1903" s="323"/>
      <c r="W1903" s="323"/>
    </row>
    <row r="1904" spans="1:23" s="23" customFormat="1" ht="14.25" hidden="1" x14ac:dyDescent="0.2">
      <c r="A1904" s="381" t="s">
        <v>6265</v>
      </c>
      <c r="B1904" s="381" t="s">
        <v>324</v>
      </c>
      <c r="C1904" s="418" t="s">
        <v>6667</v>
      </c>
      <c r="D1904" s="381" t="s">
        <v>6668</v>
      </c>
      <c r="E1904" s="383" t="s">
        <v>6669</v>
      </c>
      <c r="F1904" s="381" t="s">
        <v>1832</v>
      </c>
      <c r="G1904" s="384"/>
      <c r="H1904" s="24"/>
      <c r="I1904" s="24"/>
      <c r="J1904" s="25" t="str">
        <f t="shared" si="91"/>
        <v xml:space="preserve"> </v>
      </c>
      <c r="K1904" s="385"/>
      <c r="L1904" s="392"/>
      <c r="M1904" s="386">
        <f t="shared" si="90"/>
        <v>0</v>
      </c>
      <c r="N1904" s="496">
        <v>20</v>
      </c>
      <c r="O1904" s="333">
        <f t="shared" si="89"/>
        <v>20</v>
      </c>
      <c r="R1904" s="23" t="str">
        <f>VLOOKUP(C:C,'Historic Data - working'!A:B,1,FALSE)</f>
        <v>WES141</v>
      </c>
      <c r="U1904" s="323"/>
      <c r="V1904" s="323"/>
      <c r="W1904" s="323"/>
    </row>
    <row r="1905" spans="1:23" s="23" customFormat="1" ht="14.25" hidden="1" x14ac:dyDescent="0.2">
      <c r="A1905" s="381" t="s">
        <v>6265</v>
      </c>
      <c r="B1905" s="381" t="s">
        <v>324</v>
      </c>
      <c r="C1905" s="418" t="s">
        <v>6670</v>
      </c>
      <c r="D1905" s="381" t="s">
        <v>6671</v>
      </c>
      <c r="E1905" s="383" t="s">
        <v>6672</v>
      </c>
      <c r="F1905" s="381" t="s">
        <v>6673</v>
      </c>
      <c r="G1905" s="384" t="s">
        <v>329</v>
      </c>
      <c r="H1905" s="24">
        <v>73.16</v>
      </c>
      <c r="I1905" s="24"/>
      <c r="J1905" s="25" t="str">
        <f t="shared" si="91"/>
        <v>1</v>
      </c>
      <c r="K1905" s="385"/>
      <c r="L1905" s="392"/>
      <c r="M1905" s="386">
        <f t="shared" si="90"/>
        <v>73.16</v>
      </c>
      <c r="N1905" s="496">
        <v>345</v>
      </c>
      <c r="O1905" s="333">
        <f t="shared" si="89"/>
        <v>418.15999999999997</v>
      </c>
      <c r="R1905" s="23" t="str">
        <f>VLOOKUP(C:C,'Historic Data - working'!A:B,1,FALSE)</f>
        <v>WES142</v>
      </c>
      <c r="U1905" s="323"/>
      <c r="V1905" s="323"/>
      <c r="W1905" s="323"/>
    </row>
    <row r="1906" spans="1:23" s="23" customFormat="1" ht="14.25" hidden="1" x14ac:dyDescent="0.2">
      <c r="A1906" s="381" t="s">
        <v>6265</v>
      </c>
      <c r="B1906" s="381" t="s">
        <v>324</v>
      </c>
      <c r="C1906" s="418" t="s">
        <v>6674</v>
      </c>
      <c r="D1906" s="381" t="s">
        <v>6675</v>
      </c>
      <c r="E1906" s="383" t="s">
        <v>78</v>
      </c>
      <c r="F1906" s="381" t="s">
        <v>6676</v>
      </c>
      <c r="G1906" s="384"/>
      <c r="H1906" s="24"/>
      <c r="I1906" s="24"/>
      <c r="J1906" s="25" t="str">
        <f t="shared" si="91"/>
        <v xml:space="preserve"> </v>
      </c>
      <c r="K1906" s="385"/>
      <c r="L1906" s="392"/>
      <c r="M1906" s="386">
        <f t="shared" si="90"/>
        <v>0</v>
      </c>
      <c r="N1906" s="496"/>
      <c r="O1906" s="333">
        <f t="shared" si="89"/>
        <v>0</v>
      </c>
      <c r="R1906" s="23" t="e">
        <f>VLOOKUP(C:C,'Historic Data - working'!A:B,1,FALSE)</f>
        <v>#N/A</v>
      </c>
      <c r="U1906" s="323"/>
      <c r="V1906" s="323"/>
      <c r="W1906" s="323"/>
    </row>
    <row r="1907" spans="1:23" s="23" customFormat="1" ht="14.25" hidden="1" x14ac:dyDescent="0.2">
      <c r="A1907" s="381" t="s">
        <v>6265</v>
      </c>
      <c r="B1907" s="381" t="s">
        <v>324</v>
      </c>
      <c r="C1907" s="418" t="s">
        <v>6677</v>
      </c>
      <c r="D1907" s="381" t="s">
        <v>6678</v>
      </c>
      <c r="E1907" s="383" t="s">
        <v>3662</v>
      </c>
      <c r="F1907" s="381" t="s">
        <v>1832</v>
      </c>
      <c r="G1907" s="384"/>
      <c r="H1907" s="24"/>
      <c r="I1907" s="24"/>
      <c r="J1907" s="25" t="str">
        <f t="shared" si="91"/>
        <v xml:space="preserve"> </v>
      </c>
      <c r="K1907" s="385"/>
      <c r="L1907" s="392"/>
      <c r="M1907" s="386">
        <f t="shared" si="90"/>
        <v>0</v>
      </c>
      <c r="N1907" s="496">
        <v>742</v>
      </c>
      <c r="O1907" s="333">
        <f t="shared" si="89"/>
        <v>742</v>
      </c>
      <c r="R1907" s="23" t="str">
        <f>VLOOKUP(C:C,'Historic Data - working'!A:B,1,FALSE)</f>
        <v>WES143</v>
      </c>
      <c r="U1907" s="323"/>
      <c r="V1907" s="323"/>
      <c r="W1907" s="323"/>
    </row>
    <row r="1908" spans="1:23" s="23" customFormat="1" ht="14.25" hidden="1" x14ac:dyDescent="0.2">
      <c r="A1908" s="381" t="s">
        <v>6265</v>
      </c>
      <c r="B1908" s="381" t="s">
        <v>324</v>
      </c>
      <c r="C1908" s="418" t="s">
        <v>6679</v>
      </c>
      <c r="D1908" s="381" t="s">
        <v>6680</v>
      </c>
      <c r="E1908" s="383" t="s">
        <v>1809</v>
      </c>
      <c r="F1908" s="381" t="s">
        <v>6681</v>
      </c>
      <c r="G1908" s="384" t="s">
        <v>329</v>
      </c>
      <c r="H1908" s="24">
        <f>20.4+80.57+9.25+49.47+41.47+12.64+7.58</f>
        <v>221.38000000000002</v>
      </c>
      <c r="I1908" s="24"/>
      <c r="J1908" s="25" t="str">
        <f t="shared" si="91"/>
        <v>1</v>
      </c>
      <c r="K1908" s="385"/>
      <c r="L1908" s="392"/>
      <c r="M1908" s="386">
        <f t="shared" si="90"/>
        <v>221.38000000000002</v>
      </c>
      <c r="N1908" s="496">
        <v>280</v>
      </c>
      <c r="O1908" s="333">
        <f t="shared" si="89"/>
        <v>501.38</v>
      </c>
      <c r="R1908" s="23" t="str">
        <f>VLOOKUP(C:C,'Historic Data - working'!A:B,1,FALSE)</f>
        <v>WES144</v>
      </c>
      <c r="U1908" s="323"/>
      <c r="V1908" s="323"/>
      <c r="W1908" s="323"/>
    </row>
    <row r="1909" spans="1:23" s="23" customFormat="1" ht="14.25" hidden="1" x14ac:dyDescent="0.2">
      <c r="A1909" s="381" t="s">
        <v>6265</v>
      </c>
      <c r="B1909" s="381" t="s">
        <v>324</v>
      </c>
      <c r="C1909" s="418" t="s">
        <v>6682</v>
      </c>
      <c r="D1909" s="381" t="s">
        <v>6683</v>
      </c>
      <c r="E1909" s="383" t="s">
        <v>488</v>
      </c>
      <c r="F1909" s="381" t="s">
        <v>1832</v>
      </c>
      <c r="G1909" s="384"/>
      <c r="H1909" s="24"/>
      <c r="I1909" s="24"/>
      <c r="J1909" s="25" t="str">
        <f t="shared" si="91"/>
        <v xml:space="preserve"> </v>
      </c>
      <c r="K1909" s="385"/>
      <c r="L1909" s="392"/>
      <c r="M1909" s="386">
        <f t="shared" si="90"/>
        <v>0</v>
      </c>
      <c r="N1909" s="496">
        <v>16</v>
      </c>
      <c r="O1909" s="333">
        <f t="shared" si="89"/>
        <v>16</v>
      </c>
      <c r="R1909" s="23" t="str">
        <f>VLOOKUP(C:C,'Historic Data - working'!A:B,1,FALSE)</f>
        <v>WES146</v>
      </c>
      <c r="U1909" s="323"/>
      <c r="V1909" s="323"/>
      <c r="W1909" s="323"/>
    </row>
    <row r="1910" spans="1:23" s="23" customFormat="1" ht="14.25" hidden="1" x14ac:dyDescent="0.2">
      <c r="A1910" s="381" t="s">
        <v>6265</v>
      </c>
      <c r="B1910" s="381" t="s">
        <v>324</v>
      </c>
      <c r="C1910" s="418" t="s">
        <v>6684</v>
      </c>
      <c r="D1910" s="381" t="s">
        <v>6685</v>
      </c>
      <c r="E1910" s="383" t="s">
        <v>6686</v>
      </c>
      <c r="F1910" s="381" t="s">
        <v>1832</v>
      </c>
      <c r="G1910" s="384" t="s">
        <v>329</v>
      </c>
      <c r="H1910" s="24">
        <v>832.98</v>
      </c>
      <c r="I1910" s="24"/>
      <c r="J1910" s="25" t="str">
        <f t="shared" si="91"/>
        <v>1</v>
      </c>
      <c r="K1910" s="385" t="s">
        <v>6687</v>
      </c>
      <c r="L1910" s="392">
        <v>-832.98</v>
      </c>
      <c r="M1910" s="386">
        <f t="shared" si="90"/>
        <v>0</v>
      </c>
      <c r="N1910" s="496">
        <v>2950.83</v>
      </c>
      <c r="O1910" s="333">
        <f t="shared" si="89"/>
        <v>2950.83</v>
      </c>
      <c r="R1910" s="23" t="str">
        <f>VLOOKUP(C:C,'Historic Data - working'!A:B,1,FALSE)</f>
        <v>WES147</v>
      </c>
      <c r="U1910" s="323"/>
      <c r="V1910" s="323"/>
      <c r="W1910" s="323"/>
    </row>
    <row r="1911" spans="1:23" s="23" customFormat="1" ht="14.25" hidden="1" x14ac:dyDescent="0.2">
      <c r="A1911" s="381" t="s">
        <v>6265</v>
      </c>
      <c r="B1911" s="381" t="s">
        <v>324</v>
      </c>
      <c r="C1911" s="418" t="s">
        <v>6688</v>
      </c>
      <c r="D1911" s="381" t="s">
        <v>6689</v>
      </c>
      <c r="E1911" s="383" t="s">
        <v>94</v>
      </c>
      <c r="F1911" s="381" t="s">
        <v>1832</v>
      </c>
      <c r="G1911" s="384"/>
      <c r="H1911" s="24"/>
      <c r="I1911" s="24"/>
      <c r="J1911" s="25" t="str">
        <f t="shared" si="91"/>
        <v xml:space="preserve"> </v>
      </c>
      <c r="K1911" s="385"/>
      <c r="L1911" s="392"/>
      <c r="M1911" s="386">
        <f t="shared" si="90"/>
        <v>0</v>
      </c>
      <c r="N1911" s="496">
        <v>245</v>
      </c>
      <c r="O1911" s="333">
        <f t="shared" si="89"/>
        <v>245</v>
      </c>
      <c r="R1911" s="23" t="str">
        <f>VLOOKUP(C:C,'Historic Data - working'!A:B,1,FALSE)</f>
        <v>WES148</v>
      </c>
      <c r="U1911" s="323"/>
      <c r="V1911" s="323"/>
      <c r="W1911" s="323"/>
    </row>
    <row r="1912" spans="1:23" s="23" customFormat="1" ht="14.25" hidden="1" x14ac:dyDescent="0.2">
      <c r="A1912" s="381" t="s">
        <v>6265</v>
      </c>
      <c r="B1912" s="381" t="s">
        <v>324</v>
      </c>
      <c r="C1912" s="418" t="s">
        <v>6690</v>
      </c>
      <c r="D1912" s="381" t="s">
        <v>6691</v>
      </c>
      <c r="E1912" s="383" t="s">
        <v>989</v>
      </c>
      <c r="F1912" s="381" t="s">
        <v>6451</v>
      </c>
      <c r="G1912" s="384" t="s">
        <v>329</v>
      </c>
      <c r="H1912" s="24">
        <v>459.24</v>
      </c>
      <c r="I1912" s="24"/>
      <c r="J1912" s="25" t="str">
        <f t="shared" si="91"/>
        <v>1</v>
      </c>
      <c r="K1912" s="387" t="s">
        <v>6692</v>
      </c>
      <c r="L1912" s="392">
        <v>14.01</v>
      </c>
      <c r="M1912" s="386">
        <f t="shared" si="90"/>
        <v>473.25</v>
      </c>
      <c r="N1912" s="496">
        <v>316.97000000000003</v>
      </c>
      <c r="O1912" s="333">
        <f t="shared" si="89"/>
        <v>790.22</v>
      </c>
      <c r="R1912" s="23" t="str">
        <f>VLOOKUP(C:C,'Historic Data - working'!A:B,1,FALSE)</f>
        <v>WES149</v>
      </c>
      <c r="U1912" s="323"/>
      <c r="V1912" s="323"/>
      <c r="W1912" s="323"/>
    </row>
    <row r="1913" spans="1:23" s="23" customFormat="1" ht="14.25" hidden="1" x14ac:dyDescent="0.2">
      <c r="A1913" s="381" t="s">
        <v>6265</v>
      </c>
      <c r="B1913" s="381" t="s">
        <v>324</v>
      </c>
      <c r="C1913" s="418" t="s">
        <v>6693</v>
      </c>
      <c r="D1913" s="381" t="s">
        <v>6694</v>
      </c>
      <c r="E1913" s="383" t="s">
        <v>2975</v>
      </c>
      <c r="F1913" s="381" t="s">
        <v>1832</v>
      </c>
      <c r="G1913" s="384"/>
      <c r="H1913" s="24"/>
      <c r="I1913" s="24"/>
      <c r="J1913" s="25" t="str">
        <f t="shared" si="91"/>
        <v xml:space="preserve"> </v>
      </c>
      <c r="K1913" s="385"/>
      <c r="L1913" s="392"/>
      <c r="M1913" s="386">
        <f t="shared" si="90"/>
        <v>0</v>
      </c>
      <c r="N1913" s="496">
        <v>2848.4</v>
      </c>
      <c r="O1913" s="333">
        <f t="shared" si="89"/>
        <v>2848.4</v>
      </c>
      <c r="R1913" s="23" t="str">
        <f>VLOOKUP(C:C,'Historic Data - working'!A:B,1,FALSE)</f>
        <v>WES150</v>
      </c>
      <c r="U1913" s="323"/>
      <c r="V1913" s="323"/>
      <c r="W1913" s="323"/>
    </row>
    <row r="1914" spans="1:23" s="23" customFormat="1" ht="14.25" hidden="1" x14ac:dyDescent="0.2">
      <c r="A1914" s="381" t="s">
        <v>6265</v>
      </c>
      <c r="B1914" s="381" t="s">
        <v>324</v>
      </c>
      <c r="C1914" s="418" t="s">
        <v>6695</v>
      </c>
      <c r="D1914" s="381" t="s">
        <v>6696</v>
      </c>
      <c r="E1914" s="383" t="s">
        <v>3208</v>
      </c>
      <c r="F1914" s="381" t="s">
        <v>6697</v>
      </c>
      <c r="G1914" s="384"/>
      <c r="H1914" s="24"/>
      <c r="I1914" s="24"/>
      <c r="J1914" s="25" t="str">
        <f t="shared" si="91"/>
        <v xml:space="preserve"> </v>
      </c>
      <c r="K1914" s="385"/>
      <c r="L1914" s="392"/>
      <c r="M1914" s="386">
        <f t="shared" si="90"/>
        <v>0</v>
      </c>
      <c r="N1914" s="496">
        <v>1231.5</v>
      </c>
      <c r="O1914" s="333">
        <f t="shared" si="89"/>
        <v>1231.5</v>
      </c>
      <c r="R1914" s="23" t="str">
        <f>VLOOKUP(C:C,'Historic Data - working'!A:B,1,FALSE)</f>
        <v>WES151</v>
      </c>
      <c r="U1914" s="323"/>
      <c r="V1914" s="323"/>
      <c r="W1914" s="323"/>
    </row>
    <row r="1915" spans="1:23" s="23" customFormat="1" ht="14.25" hidden="1" x14ac:dyDescent="0.2">
      <c r="A1915" s="381" t="s">
        <v>6265</v>
      </c>
      <c r="B1915" s="381" t="s">
        <v>324</v>
      </c>
      <c r="C1915" s="418" t="s">
        <v>6698</v>
      </c>
      <c r="D1915" s="381" t="s">
        <v>6699</v>
      </c>
      <c r="E1915" s="383" t="s">
        <v>6700</v>
      </c>
      <c r="F1915" s="381" t="s">
        <v>1832</v>
      </c>
      <c r="G1915" s="384"/>
      <c r="H1915" s="24"/>
      <c r="I1915" s="24"/>
      <c r="J1915" s="25" t="str">
        <f t="shared" si="91"/>
        <v xml:space="preserve"> </v>
      </c>
      <c r="K1915" s="385"/>
      <c r="L1915" s="385"/>
      <c r="M1915" s="386">
        <f t="shared" si="90"/>
        <v>0</v>
      </c>
      <c r="N1915" s="496"/>
      <c r="O1915" s="333">
        <f t="shared" si="89"/>
        <v>0</v>
      </c>
      <c r="R1915" s="23" t="e">
        <f>VLOOKUP(C:C,'Historic Data - working'!A:B,1,FALSE)</f>
        <v>#N/A</v>
      </c>
      <c r="U1915" s="323"/>
      <c r="V1915" s="323"/>
      <c r="W1915" s="323"/>
    </row>
    <row r="1916" spans="1:23" s="23" customFormat="1" ht="14.25" hidden="1" x14ac:dyDescent="0.2">
      <c r="A1916" s="381" t="s">
        <v>6265</v>
      </c>
      <c r="B1916" s="381" t="s">
        <v>324</v>
      </c>
      <c r="C1916" s="418" t="s">
        <v>6701</v>
      </c>
      <c r="D1916" s="381" t="s">
        <v>6702</v>
      </c>
      <c r="E1916" s="383" t="s">
        <v>6703</v>
      </c>
      <c r="F1916" s="381" t="s">
        <v>6415</v>
      </c>
      <c r="G1916" s="384"/>
      <c r="H1916" s="24"/>
      <c r="I1916" s="24"/>
      <c r="J1916" s="25" t="str">
        <f t="shared" si="91"/>
        <v xml:space="preserve"> </v>
      </c>
      <c r="K1916" s="385"/>
      <c r="L1916" s="385"/>
      <c r="M1916" s="386">
        <f t="shared" si="90"/>
        <v>0</v>
      </c>
      <c r="N1916" s="496">
        <v>1875.6799999999998</v>
      </c>
      <c r="O1916" s="333">
        <f t="shared" si="89"/>
        <v>1875.6799999999998</v>
      </c>
      <c r="R1916" s="23" t="str">
        <f>VLOOKUP(C:C,'Historic Data - working'!A:B,1,FALSE)</f>
        <v>WES153</v>
      </c>
      <c r="U1916" s="323"/>
      <c r="V1916" s="323"/>
      <c r="W1916" s="323"/>
    </row>
    <row r="1917" spans="1:23" s="23" customFormat="1" ht="14.25" hidden="1" x14ac:dyDescent="0.2">
      <c r="A1917" s="381" t="s">
        <v>6265</v>
      </c>
      <c r="B1917" s="381" t="s">
        <v>324</v>
      </c>
      <c r="C1917" s="418" t="s">
        <v>6704</v>
      </c>
      <c r="D1917" s="381" t="s">
        <v>6705</v>
      </c>
      <c r="E1917" s="383" t="s">
        <v>6706</v>
      </c>
      <c r="F1917" s="381" t="s">
        <v>1832</v>
      </c>
      <c r="G1917" s="384"/>
      <c r="H1917" s="24"/>
      <c r="I1917" s="24"/>
      <c r="J1917" s="25" t="str">
        <f t="shared" si="91"/>
        <v xml:space="preserve"> </v>
      </c>
      <c r="K1917" s="385"/>
      <c r="L1917" s="385"/>
      <c r="M1917" s="386">
        <f t="shared" si="90"/>
        <v>0</v>
      </c>
      <c r="N1917" s="496">
        <v>367.09999999999997</v>
      </c>
      <c r="O1917" s="333">
        <f t="shared" si="89"/>
        <v>367.09999999999997</v>
      </c>
      <c r="R1917" s="23" t="str">
        <f>VLOOKUP(C:C,'Historic Data - working'!A:B,1,FALSE)</f>
        <v>WES154</v>
      </c>
      <c r="U1917" s="323"/>
      <c r="V1917" s="323"/>
      <c r="W1917" s="323"/>
    </row>
    <row r="1918" spans="1:23" s="23" customFormat="1" ht="14.25" hidden="1" x14ac:dyDescent="0.2">
      <c r="A1918" s="381" t="s">
        <v>6265</v>
      </c>
      <c r="B1918" s="381" t="s">
        <v>324</v>
      </c>
      <c r="C1918" s="418" t="s">
        <v>6707</v>
      </c>
      <c r="D1918" s="381" t="s">
        <v>6708</v>
      </c>
      <c r="E1918" s="383" t="s">
        <v>6709</v>
      </c>
      <c r="F1918" s="381" t="s">
        <v>6389</v>
      </c>
      <c r="G1918" s="384" t="s">
        <v>329</v>
      </c>
      <c r="H1918" s="24">
        <f>65+41+32+12+17+81</f>
        <v>248</v>
      </c>
      <c r="I1918" s="24"/>
      <c r="J1918" s="25" t="str">
        <f t="shared" si="91"/>
        <v>1</v>
      </c>
      <c r="K1918" s="385"/>
      <c r="L1918" s="385"/>
      <c r="M1918" s="386">
        <f t="shared" si="90"/>
        <v>248</v>
      </c>
      <c r="N1918" s="496">
        <v>137.5</v>
      </c>
      <c r="O1918" s="333">
        <f t="shared" si="89"/>
        <v>385.5</v>
      </c>
      <c r="R1918" s="23" t="str">
        <f>VLOOKUP(C:C,'Historic Data - working'!A:B,1,FALSE)</f>
        <v>WES155</v>
      </c>
      <c r="U1918" s="323"/>
      <c r="V1918" s="323"/>
      <c r="W1918" s="323"/>
    </row>
    <row r="1919" spans="1:23" s="23" customFormat="1" ht="14.25" hidden="1" x14ac:dyDescent="0.2">
      <c r="A1919" s="381" t="s">
        <v>6265</v>
      </c>
      <c r="B1919" s="381" t="s">
        <v>324</v>
      </c>
      <c r="C1919" s="418" t="s">
        <v>6710</v>
      </c>
      <c r="D1919" s="381" t="s">
        <v>6711</v>
      </c>
      <c r="E1919" s="383" t="s">
        <v>775</v>
      </c>
      <c r="F1919" s="381" t="s">
        <v>6712</v>
      </c>
      <c r="G1919" s="384" t="s">
        <v>329</v>
      </c>
      <c r="H1919" s="24">
        <f>175.57+478.3+427.98</f>
        <v>1081.8499999999999</v>
      </c>
      <c r="I1919" s="24"/>
      <c r="J1919" s="25" t="str">
        <f t="shared" si="91"/>
        <v>1</v>
      </c>
      <c r="K1919" s="385"/>
      <c r="L1919" s="385"/>
      <c r="M1919" s="386">
        <f t="shared" si="90"/>
        <v>1081.8499999999999</v>
      </c>
      <c r="N1919" s="496">
        <v>409</v>
      </c>
      <c r="O1919" s="333">
        <f t="shared" si="89"/>
        <v>1490.85</v>
      </c>
      <c r="R1919" s="23" t="str">
        <f>VLOOKUP(C:C,'Historic Data - working'!A:B,1,FALSE)</f>
        <v>WES157</v>
      </c>
      <c r="U1919" s="323"/>
      <c r="V1919" s="323"/>
      <c r="W1919" s="323"/>
    </row>
    <row r="1920" spans="1:23" s="23" customFormat="1" ht="14.25" hidden="1" x14ac:dyDescent="0.2">
      <c r="A1920" s="381" t="s">
        <v>6265</v>
      </c>
      <c r="B1920" s="381" t="s">
        <v>324</v>
      </c>
      <c r="C1920" s="418" t="s">
        <v>6713</v>
      </c>
      <c r="D1920" s="381" t="s">
        <v>6714</v>
      </c>
      <c r="E1920" s="383" t="s">
        <v>6715</v>
      </c>
      <c r="F1920" s="381" t="s">
        <v>1832</v>
      </c>
      <c r="G1920" s="384"/>
      <c r="H1920" s="24"/>
      <c r="I1920" s="24"/>
      <c r="J1920" s="25" t="str">
        <f t="shared" si="91"/>
        <v xml:space="preserve"> </v>
      </c>
      <c r="K1920" s="385"/>
      <c r="L1920" s="385"/>
      <c r="M1920" s="386">
        <f t="shared" si="90"/>
        <v>0</v>
      </c>
      <c r="N1920" s="496"/>
      <c r="O1920" s="333">
        <f t="shared" si="89"/>
        <v>0</v>
      </c>
      <c r="R1920" s="23" t="e">
        <f>VLOOKUP(C:C,'Historic Data - working'!A:B,1,FALSE)</f>
        <v>#N/A</v>
      </c>
      <c r="U1920" s="323"/>
      <c r="V1920" s="323"/>
      <c r="W1920" s="323"/>
    </row>
    <row r="1921" spans="1:23" s="23" customFormat="1" ht="14.25" hidden="1" x14ac:dyDescent="0.2">
      <c r="A1921" s="381" t="s">
        <v>6265</v>
      </c>
      <c r="B1921" s="381" t="s">
        <v>324</v>
      </c>
      <c r="C1921" s="418" t="s">
        <v>6716</v>
      </c>
      <c r="D1921" s="381" t="s">
        <v>6717</v>
      </c>
      <c r="E1921" s="383" t="s">
        <v>1409</v>
      </c>
      <c r="F1921" s="381" t="s">
        <v>6718</v>
      </c>
      <c r="G1921" s="384" t="s">
        <v>329</v>
      </c>
      <c r="H1921" s="24">
        <f>87+155+83+98+166</f>
        <v>589</v>
      </c>
      <c r="I1921" s="24"/>
      <c r="J1921" s="25" t="str">
        <f t="shared" si="91"/>
        <v>1</v>
      </c>
      <c r="K1921" s="385"/>
      <c r="L1921" s="385"/>
      <c r="M1921" s="386">
        <f t="shared" si="90"/>
        <v>589</v>
      </c>
      <c r="N1921" s="496">
        <v>150</v>
      </c>
      <c r="O1921" s="334">
        <f t="shared" si="89"/>
        <v>739</v>
      </c>
      <c r="P1921" s="351"/>
      <c r="Q1921" s="331"/>
      <c r="R1921" s="331" t="e">
        <f>VLOOKUP(C:C,'Historic Data - working'!A:B,1,FALSE)</f>
        <v>#N/A</v>
      </c>
      <c r="U1921" s="323"/>
      <c r="V1921" s="323"/>
      <c r="W1921" s="323"/>
    </row>
    <row r="1922" spans="1:23" s="23" customFormat="1" ht="14.25" hidden="1" x14ac:dyDescent="0.2">
      <c r="A1922" s="381" t="s">
        <v>6265</v>
      </c>
      <c r="B1922" s="381" t="s">
        <v>324</v>
      </c>
      <c r="C1922" s="418" t="s">
        <v>6719</v>
      </c>
      <c r="D1922" s="381" t="s">
        <v>6720</v>
      </c>
      <c r="E1922" s="383" t="s">
        <v>989</v>
      </c>
      <c r="F1922" s="381" t="s">
        <v>6721</v>
      </c>
      <c r="G1922" s="384"/>
      <c r="H1922" s="24"/>
      <c r="I1922" s="24"/>
      <c r="J1922" s="25" t="str">
        <f t="shared" si="91"/>
        <v xml:space="preserve"> </v>
      </c>
      <c r="K1922" s="385"/>
      <c r="L1922" s="385"/>
      <c r="M1922" s="386">
        <f t="shared" si="90"/>
        <v>0</v>
      </c>
      <c r="N1922" s="496">
        <v>125.8</v>
      </c>
      <c r="O1922" s="333">
        <f t="shared" ref="O1922:O1985" si="92">M1922+N1922</f>
        <v>125.8</v>
      </c>
      <c r="R1922" s="23" t="str">
        <f>VLOOKUP(C:C,'Historic Data - working'!A:B,1,FALSE)</f>
        <v>WES160</v>
      </c>
      <c r="U1922" s="323"/>
      <c r="V1922" s="323"/>
      <c r="W1922" s="323"/>
    </row>
    <row r="1923" spans="1:23" s="23" customFormat="1" ht="14.25" hidden="1" x14ac:dyDescent="0.2">
      <c r="A1923" s="381" t="s">
        <v>6265</v>
      </c>
      <c r="B1923" s="381" t="s">
        <v>324</v>
      </c>
      <c r="C1923" s="418" t="s">
        <v>6722</v>
      </c>
      <c r="D1923" s="381" t="s">
        <v>6723</v>
      </c>
      <c r="E1923" s="383" t="s">
        <v>783</v>
      </c>
      <c r="F1923" s="381" t="s">
        <v>6361</v>
      </c>
      <c r="G1923" s="384" t="s">
        <v>329</v>
      </c>
      <c r="H1923" s="24">
        <f>25+260.32</f>
        <v>285.32</v>
      </c>
      <c r="I1923" s="24"/>
      <c r="J1923" s="25" t="str">
        <f t="shared" si="91"/>
        <v>1</v>
      </c>
      <c r="K1923" s="385"/>
      <c r="L1923" s="385"/>
      <c r="M1923" s="386">
        <f t="shared" ref="M1923:M1986" si="93">H1923+L1923</f>
        <v>285.32</v>
      </c>
      <c r="N1923" s="496">
        <v>375</v>
      </c>
      <c r="O1923" s="333">
        <f t="shared" si="92"/>
        <v>660.31999999999994</v>
      </c>
      <c r="R1923" s="23" t="str">
        <f>VLOOKUP(C:C,'Historic Data - working'!A:B,1,FALSE)</f>
        <v>WES161</v>
      </c>
      <c r="U1923" s="323"/>
      <c r="V1923" s="323"/>
      <c r="W1923" s="323"/>
    </row>
    <row r="1924" spans="1:23" s="23" customFormat="1" ht="14.25" hidden="1" x14ac:dyDescent="0.2">
      <c r="A1924" s="381" t="s">
        <v>6265</v>
      </c>
      <c r="B1924" s="381" t="s">
        <v>324</v>
      </c>
      <c r="C1924" s="418" t="s">
        <v>6724</v>
      </c>
      <c r="D1924" s="381" t="s">
        <v>6725</v>
      </c>
      <c r="E1924" s="383" t="s">
        <v>6726</v>
      </c>
      <c r="F1924" s="381" t="s">
        <v>6727</v>
      </c>
      <c r="G1924" s="384" t="s">
        <v>329</v>
      </c>
      <c r="H1924" s="24">
        <f>476.8+45.25+574+100</f>
        <v>1196.05</v>
      </c>
      <c r="I1924" s="24"/>
      <c r="J1924" s="25" t="str">
        <f t="shared" si="91"/>
        <v>1</v>
      </c>
      <c r="K1924" s="385" t="s">
        <v>6728</v>
      </c>
      <c r="L1924" s="385">
        <v>-100</v>
      </c>
      <c r="M1924" s="386">
        <f t="shared" si="93"/>
        <v>1096.05</v>
      </c>
      <c r="N1924" s="496">
        <v>560.25</v>
      </c>
      <c r="O1924" s="333">
        <f t="shared" si="92"/>
        <v>1656.3</v>
      </c>
      <c r="R1924" s="23" t="str">
        <f>VLOOKUP(C:C,'Historic Data - working'!A:B,1,FALSE)</f>
        <v>WES162</v>
      </c>
      <c r="U1924" s="323"/>
      <c r="V1924" s="323"/>
      <c r="W1924" s="323"/>
    </row>
    <row r="1925" spans="1:23" s="23" customFormat="1" ht="14.25" hidden="1" x14ac:dyDescent="0.2">
      <c r="A1925" s="381" t="s">
        <v>6265</v>
      </c>
      <c r="B1925" s="381" t="s">
        <v>324</v>
      </c>
      <c r="C1925" s="418" t="s">
        <v>6729</v>
      </c>
      <c r="D1925" s="381" t="s">
        <v>6730</v>
      </c>
      <c r="E1925" s="383" t="s">
        <v>6731</v>
      </c>
      <c r="F1925" s="381" t="s">
        <v>6732</v>
      </c>
      <c r="G1925" s="384"/>
      <c r="H1925" s="24"/>
      <c r="I1925" s="24"/>
      <c r="J1925" s="25" t="str">
        <f t="shared" si="91"/>
        <v xml:space="preserve"> </v>
      </c>
      <c r="K1925" s="385" t="s">
        <v>337</v>
      </c>
      <c r="L1925" s="385">
        <v>874.64</v>
      </c>
      <c r="M1925" s="386">
        <f t="shared" si="93"/>
        <v>874.64</v>
      </c>
      <c r="N1925" s="496">
        <v>770</v>
      </c>
      <c r="O1925" s="333">
        <f t="shared" si="92"/>
        <v>1644.6399999999999</v>
      </c>
      <c r="R1925" s="23" t="str">
        <f>VLOOKUP(C:C,'Historic Data - working'!A:B,1,FALSE)</f>
        <v>WES163</v>
      </c>
      <c r="U1925" s="323"/>
      <c r="V1925" s="323"/>
      <c r="W1925" s="323"/>
    </row>
    <row r="1926" spans="1:23" s="23" customFormat="1" ht="14.25" hidden="1" x14ac:dyDescent="0.2">
      <c r="A1926" s="381" t="s">
        <v>6265</v>
      </c>
      <c r="B1926" s="381" t="s">
        <v>324</v>
      </c>
      <c r="C1926" s="418" t="s">
        <v>6733</v>
      </c>
      <c r="D1926" s="381" t="s">
        <v>6734</v>
      </c>
      <c r="E1926" s="383" t="s">
        <v>1588</v>
      </c>
      <c r="F1926" s="381" t="s">
        <v>6735</v>
      </c>
      <c r="G1926" s="384" t="s">
        <v>329</v>
      </c>
      <c r="H1926" s="31"/>
      <c r="I1926" s="24"/>
      <c r="J1926" s="25" t="str">
        <f t="shared" si="91"/>
        <v>1</v>
      </c>
      <c r="K1926" s="385" t="s">
        <v>6736</v>
      </c>
      <c r="L1926" s="385"/>
      <c r="M1926" s="386">
        <f t="shared" si="93"/>
        <v>0</v>
      </c>
      <c r="N1926" s="496">
        <v>325.8</v>
      </c>
      <c r="O1926" s="333">
        <f t="shared" si="92"/>
        <v>325.8</v>
      </c>
      <c r="R1926" s="23" t="str">
        <f>VLOOKUP(C:C,'Historic Data - working'!A:B,1,FALSE)</f>
        <v>WES164</v>
      </c>
      <c r="U1926" s="323"/>
      <c r="V1926" s="323"/>
      <c r="W1926" s="323"/>
    </row>
    <row r="1927" spans="1:23" s="23" customFormat="1" ht="14.25" hidden="1" x14ac:dyDescent="0.2">
      <c r="A1927" s="381" t="s">
        <v>6265</v>
      </c>
      <c r="B1927" s="381" t="s">
        <v>324</v>
      </c>
      <c r="C1927" s="418" t="s">
        <v>6737</v>
      </c>
      <c r="D1927" s="381" t="s">
        <v>6738</v>
      </c>
      <c r="E1927" s="383" t="s">
        <v>6739</v>
      </c>
      <c r="F1927" s="381" t="s">
        <v>6740</v>
      </c>
      <c r="G1927" s="384" t="s">
        <v>329</v>
      </c>
      <c r="H1927" s="24">
        <v>2407.52</v>
      </c>
      <c r="I1927" s="24"/>
      <c r="J1927" s="25" t="str">
        <f t="shared" si="91"/>
        <v>1</v>
      </c>
      <c r="K1927" s="385"/>
      <c r="L1927" s="385"/>
      <c r="M1927" s="386">
        <f t="shared" si="93"/>
        <v>2407.52</v>
      </c>
      <c r="N1927" s="496">
        <v>764.5</v>
      </c>
      <c r="O1927" s="333">
        <f t="shared" si="92"/>
        <v>3172.02</v>
      </c>
      <c r="R1927" s="23" t="str">
        <f>VLOOKUP(C:C,'Historic Data - working'!A:B,1,FALSE)</f>
        <v>WES165</v>
      </c>
      <c r="U1927" s="323"/>
      <c r="V1927" s="323"/>
      <c r="W1927" s="323"/>
    </row>
    <row r="1928" spans="1:23" s="23" customFormat="1" ht="14.25" hidden="1" x14ac:dyDescent="0.2">
      <c r="A1928" s="381" t="s">
        <v>6265</v>
      </c>
      <c r="B1928" s="381" t="s">
        <v>324</v>
      </c>
      <c r="C1928" s="418" t="s">
        <v>6741</v>
      </c>
      <c r="D1928" s="381" t="s">
        <v>6742</v>
      </c>
      <c r="E1928" s="383" t="s">
        <v>6743</v>
      </c>
      <c r="F1928" s="381" t="s">
        <v>6740</v>
      </c>
      <c r="G1928" s="384"/>
      <c r="H1928" s="24"/>
      <c r="I1928" s="24"/>
      <c r="J1928" s="25" t="str">
        <f t="shared" si="91"/>
        <v xml:space="preserve"> </v>
      </c>
      <c r="K1928" s="385"/>
      <c r="L1928" s="385"/>
      <c r="M1928" s="386">
        <f t="shared" si="93"/>
        <v>0</v>
      </c>
      <c r="N1928" s="496"/>
      <c r="O1928" s="333">
        <f t="shared" si="92"/>
        <v>0</v>
      </c>
      <c r="R1928" s="23" t="e">
        <f>VLOOKUP(C:C,'Historic Data - working'!A:B,1,FALSE)</f>
        <v>#N/A</v>
      </c>
      <c r="U1928" s="323"/>
      <c r="V1928" s="323"/>
      <c r="W1928" s="323"/>
    </row>
    <row r="1929" spans="1:23" s="23" customFormat="1" ht="14.25" hidden="1" x14ac:dyDescent="0.2">
      <c r="A1929" s="381" t="s">
        <v>6265</v>
      </c>
      <c r="B1929" s="381" t="s">
        <v>324</v>
      </c>
      <c r="C1929" s="418" t="s">
        <v>6744</v>
      </c>
      <c r="D1929" s="381" t="s">
        <v>6745</v>
      </c>
      <c r="E1929" s="383" t="s">
        <v>5935</v>
      </c>
      <c r="F1929" s="381" t="s">
        <v>6746</v>
      </c>
      <c r="G1929" s="384"/>
      <c r="H1929" s="24"/>
      <c r="I1929" s="24"/>
      <c r="J1929" s="25" t="str">
        <f t="shared" si="91"/>
        <v xml:space="preserve"> </v>
      </c>
      <c r="K1929" s="385"/>
      <c r="L1929" s="385"/>
      <c r="M1929" s="386">
        <f t="shared" si="93"/>
        <v>0</v>
      </c>
      <c r="N1929" s="496">
        <v>468</v>
      </c>
      <c r="O1929" s="333">
        <f t="shared" si="92"/>
        <v>468</v>
      </c>
      <c r="R1929" s="23" t="str">
        <f>VLOOKUP(C:C,'Historic Data - working'!A:B,1,FALSE)</f>
        <v>WES166</v>
      </c>
      <c r="U1929" s="323"/>
      <c r="V1929" s="323"/>
      <c r="W1929" s="323"/>
    </row>
    <row r="1930" spans="1:23" s="23" customFormat="1" ht="14.25" hidden="1" x14ac:dyDescent="0.2">
      <c r="A1930" s="381" t="s">
        <v>6265</v>
      </c>
      <c r="B1930" s="381" t="s">
        <v>324</v>
      </c>
      <c r="C1930" s="418" t="s">
        <v>6747</v>
      </c>
      <c r="D1930" s="381" t="s">
        <v>6748</v>
      </c>
      <c r="E1930" s="383" t="s">
        <v>640</v>
      </c>
      <c r="F1930" s="381" t="s">
        <v>1832</v>
      </c>
      <c r="G1930" s="384"/>
      <c r="H1930" s="24"/>
      <c r="I1930" s="24"/>
      <c r="J1930" s="25" t="str">
        <f t="shared" si="91"/>
        <v xml:space="preserve"> </v>
      </c>
      <c r="K1930" s="385" t="s">
        <v>337</v>
      </c>
      <c r="L1930" s="385">
        <v>255.51</v>
      </c>
      <c r="M1930" s="386">
        <f t="shared" si="93"/>
        <v>255.51</v>
      </c>
      <c r="N1930" s="496">
        <v>1030.3800000000001</v>
      </c>
      <c r="O1930" s="333">
        <f t="shared" si="92"/>
        <v>1285.8900000000001</v>
      </c>
      <c r="R1930" s="23" t="str">
        <f>VLOOKUP(C:C,'Historic Data - working'!A:B,1,FALSE)</f>
        <v>WES167</v>
      </c>
      <c r="U1930" s="323"/>
      <c r="V1930" s="323"/>
      <c r="W1930" s="323"/>
    </row>
    <row r="1931" spans="1:23" s="23" customFormat="1" ht="14.25" hidden="1" x14ac:dyDescent="0.2">
      <c r="A1931" s="381" t="s">
        <v>6265</v>
      </c>
      <c r="B1931" s="381" t="s">
        <v>324</v>
      </c>
      <c r="C1931" s="418" t="s">
        <v>6749</v>
      </c>
      <c r="D1931" s="381" t="s">
        <v>6750</v>
      </c>
      <c r="E1931" s="383" t="s">
        <v>3250</v>
      </c>
      <c r="F1931" s="381" t="s">
        <v>1832</v>
      </c>
      <c r="G1931" s="384"/>
      <c r="H1931" s="24"/>
      <c r="I1931" s="24"/>
      <c r="J1931" s="25" t="str">
        <f t="shared" si="91"/>
        <v xml:space="preserve"> </v>
      </c>
      <c r="K1931" s="385"/>
      <c r="L1931" s="385"/>
      <c r="M1931" s="386">
        <f t="shared" si="93"/>
        <v>0</v>
      </c>
      <c r="N1931" s="496">
        <v>1876.9099999999999</v>
      </c>
      <c r="O1931" s="333">
        <f t="shared" si="92"/>
        <v>1876.9099999999999</v>
      </c>
      <c r="R1931" s="23" t="str">
        <f>VLOOKUP(C:C,'Historic Data - working'!A:B,1,FALSE)</f>
        <v>WES168</v>
      </c>
      <c r="U1931" s="323"/>
      <c r="V1931" s="323"/>
      <c r="W1931" s="323"/>
    </row>
    <row r="1932" spans="1:23" s="23" customFormat="1" ht="14.25" hidden="1" x14ac:dyDescent="0.2">
      <c r="A1932" s="381" t="s">
        <v>6265</v>
      </c>
      <c r="B1932" s="381" t="s">
        <v>324</v>
      </c>
      <c r="C1932" s="418" t="s">
        <v>6751</v>
      </c>
      <c r="D1932" s="381" t="s">
        <v>6752</v>
      </c>
      <c r="E1932" s="383" t="s">
        <v>6753</v>
      </c>
      <c r="F1932" s="381" t="s">
        <v>6754</v>
      </c>
      <c r="G1932" s="384"/>
      <c r="H1932" s="24"/>
      <c r="I1932" s="24"/>
      <c r="J1932" s="25" t="str">
        <f t="shared" si="91"/>
        <v xml:space="preserve"> </v>
      </c>
      <c r="K1932" s="385"/>
      <c r="L1932" s="385"/>
      <c r="M1932" s="386">
        <f t="shared" si="93"/>
        <v>0</v>
      </c>
      <c r="N1932" s="496">
        <v>630</v>
      </c>
      <c r="O1932" s="333">
        <f t="shared" si="92"/>
        <v>630</v>
      </c>
      <c r="R1932" s="23" t="str">
        <f>VLOOKUP(C:C,'Historic Data - working'!A:B,1,FALSE)</f>
        <v>WES169</v>
      </c>
      <c r="U1932" s="323"/>
      <c r="V1932" s="323"/>
      <c r="W1932" s="323"/>
    </row>
    <row r="1933" spans="1:23" s="23" customFormat="1" ht="14.25" hidden="1" x14ac:dyDescent="0.2">
      <c r="A1933" s="381" t="s">
        <v>6265</v>
      </c>
      <c r="B1933" s="381" t="s">
        <v>324</v>
      </c>
      <c r="C1933" s="418" t="s">
        <v>6755</v>
      </c>
      <c r="D1933" s="381" t="s">
        <v>6756</v>
      </c>
      <c r="E1933" s="383" t="s">
        <v>2530</v>
      </c>
      <c r="F1933" s="381" t="s">
        <v>6757</v>
      </c>
      <c r="G1933" s="384"/>
      <c r="H1933" s="24"/>
      <c r="I1933" s="24"/>
      <c r="J1933" s="25" t="str">
        <f t="shared" si="91"/>
        <v xml:space="preserve"> </v>
      </c>
      <c r="K1933" s="385"/>
      <c r="L1933" s="385"/>
      <c r="M1933" s="386">
        <f t="shared" si="93"/>
        <v>0</v>
      </c>
      <c r="N1933" s="496">
        <v>855</v>
      </c>
      <c r="O1933" s="333">
        <f t="shared" si="92"/>
        <v>855</v>
      </c>
      <c r="R1933" s="23" t="str">
        <f>VLOOKUP(C:C,'Historic Data - working'!A:B,1,FALSE)</f>
        <v>WES170</v>
      </c>
      <c r="U1933" s="323"/>
      <c r="V1933" s="323"/>
      <c r="W1933" s="323"/>
    </row>
    <row r="1934" spans="1:23" s="23" customFormat="1" ht="14.25" hidden="1" x14ac:dyDescent="0.2">
      <c r="A1934" s="381" t="s">
        <v>6265</v>
      </c>
      <c r="B1934" s="381" t="s">
        <v>324</v>
      </c>
      <c r="C1934" s="418" t="s">
        <v>6758</v>
      </c>
      <c r="D1934" s="381" t="s">
        <v>6759</v>
      </c>
      <c r="E1934" s="383" t="s">
        <v>6760</v>
      </c>
      <c r="F1934" s="381" t="s">
        <v>1832</v>
      </c>
      <c r="G1934" s="384" t="s">
        <v>329</v>
      </c>
      <c r="H1934" s="24">
        <v>1968.3</v>
      </c>
      <c r="I1934" s="24"/>
      <c r="J1934" s="25" t="str">
        <f t="shared" si="91"/>
        <v>1</v>
      </c>
      <c r="K1934" s="385"/>
      <c r="L1934" s="385"/>
      <c r="M1934" s="386">
        <f t="shared" si="93"/>
        <v>1968.3</v>
      </c>
      <c r="N1934" s="496">
        <v>160</v>
      </c>
      <c r="O1934" s="333">
        <f t="shared" si="92"/>
        <v>2128.3000000000002</v>
      </c>
      <c r="R1934" s="23" t="str">
        <f>VLOOKUP(C:C,'Historic Data - working'!A:B,1,FALSE)</f>
        <v>WES171</v>
      </c>
      <c r="U1934" s="323"/>
      <c r="V1934" s="323"/>
      <c r="W1934" s="323"/>
    </row>
    <row r="1935" spans="1:23" s="23" customFormat="1" ht="14.25" hidden="1" x14ac:dyDescent="0.2">
      <c r="A1935" s="381" t="s">
        <v>6265</v>
      </c>
      <c r="B1935" s="381" t="s">
        <v>324</v>
      </c>
      <c r="C1935" s="418" t="s">
        <v>6761</v>
      </c>
      <c r="D1935" s="381" t="s">
        <v>6762</v>
      </c>
      <c r="E1935" s="383" t="s">
        <v>6763</v>
      </c>
      <c r="F1935" s="381" t="s">
        <v>1832</v>
      </c>
      <c r="G1935" s="384"/>
      <c r="H1935" s="24"/>
      <c r="I1935" s="24"/>
      <c r="J1935" s="25" t="str">
        <f t="shared" si="91"/>
        <v xml:space="preserve"> </v>
      </c>
      <c r="K1935" s="385"/>
      <c r="L1935" s="385"/>
      <c r="M1935" s="386">
        <f t="shared" si="93"/>
        <v>0</v>
      </c>
      <c r="N1935" s="496"/>
      <c r="O1935" s="333">
        <f t="shared" si="92"/>
        <v>0</v>
      </c>
      <c r="R1935" s="23" t="e">
        <f>VLOOKUP(C:C,'Historic Data - working'!A:B,1,FALSE)</f>
        <v>#N/A</v>
      </c>
      <c r="U1935" s="323"/>
      <c r="V1935" s="323"/>
      <c r="W1935" s="323"/>
    </row>
    <row r="1936" spans="1:23" s="23" customFormat="1" ht="14.25" hidden="1" x14ac:dyDescent="0.2">
      <c r="A1936" s="381" t="s">
        <v>6265</v>
      </c>
      <c r="B1936" s="381" t="s">
        <v>324</v>
      </c>
      <c r="C1936" s="418" t="s">
        <v>6764</v>
      </c>
      <c r="D1936" s="381" t="s">
        <v>6765</v>
      </c>
      <c r="E1936" s="383" t="s">
        <v>989</v>
      </c>
      <c r="F1936" s="381" t="s">
        <v>6766</v>
      </c>
      <c r="G1936" s="384" t="s">
        <v>329</v>
      </c>
      <c r="H1936" s="24">
        <v>816.04</v>
      </c>
      <c r="I1936" s="24"/>
      <c r="J1936" s="25" t="str">
        <f t="shared" si="91"/>
        <v>1</v>
      </c>
      <c r="K1936" s="387" t="s">
        <v>6767</v>
      </c>
      <c r="L1936" s="385">
        <v>-36.9</v>
      </c>
      <c r="M1936" s="386">
        <f t="shared" si="93"/>
        <v>779.14</v>
      </c>
      <c r="N1936" s="496">
        <v>248</v>
      </c>
      <c r="O1936" s="333">
        <f t="shared" si="92"/>
        <v>1027.1399999999999</v>
      </c>
      <c r="R1936" s="23" t="str">
        <f>VLOOKUP(C:C,'Historic Data - working'!A:B,1,FALSE)</f>
        <v>WES173</v>
      </c>
      <c r="U1936" s="323"/>
      <c r="V1936" s="323"/>
      <c r="W1936" s="323"/>
    </row>
    <row r="1937" spans="1:23" s="23" customFormat="1" ht="14.25" hidden="1" x14ac:dyDescent="0.2">
      <c r="A1937" s="381" t="s">
        <v>6265</v>
      </c>
      <c r="B1937" s="381" t="s">
        <v>324</v>
      </c>
      <c r="C1937" s="418" t="s">
        <v>6768</v>
      </c>
      <c r="D1937" s="381" t="s">
        <v>6769</v>
      </c>
      <c r="E1937" s="383" t="s">
        <v>124</v>
      </c>
      <c r="F1937" s="381" t="s">
        <v>1832</v>
      </c>
      <c r="G1937" s="384"/>
      <c r="H1937" s="24"/>
      <c r="I1937" s="24"/>
      <c r="J1937" s="25" t="str">
        <f t="shared" si="91"/>
        <v xml:space="preserve"> </v>
      </c>
      <c r="K1937" s="385"/>
      <c r="L1937" s="385"/>
      <c r="M1937" s="386">
        <f t="shared" si="93"/>
        <v>0</v>
      </c>
      <c r="N1937" s="496">
        <v>120</v>
      </c>
      <c r="O1937" s="333">
        <f t="shared" si="92"/>
        <v>120</v>
      </c>
      <c r="R1937" s="23" t="str">
        <f>VLOOKUP(C:C,'Historic Data - working'!A:B,1,FALSE)</f>
        <v>WES174</v>
      </c>
      <c r="U1937" s="323"/>
      <c r="V1937" s="323"/>
      <c r="W1937" s="323"/>
    </row>
    <row r="1938" spans="1:23" s="23" customFormat="1" ht="14.25" hidden="1" x14ac:dyDescent="0.2">
      <c r="A1938" s="381" t="s">
        <v>6265</v>
      </c>
      <c r="B1938" s="381" t="s">
        <v>324</v>
      </c>
      <c r="C1938" s="418" t="s">
        <v>6770</v>
      </c>
      <c r="D1938" s="381" t="s">
        <v>6771</v>
      </c>
      <c r="E1938" s="383" t="s">
        <v>6772</v>
      </c>
      <c r="F1938" s="381" t="s">
        <v>1832</v>
      </c>
      <c r="G1938" s="384"/>
      <c r="H1938" s="24"/>
      <c r="I1938" s="24"/>
      <c r="J1938" s="25" t="str">
        <f t="shared" si="91"/>
        <v xml:space="preserve"> </v>
      </c>
      <c r="K1938" s="385"/>
      <c r="L1938" s="385"/>
      <c r="M1938" s="386">
        <f t="shared" si="93"/>
        <v>0</v>
      </c>
      <c r="N1938" s="496">
        <v>609.41999999999996</v>
      </c>
      <c r="O1938" s="333">
        <f t="shared" si="92"/>
        <v>609.41999999999996</v>
      </c>
      <c r="R1938" s="23" t="str">
        <f>VLOOKUP(C:C,'Historic Data - working'!A:B,1,FALSE)</f>
        <v>WES175</v>
      </c>
      <c r="U1938" s="323"/>
      <c r="V1938" s="323"/>
      <c r="W1938" s="323"/>
    </row>
    <row r="1939" spans="1:23" s="23" customFormat="1" ht="14.25" hidden="1" x14ac:dyDescent="0.2">
      <c r="A1939" s="381" t="s">
        <v>6265</v>
      </c>
      <c r="B1939" s="381" t="s">
        <v>324</v>
      </c>
      <c r="C1939" s="418" t="s">
        <v>6773</v>
      </c>
      <c r="D1939" s="381" t="s">
        <v>6774</v>
      </c>
      <c r="E1939" s="383" t="s">
        <v>583</v>
      </c>
      <c r="F1939" s="381" t="s">
        <v>6775</v>
      </c>
      <c r="G1939" s="384"/>
      <c r="H1939" s="24"/>
      <c r="I1939" s="24"/>
      <c r="J1939" s="25" t="str">
        <f t="shared" si="91"/>
        <v xml:space="preserve"> </v>
      </c>
      <c r="K1939" s="385"/>
      <c r="L1939" s="385"/>
      <c r="M1939" s="386">
        <f t="shared" si="93"/>
        <v>0</v>
      </c>
      <c r="N1939" s="496">
        <v>547.70000000000005</v>
      </c>
      <c r="O1939" s="333">
        <f t="shared" si="92"/>
        <v>547.70000000000005</v>
      </c>
      <c r="R1939" s="23" t="str">
        <f>VLOOKUP(C:C,'Historic Data - working'!A:B,1,FALSE)</f>
        <v>WES176</v>
      </c>
      <c r="U1939" s="323"/>
      <c r="V1939" s="323"/>
      <c r="W1939" s="323"/>
    </row>
    <row r="1940" spans="1:23" s="23" customFormat="1" ht="14.25" hidden="1" x14ac:dyDescent="0.2">
      <c r="A1940" s="381" t="s">
        <v>6265</v>
      </c>
      <c r="B1940" s="381" t="s">
        <v>324</v>
      </c>
      <c r="C1940" s="418" t="s">
        <v>6776</v>
      </c>
      <c r="D1940" s="381" t="s">
        <v>6777</v>
      </c>
      <c r="E1940" s="383" t="s">
        <v>3142</v>
      </c>
      <c r="F1940" s="381" t="s">
        <v>1832</v>
      </c>
      <c r="G1940" s="384"/>
      <c r="H1940" s="24"/>
      <c r="I1940" s="24"/>
      <c r="J1940" s="25" t="str">
        <f t="shared" si="91"/>
        <v xml:space="preserve"> </v>
      </c>
      <c r="K1940" s="385"/>
      <c r="L1940" s="385"/>
      <c r="M1940" s="386">
        <f t="shared" si="93"/>
        <v>0</v>
      </c>
      <c r="N1940" s="496">
        <v>185</v>
      </c>
      <c r="O1940" s="333">
        <f t="shared" si="92"/>
        <v>185</v>
      </c>
      <c r="R1940" s="23" t="str">
        <f>VLOOKUP(C:C,'Historic Data - working'!A:B,1,FALSE)</f>
        <v>WES177</v>
      </c>
      <c r="U1940" s="323"/>
      <c r="V1940" s="323"/>
      <c r="W1940" s="323"/>
    </row>
    <row r="1941" spans="1:23" s="23" customFormat="1" ht="14.25" hidden="1" x14ac:dyDescent="0.2">
      <c r="A1941" s="381" t="s">
        <v>6265</v>
      </c>
      <c r="B1941" s="381" t="s">
        <v>324</v>
      </c>
      <c r="C1941" s="418" t="s">
        <v>6778</v>
      </c>
      <c r="D1941" s="381" t="s">
        <v>6779</v>
      </c>
      <c r="E1941" s="383" t="s">
        <v>198</v>
      </c>
      <c r="F1941" s="381" t="s">
        <v>6780</v>
      </c>
      <c r="G1941" s="384" t="s">
        <v>329</v>
      </c>
      <c r="H1941" s="24">
        <f>618.63+632.29</f>
        <v>1250.92</v>
      </c>
      <c r="I1941" s="24"/>
      <c r="J1941" s="25" t="str">
        <f t="shared" si="91"/>
        <v>1</v>
      </c>
      <c r="K1941" s="385"/>
      <c r="L1941" s="385"/>
      <c r="M1941" s="386">
        <f t="shared" si="93"/>
        <v>1250.92</v>
      </c>
      <c r="N1941" s="496">
        <v>160</v>
      </c>
      <c r="O1941" s="333">
        <f t="shared" si="92"/>
        <v>1410.92</v>
      </c>
      <c r="R1941" s="23" t="str">
        <f>VLOOKUP(C:C,'Historic Data - working'!A:B,1,FALSE)</f>
        <v>WES178</v>
      </c>
      <c r="U1941" s="323"/>
      <c r="V1941" s="323"/>
      <c r="W1941" s="323"/>
    </row>
    <row r="1942" spans="1:23" s="23" customFormat="1" ht="14.25" hidden="1" x14ac:dyDescent="0.2">
      <c r="A1942" s="381" t="s">
        <v>6265</v>
      </c>
      <c r="B1942" s="381" t="s">
        <v>324</v>
      </c>
      <c r="C1942" s="418" t="s">
        <v>6781</v>
      </c>
      <c r="D1942" s="381" t="s">
        <v>6782</v>
      </c>
      <c r="E1942" s="383" t="s">
        <v>6783</v>
      </c>
      <c r="F1942" s="381" t="s">
        <v>1832</v>
      </c>
      <c r="G1942" s="384"/>
      <c r="H1942" s="24"/>
      <c r="I1942" s="24"/>
      <c r="J1942" s="25" t="str">
        <f t="shared" si="91"/>
        <v xml:space="preserve"> </v>
      </c>
      <c r="K1942" s="385"/>
      <c r="L1942" s="385"/>
      <c r="M1942" s="386">
        <f t="shared" si="93"/>
        <v>0</v>
      </c>
      <c r="N1942" s="496">
        <v>10</v>
      </c>
      <c r="O1942" s="333">
        <f t="shared" si="92"/>
        <v>10</v>
      </c>
      <c r="R1942" s="23" t="str">
        <f>VLOOKUP(C:C,'Historic Data - working'!A:B,1,FALSE)</f>
        <v>WES179</v>
      </c>
      <c r="U1942" s="323"/>
      <c r="V1942" s="323"/>
      <c r="W1942" s="323"/>
    </row>
    <row r="1943" spans="1:23" s="23" customFormat="1" ht="14.25" hidden="1" x14ac:dyDescent="0.2">
      <c r="A1943" s="381" t="s">
        <v>6265</v>
      </c>
      <c r="B1943" s="381" t="s">
        <v>324</v>
      </c>
      <c r="C1943" s="418" t="s">
        <v>6784</v>
      </c>
      <c r="D1943" s="381" t="s">
        <v>6785</v>
      </c>
      <c r="E1943" s="383" t="s">
        <v>6786</v>
      </c>
      <c r="F1943" s="381" t="s">
        <v>6787</v>
      </c>
      <c r="G1943" s="384" t="s">
        <v>329</v>
      </c>
      <c r="H1943" s="24">
        <v>1766.1</v>
      </c>
      <c r="I1943" s="24"/>
      <c r="J1943" s="25" t="str">
        <f t="shared" si="91"/>
        <v>1</v>
      </c>
      <c r="K1943" s="387" t="s">
        <v>6788</v>
      </c>
      <c r="L1943" s="385">
        <v>-0.21</v>
      </c>
      <c r="M1943" s="386">
        <f t="shared" si="93"/>
        <v>1765.8899999999999</v>
      </c>
      <c r="N1943" s="496">
        <v>287.97000000000003</v>
      </c>
      <c r="O1943" s="333">
        <f t="shared" si="92"/>
        <v>2053.8599999999997</v>
      </c>
      <c r="R1943" s="23" t="str">
        <f>VLOOKUP(C:C,'Historic Data - working'!A:B,1,FALSE)</f>
        <v>WES180</v>
      </c>
      <c r="U1943" s="323"/>
      <c r="V1943" s="323"/>
      <c r="W1943" s="323"/>
    </row>
    <row r="1944" spans="1:23" s="23" customFormat="1" ht="14.25" hidden="1" x14ac:dyDescent="0.2">
      <c r="A1944" s="381" t="s">
        <v>6265</v>
      </c>
      <c r="B1944" s="381" t="s">
        <v>324</v>
      </c>
      <c r="C1944" s="418" t="s">
        <v>6789</v>
      </c>
      <c r="D1944" s="381" t="s">
        <v>6790</v>
      </c>
      <c r="E1944" s="383" t="s">
        <v>3420</v>
      </c>
      <c r="F1944" s="381" t="s">
        <v>6791</v>
      </c>
      <c r="G1944" s="384"/>
      <c r="H1944" s="24"/>
      <c r="I1944" s="24"/>
      <c r="J1944" s="25" t="str">
        <f t="shared" si="91"/>
        <v xml:space="preserve"> </v>
      </c>
      <c r="K1944" s="385"/>
      <c r="L1944" s="385"/>
      <c r="M1944" s="386">
        <f t="shared" si="93"/>
        <v>0</v>
      </c>
      <c r="N1944" s="496">
        <v>170</v>
      </c>
      <c r="O1944" s="333">
        <f t="shared" si="92"/>
        <v>170</v>
      </c>
      <c r="R1944" s="23" t="str">
        <f>VLOOKUP(C:C,'Historic Data - working'!A:B,1,FALSE)</f>
        <v>WES181</v>
      </c>
      <c r="U1944" s="323"/>
      <c r="V1944" s="323"/>
      <c r="W1944" s="323"/>
    </row>
    <row r="1945" spans="1:23" s="23" customFormat="1" ht="14.25" hidden="1" x14ac:dyDescent="0.2">
      <c r="A1945" s="381" t="s">
        <v>6265</v>
      </c>
      <c r="B1945" s="381" t="s">
        <v>324</v>
      </c>
      <c r="C1945" s="418" t="s">
        <v>6792</v>
      </c>
      <c r="D1945" s="381" t="s">
        <v>6793</v>
      </c>
      <c r="E1945" s="383" t="s">
        <v>6794</v>
      </c>
      <c r="F1945" s="381" t="s">
        <v>1832</v>
      </c>
      <c r="G1945" s="384"/>
      <c r="H1945" s="24"/>
      <c r="I1945" s="24"/>
      <c r="J1945" s="25" t="str">
        <f t="shared" si="91"/>
        <v xml:space="preserve"> </v>
      </c>
      <c r="K1945" s="385"/>
      <c r="L1945" s="385"/>
      <c r="M1945" s="386">
        <f t="shared" si="93"/>
        <v>0</v>
      </c>
      <c r="N1945" s="496">
        <v>150.46</v>
      </c>
      <c r="O1945" s="333">
        <f t="shared" si="92"/>
        <v>150.46</v>
      </c>
      <c r="R1945" s="23" t="str">
        <f>VLOOKUP(C:C,'Historic Data - working'!A:B,1,FALSE)</f>
        <v>WES182</v>
      </c>
      <c r="U1945" s="323"/>
      <c r="V1945" s="323"/>
      <c r="W1945" s="323"/>
    </row>
    <row r="1946" spans="1:23" s="23" customFormat="1" ht="14.25" hidden="1" x14ac:dyDescent="0.2">
      <c r="A1946" s="381" t="s">
        <v>6265</v>
      </c>
      <c r="B1946" s="381" t="s">
        <v>324</v>
      </c>
      <c r="C1946" s="418" t="s">
        <v>6795</v>
      </c>
      <c r="D1946" s="381" t="s">
        <v>6796</v>
      </c>
      <c r="E1946" s="383" t="s">
        <v>6797</v>
      </c>
      <c r="F1946" s="381" t="s">
        <v>6798</v>
      </c>
      <c r="G1946" s="384" t="s">
        <v>329</v>
      </c>
      <c r="H1946" s="24">
        <f>123.12+95.45</f>
        <v>218.57</v>
      </c>
      <c r="I1946" s="24"/>
      <c r="J1946" s="25" t="str">
        <f t="shared" si="91"/>
        <v>1</v>
      </c>
      <c r="K1946" s="385"/>
      <c r="L1946" s="385"/>
      <c r="M1946" s="386">
        <f t="shared" si="93"/>
        <v>218.57</v>
      </c>
      <c r="N1946" s="496">
        <v>75</v>
      </c>
      <c r="O1946" s="333">
        <f t="shared" si="92"/>
        <v>293.57</v>
      </c>
      <c r="R1946" s="23" t="str">
        <f>VLOOKUP(C:C,'Historic Data - working'!A:B,1,FALSE)</f>
        <v>WES183</v>
      </c>
      <c r="U1946" s="323"/>
      <c r="V1946" s="323"/>
      <c r="W1946" s="323"/>
    </row>
    <row r="1947" spans="1:23" s="23" customFormat="1" ht="14.25" hidden="1" x14ac:dyDescent="0.2">
      <c r="A1947" s="381" t="s">
        <v>6265</v>
      </c>
      <c r="B1947" s="381" t="s">
        <v>324</v>
      </c>
      <c r="C1947" s="418" t="s">
        <v>6799</v>
      </c>
      <c r="D1947" s="381" t="s">
        <v>6800</v>
      </c>
      <c r="E1947" s="383" t="s">
        <v>6801</v>
      </c>
      <c r="F1947" s="381" t="s">
        <v>6798</v>
      </c>
      <c r="G1947" s="384" t="s">
        <v>329</v>
      </c>
      <c r="H1947" s="24">
        <v>75.8</v>
      </c>
      <c r="I1947" s="24"/>
      <c r="J1947" s="25" t="str">
        <f t="shared" si="91"/>
        <v>1</v>
      </c>
      <c r="K1947" s="385" t="s">
        <v>6802</v>
      </c>
      <c r="L1947" s="385">
        <v>221.44</v>
      </c>
      <c r="M1947" s="386">
        <f t="shared" si="93"/>
        <v>297.24</v>
      </c>
      <c r="N1947" s="496">
        <v>355</v>
      </c>
      <c r="O1947" s="333">
        <f t="shared" si="92"/>
        <v>652.24</v>
      </c>
      <c r="R1947" s="23" t="str">
        <f>VLOOKUP(C:C,'Historic Data - working'!A:B,1,FALSE)</f>
        <v>WES185</v>
      </c>
      <c r="U1947" s="323"/>
      <c r="V1947" s="323"/>
      <c r="W1947" s="323"/>
    </row>
    <row r="1948" spans="1:23" s="23" customFormat="1" ht="14.25" hidden="1" x14ac:dyDescent="0.2">
      <c r="A1948" s="381" t="s">
        <v>6265</v>
      </c>
      <c r="B1948" s="381" t="s">
        <v>324</v>
      </c>
      <c r="C1948" s="418" t="s">
        <v>6803</v>
      </c>
      <c r="D1948" s="381" t="s">
        <v>6804</v>
      </c>
      <c r="E1948" s="383" t="s">
        <v>6805</v>
      </c>
      <c r="F1948" s="381" t="s">
        <v>6806</v>
      </c>
      <c r="G1948" s="384" t="s">
        <v>329</v>
      </c>
      <c r="H1948" s="24">
        <v>986.54</v>
      </c>
      <c r="I1948" s="24"/>
      <c r="J1948" s="25" t="str">
        <f t="shared" si="91"/>
        <v>1</v>
      </c>
      <c r="K1948" s="385"/>
      <c r="L1948" s="385"/>
      <c r="M1948" s="386">
        <f t="shared" si="93"/>
        <v>986.54</v>
      </c>
      <c r="N1948" s="496">
        <v>685</v>
      </c>
      <c r="O1948" s="333">
        <f t="shared" si="92"/>
        <v>1671.54</v>
      </c>
      <c r="R1948" s="23" t="str">
        <f>VLOOKUP(C:C,'Historic Data - working'!A:B,1,FALSE)</f>
        <v>WES186</v>
      </c>
      <c r="U1948" s="323"/>
      <c r="V1948" s="323"/>
      <c r="W1948" s="323"/>
    </row>
    <row r="1949" spans="1:23" s="23" customFormat="1" ht="14.25" hidden="1" x14ac:dyDescent="0.2">
      <c r="A1949" s="381" t="s">
        <v>6265</v>
      </c>
      <c r="B1949" s="381" t="s">
        <v>324</v>
      </c>
      <c r="C1949" s="418" t="s">
        <v>6807</v>
      </c>
      <c r="D1949" s="381" t="s">
        <v>6808</v>
      </c>
      <c r="E1949" s="383" t="s">
        <v>4017</v>
      </c>
      <c r="F1949" s="381" t="s">
        <v>1832</v>
      </c>
      <c r="G1949" s="384"/>
      <c r="H1949" s="24"/>
      <c r="I1949" s="24"/>
      <c r="J1949" s="25" t="str">
        <f t="shared" si="91"/>
        <v xml:space="preserve"> </v>
      </c>
      <c r="K1949" s="385"/>
      <c r="L1949" s="385"/>
      <c r="M1949" s="386">
        <f t="shared" si="93"/>
        <v>0</v>
      </c>
      <c r="N1949" s="496">
        <v>820</v>
      </c>
      <c r="O1949" s="333">
        <f t="shared" si="92"/>
        <v>820</v>
      </c>
      <c r="R1949" s="23" t="str">
        <f>VLOOKUP(C:C,'Historic Data - working'!A:B,1,FALSE)</f>
        <v>WES187</v>
      </c>
      <c r="U1949" s="323"/>
      <c r="V1949" s="323"/>
      <c r="W1949" s="323"/>
    </row>
    <row r="1950" spans="1:23" s="23" customFormat="1" ht="14.25" hidden="1" x14ac:dyDescent="0.2">
      <c r="A1950" s="381" t="s">
        <v>6265</v>
      </c>
      <c r="B1950" s="381" t="s">
        <v>324</v>
      </c>
      <c r="C1950" s="418" t="s">
        <v>6809</v>
      </c>
      <c r="D1950" s="381" t="s">
        <v>6810</v>
      </c>
      <c r="E1950" s="383" t="s">
        <v>6811</v>
      </c>
      <c r="F1950" s="381" t="s">
        <v>1832</v>
      </c>
      <c r="G1950" s="384"/>
      <c r="H1950" s="24"/>
      <c r="I1950" s="24"/>
      <c r="J1950" s="25" t="str">
        <f t="shared" si="91"/>
        <v xml:space="preserve"> </v>
      </c>
      <c r="K1950" s="385" t="s">
        <v>337</v>
      </c>
      <c r="L1950" s="385">
        <v>1051.48</v>
      </c>
      <c r="M1950" s="386">
        <f t="shared" si="93"/>
        <v>1051.48</v>
      </c>
      <c r="N1950" s="496">
        <v>110</v>
      </c>
      <c r="O1950" s="333">
        <f t="shared" si="92"/>
        <v>1161.48</v>
      </c>
      <c r="R1950" s="23" t="str">
        <f>VLOOKUP(C:C,'Historic Data - working'!A:B,1,FALSE)</f>
        <v>WES188</v>
      </c>
      <c r="U1950" s="323"/>
      <c r="V1950" s="323"/>
      <c r="W1950" s="323"/>
    </row>
    <row r="1951" spans="1:23" s="23" customFormat="1" ht="14.25" hidden="1" x14ac:dyDescent="0.2">
      <c r="A1951" s="381" t="s">
        <v>6265</v>
      </c>
      <c r="B1951" s="381" t="s">
        <v>324</v>
      </c>
      <c r="C1951" s="418" t="s">
        <v>6812</v>
      </c>
      <c r="D1951" s="381" t="s">
        <v>6813</v>
      </c>
      <c r="E1951" s="383" t="s">
        <v>6814</v>
      </c>
      <c r="F1951" s="381" t="s">
        <v>1832</v>
      </c>
      <c r="G1951" s="384" t="s">
        <v>329</v>
      </c>
      <c r="H1951" s="24"/>
      <c r="I1951" s="24">
        <v>137.63999999999999</v>
      </c>
      <c r="J1951" s="25" t="str">
        <f t="shared" si="91"/>
        <v>1</v>
      </c>
      <c r="K1951" s="385"/>
      <c r="L1951" s="385"/>
      <c r="M1951" s="386">
        <f t="shared" si="93"/>
        <v>0</v>
      </c>
      <c r="N1951" s="496">
        <v>247.64</v>
      </c>
      <c r="O1951" s="333">
        <f t="shared" si="92"/>
        <v>247.64</v>
      </c>
      <c r="R1951" s="23" t="str">
        <f>VLOOKUP(C:C,'Historic Data - working'!A:B,1,FALSE)</f>
        <v>WES189</v>
      </c>
      <c r="U1951" s="323"/>
      <c r="V1951" s="323"/>
      <c r="W1951" s="323"/>
    </row>
    <row r="1952" spans="1:23" s="23" customFormat="1" ht="14.25" hidden="1" x14ac:dyDescent="0.2">
      <c r="A1952" s="381" t="s">
        <v>6265</v>
      </c>
      <c r="B1952" s="381" t="s">
        <v>324</v>
      </c>
      <c r="C1952" s="418" t="s">
        <v>6815</v>
      </c>
      <c r="D1952" s="381" t="s">
        <v>6816</v>
      </c>
      <c r="E1952" s="383" t="s">
        <v>69</v>
      </c>
      <c r="F1952" s="381" t="s">
        <v>6712</v>
      </c>
      <c r="G1952" s="384"/>
      <c r="H1952" s="24"/>
      <c r="I1952" s="24"/>
      <c r="J1952" s="25" t="str">
        <f t="shared" si="91"/>
        <v xml:space="preserve"> </v>
      </c>
      <c r="K1952" s="385"/>
      <c r="L1952" s="385"/>
      <c r="M1952" s="386">
        <f t="shared" si="93"/>
        <v>0</v>
      </c>
      <c r="N1952" s="496">
        <v>558.34</v>
      </c>
      <c r="O1952" s="333">
        <f t="shared" si="92"/>
        <v>558.34</v>
      </c>
      <c r="R1952" s="23" t="str">
        <f>VLOOKUP(C:C,'Historic Data - working'!A:B,1,FALSE)</f>
        <v>WES190</v>
      </c>
      <c r="U1952" s="323"/>
      <c r="V1952" s="323"/>
      <c r="W1952" s="323"/>
    </row>
    <row r="1953" spans="1:23" s="23" customFormat="1" ht="14.25" hidden="1" x14ac:dyDescent="0.2">
      <c r="A1953" s="381" t="s">
        <v>6265</v>
      </c>
      <c r="B1953" s="381" t="s">
        <v>324</v>
      </c>
      <c r="C1953" s="418" t="s">
        <v>6817</v>
      </c>
      <c r="D1953" s="381" t="s">
        <v>6818</v>
      </c>
      <c r="E1953" s="383" t="s">
        <v>6819</v>
      </c>
      <c r="F1953" s="381" t="s">
        <v>6820</v>
      </c>
      <c r="G1953" s="384" t="s">
        <v>329</v>
      </c>
      <c r="H1953" s="24">
        <f>44.56+550+110.08+27.14</f>
        <v>731.78</v>
      </c>
      <c r="I1953" s="24"/>
      <c r="J1953" s="25" t="str">
        <f t="shared" si="91"/>
        <v>1</v>
      </c>
      <c r="K1953" s="385"/>
      <c r="L1953" s="385"/>
      <c r="M1953" s="386">
        <f t="shared" si="93"/>
        <v>731.78</v>
      </c>
      <c r="N1953" s="496">
        <v>90</v>
      </c>
      <c r="O1953" s="333">
        <f t="shared" si="92"/>
        <v>821.78</v>
      </c>
      <c r="R1953" s="23" t="str">
        <f>VLOOKUP(C:C,'Historic Data - working'!A:B,1,FALSE)</f>
        <v>WES191</v>
      </c>
      <c r="U1953" s="323"/>
      <c r="V1953" s="323"/>
      <c r="W1953" s="323"/>
    </row>
    <row r="1954" spans="1:23" s="23" customFormat="1" ht="14.25" hidden="1" x14ac:dyDescent="0.2">
      <c r="A1954" s="381" t="s">
        <v>6265</v>
      </c>
      <c r="B1954" s="381" t="s">
        <v>324</v>
      </c>
      <c r="C1954" s="418" t="s">
        <v>6821</v>
      </c>
      <c r="D1954" s="381" t="s">
        <v>6822</v>
      </c>
      <c r="E1954" s="383" t="s">
        <v>56</v>
      </c>
      <c r="F1954" s="381" t="s">
        <v>1832</v>
      </c>
      <c r="G1954" s="384"/>
      <c r="H1954" s="24"/>
      <c r="I1954" s="24"/>
      <c r="J1954" s="25" t="str">
        <f t="shared" si="91"/>
        <v xml:space="preserve"> </v>
      </c>
      <c r="K1954" s="385"/>
      <c r="L1954" s="385"/>
      <c r="M1954" s="386">
        <f t="shared" si="93"/>
        <v>0</v>
      </c>
      <c r="N1954" s="496">
        <v>1216.56</v>
      </c>
      <c r="O1954" s="333">
        <f t="shared" si="92"/>
        <v>1216.56</v>
      </c>
      <c r="R1954" s="23" t="str">
        <f>VLOOKUP(C:C,'Historic Data - working'!A:B,1,FALSE)</f>
        <v>WES192</v>
      </c>
      <c r="U1954" s="323"/>
      <c r="V1954" s="323"/>
      <c r="W1954" s="323"/>
    </row>
    <row r="1955" spans="1:23" s="23" customFormat="1" ht="14.25" hidden="1" x14ac:dyDescent="0.2">
      <c r="A1955" s="381" t="s">
        <v>6265</v>
      </c>
      <c r="B1955" s="381" t="s">
        <v>324</v>
      </c>
      <c r="C1955" s="418" t="s">
        <v>6823</v>
      </c>
      <c r="D1955" s="381" t="s">
        <v>6824</v>
      </c>
      <c r="E1955" s="383" t="s">
        <v>47</v>
      </c>
      <c r="F1955" s="381" t="s">
        <v>6825</v>
      </c>
      <c r="G1955" s="384" t="s">
        <v>329</v>
      </c>
      <c r="H1955" s="24"/>
      <c r="I1955" s="24">
        <v>103.24</v>
      </c>
      <c r="J1955" s="25" t="str">
        <f t="shared" si="91"/>
        <v>1</v>
      </c>
      <c r="K1955" s="385"/>
      <c r="L1955" s="385"/>
      <c r="M1955" s="386">
        <f t="shared" si="93"/>
        <v>0</v>
      </c>
      <c r="N1955" s="496">
        <v>753.43000000000006</v>
      </c>
      <c r="O1955" s="333">
        <f t="shared" si="92"/>
        <v>753.43000000000006</v>
      </c>
      <c r="R1955" s="23" t="str">
        <f>VLOOKUP(C:C,'Historic Data - working'!A:B,1,FALSE)</f>
        <v>WES193</v>
      </c>
      <c r="U1955" s="323"/>
      <c r="V1955" s="323"/>
      <c r="W1955" s="323"/>
    </row>
    <row r="1956" spans="1:23" s="23" customFormat="1" ht="14.25" hidden="1" x14ac:dyDescent="0.2">
      <c r="A1956" s="381" t="s">
        <v>6265</v>
      </c>
      <c r="B1956" s="381" t="s">
        <v>324</v>
      </c>
      <c r="C1956" s="418" t="s">
        <v>6826</v>
      </c>
      <c r="D1956" s="381" t="s">
        <v>6827</v>
      </c>
      <c r="E1956" s="383" t="s">
        <v>6828</v>
      </c>
      <c r="F1956" s="381" t="s">
        <v>1832</v>
      </c>
      <c r="G1956" s="384"/>
      <c r="H1956" s="24"/>
      <c r="I1956" s="24"/>
      <c r="J1956" s="25" t="str">
        <f t="shared" si="91"/>
        <v xml:space="preserve"> </v>
      </c>
      <c r="K1956" s="385"/>
      <c r="L1956" s="385"/>
      <c r="M1956" s="386">
        <f t="shared" si="93"/>
        <v>0</v>
      </c>
      <c r="N1956" s="496"/>
      <c r="O1956" s="333">
        <f t="shared" si="92"/>
        <v>0</v>
      </c>
      <c r="R1956" s="23" t="str">
        <f>VLOOKUP(C:C,'Historic Data - working'!A:B,1,FALSE)</f>
        <v>WES194</v>
      </c>
      <c r="U1956" s="323"/>
      <c r="V1956" s="323"/>
      <c r="W1956" s="323"/>
    </row>
    <row r="1957" spans="1:23" s="23" customFormat="1" ht="14.25" hidden="1" x14ac:dyDescent="0.2">
      <c r="A1957" s="381" t="s">
        <v>6265</v>
      </c>
      <c r="B1957" s="381" t="s">
        <v>324</v>
      </c>
      <c r="C1957" s="418" t="s">
        <v>6829</v>
      </c>
      <c r="D1957" s="381" t="s">
        <v>6830</v>
      </c>
      <c r="E1957" s="383" t="s">
        <v>1770</v>
      </c>
      <c r="F1957" s="381" t="s">
        <v>1832</v>
      </c>
      <c r="G1957" s="384"/>
      <c r="H1957" s="24"/>
      <c r="I1957" s="24"/>
      <c r="J1957" s="25" t="str">
        <f t="shared" si="91"/>
        <v xml:space="preserve"> </v>
      </c>
      <c r="K1957" s="385"/>
      <c r="L1957" s="385"/>
      <c r="M1957" s="386">
        <f t="shared" si="93"/>
        <v>0</v>
      </c>
      <c r="N1957" s="496">
        <v>1455.28</v>
      </c>
      <c r="O1957" s="333">
        <f t="shared" si="92"/>
        <v>1455.28</v>
      </c>
      <c r="R1957" s="23" t="str">
        <f>VLOOKUP(C:C,'Historic Data - working'!A:B,1,FALSE)</f>
        <v>WES195</v>
      </c>
      <c r="U1957" s="323"/>
      <c r="V1957" s="323"/>
      <c r="W1957" s="323"/>
    </row>
    <row r="1958" spans="1:23" s="23" customFormat="1" ht="14.25" hidden="1" x14ac:dyDescent="0.2">
      <c r="A1958" s="381" t="s">
        <v>6265</v>
      </c>
      <c r="B1958" s="381" t="s">
        <v>324</v>
      </c>
      <c r="C1958" s="418" t="s">
        <v>6831</v>
      </c>
      <c r="D1958" s="381" t="s">
        <v>6832</v>
      </c>
      <c r="E1958" s="383" t="s">
        <v>216</v>
      </c>
      <c r="F1958" s="381" t="s">
        <v>1832</v>
      </c>
      <c r="G1958" s="384"/>
      <c r="H1958" s="24"/>
      <c r="I1958" s="24"/>
      <c r="J1958" s="25" t="str">
        <f t="shared" si="91"/>
        <v xml:space="preserve"> </v>
      </c>
      <c r="K1958" s="385"/>
      <c r="L1958" s="385"/>
      <c r="M1958" s="386">
        <f t="shared" si="93"/>
        <v>0</v>
      </c>
      <c r="N1958" s="496">
        <v>45</v>
      </c>
      <c r="O1958" s="333">
        <f t="shared" si="92"/>
        <v>45</v>
      </c>
      <c r="R1958" s="23" t="str">
        <f>VLOOKUP(C:C,'Historic Data - working'!A:B,1,FALSE)</f>
        <v>WES196</v>
      </c>
      <c r="U1958" s="323"/>
      <c r="V1958" s="323"/>
      <c r="W1958" s="323"/>
    </row>
    <row r="1959" spans="1:23" s="23" customFormat="1" ht="14.25" hidden="1" x14ac:dyDescent="0.2">
      <c r="A1959" s="381" t="s">
        <v>6265</v>
      </c>
      <c r="B1959" s="381" t="s">
        <v>351</v>
      </c>
      <c r="C1959" s="418" t="s">
        <v>6833</v>
      </c>
      <c r="D1959" s="381" t="s">
        <v>6834</v>
      </c>
      <c r="E1959" s="383" t="s">
        <v>11</v>
      </c>
      <c r="F1959" s="381" t="s">
        <v>6835</v>
      </c>
      <c r="G1959" s="384" t="s">
        <v>329</v>
      </c>
      <c r="H1959" s="24">
        <f>120.75+62.52+33+195.03</f>
        <v>411.3</v>
      </c>
      <c r="I1959" s="24"/>
      <c r="J1959" s="25" t="str">
        <f t="shared" si="91"/>
        <v>1</v>
      </c>
      <c r="K1959" s="385"/>
      <c r="L1959" s="385"/>
      <c r="M1959" s="386">
        <f t="shared" si="93"/>
        <v>411.3</v>
      </c>
      <c r="N1959" s="496">
        <v>170</v>
      </c>
      <c r="O1959" s="333">
        <f t="shared" si="92"/>
        <v>581.29999999999995</v>
      </c>
      <c r="R1959" s="23" t="str">
        <f>VLOOKUP(C:C,'Historic Data - working'!A:B,1,FALSE)</f>
        <v>WES197</v>
      </c>
      <c r="U1959" s="323"/>
      <c r="V1959" s="323"/>
      <c r="W1959" s="323"/>
    </row>
    <row r="1960" spans="1:23" s="23" customFormat="1" ht="14.25" hidden="1" x14ac:dyDescent="0.2">
      <c r="A1960" s="381" t="s">
        <v>6265</v>
      </c>
      <c r="B1960" s="381" t="s">
        <v>324</v>
      </c>
      <c r="C1960" s="418" t="s">
        <v>6836</v>
      </c>
      <c r="D1960" s="381" t="s">
        <v>6837</v>
      </c>
      <c r="E1960" s="383" t="s">
        <v>3142</v>
      </c>
      <c r="F1960" s="381" t="s">
        <v>6754</v>
      </c>
      <c r="G1960" s="384"/>
      <c r="H1960" s="24"/>
      <c r="I1960" s="24"/>
      <c r="J1960" s="25" t="str">
        <f t="shared" si="91"/>
        <v xml:space="preserve"> </v>
      </c>
      <c r="K1960" s="385" t="s">
        <v>337</v>
      </c>
      <c r="L1960" s="385">
        <v>242.54</v>
      </c>
      <c r="M1960" s="386">
        <f t="shared" si="93"/>
        <v>242.54</v>
      </c>
      <c r="N1960" s="496">
        <v>415</v>
      </c>
      <c r="O1960" s="333">
        <f t="shared" si="92"/>
        <v>657.54</v>
      </c>
      <c r="R1960" s="23" t="str">
        <f>VLOOKUP(C:C,'Historic Data - working'!A:B,1,FALSE)</f>
        <v>WES198</v>
      </c>
      <c r="U1960" s="323"/>
      <c r="V1960" s="323"/>
      <c r="W1960" s="323"/>
    </row>
    <row r="1961" spans="1:23" s="23" customFormat="1" ht="14.25" hidden="1" x14ac:dyDescent="0.2">
      <c r="A1961" s="381" t="s">
        <v>6265</v>
      </c>
      <c r="B1961" s="381" t="s">
        <v>324</v>
      </c>
      <c r="C1961" s="418" t="s">
        <v>6838</v>
      </c>
      <c r="D1961" s="381" t="s">
        <v>6839</v>
      </c>
      <c r="E1961" s="383" t="s">
        <v>66</v>
      </c>
      <c r="F1961" s="381" t="s">
        <v>1832</v>
      </c>
      <c r="G1961" s="384"/>
      <c r="H1961" s="24"/>
      <c r="I1961" s="24"/>
      <c r="J1961" s="25" t="str">
        <f t="shared" si="91"/>
        <v xml:space="preserve"> </v>
      </c>
      <c r="K1961" s="385"/>
      <c r="L1961" s="385"/>
      <c r="M1961" s="386">
        <f t="shared" si="93"/>
        <v>0</v>
      </c>
      <c r="N1961" s="496"/>
      <c r="O1961" s="333">
        <f t="shared" si="92"/>
        <v>0</v>
      </c>
      <c r="R1961" s="23" t="e">
        <f>VLOOKUP(C:C,'Historic Data - working'!A:B,1,FALSE)</f>
        <v>#N/A</v>
      </c>
      <c r="U1961" s="323"/>
      <c r="V1961" s="323"/>
      <c r="W1961" s="323"/>
    </row>
    <row r="1962" spans="1:23" s="23" customFormat="1" ht="14.25" hidden="1" x14ac:dyDescent="0.2">
      <c r="A1962" s="381" t="s">
        <v>6265</v>
      </c>
      <c r="B1962" s="381" t="s">
        <v>324</v>
      </c>
      <c r="C1962" s="418" t="s">
        <v>6840</v>
      </c>
      <c r="D1962" s="381" t="s">
        <v>6841</v>
      </c>
      <c r="E1962" s="383" t="s">
        <v>6842</v>
      </c>
      <c r="F1962" s="381" t="s">
        <v>1832</v>
      </c>
      <c r="G1962" s="384"/>
      <c r="H1962" s="24"/>
      <c r="I1962" s="24"/>
      <c r="J1962" s="25" t="str">
        <f t="shared" si="91"/>
        <v xml:space="preserve"> </v>
      </c>
      <c r="K1962" s="385"/>
      <c r="L1962" s="385"/>
      <c r="M1962" s="386">
        <f t="shared" si="93"/>
        <v>0</v>
      </c>
      <c r="N1962" s="496">
        <v>380</v>
      </c>
      <c r="O1962" s="333">
        <f t="shared" si="92"/>
        <v>380</v>
      </c>
      <c r="R1962" s="23" t="str">
        <f>VLOOKUP(C:C,'Historic Data - working'!A:B,1,FALSE)</f>
        <v>WES204</v>
      </c>
      <c r="U1962" s="323"/>
      <c r="V1962" s="323"/>
      <c r="W1962" s="323"/>
    </row>
    <row r="1963" spans="1:23" s="23" customFormat="1" ht="14.25" hidden="1" x14ac:dyDescent="0.2">
      <c r="A1963" s="381" t="s">
        <v>6265</v>
      </c>
      <c r="B1963" s="381" t="s">
        <v>324</v>
      </c>
      <c r="C1963" s="418" t="s">
        <v>6843</v>
      </c>
      <c r="D1963" s="381" t="s">
        <v>6844</v>
      </c>
      <c r="E1963" s="383" t="s">
        <v>6845</v>
      </c>
      <c r="F1963" s="381" t="s">
        <v>6846</v>
      </c>
      <c r="G1963" s="384" t="s">
        <v>329</v>
      </c>
      <c r="H1963" s="24">
        <f>60.31+128.97+10.7+13.39+36.77+2.19+61.58+171.78+72.03</f>
        <v>557.72</v>
      </c>
      <c r="I1963" s="24"/>
      <c r="J1963" s="25" t="str">
        <f t="shared" si="91"/>
        <v>1</v>
      </c>
      <c r="K1963" s="385"/>
      <c r="L1963" s="385"/>
      <c r="M1963" s="386">
        <f t="shared" si="93"/>
        <v>557.72</v>
      </c>
      <c r="N1963" s="496">
        <v>610.19000000000005</v>
      </c>
      <c r="O1963" s="333">
        <f t="shared" si="92"/>
        <v>1167.9100000000001</v>
      </c>
      <c r="R1963" s="23" t="str">
        <f>VLOOKUP(C:C,'Historic Data - working'!A:B,1,FALSE)</f>
        <v>WES205</v>
      </c>
      <c r="U1963" s="323"/>
      <c r="V1963" s="323"/>
      <c r="W1963" s="323"/>
    </row>
    <row r="1964" spans="1:23" s="23" customFormat="1" ht="14.25" hidden="1" x14ac:dyDescent="0.2">
      <c r="A1964" s="381" t="s">
        <v>6265</v>
      </c>
      <c r="B1964" s="381" t="s">
        <v>324</v>
      </c>
      <c r="C1964" s="418" t="s">
        <v>6847</v>
      </c>
      <c r="D1964" s="381" t="s">
        <v>6848</v>
      </c>
      <c r="E1964" s="383" t="s">
        <v>6849</v>
      </c>
      <c r="F1964" s="381" t="s">
        <v>6355</v>
      </c>
      <c r="G1964" s="384" t="s">
        <v>329</v>
      </c>
      <c r="H1964" s="24">
        <f>468.24+470.49</f>
        <v>938.73</v>
      </c>
      <c r="I1964" s="24">
        <v>33</v>
      </c>
      <c r="J1964" s="25" t="str">
        <f t="shared" si="91"/>
        <v>1</v>
      </c>
      <c r="K1964" s="387" t="s">
        <v>6850</v>
      </c>
      <c r="L1964" s="385">
        <v>33</v>
      </c>
      <c r="M1964" s="386">
        <f t="shared" si="93"/>
        <v>971.73</v>
      </c>
      <c r="N1964" s="496">
        <v>316.05</v>
      </c>
      <c r="O1964" s="333">
        <f t="shared" si="92"/>
        <v>1287.78</v>
      </c>
      <c r="R1964" s="23" t="str">
        <f>VLOOKUP(C:C,'Historic Data - working'!A:B,1,FALSE)</f>
        <v>WES206</v>
      </c>
      <c r="U1964" s="323"/>
      <c r="V1964" s="323"/>
      <c r="W1964" s="323"/>
    </row>
    <row r="1965" spans="1:23" s="23" customFormat="1" ht="14.25" hidden="1" x14ac:dyDescent="0.2">
      <c r="A1965" s="381" t="s">
        <v>6265</v>
      </c>
      <c r="B1965" s="381" t="s">
        <v>324</v>
      </c>
      <c r="C1965" s="418" t="s">
        <v>6851</v>
      </c>
      <c r="D1965" s="381" t="s">
        <v>6852</v>
      </c>
      <c r="E1965" s="383" t="s">
        <v>124</v>
      </c>
      <c r="F1965" s="381" t="s">
        <v>1832</v>
      </c>
      <c r="G1965" s="384"/>
      <c r="H1965" s="24"/>
      <c r="I1965" s="24"/>
      <c r="J1965" s="25" t="str">
        <f t="shared" ref="J1965:J2028" si="94">IF(G1965="Y","1"," ")</f>
        <v xml:space="preserve"> </v>
      </c>
      <c r="K1965" s="385"/>
      <c r="L1965" s="385"/>
      <c r="M1965" s="386">
        <f t="shared" si="93"/>
        <v>0</v>
      </c>
      <c r="N1965" s="496">
        <v>230</v>
      </c>
      <c r="O1965" s="333">
        <f t="shared" si="92"/>
        <v>230</v>
      </c>
      <c r="R1965" s="23" t="str">
        <f>VLOOKUP(C:C,'Historic Data - working'!A:B,1,FALSE)</f>
        <v>WES207</v>
      </c>
      <c r="U1965" s="323"/>
      <c r="V1965" s="323"/>
      <c r="W1965" s="323"/>
    </row>
    <row r="1966" spans="1:23" s="23" customFormat="1" ht="14.25" hidden="1" x14ac:dyDescent="0.2">
      <c r="A1966" s="381" t="s">
        <v>6265</v>
      </c>
      <c r="B1966" s="381" t="s">
        <v>324</v>
      </c>
      <c r="C1966" s="418" t="s">
        <v>6853</v>
      </c>
      <c r="D1966" s="381" t="s">
        <v>6854</v>
      </c>
      <c r="E1966" s="383" t="s">
        <v>6855</v>
      </c>
      <c r="F1966" s="381" t="s">
        <v>6856</v>
      </c>
      <c r="G1966" s="384" t="s">
        <v>329</v>
      </c>
      <c r="H1966" s="24">
        <f>325+168.14+175+230+174.93</f>
        <v>1073.07</v>
      </c>
      <c r="I1966" s="24"/>
      <c r="J1966" s="25" t="str">
        <f t="shared" si="94"/>
        <v>1</v>
      </c>
      <c r="K1966" s="387" t="s">
        <v>6857</v>
      </c>
      <c r="L1966" s="385">
        <v>-0.5</v>
      </c>
      <c r="M1966" s="386">
        <f t="shared" si="93"/>
        <v>1072.57</v>
      </c>
      <c r="N1966" s="496">
        <v>795</v>
      </c>
      <c r="O1966" s="333">
        <f t="shared" si="92"/>
        <v>1867.57</v>
      </c>
      <c r="R1966" s="23" t="str">
        <f>VLOOKUP(C:C,'Historic Data - working'!A:B,1,FALSE)</f>
        <v>WES208</v>
      </c>
      <c r="U1966" s="323"/>
      <c r="V1966" s="323"/>
      <c r="W1966" s="323"/>
    </row>
    <row r="1967" spans="1:23" s="23" customFormat="1" ht="14.25" hidden="1" x14ac:dyDescent="0.2">
      <c r="A1967" s="381" t="s">
        <v>6265</v>
      </c>
      <c r="B1967" s="381" t="s">
        <v>324</v>
      </c>
      <c r="C1967" s="418" t="s">
        <v>6858</v>
      </c>
      <c r="D1967" s="381" t="s">
        <v>6859</v>
      </c>
      <c r="E1967" s="383" t="s">
        <v>6860</v>
      </c>
      <c r="F1967" s="381" t="s">
        <v>1832</v>
      </c>
      <c r="G1967" s="384"/>
      <c r="H1967" s="24"/>
      <c r="I1967" s="24"/>
      <c r="J1967" s="25" t="str">
        <f t="shared" si="94"/>
        <v xml:space="preserve"> </v>
      </c>
      <c r="K1967" s="385"/>
      <c r="L1967" s="385"/>
      <c r="M1967" s="386">
        <f t="shared" si="93"/>
        <v>0</v>
      </c>
      <c r="N1967" s="496"/>
      <c r="O1967" s="333">
        <f t="shared" si="92"/>
        <v>0</v>
      </c>
      <c r="R1967" s="23" t="str">
        <f>VLOOKUP(C:C,'Historic Data - working'!A:B,1,FALSE)</f>
        <v>WES209</v>
      </c>
      <c r="U1967" s="323"/>
      <c r="V1967" s="323"/>
      <c r="W1967" s="323"/>
    </row>
    <row r="1968" spans="1:23" s="23" customFormat="1" ht="14.25" hidden="1" x14ac:dyDescent="0.2">
      <c r="A1968" s="381" t="s">
        <v>6265</v>
      </c>
      <c r="B1968" s="381" t="s">
        <v>324</v>
      </c>
      <c r="C1968" s="418" t="s">
        <v>6861</v>
      </c>
      <c r="D1968" s="381" t="s">
        <v>6862</v>
      </c>
      <c r="E1968" s="383" t="s">
        <v>4165</v>
      </c>
      <c r="F1968" s="381" t="s">
        <v>6341</v>
      </c>
      <c r="G1968" s="384" t="s">
        <v>329</v>
      </c>
      <c r="H1968" s="24">
        <f>76.57+68.69+60.34+97.62+67.29+168.45</f>
        <v>538.96</v>
      </c>
      <c r="I1968" s="24"/>
      <c r="J1968" s="25" t="str">
        <f t="shared" si="94"/>
        <v>1</v>
      </c>
      <c r="K1968" s="387" t="s">
        <v>6863</v>
      </c>
      <c r="L1968" s="385">
        <v>-145.26</v>
      </c>
      <c r="M1968" s="386">
        <f t="shared" si="93"/>
        <v>393.70000000000005</v>
      </c>
      <c r="N1968" s="496">
        <v>95</v>
      </c>
      <c r="O1968" s="333">
        <f t="shared" si="92"/>
        <v>488.70000000000005</v>
      </c>
      <c r="R1968" s="23" t="str">
        <f>VLOOKUP(C:C,'Historic Data - working'!A:B,1,FALSE)</f>
        <v>WES210</v>
      </c>
      <c r="U1968" s="323"/>
      <c r="V1968" s="323"/>
      <c r="W1968" s="323"/>
    </row>
    <row r="1969" spans="1:23" s="23" customFormat="1" ht="14.25" hidden="1" x14ac:dyDescent="0.2">
      <c r="A1969" s="381" t="s">
        <v>6265</v>
      </c>
      <c r="B1969" s="381" t="s">
        <v>324</v>
      </c>
      <c r="C1969" s="418" t="s">
        <v>6864</v>
      </c>
      <c r="D1969" s="381" t="s">
        <v>6865</v>
      </c>
      <c r="E1969" s="383" t="s">
        <v>2286</v>
      </c>
      <c r="F1969" s="381" t="s">
        <v>6341</v>
      </c>
      <c r="G1969" s="384" t="s">
        <v>329</v>
      </c>
      <c r="H1969" s="24"/>
      <c r="I1969" s="24">
        <v>589.79</v>
      </c>
      <c r="J1969" s="25" t="str">
        <f t="shared" si="94"/>
        <v>1</v>
      </c>
      <c r="K1969" s="385"/>
      <c r="L1969" s="385"/>
      <c r="M1969" s="386">
        <f t="shared" si="93"/>
        <v>0</v>
      </c>
      <c r="N1969" s="496">
        <v>861.82999999999947</v>
      </c>
      <c r="O1969" s="333">
        <f t="shared" si="92"/>
        <v>861.82999999999947</v>
      </c>
      <c r="R1969" s="23" t="str">
        <f>VLOOKUP(C:C,'Historic Data - working'!A:B,1,FALSE)</f>
        <v>WES211</v>
      </c>
      <c r="U1969" s="323"/>
      <c r="V1969" s="323"/>
      <c r="W1969" s="323"/>
    </row>
    <row r="1970" spans="1:23" s="23" customFormat="1" ht="14.25" hidden="1" x14ac:dyDescent="0.2">
      <c r="A1970" s="381" t="s">
        <v>6265</v>
      </c>
      <c r="B1970" s="381" t="s">
        <v>324</v>
      </c>
      <c r="C1970" s="418" t="s">
        <v>6866</v>
      </c>
      <c r="D1970" s="381" t="s">
        <v>6867</v>
      </c>
      <c r="E1970" s="383" t="s">
        <v>61</v>
      </c>
      <c r="F1970" s="381" t="s">
        <v>6479</v>
      </c>
      <c r="G1970" s="384"/>
      <c r="H1970" s="24"/>
      <c r="I1970" s="24"/>
      <c r="J1970" s="25" t="str">
        <f t="shared" si="94"/>
        <v xml:space="preserve"> </v>
      </c>
      <c r="K1970" s="385" t="s">
        <v>337</v>
      </c>
      <c r="L1970" s="385">
        <v>26.95</v>
      </c>
      <c r="M1970" s="386">
        <f t="shared" si="93"/>
        <v>26.95</v>
      </c>
      <c r="N1970" s="496">
        <v>515</v>
      </c>
      <c r="O1970" s="333">
        <f t="shared" si="92"/>
        <v>541.95000000000005</v>
      </c>
      <c r="R1970" s="23" t="str">
        <f>VLOOKUP(C:C,'Historic Data - working'!A:B,1,FALSE)</f>
        <v>WES212</v>
      </c>
      <c r="U1970" s="323"/>
      <c r="V1970" s="323"/>
      <c r="W1970" s="323"/>
    </row>
    <row r="1971" spans="1:23" s="23" customFormat="1" ht="14.25" hidden="1" x14ac:dyDescent="0.2">
      <c r="A1971" s="381" t="s">
        <v>6265</v>
      </c>
      <c r="B1971" s="381" t="s">
        <v>324</v>
      </c>
      <c r="C1971" s="418" t="s">
        <v>6868</v>
      </c>
      <c r="D1971" s="381" t="s">
        <v>6869</v>
      </c>
      <c r="E1971" s="383" t="s">
        <v>6870</v>
      </c>
      <c r="F1971" s="381" t="s">
        <v>6871</v>
      </c>
      <c r="G1971" s="384" t="s">
        <v>329</v>
      </c>
      <c r="H1971" s="24">
        <f>12.14+45.29+52.57+102.87+23.82+48.13+40+645.61+21.53+2.56+107.58+133.86+32.04</f>
        <v>1268</v>
      </c>
      <c r="I1971" s="24"/>
      <c r="J1971" s="25" t="str">
        <f t="shared" si="94"/>
        <v>1</v>
      </c>
      <c r="K1971" s="385"/>
      <c r="L1971" s="385"/>
      <c r="M1971" s="386">
        <f t="shared" si="93"/>
        <v>1268</v>
      </c>
      <c r="N1971" s="496">
        <v>160</v>
      </c>
      <c r="O1971" s="333">
        <f t="shared" si="92"/>
        <v>1428</v>
      </c>
      <c r="R1971" s="23" t="str">
        <f>VLOOKUP(C:C,'Historic Data - working'!A:B,1,FALSE)</f>
        <v>WES213</v>
      </c>
      <c r="U1971" s="323"/>
      <c r="V1971" s="323"/>
      <c r="W1971" s="323"/>
    </row>
    <row r="1972" spans="1:23" s="23" customFormat="1" ht="28.5" hidden="1" x14ac:dyDescent="0.2">
      <c r="A1972" s="381" t="s">
        <v>6265</v>
      </c>
      <c r="B1972" s="381" t="s">
        <v>324</v>
      </c>
      <c r="C1972" s="418" t="s">
        <v>6872</v>
      </c>
      <c r="D1972" s="381" t="s">
        <v>6873</v>
      </c>
      <c r="E1972" s="383" t="s">
        <v>6874</v>
      </c>
      <c r="F1972" s="381" t="s">
        <v>6871</v>
      </c>
      <c r="G1972" s="384" t="s">
        <v>329</v>
      </c>
      <c r="H1972" s="24">
        <f>37.16+403.52+533.4</f>
        <v>974.07999999999993</v>
      </c>
      <c r="I1972" s="24"/>
      <c r="J1972" s="25" t="str">
        <f t="shared" si="94"/>
        <v>1</v>
      </c>
      <c r="K1972" s="385"/>
      <c r="L1972" s="385"/>
      <c r="M1972" s="386">
        <f t="shared" si="93"/>
        <v>974.07999999999993</v>
      </c>
      <c r="N1972" s="496">
        <v>636</v>
      </c>
      <c r="O1972" s="333">
        <f t="shared" si="92"/>
        <v>1610.08</v>
      </c>
      <c r="R1972" s="23" t="str">
        <f>VLOOKUP(C:C,'Historic Data - working'!A:B,1,FALSE)</f>
        <v>WES214</v>
      </c>
      <c r="U1972" s="323"/>
      <c r="V1972" s="323"/>
      <c r="W1972" s="323"/>
    </row>
    <row r="1973" spans="1:23" s="23" customFormat="1" ht="14.25" hidden="1" x14ac:dyDescent="0.2">
      <c r="A1973" s="381" t="s">
        <v>6265</v>
      </c>
      <c r="B1973" s="381" t="s">
        <v>324</v>
      </c>
      <c r="C1973" s="418" t="s">
        <v>6875</v>
      </c>
      <c r="D1973" s="381" t="s">
        <v>6876</v>
      </c>
      <c r="E1973" s="383" t="s">
        <v>6877</v>
      </c>
      <c r="F1973" s="381" t="s">
        <v>6871</v>
      </c>
      <c r="G1973" s="384"/>
      <c r="H1973" s="24"/>
      <c r="I1973" s="24"/>
      <c r="J1973" s="25" t="str">
        <f t="shared" si="94"/>
        <v xml:space="preserve"> </v>
      </c>
      <c r="K1973" s="385" t="s">
        <v>337</v>
      </c>
      <c r="L1973" s="385">
        <v>70.38</v>
      </c>
      <c r="M1973" s="386">
        <f t="shared" si="93"/>
        <v>70.38</v>
      </c>
      <c r="N1973" s="496">
        <v>240</v>
      </c>
      <c r="O1973" s="333">
        <f t="shared" si="92"/>
        <v>310.38</v>
      </c>
      <c r="R1973" s="23" t="str">
        <f>VLOOKUP(C:C,'Historic Data - working'!A:B,1,FALSE)</f>
        <v>WES215</v>
      </c>
      <c r="U1973" s="323"/>
      <c r="V1973" s="323"/>
      <c r="W1973" s="323"/>
    </row>
    <row r="1974" spans="1:23" s="23" customFormat="1" ht="14.25" hidden="1" x14ac:dyDescent="0.2">
      <c r="A1974" s="381" t="s">
        <v>6265</v>
      </c>
      <c r="B1974" s="381" t="s">
        <v>324</v>
      </c>
      <c r="C1974" s="418" t="s">
        <v>6878</v>
      </c>
      <c r="D1974" s="381" t="s">
        <v>6879</v>
      </c>
      <c r="E1974" s="383" t="s">
        <v>61</v>
      </c>
      <c r="F1974" s="381" t="s">
        <v>6880</v>
      </c>
      <c r="G1974" s="384"/>
      <c r="H1974" s="24"/>
      <c r="I1974" s="24"/>
      <c r="J1974" s="25" t="str">
        <f t="shared" si="94"/>
        <v xml:space="preserve"> </v>
      </c>
      <c r="K1974" s="385" t="s">
        <v>337</v>
      </c>
      <c r="L1974" s="385">
        <v>315.57</v>
      </c>
      <c r="M1974" s="386">
        <f t="shared" si="93"/>
        <v>315.57</v>
      </c>
      <c r="N1974" s="496">
        <v>1929</v>
      </c>
      <c r="O1974" s="333">
        <f t="shared" si="92"/>
        <v>2244.5700000000002</v>
      </c>
      <c r="R1974" s="23" t="str">
        <f>VLOOKUP(C:C,'Historic Data - working'!A:B,1,FALSE)</f>
        <v>WES216</v>
      </c>
      <c r="U1974" s="323"/>
      <c r="V1974" s="323"/>
      <c r="W1974" s="323"/>
    </row>
    <row r="1975" spans="1:23" s="23" customFormat="1" ht="14.25" hidden="1" x14ac:dyDescent="0.2">
      <c r="A1975" s="381" t="s">
        <v>6265</v>
      </c>
      <c r="B1975" s="381" t="s">
        <v>324</v>
      </c>
      <c r="C1975" s="418" t="s">
        <v>6881</v>
      </c>
      <c r="D1975" s="381" t="s">
        <v>6882</v>
      </c>
      <c r="E1975" s="383" t="s">
        <v>83</v>
      </c>
      <c r="F1975" s="381" t="s">
        <v>6712</v>
      </c>
      <c r="G1975" s="384"/>
      <c r="H1975" s="24"/>
      <c r="I1975" s="24"/>
      <c r="J1975" s="25" t="str">
        <f t="shared" si="94"/>
        <v xml:space="preserve"> </v>
      </c>
      <c r="K1975" s="385" t="s">
        <v>337</v>
      </c>
      <c r="L1975" s="385">
        <v>385</v>
      </c>
      <c r="M1975" s="386">
        <f t="shared" si="93"/>
        <v>385</v>
      </c>
      <c r="N1975" s="496">
        <v>644</v>
      </c>
      <c r="O1975" s="333">
        <f t="shared" si="92"/>
        <v>1029</v>
      </c>
      <c r="R1975" s="23" t="str">
        <f>VLOOKUP(C:C,'Historic Data - working'!A:B,1,FALSE)</f>
        <v>WES217</v>
      </c>
      <c r="U1975" s="323"/>
      <c r="V1975" s="323"/>
      <c r="W1975" s="323"/>
    </row>
    <row r="1976" spans="1:23" s="23" customFormat="1" ht="14.25" hidden="1" x14ac:dyDescent="0.2">
      <c r="A1976" s="381" t="s">
        <v>6265</v>
      </c>
      <c r="B1976" s="381" t="s">
        <v>324</v>
      </c>
      <c r="C1976" s="418" t="s">
        <v>6883</v>
      </c>
      <c r="D1976" s="381" t="s">
        <v>6884</v>
      </c>
      <c r="E1976" s="383" t="s">
        <v>6885</v>
      </c>
      <c r="F1976" s="381" t="s">
        <v>6886</v>
      </c>
      <c r="G1976" s="384"/>
      <c r="H1976" s="24"/>
      <c r="I1976" s="24"/>
      <c r="J1976" s="25" t="str">
        <f t="shared" si="94"/>
        <v xml:space="preserve"> </v>
      </c>
      <c r="K1976" s="385" t="s">
        <v>337</v>
      </c>
      <c r="L1976" s="385">
        <v>44.34</v>
      </c>
      <c r="M1976" s="386">
        <f t="shared" si="93"/>
        <v>44.34</v>
      </c>
      <c r="N1976" s="496">
        <v>538</v>
      </c>
      <c r="O1976" s="333">
        <f t="shared" si="92"/>
        <v>582.34</v>
      </c>
      <c r="R1976" s="23" t="str">
        <f>VLOOKUP(C:C,'Historic Data - working'!A:B,1,FALSE)</f>
        <v>WES218</v>
      </c>
      <c r="U1976" s="323"/>
      <c r="V1976" s="323"/>
      <c r="W1976" s="323"/>
    </row>
    <row r="1977" spans="1:23" s="23" customFormat="1" ht="14.25" hidden="1" x14ac:dyDescent="0.2">
      <c r="A1977" s="381" t="s">
        <v>6265</v>
      </c>
      <c r="B1977" s="381" t="s">
        <v>324</v>
      </c>
      <c r="C1977" s="418" t="s">
        <v>6887</v>
      </c>
      <c r="D1977" s="381" t="s">
        <v>6888</v>
      </c>
      <c r="E1977" s="383" t="s">
        <v>1180</v>
      </c>
      <c r="F1977" s="381" t="s">
        <v>1832</v>
      </c>
      <c r="G1977" s="384" t="s">
        <v>329</v>
      </c>
      <c r="H1977" s="24"/>
      <c r="I1977" s="24">
        <v>60.87</v>
      </c>
      <c r="J1977" s="25" t="str">
        <f t="shared" si="94"/>
        <v>1</v>
      </c>
      <c r="K1977" s="385"/>
      <c r="L1977" s="385"/>
      <c r="M1977" s="386">
        <f t="shared" si="93"/>
        <v>0</v>
      </c>
      <c r="N1977" s="496">
        <v>410.87</v>
      </c>
      <c r="O1977" s="333">
        <f t="shared" si="92"/>
        <v>410.87</v>
      </c>
      <c r="R1977" s="23" t="str">
        <f>VLOOKUP(C:C,'Historic Data - working'!A:B,1,FALSE)</f>
        <v>WES219</v>
      </c>
      <c r="U1977" s="323"/>
      <c r="V1977" s="323"/>
      <c r="W1977" s="323"/>
    </row>
    <row r="1978" spans="1:23" s="23" customFormat="1" ht="14.25" hidden="1" x14ac:dyDescent="0.2">
      <c r="A1978" s="381" t="s">
        <v>6265</v>
      </c>
      <c r="B1978" s="381" t="s">
        <v>324</v>
      </c>
      <c r="C1978" s="418" t="s">
        <v>6889</v>
      </c>
      <c r="D1978" s="381" t="s">
        <v>6890</v>
      </c>
      <c r="E1978" s="383" t="s">
        <v>453</v>
      </c>
      <c r="F1978" s="381" t="s">
        <v>6891</v>
      </c>
      <c r="G1978" s="384"/>
      <c r="H1978" s="24"/>
      <c r="I1978" s="24"/>
      <c r="J1978" s="25" t="str">
        <f t="shared" si="94"/>
        <v xml:space="preserve"> </v>
      </c>
      <c r="K1978" s="385"/>
      <c r="L1978" s="385"/>
      <c r="M1978" s="386">
        <f t="shared" si="93"/>
        <v>0</v>
      </c>
      <c r="N1978" s="496">
        <v>340</v>
      </c>
      <c r="O1978" s="333">
        <f t="shared" si="92"/>
        <v>340</v>
      </c>
      <c r="R1978" s="23" t="str">
        <f>VLOOKUP(C:C,'Historic Data - working'!A:B,1,FALSE)</f>
        <v>WES220</v>
      </c>
      <c r="U1978" s="323"/>
      <c r="V1978" s="323"/>
      <c r="W1978" s="323"/>
    </row>
    <row r="1979" spans="1:23" s="23" customFormat="1" ht="14.25" hidden="1" x14ac:dyDescent="0.2">
      <c r="A1979" s="381" t="s">
        <v>6265</v>
      </c>
      <c r="B1979" s="381" t="s">
        <v>324</v>
      </c>
      <c r="C1979" s="418" t="s">
        <v>6892</v>
      </c>
      <c r="D1979" s="381" t="s">
        <v>6893</v>
      </c>
      <c r="E1979" s="383" t="s">
        <v>393</v>
      </c>
      <c r="F1979" s="381" t="s">
        <v>1832</v>
      </c>
      <c r="G1979" s="384"/>
      <c r="H1979" s="24"/>
      <c r="I1979" s="24"/>
      <c r="J1979" s="25" t="str">
        <f t="shared" si="94"/>
        <v xml:space="preserve"> </v>
      </c>
      <c r="K1979" s="385"/>
      <c r="L1979" s="385"/>
      <c r="M1979" s="386">
        <f t="shared" si="93"/>
        <v>0</v>
      </c>
      <c r="N1979" s="496">
        <v>235</v>
      </c>
      <c r="O1979" s="333">
        <f t="shared" si="92"/>
        <v>235</v>
      </c>
      <c r="R1979" s="23" t="str">
        <f>VLOOKUP(C:C,'Historic Data - working'!A:B,1,FALSE)</f>
        <v>WES221</v>
      </c>
      <c r="U1979" s="323"/>
      <c r="V1979" s="323"/>
      <c r="W1979" s="323"/>
    </row>
    <row r="1980" spans="1:23" s="23" customFormat="1" ht="14.25" hidden="1" x14ac:dyDescent="0.2">
      <c r="A1980" s="381" t="s">
        <v>6265</v>
      </c>
      <c r="B1980" s="381" t="s">
        <v>324</v>
      </c>
      <c r="C1980" s="418" t="s">
        <v>6894</v>
      </c>
      <c r="D1980" s="381" t="s">
        <v>6895</v>
      </c>
      <c r="E1980" s="383" t="s">
        <v>740</v>
      </c>
      <c r="F1980" s="381" t="s">
        <v>1832</v>
      </c>
      <c r="G1980" s="384"/>
      <c r="H1980" s="24"/>
      <c r="I1980" s="24"/>
      <c r="J1980" s="25" t="str">
        <f t="shared" si="94"/>
        <v xml:space="preserve"> </v>
      </c>
      <c r="K1980" s="385"/>
      <c r="L1980" s="385"/>
      <c r="M1980" s="386">
        <f t="shared" si="93"/>
        <v>0</v>
      </c>
      <c r="N1980" s="496">
        <v>421.97</v>
      </c>
      <c r="O1980" s="333">
        <f t="shared" si="92"/>
        <v>421.97</v>
      </c>
      <c r="R1980" s="23" t="str">
        <f>VLOOKUP(C:C,'Historic Data - working'!A:B,1,FALSE)</f>
        <v>WES222</v>
      </c>
      <c r="U1980" s="323"/>
      <c r="V1980" s="323"/>
      <c r="W1980" s="323"/>
    </row>
    <row r="1981" spans="1:23" s="23" customFormat="1" ht="14.25" hidden="1" x14ac:dyDescent="0.2">
      <c r="A1981" s="381" t="s">
        <v>6265</v>
      </c>
      <c r="B1981" s="381" t="s">
        <v>324</v>
      </c>
      <c r="C1981" s="418" t="s">
        <v>6896</v>
      </c>
      <c r="D1981" s="381" t="s">
        <v>6897</v>
      </c>
      <c r="E1981" s="383" t="s">
        <v>5552</v>
      </c>
      <c r="F1981" s="381" t="s">
        <v>6754</v>
      </c>
      <c r="G1981" s="384"/>
      <c r="H1981" s="24"/>
      <c r="I1981" s="24"/>
      <c r="J1981" s="25" t="str">
        <f t="shared" si="94"/>
        <v xml:space="preserve"> </v>
      </c>
      <c r="K1981" s="385" t="s">
        <v>337</v>
      </c>
      <c r="L1981" s="385">
        <v>938.64</v>
      </c>
      <c r="M1981" s="386">
        <f t="shared" si="93"/>
        <v>938.64</v>
      </c>
      <c r="N1981" s="496">
        <v>120</v>
      </c>
      <c r="O1981" s="333">
        <f t="shared" si="92"/>
        <v>1058.6399999999999</v>
      </c>
      <c r="R1981" s="23" t="str">
        <f>VLOOKUP(C:C,'Historic Data - working'!A:B,1,FALSE)</f>
        <v>WES223</v>
      </c>
      <c r="U1981" s="323"/>
      <c r="V1981" s="323"/>
      <c r="W1981" s="323"/>
    </row>
    <row r="1982" spans="1:23" s="23" customFormat="1" ht="14.25" hidden="1" x14ac:dyDescent="0.2">
      <c r="A1982" s="381" t="s">
        <v>6265</v>
      </c>
      <c r="B1982" s="381" t="s">
        <v>324</v>
      </c>
      <c r="C1982" s="418" t="s">
        <v>6898</v>
      </c>
      <c r="D1982" s="381" t="s">
        <v>6899</v>
      </c>
      <c r="E1982" s="383" t="s">
        <v>6900</v>
      </c>
      <c r="F1982" s="381" t="s">
        <v>1832</v>
      </c>
      <c r="G1982" s="384"/>
      <c r="H1982" s="24"/>
      <c r="I1982" s="24"/>
      <c r="J1982" s="25" t="str">
        <f t="shared" si="94"/>
        <v xml:space="preserve"> </v>
      </c>
      <c r="K1982" s="385"/>
      <c r="L1982" s="385"/>
      <c r="M1982" s="386">
        <f t="shared" si="93"/>
        <v>0</v>
      </c>
      <c r="N1982" s="496">
        <v>230</v>
      </c>
      <c r="O1982" s="333">
        <f t="shared" si="92"/>
        <v>230</v>
      </c>
      <c r="R1982" s="23" t="str">
        <f>VLOOKUP(C:C,'Historic Data - working'!A:B,1,FALSE)</f>
        <v>WES224</v>
      </c>
      <c r="U1982" s="323"/>
      <c r="V1982" s="323"/>
      <c r="W1982" s="323"/>
    </row>
    <row r="1983" spans="1:23" s="23" customFormat="1" ht="14.25" hidden="1" x14ac:dyDescent="0.2">
      <c r="A1983" s="381" t="s">
        <v>6265</v>
      </c>
      <c r="B1983" s="381" t="s">
        <v>324</v>
      </c>
      <c r="C1983" s="418" t="s">
        <v>6901</v>
      </c>
      <c r="D1983" s="381" t="s">
        <v>6902</v>
      </c>
      <c r="E1983" s="383" t="s">
        <v>6903</v>
      </c>
      <c r="F1983" s="381" t="s">
        <v>1832</v>
      </c>
      <c r="G1983" s="384"/>
      <c r="H1983" s="24"/>
      <c r="I1983" s="24"/>
      <c r="J1983" s="25" t="str">
        <f t="shared" si="94"/>
        <v xml:space="preserve"> </v>
      </c>
      <c r="K1983" s="385"/>
      <c r="L1983" s="385"/>
      <c r="M1983" s="386">
        <f t="shared" si="93"/>
        <v>0</v>
      </c>
      <c r="N1983" s="496">
        <v>1931.99</v>
      </c>
      <c r="O1983" s="333">
        <f t="shared" si="92"/>
        <v>1931.99</v>
      </c>
      <c r="R1983" s="23" t="str">
        <f>VLOOKUP(C:C,'Historic Data - working'!A:B,1,FALSE)</f>
        <v>WES225</v>
      </c>
      <c r="U1983" s="323"/>
      <c r="V1983" s="323"/>
      <c r="W1983" s="323"/>
    </row>
    <row r="1984" spans="1:23" s="23" customFormat="1" ht="14.25" hidden="1" x14ac:dyDescent="0.2">
      <c r="A1984" s="381" t="s">
        <v>6265</v>
      </c>
      <c r="B1984" s="381" t="s">
        <v>324</v>
      </c>
      <c r="C1984" s="418" t="s">
        <v>6904</v>
      </c>
      <c r="D1984" s="381" t="s">
        <v>6905</v>
      </c>
      <c r="E1984" s="383" t="s">
        <v>4670</v>
      </c>
      <c r="F1984" s="381" t="s">
        <v>1832</v>
      </c>
      <c r="G1984" s="384"/>
      <c r="H1984" s="24"/>
      <c r="I1984" s="24"/>
      <c r="J1984" s="25" t="str">
        <f t="shared" si="94"/>
        <v xml:space="preserve"> </v>
      </c>
      <c r="K1984" s="385" t="s">
        <v>337</v>
      </c>
      <c r="L1984" s="385">
        <v>341.84</v>
      </c>
      <c r="M1984" s="386">
        <f t="shared" si="93"/>
        <v>341.84</v>
      </c>
      <c r="N1984" s="496">
        <v>1298</v>
      </c>
      <c r="O1984" s="333">
        <f t="shared" si="92"/>
        <v>1639.84</v>
      </c>
      <c r="R1984" s="23" t="str">
        <f>VLOOKUP(C:C,'Historic Data - working'!A:B,1,FALSE)</f>
        <v>WES226</v>
      </c>
      <c r="U1984" s="323"/>
      <c r="V1984" s="323"/>
      <c r="W1984" s="323"/>
    </row>
    <row r="1985" spans="1:23" s="23" customFormat="1" ht="14.25" hidden="1" x14ac:dyDescent="0.2">
      <c r="A1985" s="381" t="s">
        <v>6265</v>
      </c>
      <c r="B1985" s="381" t="s">
        <v>324</v>
      </c>
      <c r="C1985" s="418" t="s">
        <v>6906</v>
      </c>
      <c r="D1985" s="381" t="s">
        <v>6907</v>
      </c>
      <c r="E1985" s="383" t="s">
        <v>6908</v>
      </c>
      <c r="F1985" s="381" t="s">
        <v>6909</v>
      </c>
      <c r="G1985" s="384"/>
      <c r="H1985" s="24"/>
      <c r="I1985" s="24"/>
      <c r="J1985" s="25" t="str">
        <f t="shared" si="94"/>
        <v xml:space="preserve"> </v>
      </c>
      <c r="K1985" s="385"/>
      <c r="L1985" s="385"/>
      <c r="M1985" s="386">
        <f t="shared" si="93"/>
        <v>0</v>
      </c>
      <c r="N1985" s="496">
        <v>365</v>
      </c>
      <c r="O1985" s="333">
        <f t="shared" si="92"/>
        <v>365</v>
      </c>
      <c r="R1985" s="23" t="str">
        <f>VLOOKUP(C:C,'Historic Data - working'!A:B,1,FALSE)</f>
        <v>WES227</v>
      </c>
      <c r="U1985" s="323"/>
      <c r="V1985" s="323"/>
      <c r="W1985" s="323"/>
    </row>
    <row r="1986" spans="1:23" s="23" customFormat="1" ht="14.25" hidden="1" x14ac:dyDescent="0.2">
      <c r="A1986" s="381" t="s">
        <v>6265</v>
      </c>
      <c r="B1986" s="381" t="s">
        <v>324</v>
      </c>
      <c r="C1986" s="418" t="s">
        <v>6910</v>
      </c>
      <c r="D1986" s="381" t="s">
        <v>6911</v>
      </c>
      <c r="E1986" s="383" t="s">
        <v>6912</v>
      </c>
      <c r="F1986" s="381" t="s">
        <v>1832</v>
      </c>
      <c r="G1986" s="384"/>
      <c r="H1986" s="24"/>
      <c r="I1986" s="24"/>
      <c r="J1986" s="25" t="str">
        <f t="shared" si="94"/>
        <v xml:space="preserve"> </v>
      </c>
      <c r="K1986" s="385"/>
      <c r="L1986" s="385"/>
      <c r="M1986" s="386">
        <f t="shared" si="93"/>
        <v>0</v>
      </c>
      <c r="N1986" s="496"/>
      <c r="O1986" s="333">
        <f t="shared" ref="O1986:O2049" si="95">M1986+N1986</f>
        <v>0</v>
      </c>
      <c r="R1986" s="23" t="str">
        <f>VLOOKUP(C:C,'Historic Data - working'!A:B,1,FALSE)</f>
        <v>WES229</v>
      </c>
      <c r="U1986" s="323"/>
      <c r="V1986" s="323"/>
      <c r="W1986" s="323"/>
    </row>
    <row r="1987" spans="1:23" s="23" customFormat="1" ht="14.25" hidden="1" x14ac:dyDescent="0.2">
      <c r="A1987" s="381" t="s">
        <v>6265</v>
      </c>
      <c r="B1987" s="381" t="s">
        <v>324</v>
      </c>
      <c r="C1987" s="418" t="s">
        <v>6913</v>
      </c>
      <c r="D1987" s="381" t="s">
        <v>6914</v>
      </c>
      <c r="E1987" s="383" t="s">
        <v>6915</v>
      </c>
      <c r="F1987" s="385"/>
      <c r="G1987" s="384"/>
      <c r="H1987" s="24"/>
      <c r="I1987" s="24"/>
      <c r="J1987" s="25" t="str">
        <f t="shared" si="94"/>
        <v xml:space="preserve"> </v>
      </c>
      <c r="K1987" s="385" t="s">
        <v>827</v>
      </c>
      <c r="L1987" s="385">
        <v>118.15</v>
      </c>
      <c r="M1987" s="386">
        <f>H1987+L1987</f>
        <v>118.15</v>
      </c>
      <c r="N1987" s="496">
        <v>487</v>
      </c>
      <c r="O1987" s="334">
        <f t="shared" si="95"/>
        <v>605.15</v>
      </c>
      <c r="P1987" s="351"/>
      <c r="Q1987" s="331"/>
      <c r="R1987" s="331" t="e">
        <f>VLOOKUP(C:C,'Historic Data - working'!A:B,1,FALSE)</f>
        <v>#N/A</v>
      </c>
      <c r="U1987" s="323"/>
      <c r="V1987" s="323"/>
      <c r="W1987" s="323"/>
    </row>
    <row r="1988" spans="1:23" s="23" customFormat="1" ht="14.25" hidden="1" x14ac:dyDescent="0.2">
      <c r="A1988" s="381" t="s">
        <v>6916</v>
      </c>
      <c r="B1988" s="381" t="s">
        <v>324</v>
      </c>
      <c r="C1988" s="389" t="s">
        <v>6917</v>
      </c>
      <c r="D1988" s="381" t="s">
        <v>6918</v>
      </c>
      <c r="E1988" s="383" t="s">
        <v>6919</v>
      </c>
      <c r="F1988" s="381" t="s">
        <v>6920</v>
      </c>
      <c r="G1988" s="384" t="s">
        <v>329</v>
      </c>
      <c r="H1988" s="24">
        <f>155.41+258.62+276.31+119.93+332.61+423.68+141.01</f>
        <v>1707.5700000000002</v>
      </c>
      <c r="I1988" s="24"/>
      <c r="J1988" s="25" t="str">
        <f t="shared" si="94"/>
        <v>1</v>
      </c>
      <c r="K1988" s="385" t="s">
        <v>6921</v>
      </c>
      <c r="L1988" s="385">
        <v>1</v>
      </c>
      <c r="M1988" s="386">
        <f t="shared" ref="M1988:M2051" si="96">H1988+L1988</f>
        <v>1708.5700000000002</v>
      </c>
      <c r="N1988" s="496">
        <v>570</v>
      </c>
      <c r="O1988" s="333">
        <f t="shared" si="95"/>
        <v>2278.5700000000002</v>
      </c>
      <c r="R1988" s="23" t="str">
        <f>VLOOKUP(C:C,'Historic Data - working'!A:B,1,FALSE)</f>
        <v>WRX001</v>
      </c>
      <c r="U1988" s="323"/>
      <c r="V1988" s="323"/>
      <c r="W1988" s="323"/>
    </row>
    <row r="1989" spans="1:23" s="23" customFormat="1" ht="14.25" hidden="1" x14ac:dyDescent="0.2">
      <c r="A1989" s="381" t="s">
        <v>6916</v>
      </c>
      <c r="B1989" s="381" t="s">
        <v>324</v>
      </c>
      <c r="C1989" s="389" t="s">
        <v>6922</v>
      </c>
      <c r="D1989" s="381" t="s">
        <v>6923</v>
      </c>
      <c r="E1989" s="383" t="s">
        <v>335</v>
      </c>
      <c r="F1989" s="381" t="s">
        <v>6924</v>
      </c>
      <c r="G1989" s="384"/>
      <c r="H1989" s="24"/>
      <c r="I1989" s="24"/>
      <c r="J1989" s="25" t="str">
        <f t="shared" si="94"/>
        <v xml:space="preserve"> </v>
      </c>
      <c r="K1989" s="385"/>
      <c r="L1989" s="385"/>
      <c r="M1989" s="386">
        <f t="shared" si="96"/>
        <v>0</v>
      </c>
      <c r="N1989" s="496"/>
      <c r="O1989" s="333">
        <f t="shared" si="95"/>
        <v>0</v>
      </c>
      <c r="R1989" s="23" t="e">
        <f>VLOOKUP(C:C,'Historic Data - working'!A:B,1,FALSE)</f>
        <v>#N/A</v>
      </c>
      <c r="U1989" s="323"/>
      <c r="V1989" s="323"/>
      <c r="W1989" s="323"/>
    </row>
    <row r="1990" spans="1:23" s="23" customFormat="1" ht="14.25" hidden="1" x14ac:dyDescent="0.2">
      <c r="A1990" s="381" t="s">
        <v>6916</v>
      </c>
      <c r="B1990" s="381" t="s">
        <v>351</v>
      </c>
      <c r="C1990" s="389" t="s">
        <v>6925</v>
      </c>
      <c r="D1990" s="381" t="s">
        <v>6926</v>
      </c>
      <c r="E1990" s="383" t="s">
        <v>6927</v>
      </c>
      <c r="F1990" s="381" t="s">
        <v>6928</v>
      </c>
      <c r="G1990" s="384"/>
      <c r="H1990" s="24"/>
      <c r="I1990" s="24"/>
      <c r="J1990" s="25" t="str">
        <f t="shared" si="94"/>
        <v xml:space="preserve"> </v>
      </c>
      <c r="K1990" s="385"/>
      <c r="L1990" s="385"/>
      <c r="M1990" s="386">
        <f t="shared" si="96"/>
        <v>0</v>
      </c>
      <c r="N1990" s="496">
        <v>390</v>
      </c>
      <c r="O1990" s="333">
        <f t="shared" si="95"/>
        <v>390</v>
      </c>
      <c r="R1990" s="23" t="str">
        <f>VLOOKUP(C:C,'Historic Data - working'!A:B,1,FALSE)</f>
        <v>WRX002</v>
      </c>
      <c r="U1990" s="323"/>
      <c r="V1990" s="323"/>
      <c r="W1990" s="323"/>
    </row>
    <row r="1991" spans="1:23" s="23" customFormat="1" ht="14.25" hidden="1" x14ac:dyDescent="0.2">
      <c r="A1991" s="381" t="s">
        <v>6916</v>
      </c>
      <c r="B1991" s="381" t="s">
        <v>351</v>
      </c>
      <c r="C1991" s="389" t="s">
        <v>6929</v>
      </c>
      <c r="D1991" s="381" t="s">
        <v>6930</v>
      </c>
      <c r="E1991" s="383" t="s">
        <v>6931</v>
      </c>
      <c r="F1991" s="381" t="s">
        <v>6932</v>
      </c>
      <c r="G1991" s="384" t="s">
        <v>329</v>
      </c>
      <c r="H1991" s="24">
        <f>233.78+69.03+104.86+151.82</f>
        <v>559.49</v>
      </c>
      <c r="I1991" s="24"/>
      <c r="J1991" s="25" t="str">
        <f t="shared" si="94"/>
        <v>1</v>
      </c>
      <c r="K1991" s="385"/>
      <c r="L1991" s="385"/>
      <c r="M1991" s="386">
        <f t="shared" si="96"/>
        <v>559.49</v>
      </c>
      <c r="N1991" s="496">
        <v>10</v>
      </c>
      <c r="O1991" s="333">
        <f t="shared" si="95"/>
        <v>569.49</v>
      </c>
      <c r="R1991" s="23" t="str">
        <f>VLOOKUP(C:C,'Historic Data - working'!A:B,1,FALSE)</f>
        <v>WRX003</v>
      </c>
      <c r="U1991" s="323"/>
      <c r="V1991" s="323"/>
      <c r="W1991" s="323"/>
    </row>
    <row r="1992" spans="1:23" s="23" customFormat="1" ht="14.25" hidden="1" x14ac:dyDescent="0.2">
      <c r="A1992" s="381" t="s">
        <v>6916</v>
      </c>
      <c r="B1992" s="381" t="s">
        <v>351</v>
      </c>
      <c r="C1992" s="389" t="s">
        <v>6933</v>
      </c>
      <c r="D1992" s="381" t="s">
        <v>6934</v>
      </c>
      <c r="E1992" s="383" t="s">
        <v>214</v>
      </c>
      <c r="F1992" s="381" t="s">
        <v>6932</v>
      </c>
      <c r="G1992" s="384"/>
      <c r="H1992" s="24"/>
      <c r="I1992" s="24"/>
      <c r="J1992" s="25" t="str">
        <f t="shared" si="94"/>
        <v xml:space="preserve"> </v>
      </c>
      <c r="K1992" s="385"/>
      <c r="L1992" s="385"/>
      <c r="M1992" s="386">
        <f t="shared" si="96"/>
        <v>0</v>
      </c>
      <c r="N1992" s="496"/>
      <c r="O1992" s="333">
        <f t="shared" si="95"/>
        <v>0</v>
      </c>
      <c r="R1992" s="23" t="e">
        <f>VLOOKUP(C:C,'Historic Data - working'!A:B,1,FALSE)</f>
        <v>#N/A</v>
      </c>
      <c r="U1992" s="323"/>
      <c r="V1992" s="323"/>
      <c r="W1992" s="323"/>
    </row>
    <row r="1993" spans="1:23" s="23" customFormat="1" ht="28.5" hidden="1" x14ac:dyDescent="0.2">
      <c r="A1993" s="381" t="s">
        <v>6916</v>
      </c>
      <c r="B1993" s="381" t="s">
        <v>351</v>
      </c>
      <c r="C1993" s="389" t="s">
        <v>6935</v>
      </c>
      <c r="D1993" s="381" t="s">
        <v>6936</v>
      </c>
      <c r="E1993" s="383" t="s">
        <v>6937</v>
      </c>
      <c r="F1993" s="381" t="s">
        <v>6938</v>
      </c>
      <c r="G1993" s="384"/>
      <c r="H1993" s="24"/>
      <c r="I1993" s="24"/>
      <c r="J1993" s="25" t="str">
        <f t="shared" si="94"/>
        <v xml:space="preserve"> </v>
      </c>
      <c r="K1993" s="385"/>
      <c r="L1993" s="385"/>
      <c r="M1993" s="386">
        <f t="shared" si="96"/>
        <v>0</v>
      </c>
      <c r="N1993" s="496">
        <v>50</v>
      </c>
      <c r="O1993" s="333">
        <f t="shared" si="95"/>
        <v>50</v>
      </c>
      <c r="R1993" s="23" t="str">
        <f>VLOOKUP(C:C,'Historic Data - working'!A:B,1,FALSE)</f>
        <v>WRX005</v>
      </c>
      <c r="U1993" s="323"/>
      <c r="V1993" s="323"/>
      <c r="W1993" s="323"/>
    </row>
    <row r="1994" spans="1:23" s="23" customFormat="1" ht="14.25" hidden="1" x14ac:dyDescent="0.2">
      <c r="A1994" s="381" t="s">
        <v>6916</v>
      </c>
      <c r="B1994" s="381" t="s">
        <v>324</v>
      </c>
      <c r="C1994" s="389" t="s">
        <v>6939</v>
      </c>
      <c r="D1994" s="381" t="s">
        <v>6940</v>
      </c>
      <c r="E1994" s="383" t="s">
        <v>89</v>
      </c>
      <c r="F1994" s="381" t="s">
        <v>6941</v>
      </c>
      <c r="G1994" s="384"/>
      <c r="H1994" s="24"/>
      <c r="I1994" s="24"/>
      <c r="J1994" s="25" t="str">
        <f t="shared" si="94"/>
        <v xml:space="preserve"> </v>
      </c>
      <c r="K1994" s="385"/>
      <c r="L1994" s="385"/>
      <c r="M1994" s="386">
        <f t="shared" si="96"/>
        <v>0</v>
      </c>
      <c r="N1994" s="496"/>
      <c r="O1994" s="333">
        <f t="shared" si="95"/>
        <v>0</v>
      </c>
      <c r="R1994" s="23" t="e">
        <f>VLOOKUP(C:C,'Historic Data - working'!A:B,1,FALSE)</f>
        <v>#N/A</v>
      </c>
      <c r="U1994" s="323"/>
      <c r="V1994" s="323"/>
      <c r="W1994" s="323"/>
    </row>
    <row r="1995" spans="1:23" s="23" customFormat="1" ht="14.25" hidden="1" x14ac:dyDescent="0.2">
      <c r="A1995" s="381" t="s">
        <v>6916</v>
      </c>
      <c r="B1995" s="381" t="s">
        <v>351</v>
      </c>
      <c r="C1995" s="389" t="s">
        <v>6942</v>
      </c>
      <c r="D1995" s="381" t="s">
        <v>6943</v>
      </c>
      <c r="E1995" s="383" t="s">
        <v>6944</v>
      </c>
      <c r="F1995" s="381" t="s">
        <v>6945</v>
      </c>
      <c r="G1995" s="384"/>
      <c r="H1995" s="24"/>
      <c r="I1995" s="24"/>
      <c r="J1995" s="25" t="str">
        <f t="shared" si="94"/>
        <v xml:space="preserve"> </v>
      </c>
      <c r="K1995" s="385"/>
      <c r="L1995" s="385"/>
      <c r="M1995" s="386">
        <f t="shared" si="96"/>
        <v>0</v>
      </c>
      <c r="N1995" s="496"/>
      <c r="O1995" s="333">
        <f t="shared" si="95"/>
        <v>0</v>
      </c>
      <c r="R1995" s="23" t="e">
        <f>VLOOKUP(C:C,'Historic Data - working'!A:B,1,FALSE)</f>
        <v>#N/A</v>
      </c>
      <c r="U1995" s="323"/>
      <c r="V1995" s="323"/>
      <c r="W1995" s="323"/>
    </row>
    <row r="1996" spans="1:23" s="23" customFormat="1" ht="14.25" hidden="1" x14ac:dyDescent="0.2">
      <c r="A1996" s="381" t="s">
        <v>6916</v>
      </c>
      <c r="B1996" s="381" t="s">
        <v>351</v>
      </c>
      <c r="C1996" s="389" t="s">
        <v>6946</v>
      </c>
      <c r="D1996" s="381" t="s">
        <v>6947</v>
      </c>
      <c r="E1996" s="383" t="s">
        <v>6948</v>
      </c>
      <c r="F1996" s="381" t="s">
        <v>6949</v>
      </c>
      <c r="G1996" s="384"/>
      <c r="H1996" s="24"/>
      <c r="I1996" s="24"/>
      <c r="J1996" s="25" t="str">
        <f t="shared" si="94"/>
        <v xml:space="preserve"> </v>
      </c>
      <c r="K1996" s="385" t="s">
        <v>6950</v>
      </c>
      <c r="L1996" s="385">
        <v>361.34</v>
      </c>
      <c r="M1996" s="386">
        <f t="shared" si="96"/>
        <v>361.34</v>
      </c>
      <c r="N1996" s="496">
        <v>260</v>
      </c>
      <c r="O1996" s="333">
        <f t="shared" si="95"/>
        <v>621.33999999999992</v>
      </c>
      <c r="R1996" s="23" t="str">
        <f>VLOOKUP(C:C,'Historic Data - working'!A:B,1,FALSE)</f>
        <v>WRX008</v>
      </c>
      <c r="U1996" s="323"/>
      <c r="V1996" s="323"/>
      <c r="W1996" s="323"/>
    </row>
    <row r="1997" spans="1:23" s="23" customFormat="1" ht="14.25" hidden="1" x14ac:dyDescent="0.2">
      <c r="A1997" s="381" t="s">
        <v>6916</v>
      </c>
      <c r="B1997" s="381" t="s">
        <v>324</v>
      </c>
      <c r="C1997" s="389" t="s">
        <v>6951</v>
      </c>
      <c r="D1997" s="381" t="s">
        <v>6952</v>
      </c>
      <c r="E1997" s="383" t="s">
        <v>6953</v>
      </c>
      <c r="F1997" s="381" t="s">
        <v>6954</v>
      </c>
      <c r="G1997" s="384"/>
      <c r="H1997" s="24"/>
      <c r="I1997" s="24"/>
      <c r="J1997" s="25" t="str">
        <f t="shared" si="94"/>
        <v xml:space="preserve"> </v>
      </c>
      <c r="K1997" s="385"/>
      <c r="L1997" s="385"/>
      <c r="M1997" s="386">
        <f t="shared" si="96"/>
        <v>0</v>
      </c>
      <c r="N1997" s="496"/>
      <c r="O1997" s="333">
        <f t="shared" si="95"/>
        <v>0</v>
      </c>
      <c r="R1997" s="23" t="e">
        <f>VLOOKUP(C:C,'Historic Data - working'!A:B,1,FALSE)</f>
        <v>#N/A</v>
      </c>
      <c r="U1997" s="323"/>
      <c r="V1997" s="323"/>
      <c r="W1997" s="323"/>
    </row>
    <row r="1998" spans="1:23" s="23" customFormat="1" ht="14.25" hidden="1" x14ac:dyDescent="0.2">
      <c r="A1998" s="381" t="s">
        <v>6916</v>
      </c>
      <c r="B1998" s="381" t="s">
        <v>324</v>
      </c>
      <c r="C1998" s="389" t="s">
        <v>6955</v>
      </c>
      <c r="D1998" s="381" t="s">
        <v>6956</v>
      </c>
      <c r="E1998" s="383" t="s">
        <v>6957</v>
      </c>
      <c r="F1998" s="381" t="s">
        <v>6958</v>
      </c>
      <c r="G1998" s="384" t="s">
        <v>329</v>
      </c>
      <c r="H1998" s="24">
        <f>82+71.83</f>
        <v>153.82999999999998</v>
      </c>
      <c r="I1998" s="24"/>
      <c r="J1998" s="25" t="str">
        <f t="shared" si="94"/>
        <v>1</v>
      </c>
      <c r="K1998" s="385"/>
      <c r="L1998" s="385"/>
      <c r="M1998" s="386">
        <f t="shared" si="96"/>
        <v>153.82999999999998</v>
      </c>
      <c r="N1998" s="496"/>
      <c r="O1998" s="333">
        <f t="shared" si="95"/>
        <v>153.82999999999998</v>
      </c>
      <c r="R1998" s="23" t="str">
        <f>VLOOKUP(C:C,'Historic Data - working'!A:B,1,FALSE)</f>
        <v>WRX010</v>
      </c>
      <c r="U1998" s="323"/>
      <c r="V1998" s="323"/>
      <c r="W1998" s="323"/>
    </row>
    <row r="1999" spans="1:23" s="23" customFormat="1" ht="14.25" hidden="1" x14ac:dyDescent="0.2">
      <c r="A1999" s="381" t="s">
        <v>6916</v>
      </c>
      <c r="B1999" s="381" t="s">
        <v>324</v>
      </c>
      <c r="C1999" s="389" t="s">
        <v>6959</v>
      </c>
      <c r="D1999" s="381" t="s">
        <v>6960</v>
      </c>
      <c r="E1999" s="383" t="s">
        <v>6961</v>
      </c>
      <c r="F1999" s="381" t="s">
        <v>6962</v>
      </c>
      <c r="G1999" s="384"/>
      <c r="H1999" s="24"/>
      <c r="I1999" s="24"/>
      <c r="J1999" s="25" t="str">
        <f t="shared" si="94"/>
        <v xml:space="preserve"> </v>
      </c>
      <c r="K1999" s="385"/>
      <c r="L1999" s="385"/>
      <c r="M1999" s="386">
        <f t="shared" si="96"/>
        <v>0</v>
      </c>
      <c r="N1999" s="496"/>
      <c r="O1999" s="333">
        <f t="shared" si="95"/>
        <v>0</v>
      </c>
      <c r="R1999" s="23" t="e">
        <f>VLOOKUP(C:C,'Historic Data - working'!A:B,1,FALSE)</f>
        <v>#N/A</v>
      </c>
      <c r="U1999" s="323"/>
      <c r="V1999" s="323"/>
      <c r="W1999" s="323"/>
    </row>
    <row r="2000" spans="1:23" s="23" customFormat="1" ht="14.25" hidden="1" x14ac:dyDescent="0.2">
      <c r="A2000" s="381" t="s">
        <v>6916</v>
      </c>
      <c r="B2000" s="381" t="s">
        <v>351</v>
      </c>
      <c r="C2000" s="389" t="s">
        <v>6963</v>
      </c>
      <c r="D2000" s="381" t="s">
        <v>6964</v>
      </c>
      <c r="E2000" s="383" t="s">
        <v>6965</v>
      </c>
      <c r="F2000" s="381" t="s">
        <v>6966</v>
      </c>
      <c r="G2000" s="384"/>
      <c r="H2000" s="24"/>
      <c r="I2000" s="24"/>
      <c r="J2000" s="25" t="str">
        <f t="shared" si="94"/>
        <v xml:space="preserve"> </v>
      </c>
      <c r="K2000" s="385"/>
      <c r="L2000" s="385"/>
      <c r="M2000" s="386">
        <f t="shared" si="96"/>
        <v>0</v>
      </c>
      <c r="N2000" s="496"/>
      <c r="O2000" s="333">
        <f t="shared" si="95"/>
        <v>0</v>
      </c>
      <c r="R2000" s="23" t="str">
        <f>VLOOKUP(C:C,'Historic Data - working'!A:B,1,FALSE)</f>
        <v>WRX011</v>
      </c>
      <c r="U2000" s="323"/>
      <c r="V2000" s="323"/>
      <c r="W2000" s="323"/>
    </row>
    <row r="2001" spans="1:23" s="23" customFormat="1" ht="14.25" hidden="1" x14ac:dyDescent="0.2">
      <c r="A2001" s="381" t="s">
        <v>6916</v>
      </c>
      <c r="B2001" s="381" t="s">
        <v>351</v>
      </c>
      <c r="C2001" s="389" t="s">
        <v>6967</v>
      </c>
      <c r="D2001" s="381" t="s">
        <v>6968</v>
      </c>
      <c r="E2001" s="383" t="s">
        <v>6969</v>
      </c>
      <c r="F2001" s="381" t="s">
        <v>6970</v>
      </c>
      <c r="G2001" s="384"/>
      <c r="H2001" s="24"/>
      <c r="I2001" s="24"/>
      <c r="J2001" s="25" t="str">
        <f t="shared" si="94"/>
        <v xml:space="preserve"> </v>
      </c>
      <c r="K2001" s="385"/>
      <c r="L2001" s="385"/>
      <c r="M2001" s="386">
        <f t="shared" si="96"/>
        <v>0</v>
      </c>
      <c r="N2001" s="496"/>
      <c r="O2001" s="333">
        <f t="shared" si="95"/>
        <v>0</v>
      </c>
      <c r="R2001" s="23" t="e">
        <f>VLOOKUP(C:C,'Historic Data - working'!A:B,1,FALSE)</f>
        <v>#N/A</v>
      </c>
      <c r="U2001" s="323"/>
      <c r="V2001" s="323"/>
      <c r="W2001" s="323"/>
    </row>
    <row r="2002" spans="1:23" s="23" customFormat="1" ht="14.25" hidden="1" x14ac:dyDescent="0.2">
      <c r="A2002" s="381" t="s">
        <v>6916</v>
      </c>
      <c r="B2002" s="381" t="s">
        <v>351</v>
      </c>
      <c r="C2002" s="389" t="s">
        <v>6971</v>
      </c>
      <c r="D2002" s="381" t="s">
        <v>6972</v>
      </c>
      <c r="E2002" s="383" t="s">
        <v>6973</v>
      </c>
      <c r="F2002" s="381" t="s">
        <v>6974</v>
      </c>
      <c r="G2002" s="384"/>
      <c r="H2002" s="24"/>
      <c r="I2002" s="24"/>
      <c r="J2002" s="25" t="str">
        <f t="shared" si="94"/>
        <v xml:space="preserve"> </v>
      </c>
      <c r="K2002" s="385"/>
      <c r="L2002" s="385"/>
      <c r="M2002" s="386">
        <f t="shared" si="96"/>
        <v>0</v>
      </c>
      <c r="N2002" s="496"/>
      <c r="O2002" s="333">
        <f t="shared" si="95"/>
        <v>0</v>
      </c>
      <c r="R2002" s="23" t="e">
        <f>VLOOKUP(C:C,'Historic Data - working'!A:B,1,FALSE)</f>
        <v>#N/A</v>
      </c>
      <c r="U2002" s="323"/>
      <c r="V2002" s="323"/>
      <c r="W2002" s="323"/>
    </row>
    <row r="2003" spans="1:23" s="23" customFormat="1" ht="14.25" hidden="1" x14ac:dyDescent="0.2">
      <c r="A2003" s="381" t="s">
        <v>6916</v>
      </c>
      <c r="B2003" s="381" t="s">
        <v>351</v>
      </c>
      <c r="C2003" s="389" t="s">
        <v>6975</v>
      </c>
      <c r="D2003" s="381" t="s">
        <v>6976</v>
      </c>
      <c r="E2003" s="383" t="s">
        <v>6977</v>
      </c>
      <c r="F2003" s="381" t="s">
        <v>6978</v>
      </c>
      <c r="G2003" s="384"/>
      <c r="H2003" s="24"/>
      <c r="I2003" s="24"/>
      <c r="J2003" s="25" t="str">
        <f t="shared" si="94"/>
        <v xml:space="preserve"> </v>
      </c>
      <c r="K2003" s="385"/>
      <c r="L2003" s="385"/>
      <c r="M2003" s="386">
        <f t="shared" si="96"/>
        <v>0</v>
      </c>
      <c r="N2003" s="496"/>
      <c r="O2003" s="333">
        <f t="shared" si="95"/>
        <v>0</v>
      </c>
      <c r="R2003" s="23" t="e">
        <f>VLOOKUP(C:C,'Historic Data - working'!A:B,1,FALSE)</f>
        <v>#N/A</v>
      </c>
      <c r="U2003" s="323"/>
      <c r="V2003" s="323"/>
      <c r="W2003" s="323"/>
    </row>
    <row r="2004" spans="1:23" s="23" customFormat="1" ht="14.25" hidden="1" x14ac:dyDescent="0.2">
      <c r="A2004" s="381" t="s">
        <v>6916</v>
      </c>
      <c r="B2004" s="381" t="s">
        <v>324</v>
      </c>
      <c r="C2004" s="389" t="s">
        <v>6979</v>
      </c>
      <c r="D2004" s="381" t="s">
        <v>6980</v>
      </c>
      <c r="E2004" s="383" t="s">
        <v>366</v>
      </c>
      <c r="F2004" s="381" t="s">
        <v>6981</v>
      </c>
      <c r="G2004" s="384"/>
      <c r="H2004" s="24"/>
      <c r="I2004" s="24"/>
      <c r="J2004" s="25" t="str">
        <f t="shared" si="94"/>
        <v xml:space="preserve"> </v>
      </c>
      <c r="K2004" s="385" t="s">
        <v>6950</v>
      </c>
      <c r="L2004" s="385">
        <v>169.21</v>
      </c>
      <c r="M2004" s="386">
        <f t="shared" si="96"/>
        <v>169.21</v>
      </c>
      <c r="N2004" s="496">
        <v>118.08</v>
      </c>
      <c r="O2004" s="333">
        <f t="shared" si="95"/>
        <v>287.29000000000002</v>
      </c>
      <c r="R2004" s="23" t="str">
        <f>VLOOKUP(C:C,'Historic Data - working'!A:B,1,FALSE)</f>
        <v>WRX012</v>
      </c>
      <c r="U2004" s="323"/>
      <c r="V2004" s="323"/>
      <c r="W2004" s="323"/>
    </row>
    <row r="2005" spans="1:23" s="23" customFormat="1" ht="14.25" hidden="1" x14ac:dyDescent="0.2">
      <c r="A2005" s="381" t="s">
        <v>6916</v>
      </c>
      <c r="B2005" s="381" t="s">
        <v>324</v>
      </c>
      <c r="C2005" s="389" t="s">
        <v>6982</v>
      </c>
      <c r="D2005" s="381" t="s">
        <v>6983</v>
      </c>
      <c r="E2005" s="383" t="s">
        <v>1349</v>
      </c>
      <c r="F2005" s="381" t="s">
        <v>6981</v>
      </c>
      <c r="G2005" s="384"/>
      <c r="H2005" s="24"/>
      <c r="I2005" s="24"/>
      <c r="J2005" s="25" t="str">
        <f t="shared" si="94"/>
        <v xml:space="preserve"> </v>
      </c>
      <c r="K2005" s="385"/>
      <c r="L2005" s="385"/>
      <c r="M2005" s="386">
        <f t="shared" si="96"/>
        <v>0</v>
      </c>
      <c r="N2005" s="496"/>
      <c r="O2005" s="333">
        <f t="shared" si="95"/>
        <v>0</v>
      </c>
      <c r="R2005" s="23" t="e">
        <f>VLOOKUP(C:C,'Historic Data - working'!A:B,1,FALSE)</f>
        <v>#N/A</v>
      </c>
      <c r="U2005" s="323"/>
      <c r="V2005" s="323"/>
      <c r="W2005" s="323"/>
    </row>
    <row r="2006" spans="1:23" s="23" customFormat="1" ht="14.25" hidden="1" x14ac:dyDescent="0.2">
      <c r="A2006" s="381" t="s">
        <v>6916</v>
      </c>
      <c r="B2006" s="381" t="s">
        <v>324</v>
      </c>
      <c r="C2006" s="389" t="s">
        <v>6984</v>
      </c>
      <c r="D2006" s="381" t="s">
        <v>6985</v>
      </c>
      <c r="E2006" s="383" t="s">
        <v>198</v>
      </c>
      <c r="F2006" s="381" t="s">
        <v>6986</v>
      </c>
      <c r="G2006" s="384" t="s">
        <v>329</v>
      </c>
      <c r="H2006" s="24">
        <f>181.54+36+40.69</f>
        <v>258.23</v>
      </c>
      <c r="I2006" s="24"/>
      <c r="J2006" s="25" t="str">
        <f t="shared" si="94"/>
        <v>1</v>
      </c>
      <c r="K2006" s="385" t="s">
        <v>6987</v>
      </c>
      <c r="L2006" s="385">
        <v>-40.69</v>
      </c>
      <c r="M2006" s="386">
        <f t="shared" si="96"/>
        <v>217.54000000000002</v>
      </c>
      <c r="N2006" s="496">
        <v>80</v>
      </c>
      <c r="O2006" s="333">
        <f t="shared" si="95"/>
        <v>297.54000000000002</v>
      </c>
      <c r="R2006" s="23" t="str">
        <f>VLOOKUP(C:C,'Historic Data - working'!A:B,1,FALSE)</f>
        <v>WRX014</v>
      </c>
      <c r="U2006" s="323"/>
      <c r="V2006" s="323"/>
      <c r="W2006" s="323"/>
    </row>
    <row r="2007" spans="1:23" s="23" customFormat="1" ht="14.25" hidden="1" x14ac:dyDescent="0.2">
      <c r="A2007" s="381" t="s">
        <v>6916</v>
      </c>
      <c r="B2007" s="381" t="s">
        <v>351</v>
      </c>
      <c r="C2007" s="389" t="s">
        <v>6988</v>
      </c>
      <c r="D2007" s="381" t="s">
        <v>6989</v>
      </c>
      <c r="E2007" s="383" t="s">
        <v>6990</v>
      </c>
      <c r="F2007" s="381" t="s">
        <v>6991</v>
      </c>
      <c r="G2007" s="384" t="s">
        <v>329</v>
      </c>
      <c r="H2007" s="24">
        <f>64.12+189.3+71.71+151.82+94.46</f>
        <v>571.41</v>
      </c>
      <c r="I2007" s="24"/>
      <c r="J2007" s="25" t="str">
        <f t="shared" si="94"/>
        <v>1</v>
      </c>
      <c r="K2007" s="385"/>
      <c r="L2007" s="385"/>
      <c r="M2007" s="386">
        <f t="shared" si="96"/>
        <v>571.41</v>
      </c>
      <c r="N2007" s="496">
        <v>60</v>
      </c>
      <c r="O2007" s="333">
        <f t="shared" si="95"/>
        <v>631.41</v>
      </c>
      <c r="R2007" s="23" t="str">
        <f>VLOOKUP(C:C,'Historic Data - working'!A:B,1,FALSE)</f>
        <v>WRX016</v>
      </c>
      <c r="U2007" s="323"/>
      <c r="V2007" s="323"/>
      <c r="W2007" s="323"/>
    </row>
    <row r="2008" spans="1:23" s="23" customFormat="1" ht="14.25" hidden="1" x14ac:dyDescent="0.2">
      <c r="A2008" s="381" t="s">
        <v>6916</v>
      </c>
      <c r="B2008" s="381" t="s">
        <v>324</v>
      </c>
      <c r="C2008" s="389" t="s">
        <v>6992</v>
      </c>
      <c r="D2008" s="381" t="s">
        <v>6993</v>
      </c>
      <c r="E2008" s="383" t="s">
        <v>6994</v>
      </c>
      <c r="F2008" s="381" t="s">
        <v>6995</v>
      </c>
      <c r="G2008" s="384"/>
      <c r="H2008" s="24"/>
      <c r="I2008" s="24"/>
      <c r="J2008" s="25" t="str">
        <f t="shared" si="94"/>
        <v xml:space="preserve"> </v>
      </c>
      <c r="K2008" s="385"/>
      <c r="L2008" s="385"/>
      <c r="M2008" s="386">
        <f t="shared" si="96"/>
        <v>0</v>
      </c>
      <c r="N2008" s="496"/>
      <c r="O2008" s="333">
        <f t="shared" si="95"/>
        <v>0</v>
      </c>
      <c r="R2008" s="23" t="e">
        <f>VLOOKUP(C:C,'Historic Data - working'!A:B,1,FALSE)</f>
        <v>#N/A</v>
      </c>
      <c r="U2008" s="323"/>
      <c r="V2008" s="323"/>
      <c r="W2008" s="323"/>
    </row>
    <row r="2009" spans="1:23" s="23" customFormat="1" ht="28.5" hidden="1" x14ac:dyDescent="0.2">
      <c r="A2009" s="381" t="s">
        <v>6916</v>
      </c>
      <c r="B2009" s="381" t="s">
        <v>351</v>
      </c>
      <c r="C2009" s="389" t="s">
        <v>6996</v>
      </c>
      <c r="D2009" s="381" t="s">
        <v>6997</v>
      </c>
      <c r="E2009" s="383" t="s">
        <v>6998</v>
      </c>
      <c r="F2009" s="381" t="s">
        <v>6924</v>
      </c>
      <c r="G2009" s="384" t="s">
        <v>329</v>
      </c>
      <c r="H2009" s="24">
        <f>100+178.07</f>
        <v>278.07</v>
      </c>
      <c r="I2009" s="24"/>
      <c r="J2009" s="25" t="str">
        <f t="shared" si="94"/>
        <v>1</v>
      </c>
      <c r="K2009" s="385"/>
      <c r="L2009" s="385"/>
      <c r="M2009" s="386">
        <f t="shared" si="96"/>
        <v>278.07</v>
      </c>
      <c r="N2009" s="496">
        <v>143</v>
      </c>
      <c r="O2009" s="333">
        <f t="shared" si="95"/>
        <v>421.07</v>
      </c>
      <c r="R2009" s="23" t="str">
        <f>VLOOKUP(C:C,'Historic Data - working'!A:B,1,FALSE)</f>
        <v>WRX020</v>
      </c>
      <c r="U2009" s="323"/>
      <c r="V2009" s="323"/>
      <c r="W2009" s="323"/>
    </row>
    <row r="2010" spans="1:23" s="23" customFormat="1" ht="14.25" hidden="1" x14ac:dyDescent="0.2">
      <c r="A2010" s="381" t="s">
        <v>6916</v>
      </c>
      <c r="B2010" s="381" t="s">
        <v>351</v>
      </c>
      <c r="C2010" s="389" t="s">
        <v>6999</v>
      </c>
      <c r="D2010" s="381" t="s">
        <v>7000</v>
      </c>
      <c r="E2010" s="383" t="s">
        <v>7001</v>
      </c>
      <c r="F2010" s="381" t="s">
        <v>7002</v>
      </c>
      <c r="G2010" s="384"/>
      <c r="H2010" s="24"/>
      <c r="I2010" s="24"/>
      <c r="J2010" s="25" t="str">
        <f t="shared" si="94"/>
        <v xml:space="preserve"> </v>
      </c>
      <c r="K2010" s="385"/>
      <c r="L2010" s="385"/>
      <c r="M2010" s="386">
        <f t="shared" si="96"/>
        <v>0</v>
      </c>
      <c r="N2010" s="496">
        <v>5</v>
      </c>
      <c r="O2010" s="333">
        <f t="shared" si="95"/>
        <v>5</v>
      </c>
      <c r="R2010" s="23" t="str">
        <f>VLOOKUP(C:C,'Historic Data - working'!A:B,1,FALSE)</f>
        <v>WRX021</v>
      </c>
      <c r="U2010" s="323"/>
      <c r="V2010" s="323"/>
      <c r="W2010" s="323"/>
    </row>
    <row r="2011" spans="1:23" s="23" customFormat="1" ht="14.25" hidden="1" x14ac:dyDescent="0.2">
      <c r="A2011" s="381" t="s">
        <v>6916</v>
      </c>
      <c r="B2011" s="381" t="s">
        <v>324</v>
      </c>
      <c r="C2011" s="389" t="s">
        <v>7003</v>
      </c>
      <c r="D2011" s="381" t="s">
        <v>7004</v>
      </c>
      <c r="E2011" s="383" t="s">
        <v>3400</v>
      </c>
      <c r="F2011" s="381" t="s">
        <v>7005</v>
      </c>
      <c r="G2011" s="384" t="s">
        <v>329</v>
      </c>
      <c r="H2011" s="24">
        <f>306.99+190.82</f>
        <v>497.81</v>
      </c>
      <c r="I2011" s="24"/>
      <c r="J2011" s="25" t="str">
        <f t="shared" si="94"/>
        <v>1</v>
      </c>
      <c r="K2011" s="385" t="s">
        <v>7006</v>
      </c>
      <c r="L2011" s="385">
        <v>-0.2</v>
      </c>
      <c r="M2011" s="386">
        <f t="shared" si="96"/>
        <v>497.61</v>
      </c>
      <c r="N2011" s="496"/>
      <c r="O2011" s="333">
        <f t="shared" si="95"/>
        <v>497.61</v>
      </c>
      <c r="R2011" s="23" t="str">
        <f>VLOOKUP(C:C,'Historic Data - working'!A:B,1,FALSE)</f>
        <v>WRX022</v>
      </c>
      <c r="U2011" s="323"/>
      <c r="V2011" s="323"/>
      <c r="W2011" s="323"/>
    </row>
    <row r="2012" spans="1:23" s="23" customFormat="1" ht="28.5" hidden="1" x14ac:dyDescent="0.2">
      <c r="A2012" s="381" t="s">
        <v>6916</v>
      </c>
      <c r="B2012" s="381" t="s">
        <v>324</v>
      </c>
      <c r="C2012" s="389" t="s">
        <v>7007</v>
      </c>
      <c r="D2012" s="381" t="s">
        <v>7008</v>
      </c>
      <c r="E2012" s="383" t="s">
        <v>7009</v>
      </c>
      <c r="F2012" s="381" t="s">
        <v>7010</v>
      </c>
      <c r="G2012" s="384"/>
      <c r="H2012" s="24"/>
      <c r="I2012" s="24"/>
      <c r="J2012" s="25" t="str">
        <f t="shared" si="94"/>
        <v xml:space="preserve"> </v>
      </c>
      <c r="K2012" s="385"/>
      <c r="L2012" s="385"/>
      <c r="M2012" s="386">
        <f t="shared" si="96"/>
        <v>0</v>
      </c>
      <c r="N2012" s="496">
        <v>195</v>
      </c>
      <c r="O2012" s="333">
        <f t="shared" si="95"/>
        <v>195</v>
      </c>
      <c r="R2012" s="23" t="str">
        <f>VLOOKUP(C:C,'Historic Data - working'!A:B,1,FALSE)</f>
        <v>WRX023</v>
      </c>
      <c r="U2012" s="323"/>
      <c r="V2012" s="323"/>
      <c r="W2012" s="323"/>
    </row>
    <row r="2013" spans="1:23" s="23" customFormat="1" ht="14.25" hidden="1" x14ac:dyDescent="0.2">
      <c r="A2013" s="381" t="s">
        <v>6916</v>
      </c>
      <c r="B2013" s="381" t="s">
        <v>351</v>
      </c>
      <c r="C2013" s="389" t="s">
        <v>7011</v>
      </c>
      <c r="D2013" s="381" t="s">
        <v>7012</v>
      </c>
      <c r="E2013" s="383" t="s">
        <v>7013</v>
      </c>
      <c r="F2013" s="381" t="s">
        <v>7014</v>
      </c>
      <c r="G2013" s="384" t="s">
        <v>329</v>
      </c>
      <c r="H2013" s="24">
        <f>154.67+187.63</f>
        <v>342.29999999999995</v>
      </c>
      <c r="I2013" s="24"/>
      <c r="J2013" s="25" t="str">
        <f t="shared" si="94"/>
        <v>1</v>
      </c>
      <c r="K2013" s="385" t="s">
        <v>7015</v>
      </c>
      <c r="L2013" s="385">
        <v>-2.35</v>
      </c>
      <c r="M2013" s="386">
        <f t="shared" si="96"/>
        <v>339.94999999999993</v>
      </c>
      <c r="N2013" s="496">
        <v>60</v>
      </c>
      <c r="O2013" s="333">
        <f t="shared" si="95"/>
        <v>399.94999999999993</v>
      </c>
      <c r="R2013" s="23" t="str">
        <f>VLOOKUP(C:C,'Historic Data - working'!A:B,1,FALSE)</f>
        <v>WRX026</v>
      </c>
      <c r="U2013" s="323"/>
      <c r="V2013" s="323"/>
      <c r="W2013" s="323"/>
    </row>
    <row r="2014" spans="1:23" s="23" customFormat="1" ht="14.25" hidden="1" x14ac:dyDescent="0.2">
      <c r="A2014" s="381" t="s">
        <v>6916</v>
      </c>
      <c r="B2014" s="381" t="s">
        <v>351</v>
      </c>
      <c r="C2014" s="389" t="s">
        <v>7016</v>
      </c>
      <c r="D2014" s="381" t="s">
        <v>7017</v>
      </c>
      <c r="E2014" s="383" t="s">
        <v>7018</v>
      </c>
      <c r="F2014" s="381" t="s">
        <v>7019</v>
      </c>
      <c r="G2014" s="384" t="s">
        <v>329</v>
      </c>
      <c r="H2014" s="24"/>
      <c r="I2014" s="24">
        <f>128.65+10+79.4</f>
        <v>218.05</v>
      </c>
      <c r="J2014" s="25" t="str">
        <f t="shared" si="94"/>
        <v>1</v>
      </c>
      <c r="K2014" s="385"/>
      <c r="L2014" s="385"/>
      <c r="M2014" s="386">
        <f t="shared" si="96"/>
        <v>0</v>
      </c>
      <c r="N2014" s="496">
        <v>218.05</v>
      </c>
      <c r="O2014" s="333">
        <f t="shared" si="95"/>
        <v>218.05</v>
      </c>
      <c r="R2014" s="23" t="str">
        <f>VLOOKUP(C:C,'Historic Data - working'!A:B,1,FALSE)</f>
        <v>WRX027</v>
      </c>
      <c r="U2014" s="323"/>
      <c r="V2014" s="323"/>
      <c r="W2014" s="323"/>
    </row>
    <row r="2015" spans="1:23" s="23" customFormat="1" ht="14.25" hidden="1" x14ac:dyDescent="0.2">
      <c r="A2015" s="381" t="s">
        <v>6916</v>
      </c>
      <c r="B2015" s="381" t="s">
        <v>324</v>
      </c>
      <c r="C2015" s="389" t="s">
        <v>7020</v>
      </c>
      <c r="D2015" s="381" t="s">
        <v>7021</v>
      </c>
      <c r="E2015" s="383" t="s">
        <v>7022</v>
      </c>
      <c r="F2015" s="381" t="s">
        <v>7023</v>
      </c>
      <c r="G2015" s="384" t="s">
        <v>329</v>
      </c>
      <c r="H2015" s="24">
        <f>437.34+429.35+250+334.14+397.59</f>
        <v>1848.4199999999998</v>
      </c>
      <c r="I2015" s="24"/>
      <c r="J2015" s="25" t="str">
        <f t="shared" si="94"/>
        <v>1</v>
      </c>
      <c r="K2015" s="385"/>
      <c r="L2015" s="385"/>
      <c r="M2015" s="386">
        <f t="shared" si="96"/>
        <v>1848.4199999999998</v>
      </c>
      <c r="N2015" s="496">
        <v>280</v>
      </c>
      <c r="O2015" s="333">
        <f t="shared" si="95"/>
        <v>2128.42</v>
      </c>
      <c r="R2015" s="23" t="str">
        <f>VLOOKUP(C:C,'Historic Data - working'!A:B,1,FALSE)</f>
        <v>WRX029</v>
      </c>
      <c r="U2015" s="323"/>
      <c r="V2015" s="323"/>
      <c r="W2015" s="323"/>
    </row>
    <row r="2016" spans="1:23" s="23" customFormat="1" ht="14.25" hidden="1" x14ac:dyDescent="0.2">
      <c r="A2016" s="381" t="s">
        <v>6916</v>
      </c>
      <c r="B2016" s="381" t="s">
        <v>324</v>
      </c>
      <c r="C2016" s="389" t="s">
        <v>7024</v>
      </c>
      <c r="D2016" s="381" t="s">
        <v>7025</v>
      </c>
      <c r="E2016" s="383" t="s">
        <v>47</v>
      </c>
      <c r="F2016" s="381" t="s">
        <v>7026</v>
      </c>
      <c r="G2016" s="384"/>
      <c r="H2016" s="24"/>
      <c r="I2016" s="24"/>
      <c r="J2016" s="25" t="str">
        <f t="shared" si="94"/>
        <v xml:space="preserve"> </v>
      </c>
      <c r="K2016" s="387" t="s">
        <v>322</v>
      </c>
      <c r="L2016" s="385">
        <v>127.45</v>
      </c>
      <c r="M2016" s="386">
        <f t="shared" si="96"/>
        <v>127.45</v>
      </c>
      <c r="N2016" s="496">
        <v>100</v>
      </c>
      <c r="O2016" s="333">
        <f t="shared" si="95"/>
        <v>227.45</v>
      </c>
      <c r="R2016" s="23" t="str">
        <f>VLOOKUP(C:C,'Historic Data - working'!A:B,1,FALSE)</f>
        <v>WRX031</v>
      </c>
      <c r="U2016" s="323"/>
      <c r="V2016" s="323"/>
      <c r="W2016" s="323"/>
    </row>
    <row r="2017" spans="1:23" s="23" customFormat="1" ht="28.5" hidden="1" x14ac:dyDescent="0.2">
      <c r="A2017" s="381" t="s">
        <v>6916</v>
      </c>
      <c r="B2017" s="381" t="s">
        <v>351</v>
      </c>
      <c r="C2017" s="389" t="s">
        <v>7027</v>
      </c>
      <c r="D2017" s="381" t="s">
        <v>7028</v>
      </c>
      <c r="E2017" s="383" t="s">
        <v>7029</v>
      </c>
      <c r="F2017" s="381" t="s">
        <v>7030</v>
      </c>
      <c r="G2017" s="384"/>
      <c r="H2017" s="24"/>
      <c r="I2017" s="24"/>
      <c r="J2017" s="25" t="str">
        <f t="shared" si="94"/>
        <v xml:space="preserve"> </v>
      </c>
      <c r="K2017" s="385"/>
      <c r="L2017" s="385"/>
      <c r="M2017" s="386">
        <f t="shared" si="96"/>
        <v>0</v>
      </c>
      <c r="N2017" s="496">
        <v>5</v>
      </c>
      <c r="O2017" s="333">
        <f t="shared" si="95"/>
        <v>5</v>
      </c>
      <c r="R2017" s="23" t="str">
        <f>VLOOKUP(C:C,'Historic Data - working'!A:B,1,FALSE)</f>
        <v>WRX033</v>
      </c>
      <c r="U2017" s="323"/>
      <c r="V2017" s="323"/>
      <c r="W2017" s="323"/>
    </row>
    <row r="2018" spans="1:23" s="23" customFormat="1" ht="14.25" hidden="1" x14ac:dyDescent="0.2">
      <c r="A2018" s="381" t="s">
        <v>6916</v>
      </c>
      <c r="B2018" s="381" t="s">
        <v>351</v>
      </c>
      <c r="C2018" s="389" t="s">
        <v>7031</v>
      </c>
      <c r="D2018" s="381" t="s">
        <v>7032</v>
      </c>
      <c r="E2018" s="383" t="s">
        <v>7033</v>
      </c>
      <c r="F2018" s="381" t="s">
        <v>7034</v>
      </c>
      <c r="G2018" s="384"/>
      <c r="H2018" s="24"/>
      <c r="I2018" s="24"/>
      <c r="J2018" s="25" t="str">
        <f t="shared" si="94"/>
        <v xml:space="preserve"> </v>
      </c>
      <c r="K2018" s="385"/>
      <c r="L2018" s="385"/>
      <c r="M2018" s="386">
        <f t="shared" si="96"/>
        <v>0</v>
      </c>
      <c r="N2018" s="496"/>
      <c r="O2018" s="333">
        <f t="shared" si="95"/>
        <v>0</v>
      </c>
      <c r="R2018" s="23" t="e">
        <f>VLOOKUP(C:C,'Historic Data - working'!A:B,1,FALSE)</f>
        <v>#N/A</v>
      </c>
      <c r="U2018" s="323"/>
      <c r="V2018" s="323"/>
      <c r="W2018" s="323"/>
    </row>
    <row r="2019" spans="1:23" s="23" customFormat="1" ht="14.25" hidden="1" x14ac:dyDescent="0.2">
      <c r="A2019" s="381" t="s">
        <v>6916</v>
      </c>
      <c r="B2019" s="381" t="s">
        <v>324</v>
      </c>
      <c r="C2019" s="389" t="s">
        <v>7035</v>
      </c>
      <c r="D2019" s="381" t="s">
        <v>7036</v>
      </c>
      <c r="E2019" s="383" t="s">
        <v>4258</v>
      </c>
      <c r="F2019" s="381" t="s">
        <v>7037</v>
      </c>
      <c r="G2019" s="384" t="s">
        <v>329</v>
      </c>
      <c r="H2019" s="24">
        <f>180+161+38+57+213.96</f>
        <v>649.96</v>
      </c>
      <c r="I2019" s="24"/>
      <c r="J2019" s="25" t="str">
        <f t="shared" si="94"/>
        <v>1</v>
      </c>
      <c r="K2019" s="385"/>
      <c r="L2019" s="385"/>
      <c r="M2019" s="386">
        <f t="shared" si="96"/>
        <v>649.96</v>
      </c>
      <c r="N2019" s="496"/>
      <c r="O2019" s="333">
        <f t="shared" si="95"/>
        <v>649.96</v>
      </c>
      <c r="R2019" s="23" t="str">
        <f>VLOOKUP(C:C,'Historic Data - working'!A:B,1,FALSE)</f>
        <v>WRX034</v>
      </c>
      <c r="U2019" s="323"/>
      <c r="V2019" s="323"/>
      <c r="W2019" s="323"/>
    </row>
    <row r="2020" spans="1:23" s="23" customFormat="1" ht="14.25" hidden="1" x14ac:dyDescent="0.2">
      <c r="A2020" s="381" t="s">
        <v>6916</v>
      </c>
      <c r="B2020" s="381" t="s">
        <v>324</v>
      </c>
      <c r="C2020" s="389" t="s">
        <v>7038</v>
      </c>
      <c r="D2020" s="381" t="s">
        <v>7039</v>
      </c>
      <c r="E2020" s="383" t="s">
        <v>119</v>
      </c>
      <c r="F2020" s="381" t="s">
        <v>7040</v>
      </c>
      <c r="G2020" s="384" t="s">
        <v>329</v>
      </c>
      <c r="H2020" s="24">
        <f>220.01+264.88+291.7+60+286.66</f>
        <v>1123.25</v>
      </c>
      <c r="I2020" s="24"/>
      <c r="J2020" s="25" t="str">
        <f t="shared" si="94"/>
        <v>1</v>
      </c>
      <c r="K2020" s="385"/>
      <c r="L2020" s="385"/>
      <c r="M2020" s="386">
        <f t="shared" si="96"/>
        <v>1123.25</v>
      </c>
      <c r="N2020" s="496">
        <v>10</v>
      </c>
      <c r="O2020" s="333">
        <f t="shared" si="95"/>
        <v>1133.25</v>
      </c>
      <c r="R2020" s="23" t="str">
        <f>VLOOKUP(C:C,'Historic Data - working'!A:B,1,FALSE)</f>
        <v>WRX038</v>
      </c>
      <c r="U2020" s="323"/>
      <c r="V2020" s="323"/>
      <c r="W2020" s="323"/>
    </row>
    <row r="2021" spans="1:23" s="23" customFormat="1" ht="28.5" hidden="1" x14ac:dyDescent="0.2">
      <c r="A2021" s="381" t="s">
        <v>6916</v>
      </c>
      <c r="B2021" s="381" t="s">
        <v>351</v>
      </c>
      <c r="C2021" s="389" t="s">
        <v>7041</v>
      </c>
      <c r="D2021" s="381" t="s">
        <v>7042</v>
      </c>
      <c r="E2021" s="383" t="s">
        <v>7043</v>
      </c>
      <c r="F2021" s="381" t="s">
        <v>7044</v>
      </c>
      <c r="G2021" s="384"/>
      <c r="H2021" s="24"/>
      <c r="I2021" s="24"/>
      <c r="J2021" s="25" t="str">
        <f t="shared" si="94"/>
        <v xml:space="preserve"> </v>
      </c>
      <c r="K2021" s="385" t="s">
        <v>6950</v>
      </c>
      <c r="L2021" s="385">
        <v>586.6</v>
      </c>
      <c r="M2021" s="386">
        <f t="shared" si="96"/>
        <v>586.6</v>
      </c>
      <c r="N2021" s="496"/>
      <c r="O2021" s="333">
        <f t="shared" si="95"/>
        <v>586.6</v>
      </c>
      <c r="R2021" s="23" t="str">
        <f>VLOOKUP(C:C,'Historic Data - working'!A:B,1,FALSE)</f>
        <v>WRX039</v>
      </c>
      <c r="U2021" s="323"/>
      <c r="V2021" s="323"/>
      <c r="W2021" s="323"/>
    </row>
    <row r="2022" spans="1:23" s="23" customFormat="1" ht="28.5" hidden="1" x14ac:dyDescent="0.2">
      <c r="A2022" s="381" t="s">
        <v>6916</v>
      </c>
      <c r="B2022" s="381" t="s">
        <v>351</v>
      </c>
      <c r="C2022" s="389" t="s">
        <v>7045</v>
      </c>
      <c r="D2022" s="381" t="s">
        <v>7046</v>
      </c>
      <c r="E2022" s="383" t="s">
        <v>7047</v>
      </c>
      <c r="F2022" s="381" t="s">
        <v>7048</v>
      </c>
      <c r="G2022" s="384"/>
      <c r="H2022" s="24"/>
      <c r="I2022" s="24"/>
      <c r="J2022" s="25" t="str">
        <f t="shared" si="94"/>
        <v xml:space="preserve"> </v>
      </c>
      <c r="K2022" s="385"/>
      <c r="L2022" s="385"/>
      <c r="M2022" s="386">
        <f t="shared" si="96"/>
        <v>0</v>
      </c>
      <c r="N2022" s="496"/>
      <c r="O2022" s="333">
        <f t="shared" si="95"/>
        <v>0</v>
      </c>
      <c r="R2022" s="23" t="e">
        <f>VLOOKUP(C:C,'Historic Data - working'!A:B,1,FALSE)</f>
        <v>#N/A</v>
      </c>
      <c r="U2022" s="323"/>
      <c r="V2022" s="323"/>
      <c r="W2022" s="323"/>
    </row>
    <row r="2023" spans="1:23" s="23" customFormat="1" ht="28.5" hidden="1" x14ac:dyDescent="0.2">
      <c r="A2023" s="381" t="s">
        <v>6916</v>
      </c>
      <c r="B2023" s="381" t="s">
        <v>351</v>
      </c>
      <c r="C2023" s="389" t="s">
        <v>7049</v>
      </c>
      <c r="D2023" s="381" t="s">
        <v>7050</v>
      </c>
      <c r="E2023" s="383" t="s">
        <v>7051</v>
      </c>
      <c r="F2023" s="381" t="s">
        <v>7052</v>
      </c>
      <c r="G2023" s="384" t="s">
        <v>329</v>
      </c>
      <c r="H2023" s="24">
        <f>25+85+81+132+42</f>
        <v>365</v>
      </c>
      <c r="I2023" s="24"/>
      <c r="J2023" s="25" t="str">
        <f t="shared" si="94"/>
        <v>1</v>
      </c>
      <c r="K2023" s="385"/>
      <c r="L2023" s="385"/>
      <c r="M2023" s="386">
        <f t="shared" si="96"/>
        <v>365</v>
      </c>
      <c r="N2023" s="496"/>
      <c r="O2023" s="333">
        <f t="shared" si="95"/>
        <v>365</v>
      </c>
      <c r="R2023" s="23" t="str">
        <f>VLOOKUP(C:C,'Historic Data - working'!A:B,1,FALSE)</f>
        <v>WRX041</v>
      </c>
      <c r="U2023" s="323"/>
      <c r="V2023" s="323"/>
      <c r="W2023" s="323"/>
    </row>
    <row r="2024" spans="1:23" s="23" customFormat="1" ht="28.5" hidden="1" x14ac:dyDescent="0.2">
      <c r="A2024" s="381" t="s">
        <v>6916</v>
      </c>
      <c r="B2024" s="381" t="s">
        <v>351</v>
      </c>
      <c r="C2024" s="389" t="s">
        <v>7053</v>
      </c>
      <c r="D2024" s="381" t="s">
        <v>7054</v>
      </c>
      <c r="E2024" s="383" t="s">
        <v>7055</v>
      </c>
      <c r="F2024" s="381" t="s">
        <v>7056</v>
      </c>
      <c r="G2024" s="384" t="s">
        <v>329</v>
      </c>
      <c r="H2024" s="24">
        <f>56.34+54.09+46.39</f>
        <v>156.82</v>
      </c>
      <c r="I2024" s="24"/>
      <c r="J2024" s="25" t="str">
        <f t="shared" si="94"/>
        <v>1</v>
      </c>
      <c r="K2024" s="388"/>
      <c r="L2024" s="385"/>
      <c r="M2024" s="386">
        <f t="shared" si="96"/>
        <v>156.82</v>
      </c>
      <c r="N2024" s="496"/>
      <c r="O2024" s="333">
        <f t="shared" si="95"/>
        <v>156.82</v>
      </c>
      <c r="R2024" s="23" t="str">
        <f>VLOOKUP(C:C,'Historic Data - working'!A:B,1,FALSE)</f>
        <v>WRX043</v>
      </c>
      <c r="U2024" s="323"/>
      <c r="V2024" s="323"/>
      <c r="W2024" s="323"/>
    </row>
    <row r="2025" spans="1:23" s="23" customFormat="1" ht="14.25" hidden="1" x14ac:dyDescent="0.2">
      <c r="A2025" s="381" t="s">
        <v>6916</v>
      </c>
      <c r="B2025" s="381" t="s">
        <v>351</v>
      </c>
      <c r="C2025" s="389" t="s">
        <v>7057</v>
      </c>
      <c r="D2025" s="381" t="s">
        <v>7058</v>
      </c>
      <c r="E2025" s="383" t="s">
        <v>183</v>
      </c>
      <c r="F2025" s="381" t="s">
        <v>6920</v>
      </c>
      <c r="G2025" s="384" t="s">
        <v>329</v>
      </c>
      <c r="H2025" s="24">
        <f>537.19+188.22</f>
        <v>725.41000000000008</v>
      </c>
      <c r="I2025" s="24"/>
      <c r="J2025" s="25" t="str">
        <f t="shared" si="94"/>
        <v>1</v>
      </c>
      <c r="K2025" s="385"/>
      <c r="L2025" s="385"/>
      <c r="M2025" s="386">
        <f t="shared" si="96"/>
        <v>725.41000000000008</v>
      </c>
      <c r="N2025" s="496"/>
      <c r="O2025" s="333">
        <f t="shared" si="95"/>
        <v>725.41000000000008</v>
      </c>
      <c r="R2025" s="23" t="str">
        <f>VLOOKUP(C:C,'Historic Data - working'!A:B,1,FALSE)</f>
        <v>WRX044</v>
      </c>
      <c r="U2025" s="323"/>
      <c r="V2025" s="323"/>
      <c r="W2025" s="323"/>
    </row>
    <row r="2026" spans="1:23" s="23" customFormat="1" ht="14.25" hidden="1" x14ac:dyDescent="0.2">
      <c r="A2026" s="381" t="s">
        <v>6916</v>
      </c>
      <c r="B2026" s="381" t="s">
        <v>351</v>
      </c>
      <c r="C2026" s="389" t="s">
        <v>7059</v>
      </c>
      <c r="D2026" s="381" t="s">
        <v>7060</v>
      </c>
      <c r="E2026" s="383" t="s">
        <v>7061</v>
      </c>
      <c r="F2026" s="381" t="s">
        <v>6924</v>
      </c>
      <c r="G2026" s="384"/>
      <c r="H2026" s="24"/>
      <c r="I2026" s="24"/>
      <c r="J2026" s="25" t="str">
        <f t="shared" si="94"/>
        <v xml:space="preserve"> </v>
      </c>
      <c r="K2026" s="385"/>
      <c r="L2026" s="385"/>
      <c r="M2026" s="386">
        <f t="shared" si="96"/>
        <v>0</v>
      </c>
      <c r="N2026" s="496"/>
      <c r="O2026" s="333">
        <f t="shared" si="95"/>
        <v>0</v>
      </c>
      <c r="R2026" s="23" t="e">
        <f>VLOOKUP(C:C,'Historic Data - working'!A:B,1,FALSE)</f>
        <v>#N/A</v>
      </c>
      <c r="U2026" s="323"/>
      <c r="V2026" s="323"/>
      <c r="W2026" s="323"/>
    </row>
    <row r="2027" spans="1:23" s="23" customFormat="1" ht="14.25" hidden="1" x14ac:dyDescent="0.2">
      <c r="A2027" s="381" t="s">
        <v>6916</v>
      </c>
      <c r="B2027" s="381" t="s">
        <v>351</v>
      </c>
      <c r="C2027" s="389" t="s">
        <v>7062</v>
      </c>
      <c r="D2027" s="381" t="s">
        <v>7063</v>
      </c>
      <c r="E2027" s="383" t="s">
        <v>7064</v>
      </c>
      <c r="F2027" s="381" t="s">
        <v>7065</v>
      </c>
      <c r="G2027" s="384"/>
      <c r="H2027" s="24"/>
      <c r="I2027" s="24"/>
      <c r="J2027" s="25" t="str">
        <f t="shared" si="94"/>
        <v xml:space="preserve"> </v>
      </c>
      <c r="K2027" s="385"/>
      <c r="L2027" s="385"/>
      <c r="M2027" s="386">
        <f t="shared" si="96"/>
        <v>0</v>
      </c>
      <c r="N2027" s="496">
        <v>50</v>
      </c>
      <c r="O2027" s="333">
        <f t="shared" si="95"/>
        <v>50</v>
      </c>
      <c r="R2027" s="23" t="str">
        <f>VLOOKUP(C:C,'Historic Data - working'!A:B,1,FALSE)</f>
        <v>WRX045</v>
      </c>
      <c r="U2027" s="323"/>
      <c r="V2027" s="323"/>
      <c r="W2027" s="323"/>
    </row>
    <row r="2028" spans="1:23" s="23" customFormat="1" ht="14.25" hidden="1" x14ac:dyDescent="0.2">
      <c r="A2028" s="381" t="s">
        <v>6916</v>
      </c>
      <c r="B2028" s="381" t="s">
        <v>324</v>
      </c>
      <c r="C2028" s="389" t="s">
        <v>7066</v>
      </c>
      <c r="D2028" s="381" t="s">
        <v>7067</v>
      </c>
      <c r="E2028" s="383" t="s">
        <v>3420</v>
      </c>
      <c r="F2028" s="381" t="s">
        <v>7068</v>
      </c>
      <c r="G2028" s="384" t="s">
        <v>329</v>
      </c>
      <c r="H2028" s="24">
        <f>278.26+213+356.25+167.13+530.78+47.28</f>
        <v>1592.7</v>
      </c>
      <c r="I2028" s="24"/>
      <c r="J2028" s="25" t="str">
        <f t="shared" si="94"/>
        <v>1</v>
      </c>
      <c r="K2028" s="385"/>
      <c r="L2028" s="385"/>
      <c r="M2028" s="386">
        <f t="shared" si="96"/>
        <v>1592.7</v>
      </c>
      <c r="N2028" s="496">
        <v>275</v>
      </c>
      <c r="O2028" s="333">
        <f t="shared" si="95"/>
        <v>1867.7</v>
      </c>
      <c r="R2028" s="23" t="str">
        <f>VLOOKUP(C:C,'Historic Data - working'!A:B,1,FALSE)</f>
        <v>WRX048</v>
      </c>
      <c r="U2028" s="323"/>
      <c r="V2028" s="323"/>
      <c r="W2028" s="323"/>
    </row>
    <row r="2029" spans="1:23" s="23" customFormat="1" ht="14.25" hidden="1" x14ac:dyDescent="0.2">
      <c r="A2029" s="381" t="s">
        <v>6916</v>
      </c>
      <c r="B2029" s="381" t="s">
        <v>351</v>
      </c>
      <c r="C2029" s="389" t="s">
        <v>7069</v>
      </c>
      <c r="D2029" s="381" t="s">
        <v>7070</v>
      </c>
      <c r="E2029" s="383" t="s">
        <v>7071</v>
      </c>
      <c r="F2029" s="381" t="s">
        <v>7072</v>
      </c>
      <c r="G2029" s="384"/>
      <c r="H2029" s="24"/>
      <c r="I2029" s="24"/>
      <c r="J2029" s="25" t="str">
        <f t="shared" ref="J2029:J2061" si="97">IF(G2029="Y","1"," ")</f>
        <v xml:space="preserve"> </v>
      </c>
      <c r="K2029" s="385" t="s">
        <v>6950</v>
      </c>
      <c r="L2029" s="385">
        <v>445</v>
      </c>
      <c r="M2029" s="386">
        <f t="shared" si="96"/>
        <v>445</v>
      </c>
      <c r="N2029" s="496">
        <v>119</v>
      </c>
      <c r="O2029" s="333">
        <f t="shared" si="95"/>
        <v>564</v>
      </c>
      <c r="R2029" s="23" t="str">
        <f>VLOOKUP(C:C,'Historic Data - working'!A:B,1,FALSE)</f>
        <v>WRX050</v>
      </c>
      <c r="U2029" s="323"/>
      <c r="V2029" s="323"/>
      <c r="W2029" s="323"/>
    </row>
    <row r="2030" spans="1:23" s="23" customFormat="1" ht="28.5" hidden="1" x14ac:dyDescent="0.2">
      <c r="A2030" s="381" t="s">
        <v>6916</v>
      </c>
      <c r="B2030" s="381" t="s">
        <v>351</v>
      </c>
      <c r="C2030" s="389" t="s">
        <v>7073</v>
      </c>
      <c r="D2030" s="381" t="s">
        <v>7074</v>
      </c>
      <c r="E2030" s="383" t="s">
        <v>7075</v>
      </c>
      <c r="F2030" s="381" t="s">
        <v>7076</v>
      </c>
      <c r="G2030" s="384"/>
      <c r="H2030" s="24"/>
      <c r="I2030" s="24"/>
      <c r="J2030" s="25" t="str">
        <f t="shared" si="97"/>
        <v xml:space="preserve"> </v>
      </c>
      <c r="K2030" s="385"/>
      <c r="L2030" s="385"/>
      <c r="M2030" s="386">
        <f t="shared" si="96"/>
        <v>0</v>
      </c>
      <c r="N2030" s="496"/>
      <c r="O2030" s="333">
        <f t="shared" si="95"/>
        <v>0</v>
      </c>
      <c r="R2030" s="23" t="e">
        <f>VLOOKUP(C:C,'Historic Data - working'!A:B,1,FALSE)</f>
        <v>#N/A</v>
      </c>
      <c r="U2030" s="323"/>
      <c r="V2030" s="323"/>
      <c r="W2030" s="323"/>
    </row>
    <row r="2031" spans="1:23" s="23" customFormat="1" ht="14.25" hidden="1" x14ac:dyDescent="0.2">
      <c r="A2031" s="381" t="s">
        <v>6916</v>
      </c>
      <c r="B2031" s="381" t="s">
        <v>351</v>
      </c>
      <c r="C2031" s="389" t="s">
        <v>7077</v>
      </c>
      <c r="D2031" s="381" t="s">
        <v>7078</v>
      </c>
      <c r="E2031" s="383" t="s">
        <v>7079</v>
      </c>
      <c r="F2031" s="381" t="s">
        <v>7002</v>
      </c>
      <c r="G2031" s="384" t="s">
        <v>329</v>
      </c>
      <c r="H2031" s="24">
        <f>214.06+211.94</f>
        <v>426</v>
      </c>
      <c r="I2031" s="24"/>
      <c r="J2031" s="25" t="str">
        <f t="shared" si="97"/>
        <v>1</v>
      </c>
      <c r="K2031" s="385"/>
      <c r="L2031" s="385"/>
      <c r="M2031" s="386">
        <f t="shared" si="96"/>
        <v>426</v>
      </c>
      <c r="N2031" s="496"/>
      <c r="O2031" s="333">
        <f t="shared" si="95"/>
        <v>426</v>
      </c>
      <c r="R2031" s="23" t="str">
        <f>VLOOKUP(C:C,'Historic Data - working'!A:B,1,FALSE)</f>
        <v>WRX051</v>
      </c>
      <c r="U2031" s="323"/>
      <c r="V2031" s="323"/>
      <c r="W2031" s="323"/>
    </row>
    <row r="2032" spans="1:23" s="23" customFormat="1" ht="28.5" hidden="1" x14ac:dyDescent="0.2">
      <c r="A2032" s="381" t="s">
        <v>6916</v>
      </c>
      <c r="B2032" s="381" t="s">
        <v>351</v>
      </c>
      <c r="C2032" s="389" t="s">
        <v>7080</v>
      </c>
      <c r="D2032" s="381" t="s">
        <v>7081</v>
      </c>
      <c r="E2032" s="383" t="s">
        <v>7082</v>
      </c>
      <c r="F2032" s="381" t="s">
        <v>6924</v>
      </c>
      <c r="G2032" s="384" t="s">
        <v>329</v>
      </c>
      <c r="H2032" s="24">
        <f>200+61+62+129+29+42+142.4</f>
        <v>665.4</v>
      </c>
      <c r="I2032" s="24"/>
      <c r="J2032" s="25" t="str">
        <f t="shared" si="97"/>
        <v>1</v>
      </c>
      <c r="K2032" s="385"/>
      <c r="L2032" s="385"/>
      <c r="M2032" s="386">
        <f t="shared" si="96"/>
        <v>665.4</v>
      </c>
      <c r="N2032" s="496"/>
      <c r="O2032" s="333">
        <f t="shared" si="95"/>
        <v>665.4</v>
      </c>
      <c r="R2032" s="23" t="str">
        <f>VLOOKUP(C:C,'Historic Data - working'!A:B,1,FALSE)</f>
        <v>WRX052</v>
      </c>
      <c r="U2032" s="323"/>
      <c r="V2032" s="323"/>
      <c r="W2032" s="323"/>
    </row>
    <row r="2033" spans="1:23" s="23" customFormat="1" ht="14.25" hidden="1" x14ac:dyDescent="0.2">
      <c r="A2033" s="381" t="s">
        <v>6916</v>
      </c>
      <c r="B2033" s="381" t="s">
        <v>324</v>
      </c>
      <c r="C2033" s="389" t="s">
        <v>7083</v>
      </c>
      <c r="D2033" s="381" t="s">
        <v>7084</v>
      </c>
      <c r="E2033" s="383" t="s">
        <v>3420</v>
      </c>
      <c r="F2033" s="381" t="s">
        <v>7085</v>
      </c>
      <c r="G2033" s="384"/>
      <c r="H2033" s="24"/>
      <c r="I2033" s="24"/>
      <c r="J2033" s="25" t="str">
        <f t="shared" si="97"/>
        <v xml:space="preserve"> </v>
      </c>
      <c r="K2033" s="385"/>
      <c r="L2033" s="385"/>
      <c r="M2033" s="386">
        <f t="shared" si="96"/>
        <v>0</v>
      </c>
      <c r="N2033" s="496"/>
      <c r="O2033" s="333">
        <f t="shared" si="95"/>
        <v>0</v>
      </c>
      <c r="R2033" s="23" t="str">
        <f>VLOOKUP(C:C,'Historic Data - working'!A:B,1,FALSE)</f>
        <v>WRX053</v>
      </c>
      <c r="U2033" s="323"/>
      <c r="V2033" s="323"/>
      <c r="W2033" s="323"/>
    </row>
    <row r="2034" spans="1:23" s="23" customFormat="1" ht="14.25" hidden="1" x14ac:dyDescent="0.2">
      <c r="A2034" s="381" t="s">
        <v>6916</v>
      </c>
      <c r="B2034" s="381" t="s">
        <v>351</v>
      </c>
      <c r="C2034" s="389" t="s">
        <v>7086</v>
      </c>
      <c r="D2034" s="381" t="s">
        <v>7087</v>
      </c>
      <c r="E2034" s="383" t="s">
        <v>7088</v>
      </c>
      <c r="F2034" s="381" t="s">
        <v>7089</v>
      </c>
      <c r="G2034" s="384" t="s">
        <v>329</v>
      </c>
      <c r="H2034" s="24">
        <v>144</v>
      </c>
      <c r="I2034" s="24"/>
      <c r="J2034" s="25" t="str">
        <f t="shared" si="97"/>
        <v>1</v>
      </c>
      <c r="K2034" s="385"/>
      <c r="L2034" s="385"/>
      <c r="M2034" s="386">
        <f t="shared" si="96"/>
        <v>144</v>
      </c>
      <c r="N2034" s="496">
        <v>40</v>
      </c>
      <c r="O2034" s="334">
        <f>M2034+N2034</f>
        <v>184</v>
      </c>
      <c r="P2034" s="351"/>
      <c r="Q2034" s="331"/>
      <c r="R2034" s="331" t="e">
        <f>VLOOKUP(C:C,'Historic Data - working'!A:B,1,FALSE)</f>
        <v>#N/A</v>
      </c>
      <c r="U2034" s="323"/>
      <c r="V2034" s="323"/>
      <c r="W2034" s="323"/>
    </row>
    <row r="2035" spans="1:23" s="23" customFormat="1" ht="14.25" hidden="1" x14ac:dyDescent="0.2">
      <c r="A2035" s="381" t="s">
        <v>6916</v>
      </c>
      <c r="B2035" s="381" t="s">
        <v>324</v>
      </c>
      <c r="C2035" s="389" t="s">
        <v>7090</v>
      </c>
      <c r="D2035" s="381" t="s">
        <v>7091</v>
      </c>
      <c r="E2035" s="383" t="s">
        <v>7092</v>
      </c>
      <c r="F2035" s="381" t="s">
        <v>7093</v>
      </c>
      <c r="G2035" s="384"/>
      <c r="H2035" s="24"/>
      <c r="I2035" s="24"/>
      <c r="J2035" s="25" t="str">
        <f t="shared" si="97"/>
        <v xml:space="preserve"> </v>
      </c>
      <c r="K2035" s="385"/>
      <c r="L2035" s="385"/>
      <c r="M2035" s="386">
        <f t="shared" si="96"/>
        <v>0</v>
      </c>
      <c r="N2035" s="496"/>
      <c r="O2035" s="333">
        <f t="shared" si="95"/>
        <v>0</v>
      </c>
      <c r="R2035" s="23" t="e">
        <f>VLOOKUP(C:C,'Historic Data - working'!A:B,1,FALSE)</f>
        <v>#N/A</v>
      </c>
      <c r="U2035" s="323"/>
      <c r="V2035" s="323"/>
      <c r="W2035" s="323"/>
    </row>
    <row r="2036" spans="1:23" s="23" customFormat="1" ht="14.25" hidden="1" x14ac:dyDescent="0.2">
      <c r="A2036" s="381" t="s">
        <v>6916</v>
      </c>
      <c r="B2036" s="381" t="s">
        <v>324</v>
      </c>
      <c r="C2036" s="389" t="s">
        <v>7094</v>
      </c>
      <c r="D2036" s="381" t="s">
        <v>7095</v>
      </c>
      <c r="E2036" s="383" t="s">
        <v>5270</v>
      </c>
      <c r="F2036" s="381" t="s">
        <v>7096</v>
      </c>
      <c r="G2036" s="384"/>
      <c r="H2036" s="24"/>
      <c r="I2036" s="24"/>
      <c r="J2036" s="25" t="str">
        <f t="shared" si="97"/>
        <v xml:space="preserve"> </v>
      </c>
      <c r="K2036" s="385"/>
      <c r="L2036" s="385"/>
      <c r="M2036" s="386">
        <f t="shared" si="96"/>
        <v>0</v>
      </c>
      <c r="N2036" s="496"/>
      <c r="O2036" s="333">
        <f t="shared" si="95"/>
        <v>0</v>
      </c>
      <c r="R2036" s="23" t="e">
        <f>VLOOKUP(C:C,'Historic Data - working'!A:B,1,FALSE)</f>
        <v>#N/A</v>
      </c>
      <c r="U2036" s="323"/>
      <c r="V2036" s="323"/>
      <c r="W2036" s="323"/>
    </row>
    <row r="2037" spans="1:23" s="23" customFormat="1" ht="14.25" hidden="1" x14ac:dyDescent="0.2">
      <c r="A2037" s="381" t="s">
        <v>6916</v>
      </c>
      <c r="B2037" s="381" t="s">
        <v>324</v>
      </c>
      <c r="C2037" s="389" t="s">
        <v>7097</v>
      </c>
      <c r="D2037" s="381" t="s">
        <v>7098</v>
      </c>
      <c r="E2037" s="383" t="s">
        <v>7099</v>
      </c>
      <c r="F2037" s="381" t="s">
        <v>7100</v>
      </c>
      <c r="G2037" s="384"/>
      <c r="H2037" s="24"/>
      <c r="I2037" s="24"/>
      <c r="J2037" s="25" t="str">
        <f t="shared" si="97"/>
        <v xml:space="preserve"> </v>
      </c>
      <c r="K2037" s="385"/>
      <c r="L2037" s="385"/>
      <c r="M2037" s="386">
        <f t="shared" si="96"/>
        <v>0</v>
      </c>
      <c r="N2037" s="496"/>
      <c r="O2037" s="333">
        <f t="shared" si="95"/>
        <v>0</v>
      </c>
      <c r="R2037" s="23" t="str">
        <f>VLOOKUP(C:C,'Historic Data - working'!A:B,1,FALSE)</f>
        <v>WRX057</v>
      </c>
      <c r="U2037" s="323"/>
      <c r="V2037" s="323"/>
      <c r="W2037" s="323"/>
    </row>
    <row r="2038" spans="1:23" s="23" customFormat="1" ht="14.25" hidden="1" x14ac:dyDescent="0.2">
      <c r="A2038" s="381" t="s">
        <v>6916</v>
      </c>
      <c r="B2038" s="381" t="s">
        <v>351</v>
      </c>
      <c r="C2038" s="389" t="s">
        <v>7101</v>
      </c>
      <c r="D2038" s="381" t="s">
        <v>7102</v>
      </c>
      <c r="E2038" s="383" t="s">
        <v>7103</v>
      </c>
      <c r="F2038" s="381" t="s">
        <v>7104</v>
      </c>
      <c r="G2038" s="384" t="s">
        <v>329</v>
      </c>
      <c r="H2038" s="24">
        <v>923.18</v>
      </c>
      <c r="I2038" s="24"/>
      <c r="J2038" s="25" t="str">
        <f t="shared" si="97"/>
        <v>1</v>
      </c>
      <c r="K2038" s="385"/>
      <c r="L2038" s="385"/>
      <c r="M2038" s="386">
        <f t="shared" si="96"/>
        <v>923.18</v>
      </c>
      <c r="N2038" s="496">
        <v>39</v>
      </c>
      <c r="O2038" s="333">
        <f t="shared" si="95"/>
        <v>962.18</v>
      </c>
      <c r="R2038" s="23" t="str">
        <f>VLOOKUP(C:C,'Historic Data - working'!A:B,1,FALSE)</f>
        <v>WRX058</v>
      </c>
      <c r="U2038" s="323"/>
      <c r="V2038" s="323"/>
      <c r="W2038" s="323"/>
    </row>
    <row r="2039" spans="1:23" s="23" customFormat="1" ht="14.25" hidden="1" x14ac:dyDescent="0.2">
      <c r="A2039" s="381" t="s">
        <v>6916</v>
      </c>
      <c r="B2039" s="381" t="s">
        <v>324</v>
      </c>
      <c r="C2039" s="389" t="s">
        <v>7105</v>
      </c>
      <c r="D2039" s="381" t="s">
        <v>7106</v>
      </c>
      <c r="E2039" s="383" t="s">
        <v>7107</v>
      </c>
      <c r="F2039" s="381" t="s">
        <v>7108</v>
      </c>
      <c r="G2039" s="384"/>
      <c r="H2039" s="24"/>
      <c r="I2039" s="24"/>
      <c r="J2039" s="25" t="str">
        <f t="shared" si="97"/>
        <v xml:space="preserve"> </v>
      </c>
      <c r="K2039" s="385"/>
      <c r="L2039" s="385"/>
      <c r="M2039" s="386">
        <f t="shared" si="96"/>
        <v>0</v>
      </c>
      <c r="N2039" s="496"/>
      <c r="O2039" s="333">
        <f t="shared" si="95"/>
        <v>0</v>
      </c>
      <c r="R2039" s="23" t="e">
        <f>VLOOKUP(C:C,'Historic Data - working'!A:B,1,FALSE)</f>
        <v>#N/A</v>
      </c>
      <c r="U2039" s="323"/>
      <c r="V2039" s="323"/>
      <c r="W2039" s="323"/>
    </row>
    <row r="2040" spans="1:23" s="23" customFormat="1" ht="14.25" hidden="1" x14ac:dyDescent="0.2">
      <c r="A2040" s="381" t="s">
        <v>6916</v>
      </c>
      <c r="B2040" s="381" t="s">
        <v>324</v>
      </c>
      <c r="C2040" s="389" t="s">
        <v>7109</v>
      </c>
      <c r="D2040" s="381" t="s">
        <v>7110</v>
      </c>
      <c r="E2040" s="383" t="s">
        <v>7111</v>
      </c>
      <c r="F2040" s="381" t="s">
        <v>7112</v>
      </c>
      <c r="G2040" s="384"/>
      <c r="H2040" s="24"/>
      <c r="I2040" s="24"/>
      <c r="J2040" s="25" t="str">
        <f t="shared" si="97"/>
        <v xml:space="preserve"> </v>
      </c>
      <c r="K2040" s="385"/>
      <c r="L2040" s="385"/>
      <c r="M2040" s="386">
        <f t="shared" si="96"/>
        <v>0</v>
      </c>
      <c r="N2040" s="496"/>
      <c r="O2040" s="333">
        <f t="shared" si="95"/>
        <v>0</v>
      </c>
      <c r="R2040" s="23" t="e">
        <f>VLOOKUP(C:C,'Historic Data - working'!A:B,1,FALSE)</f>
        <v>#N/A</v>
      </c>
      <c r="U2040" s="323"/>
      <c r="V2040" s="323"/>
      <c r="W2040" s="323"/>
    </row>
    <row r="2041" spans="1:23" s="23" customFormat="1" ht="14.25" hidden="1" x14ac:dyDescent="0.2">
      <c r="A2041" s="381" t="s">
        <v>6916</v>
      </c>
      <c r="B2041" s="381" t="s">
        <v>324</v>
      </c>
      <c r="C2041" s="389" t="s">
        <v>7113</v>
      </c>
      <c r="D2041" s="381" t="s">
        <v>7114</v>
      </c>
      <c r="E2041" s="383" t="s">
        <v>7115</v>
      </c>
      <c r="F2041" s="381" t="s">
        <v>7026</v>
      </c>
      <c r="G2041" s="384"/>
      <c r="H2041" s="24"/>
      <c r="I2041" s="24"/>
      <c r="J2041" s="25" t="str">
        <f t="shared" si="97"/>
        <v xml:space="preserve"> </v>
      </c>
      <c r="K2041" s="385"/>
      <c r="L2041" s="385"/>
      <c r="M2041" s="386">
        <f t="shared" si="96"/>
        <v>0</v>
      </c>
      <c r="N2041" s="496"/>
      <c r="O2041" s="333">
        <f t="shared" si="95"/>
        <v>0</v>
      </c>
      <c r="R2041" s="23" t="str">
        <f>VLOOKUP(C:C,'Historic Data - working'!A:B,1,FALSE)</f>
        <v>WRX059</v>
      </c>
      <c r="U2041" s="323"/>
      <c r="V2041" s="323"/>
      <c r="W2041" s="323"/>
    </row>
    <row r="2042" spans="1:23" s="23" customFormat="1" ht="14.25" hidden="1" x14ac:dyDescent="0.2">
      <c r="A2042" s="381" t="s">
        <v>6916</v>
      </c>
      <c r="B2042" s="381" t="s">
        <v>324</v>
      </c>
      <c r="C2042" s="389" t="s">
        <v>7116</v>
      </c>
      <c r="D2042" s="381" t="s">
        <v>7117</v>
      </c>
      <c r="E2042" s="383" t="s">
        <v>403</v>
      </c>
      <c r="F2042" s="381" t="s">
        <v>7118</v>
      </c>
      <c r="G2042" s="384" t="s">
        <v>329</v>
      </c>
      <c r="H2042" s="24">
        <f>840.24+788.26+705.16+1373.67</f>
        <v>3707.33</v>
      </c>
      <c r="I2042" s="24"/>
      <c r="J2042" s="25" t="str">
        <f t="shared" si="97"/>
        <v>1</v>
      </c>
      <c r="K2042" s="385"/>
      <c r="L2042" s="385"/>
      <c r="M2042" s="386">
        <f t="shared" si="96"/>
        <v>3707.33</v>
      </c>
      <c r="N2042" s="496">
        <v>10</v>
      </c>
      <c r="O2042" s="333">
        <f t="shared" si="95"/>
        <v>3717.33</v>
      </c>
      <c r="R2042" s="23" t="str">
        <f>VLOOKUP(C:C,'Historic Data - working'!A:B,1,FALSE)</f>
        <v>WRX060</v>
      </c>
      <c r="U2042" s="323"/>
      <c r="V2042" s="323"/>
      <c r="W2042" s="323"/>
    </row>
    <row r="2043" spans="1:23" s="23" customFormat="1" ht="28.5" hidden="1" x14ac:dyDescent="0.2">
      <c r="A2043" s="381" t="s">
        <v>6916</v>
      </c>
      <c r="B2043" s="381" t="s">
        <v>351</v>
      </c>
      <c r="C2043" s="389" t="s">
        <v>7119</v>
      </c>
      <c r="D2043" s="381" t="s">
        <v>7120</v>
      </c>
      <c r="E2043" s="383" t="s">
        <v>7121</v>
      </c>
      <c r="F2043" s="381" t="s">
        <v>6924</v>
      </c>
      <c r="G2043" s="384" t="s">
        <v>329</v>
      </c>
      <c r="H2043" s="24">
        <f>490.95+44.91+47.05+208.69</f>
        <v>791.59999999999991</v>
      </c>
      <c r="I2043" s="24"/>
      <c r="J2043" s="25" t="str">
        <f t="shared" si="97"/>
        <v>1</v>
      </c>
      <c r="K2043" s="385" t="s">
        <v>7122</v>
      </c>
      <c r="L2043" s="385">
        <f>-47.05+212.05</f>
        <v>165</v>
      </c>
      <c r="M2043" s="386">
        <f t="shared" si="96"/>
        <v>956.59999999999991</v>
      </c>
      <c r="N2043" s="496"/>
      <c r="O2043" s="333">
        <f t="shared" si="95"/>
        <v>956.59999999999991</v>
      </c>
      <c r="R2043" s="23" t="str">
        <f>VLOOKUP(C:C,'Historic Data - working'!A:B,1,FALSE)</f>
        <v>WRX061</v>
      </c>
      <c r="U2043" s="323"/>
      <c r="V2043" s="323"/>
      <c r="W2043" s="323"/>
    </row>
    <row r="2044" spans="1:23" s="23" customFormat="1" ht="28.5" hidden="1" x14ac:dyDescent="0.2">
      <c r="A2044" s="381" t="s">
        <v>6916</v>
      </c>
      <c r="B2044" s="381" t="s">
        <v>351</v>
      </c>
      <c r="C2044" s="389" t="s">
        <v>7123</v>
      </c>
      <c r="D2044" s="381" t="s">
        <v>7124</v>
      </c>
      <c r="E2044" s="383" t="s">
        <v>7125</v>
      </c>
      <c r="F2044" s="381" t="s">
        <v>7126</v>
      </c>
      <c r="G2044" s="384" t="s">
        <v>329</v>
      </c>
      <c r="H2044" s="24">
        <f>140.9+266.43+5.42+290.76</f>
        <v>703.51</v>
      </c>
      <c r="I2044" s="24" t="s">
        <v>7127</v>
      </c>
      <c r="J2044" s="25" t="str">
        <f t="shared" si="97"/>
        <v>1</v>
      </c>
      <c r="K2044" s="385"/>
      <c r="L2044" s="385"/>
      <c r="M2044" s="386">
        <f t="shared" si="96"/>
        <v>703.51</v>
      </c>
      <c r="N2044" s="496">
        <v>1225</v>
      </c>
      <c r="O2044" s="333">
        <f t="shared" si="95"/>
        <v>1928.51</v>
      </c>
      <c r="R2044" s="23" t="str">
        <f>VLOOKUP(C:C,'Historic Data - working'!A:B,1,FALSE)</f>
        <v>WRX062</v>
      </c>
      <c r="U2044" s="323"/>
      <c r="V2044" s="323"/>
      <c r="W2044" s="323"/>
    </row>
    <row r="2045" spans="1:23" s="23" customFormat="1" ht="14.25" hidden="1" x14ac:dyDescent="0.2">
      <c r="A2045" s="381" t="s">
        <v>6916</v>
      </c>
      <c r="B2045" s="381" t="s">
        <v>351</v>
      </c>
      <c r="C2045" s="389" t="s">
        <v>7128</v>
      </c>
      <c r="D2045" s="381" t="s">
        <v>7129</v>
      </c>
      <c r="E2045" s="383" t="s">
        <v>4258</v>
      </c>
      <c r="F2045" s="381" t="s">
        <v>7130</v>
      </c>
      <c r="G2045" s="384" t="s">
        <v>329</v>
      </c>
      <c r="H2045" s="24">
        <f>34.65+17.87+15.62+15.5+24.3+81.7+5.85</f>
        <v>195.48999999999998</v>
      </c>
      <c r="I2045" s="24"/>
      <c r="J2045" s="25" t="str">
        <f t="shared" si="97"/>
        <v>1</v>
      </c>
      <c r="K2045" s="385"/>
      <c r="L2045" s="385"/>
      <c r="M2045" s="386">
        <f t="shared" si="96"/>
        <v>195.48999999999998</v>
      </c>
      <c r="N2045" s="496"/>
      <c r="O2045" s="333">
        <f t="shared" si="95"/>
        <v>195.48999999999998</v>
      </c>
      <c r="R2045" s="23" t="str">
        <f>VLOOKUP(C:C,'Historic Data - working'!A:B,1,FALSE)</f>
        <v>WRX063</v>
      </c>
      <c r="U2045" s="323"/>
      <c r="V2045" s="323"/>
      <c r="W2045" s="323"/>
    </row>
    <row r="2046" spans="1:23" s="23" customFormat="1" ht="14.25" hidden="1" x14ac:dyDescent="0.2">
      <c r="A2046" s="381" t="s">
        <v>6916</v>
      </c>
      <c r="B2046" s="381" t="s">
        <v>324</v>
      </c>
      <c r="C2046" s="389" t="s">
        <v>7131</v>
      </c>
      <c r="D2046" s="381" t="s">
        <v>7132</v>
      </c>
      <c r="E2046" s="383" t="s">
        <v>3344</v>
      </c>
      <c r="F2046" s="381" t="s">
        <v>7133</v>
      </c>
      <c r="G2046" s="384"/>
      <c r="H2046" s="24"/>
      <c r="I2046" s="24"/>
      <c r="J2046" s="25" t="str">
        <f t="shared" si="97"/>
        <v xml:space="preserve"> </v>
      </c>
      <c r="K2046" s="385"/>
      <c r="L2046" s="385"/>
      <c r="M2046" s="386">
        <f t="shared" si="96"/>
        <v>0</v>
      </c>
      <c r="N2046" s="496"/>
      <c r="O2046" s="333">
        <f t="shared" si="95"/>
        <v>0</v>
      </c>
      <c r="R2046" s="23" t="e">
        <f>VLOOKUP(C:C,'Historic Data - working'!A:B,1,FALSE)</f>
        <v>#N/A</v>
      </c>
      <c r="U2046" s="323"/>
      <c r="V2046" s="323"/>
      <c r="W2046" s="323"/>
    </row>
    <row r="2047" spans="1:23" s="23" customFormat="1" ht="14.25" hidden="1" x14ac:dyDescent="0.2">
      <c r="A2047" s="381" t="s">
        <v>6916</v>
      </c>
      <c r="B2047" s="381" t="s">
        <v>324</v>
      </c>
      <c r="C2047" s="389" t="s">
        <v>7134</v>
      </c>
      <c r="D2047" s="381" t="s">
        <v>7135</v>
      </c>
      <c r="E2047" s="383" t="s">
        <v>7136</v>
      </c>
      <c r="F2047" s="381" t="s">
        <v>7130</v>
      </c>
      <c r="G2047" s="384"/>
      <c r="H2047" s="24"/>
      <c r="I2047" s="24"/>
      <c r="J2047" s="25" t="str">
        <f t="shared" si="97"/>
        <v xml:space="preserve"> </v>
      </c>
      <c r="K2047" s="385"/>
      <c r="L2047" s="385"/>
      <c r="M2047" s="386">
        <f t="shared" si="96"/>
        <v>0</v>
      </c>
      <c r="N2047" s="496"/>
      <c r="O2047" s="333">
        <f t="shared" si="95"/>
        <v>0</v>
      </c>
      <c r="R2047" s="23" t="e">
        <f>VLOOKUP(C:C,'Historic Data - working'!A:B,1,FALSE)</f>
        <v>#N/A</v>
      </c>
      <c r="U2047" s="323"/>
      <c r="V2047" s="323"/>
      <c r="W2047" s="323"/>
    </row>
    <row r="2048" spans="1:23" s="23" customFormat="1" ht="14.25" hidden="1" x14ac:dyDescent="0.2">
      <c r="A2048" s="381" t="s">
        <v>6916</v>
      </c>
      <c r="B2048" s="381" t="s">
        <v>324</v>
      </c>
      <c r="C2048" s="389" t="s">
        <v>7137</v>
      </c>
      <c r="D2048" s="381" t="s">
        <v>7138</v>
      </c>
      <c r="E2048" s="383" t="s">
        <v>709</v>
      </c>
      <c r="F2048" s="381" t="s">
        <v>7139</v>
      </c>
      <c r="G2048" s="384" t="s">
        <v>329</v>
      </c>
      <c r="H2048" s="24">
        <f>214.61+121</f>
        <v>335.61</v>
      </c>
      <c r="I2048" s="24"/>
      <c r="J2048" s="25" t="str">
        <f t="shared" si="97"/>
        <v>1</v>
      </c>
      <c r="K2048" s="385"/>
      <c r="L2048" s="385"/>
      <c r="M2048" s="386">
        <f t="shared" si="96"/>
        <v>335.61</v>
      </c>
      <c r="N2048" s="496"/>
      <c r="O2048" s="333">
        <f t="shared" si="95"/>
        <v>335.61</v>
      </c>
      <c r="R2048" s="23" t="str">
        <f>VLOOKUP(C:C,'Historic Data - working'!A:B,1,FALSE)</f>
        <v>WRX065</v>
      </c>
      <c r="U2048" s="323"/>
      <c r="V2048" s="323"/>
      <c r="W2048" s="323"/>
    </row>
    <row r="2049" spans="1:23" s="23" customFormat="1" ht="14.25" hidden="1" x14ac:dyDescent="0.2">
      <c r="A2049" s="381" t="s">
        <v>6916</v>
      </c>
      <c r="B2049" s="381" t="s">
        <v>351</v>
      </c>
      <c r="C2049" s="389" t="s">
        <v>7140</v>
      </c>
      <c r="D2049" s="381" t="s">
        <v>7141</v>
      </c>
      <c r="E2049" s="383" t="s">
        <v>3420</v>
      </c>
      <c r="F2049" s="381" t="s">
        <v>7142</v>
      </c>
      <c r="G2049" s="384" t="s">
        <v>329</v>
      </c>
      <c r="H2049" s="24">
        <f>270.19+189.01</f>
        <v>459.2</v>
      </c>
      <c r="I2049" s="24"/>
      <c r="J2049" s="25" t="str">
        <f t="shared" si="97"/>
        <v>1</v>
      </c>
      <c r="K2049" s="385"/>
      <c r="L2049" s="385"/>
      <c r="M2049" s="386">
        <f t="shared" si="96"/>
        <v>459.2</v>
      </c>
      <c r="N2049" s="496"/>
      <c r="O2049" s="333">
        <f t="shared" si="95"/>
        <v>459.2</v>
      </c>
      <c r="R2049" s="23" t="str">
        <f>VLOOKUP(C:C,'Historic Data - working'!A:B,1,FALSE)</f>
        <v>WRX068</v>
      </c>
      <c r="U2049" s="323"/>
      <c r="V2049" s="323"/>
      <c r="W2049" s="323"/>
    </row>
    <row r="2050" spans="1:23" s="23" customFormat="1" ht="14.25" hidden="1" x14ac:dyDescent="0.2">
      <c r="A2050" s="381" t="s">
        <v>6916</v>
      </c>
      <c r="B2050" s="381" t="s">
        <v>324</v>
      </c>
      <c r="C2050" s="389" t="s">
        <v>7143</v>
      </c>
      <c r="D2050" s="381" t="s">
        <v>7144</v>
      </c>
      <c r="E2050" s="383" t="s">
        <v>916</v>
      </c>
      <c r="F2050" s="381" t="s">
        <v>7145</v>
      </c>
      <c r="G2050" s="384"/>
      <c r="H2050" s="24"/>
      <c r="I2050" s="24"/>
      <c r="J2050" s="25" t="str">
        <f t="shared" si="97"/>
        <v xml:space="preserve"> </v>
      </c>
      <c r="K2050" s="385"/>
      <c r="L2050" s="385"/>
      <c r="M2050" s="386">
        <f t="shared" si="96"/>
        <v>0</v>
      </c>
      <c r="N2050" s="496"/>
      <c r="O2050" s="333">
        <f t="shared" ref="O2050:O2065" si="98">M2050+N2050</f>
        <v>0</v>
      </c>
      <c r="R2050" s="23" t="e">
        <f>VLOOKUP(C:C,'Historic Data - working'!A:B,1,FALSE)</f>
        <v>#N/A</v>
      </c>
      <c r="U2050" s="323"/>
      <c r="V2050" s="323"/>
      <c r="W2050" s="323"/>
    </row>
    <row r="2051" spans="1:23" s="23" customFormat="1" ht="28.5" hidden="1" x14ac:dyDescent="0.2">
      <c r="A2051" s="381" t="s">
        <v>6916</v>
      </c>
      <c r="B2051" s="381" t="s">
        <v>351</v>
      </c>
      <c r="C2051" s="389" t="s">
        <v>7146</v>
      </c>
      <c r="D2051" s="381" t="s">
        <v>7147</v>
      </c>
      <c r="E2051" s="383" t="s">
        <v>7148</v>
      </c>
      <c r="F2051" s="381" t="s">
        <v>7149</v>
      </c>
      <c r="G2051" s="384"/>
      <c r="H2051" s="24"/>
      <c r="I2051" s="24"/>
      <c r="J2051" s="25" t="str">
        <f t="shared" si="97"/>
        <v xml:space="preserve"> </v>
      </c>
      <c r="K2051" s="385"/>
      <c r="L2051" s="385"/>
      <c r="M2051" s="386">
        <f t="shared" si="96"/>
        <v>0</v>
      </c>
      <c r="N2051" s="496">
        <v>872.51</v>
      </c>
      <c r="O2051" s="333">
        <f t="shared" si="98"/>
        <v>872.51</v>
      </c>
      <c r="R2051" s="23" t="str">
        <f>VLOOKUP(C:C,'Historic Data - working'!A:B,1,FALSE)</f>
        <v>WRX069</v>
      </c>
      <c r="U2051" s="323"/>
      <c r="V2051" s="323"/>
      <c r="W2051" s="323"/>
    </row>
    <row r="2052" spans="1:23" s="23" customFormat="1" ht="14.25" hidden="1" x14ac:dyDescent="0.2">
      <c r="A2052" s="381" t="s">
        <v>6916</v>
      </c>
      <c r="B2052" s="381" t="s">
        <v>324</v>
      </c>
      <c r="C2052" s="389" t="s">
        <v>7150</v>
      </c>
      <c r="D2052" s="381" t="s">
        <v>7151</v>
      </c>
      <c r="E2052" s="383" t="s">
        <v>7152</v>
      </c>
      <c r="F2052" s="381" t="s">
        <v>7153</v>
      </c>
      <c r="G2052" s="384"/>
      <c r="H2052" s="24"/>
      <c r="I2052" s="24"/>
      <c r="J2052" s="25" t="str">
        <f t="shared" si="97"/>
        <v xml:space="preserve"> </v>
      </c>
      <c r="K2052" s="385"/>
      <c r="L2052" s="385"/>
      <c r="M2052" s="386">
        <f t="shared" ref="M2052:M2062" si="99">H2052+L2052</f>
        <v>0</v>
      </c>
      <c r="N2052" s="496"/>
      <c r="O2052" s="333">
        <f t="shared" si="98"/>
        <v>0</v>
      </c>
      <c r="R2052" s="23" t="e">
        <f>VLOOKUP(C:C,'Historic Data - working'!A:B,1,FALSE)</f>
        <v>#N/A</v>
      </c>
      <c r="U2052" s="323"/>
      <c r="V2052" s="323"/>
      <c r="W2052" s="323"/>
    </row>
    <row r="2053" spans="1:23" s="23" customFormat="1" ht="14.25" hidden="1" x14ac:dyDescent="0.2">
      <c r="A2053" s="381" t="s">
        <v>6916</v>
      </c>
      <c r="B2053" s="381" t="s">
        <v>324</v>
      </c>
      <c r="C2053" s="389" t="s">
        <v>7154</v>
      </c>
      <c r="D2053" s="381" t="s">
        <v>7155</v>
      </c>
      <c r="E2053" s="383" t="s">
        <v>7156</v>
      </c>
      <c r="F2053" s="385"/>
      <c r="G2053" s="384"/>
      <c r="H2053" s="24"/>
      <c r="I2053" s="24"/>
      <c r="J2053" s="25" t="str">
        <f t="shared" si="97"/>
        <v xml:space="preserve"> </v>
      </c>
      <c r="K2053" s="385" t="s">
        <v>7157</v>
      </c>
      <c r="L2053" s="396">
        <f>74.26+285.91</f>
        <v>360.17</v>
      </c>
      <c r="M2053" s="386">
        <f t="shared" si="99"/>
        <v>360.17</v>
      </c>
      <c r="N2053" s="496">
        <v>0</v>
      </c>
      <c r="O2053" s="333">
        <f t="shared" si="98"/>
        <v>360.17</v>
      </c>
      <c r="R2053" s="23" t="str">
        <f>VLOOKUP(C:C,'Historic Data - working'!A:B,1,FALSE)</f>
        <v>WRX999</v>
      </c>
      <c r="U2053" s="323"/>
      <c r="V2053" s="323"/>
      <c r="W2053" s="323"/>
    </row>
    <row r="2054" spans="1:23" s="23" customFormat="1" ht="14.25" hidden="1" x14ac:dyDescent="0.2">
      <c r="A2054" s="381" t="s">
        <v>323</v>
      </c>
      <c r="B2054" s="381" t="s">
        <v>324</v>
      </c>
      <c r="C2054" s="419"/>
      <c r="D2054" s="381" t="s">
        <v>7158</v>
      </c>
      <c r="E2054" s="383" t="s">
        <v>460</v>
      </c>
      <c r="F2054" s="381" t="s">
        <v>409</v>
      </c>
      <c r="G2054" s="384"/>
      <c r="H2054" s="24"/>
      <c r="I2054" s="24"/>
      <c r="J2054" s="25" t="str">
        <f t="shared" si="97"/>
        <v xml:space="preserve"> </v>
      </c>
      <c r="K2054" s="385"/>
      <c r="L2054" s="385"/>
      <c r="M2054" s="386">
        <f t="shared" si="99"/>
        <v>0</v>
      </c>
      <c r="N2054" s="496"/>
      <c r="O2054" s="333">
        <f t="shared" si="98"/>
        <v>0</v>
      </c>
      <c r="R2054" s="23" t="e">
        <f>VLOOKUP(C:C,'Historic Data - working'!A:B,1,FALSE)</f>
        <v>#N/A</v>
      </c>
      <c r="U2054" s="323"/>
      <c r="V2054" s="323"/>
      <c r="W2054" s="323"/>
    </row>
    <row r="2055" spans="1:23" s="23" customFormat="1" ht="14.25" hidden="1" x14ac:dyDescent="0.2">
      <c r="A2055" s="381" t="s">
        <v>828</v>
      </c>
      <c r="B2055" s="381" t="s">
        <v>324</v>
      </c>
      <c r="C2055" s="419"/>
      <c r="D2055" s="381" t="s">
        <v>7159</v>
      </c>
      <c r="E2055" s="383" t="s">
        <v>7160</v>
      </c>
      <c r="F2055" s="381" t="s">
        <v>1153</v>
      </c>
      <c r="G2055" s="384"/>
      <c r="H2055" s="24"/>
      <c r="I2055" s="24"/>
      <c r="J2055" s="25" t="str">
        <f t="shared" si="97"/>
        <v xml:space="preserve"> </v>
      </c>
      <c r="K2055" s="385"/>
      <c r="L2055" s="385"/>
      <c r="M2055" s="386">
        <f t="shared" si="99"/>
        <v>0</v>
      </c>
      <c r="N2055" s="496"/>
      <c r="O2055" s="333">
        <f t="shared" si="98"/>
        <v>0</v>
      </c>
      <c r="R2055" s="23" t="e">
        <f>VLOOKUP(C:C,'Historic Data - working'!A:B,1,FALSE)</f>
        <v>#N/A</v>
      </c>
      <c r="U2055" s="323"/>
      <c r="V2055" s="323"/>
      <c r="W2055" s="323"/>
    </row>
    <row r="2056" spans="1:23" s="23" customFormat="1" ht="14.25" hidden="1" x14ac:dyDescent="0.2">
      <c r="A2056" s="381" t="s">
        <v>828</v>
      </c>
      <c r="B2056" s="381" t="s">
        <v>351</v>
      </c>
      <c r="C2056" s="419"/>
      <c r="D2056" s="381" t="s">
        <v>7161</v>
      </c>
      <c r="E2056" s="383" t="s">
        <v>7162</v>
      </c>
      <c r="F2056" s="381" t="s">
        <v>832</v>
      </c>
      <c r="G2056" s="384"/>
      <c r="H2056" s="24"/>
      <c r="I2056" s="24"/>
      <c r="J2056" s="25" t="str">
        <f t="shared" si="97"/>
        <v xml:space="preserve"> </v>
      </c>
      <c r="K2056" s="385"/>
      <c r="L2056" s="385"/>
      <c r="M2056" s="386">
        <f t="shared" si="99"/>
        <v>0</v>
      </c>
      <c r="N2056" s="496"/>
      <c r="O2056" s="333">
        <f t="shared" si="98"/>
        <v>0</v>
      </c>
      <c r="R2056" s="23" t="e">
        <f>VLOOKUP(C:C,'Historic Data - working'!A:B,1,FALSE)</f>
        <v>#N/A</v>
      </c>
      <c r="U2056" s="323"/>
      <c r="V2056" s="323"/>
      <c r="W2056" s="323"/>
    </row>
    <row r="2057" spans="1:23" s="23" customFormat="1" ht="14.25" hidden="1" x14ac:dyDescent="0.2">
      <c r="A2057" s="381" t="s">
        <v>1776</v>
      </c>
      <c r="B2057" s="381" t="s">
        <v>324</v>
      </c>
      <c r="C2057" s="419"/>
      <c r="D2057" s="381" t="s">
        <v>7163</v>
      </c>
      <c r="E2057" s="383" t="s">
        <v>7164</v>
      </c>
      <c r="F2057" s="381" t="s">
        <v>1780</v>
      </c>
      <c r="G2057" s="384"/>
      <c r="H2057" s="24"/>
      <c r="I2057" s="24"/>
      <c r="J2057" s="25" t="str">
        <f t="shared" si="97"/>
        <v xml:space="preserve"> </v>
      </c>
      <c r="K2057" s="385"/>
      <c r="L2057" s="385"/>
      <c r="M2057" s="386">
        <f t="shared" si="99"/>
        <v>0</v>
      </c>
      <c r="N2057" s="496"/>
      <c r="O2057" s="333">
        <f t="shared" si="98"/>
        <v>0</v>
      </c>
      <c r="R2057" s="23" t="e">
        <f>VLOOKUP(C:C,'Historic Data - working'!A:B,1,FALSE)</f>
        <v>#N/A</v>
      </c>
      <c r="U2057" s="323"/>
      <c r="V2057" s="323"/>
      <c r="W2057" s="323"/>
    </row>
    <row r="2058" spans="1:23" s="23" customFormat="1" ht="14.25" hidden="1" x14ac:dyDescent="0.2">
      <c r="A2058" s="381" t="s">
        <v>1776</v>
      </c>
      <c r="B2058" s="381" t="s">
        <v>351</v>
      </c>
      <c r="C2058" s="419"/>
      <c r="D2058" s="381" t="s">
        <v>7165</v>
      </c>
      <c r="E2058" s="383" t="s">
        <v>7166</v>
      </c>
      <c r="F2058" s="381" t="s">
        <v>1832</v>
      </c>
      <c r="G2058" s="384"/>
      <c r="H2058" s="24"/>
      <c r="I2058" s="24"/>
      <c r="J2058" s="25" t="str">
        <f t="shared" si="97"/>
        <v xml:space="preserve"> </v>
      </c>
      <c r="K2058" s="385"/>
      <c r="L2058" s="385"/>
      <c r="M2058" s="386">
        <f t="shared" si="99"/>
        <v>0</v>
      </c>
      <c r="N2058" s="496"/>
      <c r="O2058" s="333">
        <f t="shared" si="98"/>
        <v>0</v>
      </c>
      <c r="R2058" s="23" t="e">
        <f>VLOOKUP(C:C,'Historic Data - working'!A:B,1,FALSE)</f>
        <v>#N/A</v>
      </c>
      <c r="U2058" s="323"/>
      <c r="V2058" s="323"/>
      <c r="W2058" s="323"/>
    </row>
    <row r="2059" spans="1:23" s="23" customFormat="1" ht="14.25" hidden="1" x14ac:dyDescent="0.2">
      <c r="A2059" s="381" t="s">
        <v>2965</v>
      </c>
      <c r="B2059" s="381" t="s">
        <v>324</v>
      </c>
      <c r="C2059" s="419"/>
      <c r="D2059" s="381" t="s">
        <v>7167</v>
      </c>
      <c r="E2059" s="383" t="s">
        <v>7168</v>
      </c>
      <c r="F2059" s="381" t="s">
        <v>3041</v>
      </c>
      <c r="G2059" s="384"/>
      <c r="H2059" s="24"/>
      <c r="I2059" s="24"/>
      <c r="J2059" s="25" t="str">
        <f t="shared" si="97"/>
        <v xml:space="preserve"> </v>
      </c>
      <c r="K2059" s="385"/>
      <c r="L2059" s="385"/>
      <c r="M2059" s="386">
        <f t="shared" si="99"/>
        <v>0</v>
      </c>
      <c r="N2059" s="496"/>
      <c r="O2059" s="333">
        <f t="shared" si="98"/>
        <v>0</v>
      </c>
      <c r="R2059" s="23" t="e">
        <f>VLOOKUP(C:C,'Historic Data - working'!A:B,1,FALSE)</f>
        <v>#N/A</v>
      </c>
      <c r="U2059" s="323"/>
      <c r="V2059" s="323"/>
      <c r="W2059" s="323"/>
    </row>
    <row r="2060" spans="1:23" s="23" customFormat="1" ht="14.25" hidden="1" x14ac:dyDescent="0.2">
      <c r="A2060" s="381" t="s">
        <v>3842</v>
      </c>
      <c r="B2060" s="381" t="s">
        <v>324</v>
      </c>
      <c r="C2060" s="419"/>
      <c r="D2060" s="381" t="s">
        <v>7169</v>
      </c>
      <c r="E2060" s="383" t="s">
        <v>7170</v>
      </c>
      <c r="F2060" s="381" t="s">
        <v>4181</v>
      </c>
      <c r="G2060" s="384"/>
      <c r="H2060" s="24"/>
      <c r="I2060" s="24"/>
      <c r="J2060" s="25" t="str">
        <f t="shared" si="97"/>
        <v xml:space="preserve"> </v>
      </c>
      <c r="K2060" s="385"/>
      <c r="L2060" s="385"/>
      <c r="M2060" s="386">
        <f t="shared" si="99"/>
        <v>0</v>
      </c>
      <c r="N2060" s="496"/>
      <c r="O2060" s="333">
        <f t="shared" si="98"/>
        <v>0</v>
      </c>
      <c r="R2060" s="23" t="e">
        <f>VLOOKUP(C:C,'Historic Data - working'!A:B,1,FALSE)</f>
        <v>#N/A</v>
      </c>
      <c r="U2060" s="323"/>
      <c r="V2060" s="323"/>
      <c r="W2060" s="323"/>
    </row>
    <row r="2061" spans="1:23" s="23" customFormat="1" ht="14.25" hidden="1" x14ac:dyDescent="0.2">
      <c r="A2061" s="381" t="s">
        <v>3842</v>
      </c>
      <c r="B2061" s="381" t="s">
        <v>324</v>
      </c>
      <c r="C2061" s="419"/>
      <c r="D2061" s="381" t="s">
        <v>7171</v>
      </c>
      <c r="E2061" s="383" t="s">
        <v>7172</v>
      </c>
      <c r="F2061" s="381" t="s">
        <v>7173</v>
      </c>
      <c r="G2061" s="384"/>
      <c r="H2061" s="24"/>
      <c r="I2061" s="24"/>
      <c r="J2061" s="25" t="str">
        <f t="shared" si="97"/>
        <v xml:space="preserve"> </v>
      </c>
      <c r="K2061" s="385"/>
      <c r="L2061" s="385"/>
      <c r="M2061" s="386">
        <f t="shared" si="99"/>
        <v>0</v>
      </c>
      <c r="N2061" s="496"/>
      <c r="O2061" s="333">
        <f t="shared" si="98"/>
        <v>0</v>
      </c>
      <c r="R2061" s="23" t="e">
        <f>VLOOKUP(C:C,'Historic Data - working'!A:B,1,FALSE)</f>
        <v>#N/A</v>
      </c>
      <c r="U2061" s="323"/>
      <c r="V2061" s="323"/>
      <c r="W2061" s="323"/>
    </row>
    <row r="2062" spans="1:23" hidden="1" x14ac:dyDescent="0.2">
      <c r="L2062" s="387"/>
      <c r="M2062" s="386">
        <f t="shared" si="99"/>
        <v>0</v>
      </c>
      <c r="N2062" s="496"/>
      <c r="O2062" s="333">
        <f t="shared" si="98"/>
        <v>0</v>
      </c>
      <c r="P2062" s="22"/>
      <c r="R2062" s="337"/>
    </row>
    <row r="2063" spans="1:23" hidden="1" x14ac:dyDescent="0.2">
      <c r="N2063" s="496"/>
      <c r="O2063" s="333">
        <f t="shared" si="98"/>
        <v>0</v>
      </c>
      <c r="P2063" s="22"/>
      <c r="R2063" s="337"/>
    </row>
    <row r="2064" spans="1:23" hidden="1" x14ac:dyDescent="0.2">
      <c r="N2064" s="496"/>
      <c r="O2064" s="333">
        <f t="shared" si="98"/>
        <v>0</v>
      </c>
      <c r="P2064" s="22"/>
      <c r="R2064" s="337"/>
    </row>
    <row r="2065" spans="1:23" hidden="1" x14ac:dyDescent="0.2">
      <c r="N2065" s="496"/>
      <c r="O2065" s="333">
        <f t="shared" si="98"/>
        <v>0</v>
      </c>
      <c r="P2065" s="22"/>
      <c r="R2065" s="337"/>
    </row>
    <row r="2066" spans="1:23" s="35" customFormat="1" x14ac:dyDescent="0.2">
      <c r="A2066" s="423" t="s">
        <v>7174</v>
      </c>
      <c r="B2066" s="424"/>
      <c r="C2066" s="423" t="s">
        <v>7174</v>
      </c>
      <c r="D2066" s="424"/>
      <c r="E2066" s="423"/>
      <c r="F2066" s="424"/>
      <c r="G2066" s="425"/>
      <c r="H2066" s="36">
        <f>SUBTOTAL(9,H2:H2065)</f>
        <v>81969.579999999973</v>
      </c>
      <c r="I2066" s="36">
        <f>SUBTOTAL(9,I2:I2065)</f>
        <v>5245.6699999999983</v>
      </c>
      <c r="J2066" s="36"/>
      <c r="K2066" s="424"/>
      <c r="L2066" s="36">
        <f>SUBTOTAL(9,L2:L2065)</f>
        <v>5420.73</v>
      </c>
      <c r="M2066" s="36">
        <f>SUBTOTAL(9,M2:M2065)</f>
        <v>87390.31</v>
      </c>
      <c r="N2066" s="36">
        <f>SUBTOTAL(9,N2:N2065)</f>
        <v>64225.83</v>
      </c>
      <c r="O2066" s="335">
        <f>M2066+N2066</f>
        <v>151616.14000000001</v>
      </c>
      <c r="U2066" s="326"/>
      <c r="V2066" s="326"/>
      <c r="W2066" s="326"/>
    </row>
    <row r="2067" spans="1:23" x14ac:dyDescent="0.2">
      <c r="P2067" s="22"/>
    </row>
    <row r="2068" spans="1:23" x14ac:dyDescent="0.2">
      <c r="A2068" s="387" t="s">
        <v>8228</v>
      </c>
      <c r="P2068" s="22"/>
    </row>
    <row r="2069" spans="1:23" x14ac:dyDescent="0.2">
      <c r="A2069" s="387" t="s">
        <v>323</v>
      </c>
      <c r="C2069" s="420" t="s">
        <v>8216</v>
      </c>
      <c r="P2069" s="22"/>
    </row>
    <row r="2070" spans="1:23" x14ac:dyDescent="0.2">
      <c r="A2070" s="387" t="s">
        <v>323</v>
      </c>
      <c r="C2070" s="420" t="s">
        <v>8217</v>
      </c>
    </row>
    <row r="2071" spans="1:23" x14ac:dyDescent="0.2">
      <c r="A2071" s="387" t="s">
        <v>323</v>
      </c>
      <c r="C2071" s="420" t="s">
        <v>8218</v>
      </c>
    </row>
    <row r="2072" spans="1:23" x14ac:dyDescent="0.2">
      <c r="A2072" s="387" t="s">
        <v>323</v>
      </c>
      <c r="C2072" s="420" t="s">
        <v>8219</v>
      </c>
    </row>
    <row r="2073" spans="1:23" x14ac:dyDescent="0.2">
      <c r="A2073" s="387" t="s">
        <v>323</v>
      </c>
      <c r="C2073" s="420" t="s">
        <v>8220</v>
      </c>
    </row>
    <row r="2074" spans="1:23" x14ac:dyDescent="0.2">
      <c r="A2074" s="387" t="s">
        <v>323</v>
      </c>
      <c r="C2074" s="420" t="s">
        <v>8221</v>
      </c>
    </row>
    <row r="2075" spans="1:23" x14ac:dyDescent="0.2">
      <c r="A2075" s="387" t="s">
        <v>323</v>
      </c>
      <c r="C2075" s="420" t="s">
        <v>8222</v>
      </c>
    </row>
    <row r="2076" spans="1:23" x14ac:dyDescent="0.2">
      <c r="A2076" s="387" t="s">
        <v>323</v>
      </c>
      <c r="C2076" s="420" t="s">
        <v>8223</v>
      </c>
    </row>
    <row r="2077" spans="1:23" x14ac:dyDescent="0.2">
      <c r="A2077" s="387" t="s">
        <v>323</v>
      </c>
      <c r="C2077" s="420" t="s">
        <v>8224</v>
      </c>
    </row>
    <row r="2078" spans="1:23" x14ac:dyDescent="0.2">
      <c r="A2078" s="387" t="s">
        <v>323</v>
      </c>
      <c r="C2078" s="420" t="s">
        <v>8225</v>
      </c>
    </row>
    <row r="2079" spans="1:23" x14ac:dyDescent="0.2">
      <c r="A2079" s="387" t="s">
        <v>323</v>
      </c>
      <c r="C2079" s="420" t="s">
        <v>8226</v>
      </c>
    </row>
    <row r="2080" spans="1:23" x14ac:dyDescent="0.2">
      <c r="A2080" s="387" t="s">
        <v>323</v>
      </c>
      <c r="C2080" s="420" t="s">
        <v>8227</v>
      </c>
    </row>
    <row r="2081" spans="1:6" x14ac:dyDescent="0.2">
      <c r="A2081" s="387" t="s">
        <v>1776</v>
      </c>
      <c r="C2081" s="420" t="s">
        <v>7477</v>
      </c>
    </row>
    <row r="2082" spans="1:6" x14ac:dyDescent="0.2">
      <c r="A2082" s="387" t="s">
        <v>1776</v>
      </c>
      <c r="C2082" s="420" t="s">
        <v>8229</v>
      </c>
    </row>
    <row r="2083" spans="1:6" x14ac:dyDescent="0.2">
      <c r="A2083" s="387" t="s">
        <v>1776</v>
      </c>
      <c r="C2083" s="420" t="s">
        <v>8230</v>
      </c>
    </row>
    <row r="2084" spans="1:6" x14ac:dyDescent="0.2">
      <c r="A2084" s="387" t="s">
        <v>4341</v>
      </c>
      <c r="C2084" s="480" t="s">
        <v>8455</v>
      </c>
      <c r="D2084" s="387">
        <v>651</v>
      </c>
      <c r="E2084" s="420" t="s">
        <v>8435</v>
      </c>
      <c r="F2084" s="487" t="s">
        <v>8273</v>
      </c>
    </row>
    <row r="2085" spans="1:6" x14ac:dyDescent="0.2">
      <c r="A2085" s="387" t="s">
        <v>4341</v>
      </c>
      <c r="C2085" s="488" t="s">
        <v>7773</v>
      </c>
      <c r="E2085" s="420" t="s">
        <v>8282</v>
      </c>
    </row>
    <row r="2086" spans="1:6" x14ac:dyDescent="0.2">
      <c r="A2086" s="387" t="s">
        <v>4720</v>
      </c>
      <c r="C2086" s="420" t="s">
        <v>57</v>
      </c>
    </row>
    <row r="2087" spans="1:6" x14ac:dyDescent="0.2">
      <c r="A2087" s="387" t="s">
        <v>6265</v>
      </c>
      <c r="C2087" s="420" t="s">
        <v>8082</v>
      </c>
    </row>
  </sheetData>
  <autoFilter ref="A1:S2065" xr:uid="{00000000-0009-0000-0000-000005000000}">
    <filterColumn colId="2">
      <filters>
        <filter val="POR001"/>
        <filter val="POR002"/>
        <filter val="POR004"/>
        <filter val="POR004S"/>
        <filter val="POR005"/>
        <filter val="POR007"/>
        <filter val="POR007S"/>
        <filter val="POR008"/>
        <filter val="POR009"/>
        <filter val="POR010"/>
        <filter val="POR010S"/>
        <filter val="POR013"/>
        <filter val="POR014"/>
        <filter val="POR014S"/>
        <filter val="POR016"/>
        <filter val="POR016S"/>
        <filter val="POR017"/>
        <filter val="POR018"/>
        <filter val="POR018L"/>
        <filter val="POR019"/>
        <filter val="POR020"/>
        <filter val="POR021"/>
        <filter val="POR022"/>
        <filter val="POR023"/>
        <filter val="POR025"/>
        <filter val="POR026"/>
        <filter val="POR027"/>
        <filter val="POR028S"/>
        <filter val="POR029"/>
        <filter val="POR030"/>
        <filter val="POR032"/>
        <filter val="POR033"/>
        <filter val="POR034"/>
        <filter val="POR035"/>
        <filter val="POR036"/>
        <filter val="POR037"/>
        <filter val="POR038"/>
        <filter val="POR039"/>
        <filter val="POR040"/>
        <filter val="POR041"/>
        <filter val="POR041S"/>
        <filter val="POR042"/>
        <filter val="POR042S"/>
        <filter val="POR043"/>
        <filter val="POR043S"/>
        <filter val="POR044"/>
        <filter val="POR044L"/>
        <filter val="POR044X"/>
        <filter val="POR045"/>
        <filter val="POR046"/>
        <filter val="POR048"/>
        <filter val="POR049"/>
        <filter val="POR050"/>
        <filter val="POR051"/>
        <filter val="POR052"/>
        <filter val="POR053"/>
        <filter val="POR054"/>
        <filter val="POR055"/>
        <filter val="POR056"/>
        <filter val="POR056S"/>
        <filter val="POR058"/>
        <filter val="POR059"/>
        <filter val="POR059S"/>
        <filter val="POR060"/>
        <filter val="POR061"/>
        <filter val="POR061L"/>
        <filter val="POR062"/>
        <filter val="POR062A"/>
        <filter val="POR063"/>
        <filter val="POR065"/>
        <filter val="POR066"/>
        <filter val="POR066A"/>
        <filter val="POR067"/>
        <filter val="POR067S"/>
        <filter val="POR068"/>
        <filter val="POR069"/>
        <filter val="POR070"/>
        <filter val="POR072"/>
        <filter val="POR072S"/>
        <filter val="POR075"/>
        <filter val="POR076"/>
        <filter val="POR077"/>
        <filter val="POR078"/>
        <filter val="POR079"/>
        <filter val="POR080"/>
        <filter val="POR081"/>
        <filter val="POR082"/>
        <filter val="POR083"/>
        <filter val="POR084"/>
        <filter val="POR085"/>
        <filter val="POR086"/>
        <filter val="POR087"/>
        <filter val="POR089"/>
        <filter val="POR089S"/>
        <filter val="POR092"/>
        <filter val="POR093"/>
        <filter val="POR093S"/>
        <filter val="POR094"/>
        <filter val="POR095"/>
        <filter val="POR096"/>
        <filter val="POR097"/>
        <filter val="POR098"/>
        <filter val="POR099"/>
        <filter val="POR102"/>
        <filter val="POR103"/>
        <filter val="POR103S"/>
        <filter val="POR105"/>
        <filter val="POR105S"/>
        <filter val="POR106"/>
        <filter val="POR107"/>
        <filter val="POR108"/>
        <filter val="POR109"/>
        <filter val="POR109L"/>
        <filter val="POR111"/>
        <filter val="POR112"/>
        <filter val="POR113"/>
        <filter val="POR114"/>
        <filter val="POR116"/>
        <filter val="POR117"/>
        <filter val="POR119"/>
        <filter val="POR120"/>
        <filter val="POR120S"/>
        <filter val="POR120S2"/>
        <filter val="POR121"/>
        <filter val="POR122"/>
        <filter val="POR123"/>
        <filter val="POR124"/>
        <filter val="POR124S"/>
        <filter val="POR126"/>
        <filter val="POR127"/>
        <filter val="POR128"/>
        <filter val="POR129"/>
        <filter val="POR131"/>
        <filter val="POR131S2"/>
        <filter val="POR132"/>
        <filter val="POR134"/>
        <filter val="POR134S"/>
        <filter val="POR135"/>
        <filter val="POR136"/>
        <filter val="POR137"/>
        <filter val="POR138"/>
        <filter val="POR139"/>
        <filter val="POR140"/>
        <filter val="POR141"/>
        <filter val="POR142"/>
        <filter val="POR143"/>
        <filter val="POR144"/>
        <filter val="POR145"/>
        <filter val="POR146"/>
        <filter val="POR999"/>
      </filters>
    </filterColumn>
  </autoFilter>
  <pageMargins left="0.75" right="0.75" top="1" bottom="1" header="0.5" footer="0.5"/>
  <pageSetup orientation="landscape" r:id="rId1"/>
  <headerFooter>
    <oddFooter>&amp;C&amp;P/&amp;N&amp;RRun By: SDavies on 05/12/2019 16:22</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B2:D28"/>
  <sheetViews>
    <sheetView zoomScale="120" zoomScaleNormal="120" workbookViewId="0">
      <selection activeCell="C3" sqref="C3"/>
    </sheetView>
  </sheetViews>
  <sheetFormatPr defaultRowHeight="12.75" x14ac:dyDescent="0.2"/>
  <cols>
    <col min="2" max="2" width="13.85546875" bestFit="1" customWidth="1"/>
    <col min="3" max="3" width="40.42578125" style="500" bestFit="1" customWidth="1"/>
  </cols>
  <sheetData>
    <row r="2" spans="2:3" x14ac:dyDescent="0.2">
      <c r="B2" s="498" t="s">
        <v>8291</v>
      </c>
      <c r="C2" s="500" t="s">
        <v>8292</v>
      </c>
    </row>
    <row r="3" spans="2:3" x14ac:dyDescent="0.2">
      <c r="B3" s="499" t="s">
        <v>323</v>
      </c>
      <c r="C3" s="500">
        <v>159543.30999999994</v>
      </c>
    </row>
    <row r="4" spans="2:3" x14ac:dyDescent="0.2">
      <c r="B4" s="499" t="s">
        <v>828</v>
      </c>
      <c r="C4" s="500">
        <v>279124.61000000004</v>
      </c>
    </row>
    <row r="5" spans="2:3" x14ac:dyDescent="0.2">
      <c r="B5" s="499" t="s">
        <v>1776</v>
      </c>
      <c r="C5" s="500">
        <v>90149.85</v>
      </c>
    </row>
    <row r="6" spans="2:3" x14ac:dyDescent="0.2">
      <c r="B6" s="499" t="s">
        <v>2191</v>
      </c>
      <c r="C6" s="500">
        <v>89664.339999999967</v>
      </c>
    </row>
    <row r="7" spans="2:3" x14ac:dyDescent="0.2">
      <c r="B7" s="499" t="s">
        <v>2502</v>
      </c>
      <c r="C7" s="500">
        <v>112604.91</v>
      </c>
    </row>
    <row r="8" spans="2:3" x14ac:dyDescent="0.2">
      <c r="B8" s="499" t="s">
        <v>2965</v>
      </c>
      <c r="C8" s="500">
        <v>59909.159999999996</v>
      </c>
    </row>
    <row r="9" spans="2:3" x14ac:dyDescent="0.2">
      <c r="B9" s="499" t="s">
        <v>3322</v>
      </c>
      <c r="C9" s="500">
        <v>32796.74</v>
      </c>
    </row>
    <row r="10" spans="2:3" x14ac:dyDescent="0.2">
      <c r="B10" s="499" t="s">
        <v>3500</v>
      </c>
      <c r="C10" s="500">
        <v>77571.41</v>
      </c>
    </row>
    <row r="11" spans="2:3" x14ac:dyDescent="0.2">
      <c r="B11" s="499" t="s">
        <v>3842</v>
      </c>
      <c r="C11" s="500">
        <v>97066.27</v>
      </c>
    </row>
    <row r="12" spans="2:3" x14ac:dyDescent="0.2">
      <c r="B12" s="499" t="s">
        <v>4341</v>
      </c>
      <c r="C12" s="500">
        <v>82668.2</v>
      </c>
    </row>
    <row r="13" spans="2:3" x14ac:dyDescent="0.2">
      <c r="B13" s="499" t="s">
        <v>4720</v>
      </c>
      <c r="C13" s="500">
        <v>151616.14000000001</v>
      </c>
    </row>
    <row r="14" spans="2:3" x14ac:dyDescent="0.2">
      <c r="B14" s="499" t="s">
        <v>5055</v>
      </c>
      <c r="C14" s="500">
        <v>130907.82999999999</v>
      </c>
    </row>
    <row r="15" spans="2:3" x14ac:dyDescent="0.2">
      <c r="B15" s="499" t="s">
        <v>5482</v>
      </c>
      <c r="C15" s="500">
        <v>194115.92999999988</v>
      </c>
    </row>
    <row r="16" spans="2:3" x14ac:dyDescent="0.2">
      <c r="B16" s="499" t="s">
        <v>6265</v>
      </c>
      <c r="C16" s="500">
        <v>175052.33000000007</v>
      </c>
    </row>
    <row r="17" spans="2:4" x14ac:dyDescent="0.2">
      <c r="B17" s="499" t="s">
        <v>6916</v>
      </c>
      <c r="C17" s="500">
        <v>26538.759999999995</v>
      </c>
    </row>
    <row r="18" spans="2:4" x14ac:dyDescent="0.2">
      <c r="B18" s="499" t="s">
        <v>8286</v>
      </c>
      <c r="C18" s="500">
        <v>1759329.79</v>
      </c>
    </row>
    <row r="22" spans="2:4" x14ac:dyDescent="0.2">
      <c r="B22" s="501" t="s">
        <v>8293</v>
      </c>
      <c r="C22" s="502">
        <f>'Master Table'!M2066</f>
        <v>87390.31</v>
      </c>
      <c r="D22" s="530" t="s">
        <v>8304</v>
      </c>
    </row>
    <row r="23" spans="2:4" x14ac:dyDescent="0.2">
      <c r="B23" s="503"/>
      <c r="C23" s="502"/>
    </row>
    <row r="24" spans="2:4" x14ac:dyDescent="0.2">
      <c r="B24" s="501" t="s">
        <v>7421</v>
      </c>
      <c r="C24" s="502">
        <f>'Master Table'!N2066</f>
        <v>64225.83</v>
      </c>
      <c r="D24" s="530" t="s">
        <v>8304</v>
      </c>
    </row>
    <row r="25" spans="2:4" x14ac:dyDescent="0.2">
      <c r="B25" s="503"/>
      <c r="C25" s="502"/>
    </row>
    <row r="26" spans="2:4" ht="13.5" thickBot="1" x14ac:dyDescent="0.25">
      <c r="B26" s="504" t="s">
        <v>8286</v>
      </c>
      <c r="C26" s="505">
        <f>SUM(C22:C25)</f>
        <v>151616.14000000001</v>
      </c>
    </row>
    <row r="28" spans="2:4" x14ac:dyDescent="0.2">
      <c r="C28" s="585" t="str">
        <f>IF(C18=C26, "Agreed !!", "Check Total !!")</f>
        <v>Check Total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O37"/>
  <sheetViews>
    <sheetView tabSelected="1" zoomScaleNormal="100" workbookViewId="0">
      <selection activeCell="B2" sqref="B2"/>
    </sheetView>
  </sheetViews>
  <sheetFormatPr defaultRowHeight="12.75" x14ac:dyDescent="0.2"/>
  <cols>
    <col min="1" max="1" width="21.85546875" bestFit="1" customWidth="1"/>
    <col min="2" max="12" width="15.7109375" bestFit="1" customWidth="1"/>
    <col min="13" max="13" width="15.7109375" customWidth="1"/>
    <col min="14" max="14" width="14.28515625" bestFit="1" customWidth="1"/>
    <col min="15" max="15" width="9.42578125" bestFit="1" customWidth="1"/>
  </cols>
  <sheetData>
    <row r="1" spans="1:15" ht="23.25" x14ac:dyDescent="0.35">
      <c r="A1" s="668"/>
      <c r="B1" s="669"/>
      <c r="C1" s="668"/>
      <c r="D1" s="669"/>
      <c r="E1" s="668"/>
      <c r="F1" s="668"/>
      <c r="G1" s="668"/>
      <c r="H1" s="668"/>
      <c r="I1" s="668"/>
      <c r="J1" s="668"/>
      <c r="K1" s="668"/>
      <c r="L1" s="668"/>
      <c r="M1" s="668"/>
      <c r="N1" s="669"/>
      <c r="O1" s="670"/>
    </row>
    <row r="2" spans="1:15" ht="23.25" x14ac:dyDescent="0.35">
      <c r="A2" s="668" t="s">
        <v>11405</v>
      </c>
      <c r="B2" s="669"/>
      <c r="C2" s="668"/>
      <c r="D2" s="669"/>
      <c r="E2" s="668"/>
      <c r="F2" s="668"/>
      <c r="G2" s="668"/>
      <c r="H2" s="668"/>
      <c r="I2" s="668"/>
      <c r="J2" s="668"/>
      <c r="K2" s="668"/>
      <c r="L2" s="668"/>
      <c r="M2" s="668"/>
      <c r="N2" s="669"/>
      <c r="O2" s="671"/>
    </row>
    <row r="3" spans="1:15" ht="24" thickBot="1" x14ac:dyDescent="0.4">
      <c r="A3" s="668"/>
      <c r="B3" s="669"/>
      <c r="C3" s="668"/>
      <c r="D3" s="669"/>
      <c r="E3" s="668"/>
      <c r="F3" s="668"/>
      <c r="G3" s="668"/>
      <c r="H3" s="668"/>
      <c r="I3" s="668"/>
      <c r="J3" s="668"/>
      <c r="K3" s="668"/>
      <c r="L3" s="668"/>
      <c r="M3" s="668"/>
      <c r="N3" s="669"/>
      <c r="O3" s="671"/>
    </row>
    <row r="4" spans="1:15" ht="24.95" customHeight="1" x14ac:dyDescent="0.2">
      <c r="A4" s="676" t="s">
        <v>308</v>
      </c>
      <c r="B4" s="677" t="s">
        <v>10956</v>
      </c>
      <c r="C4" s="677" t="s">
        <v>10956</v>
      </c>
      <c r="D4" s="677" t="s">
        <v>10956</v>
      </c>
      <c r="E4" s="677" t="s">
        <v>10956</v>
      </c>
      <c r="F4" s="677" t="s">
        <v>10956</v>
      </c>
      <c r="G4" s="677" t="s">
        <v>10956</v>
      </c>
      <c r="H4" s="677" t="s">
        <v>10956</v>
      </c>
      <c r="I4" s="677" t="s">
        <v>10956</v>
      </c>
      <c r="J4" s="677" t="s">
        <v>10956</v>
      </c>
      <c r="K4" s="677" t="s">
        <v>10956</v>
      </c>
      <c r="L4" s="677" t="s">
        <v>10956</v>
      </c>
      <c r="M4" s="677" t="s">
        <v>10956</v>
      </c>
      <c r="N4" s="678" t="s">
        <v>10957</v>
      </c>
      <c r="O4" s="678" t="s">
        <v>10958</v>
      </c>
    </row>
    <row r="5" spans="1:15" ht="24.95" customHeight="1" x14ac:dyDescent="0.2">
      <c r="A5" s="679"/>
      <c r="B5" s="680">
        <v>2009</v>
      </c>
      <c r="C5" s="680">
        <v>2010</v>
      </c>
      <c r="D5" s="680">
        <v>2011</v>
      </c>
      <c r="E5" s="680">
        <v>2012</v>
      </c>
      <c r="F5" s="680">
        <v>2013</v>
      </c>
      <c r="G5" s="680">
        <v>2014</v>
      </c>
      <c r="H5" s="680">
        <v>2015</v>
      </c>
      <c r="I5" s="680">
        <v>2016</v>
      </c>
      <c r="J5" s="680">
        <v>2017</v>
      </c>
      <c r="K5" s="680">
        <v>2018</v>
      </c>
      <c r="L5" s="680">
        <v>2019</v>
      </c>
      <c r="M5" s="680">
        <v>2020</v>
      </c>
      <c r="N5" s="681" t="s">
        <v>10959</v>
      </c>
      <c r="O5" s="682" t="s">
        <v>10960</v>
      </c>
    </row>
    <row r="6" spans="1:15" ht="24.95" customHeight="1" thickBot="1" x14ac:dyDescent="0.3">
      <c r="A6" s="683"/>
      <c r="B6" s="684"/>
      <c r="C6" s="684"/>
      <c r="D6" s="684"/>
      <c r="E6" s="684"/>
      <c r="F6" s="684"/>
      <c r="G6" s="684"/>
      <c r="H6" s="684"/>
      <c r="I6" s="684"/>
      <c r="J6" s="684"/>
      <c r="K6" s="684"/>
      <c r="L6" s="684"/>
      <c r="M6" s="724"/>
      <c r="N6" s="684" t="s">
        <v>10988</v>
      </c>
      <c r="O6" s="685"/>
    </row>
    <row r="7" spans="1:15" ht="24.95" customHeight="1" x14ac:dyDescent="0.2">
      <c r="A7" s="686"/>
      <c r="B7" s="687" t="s">
        <v>10961</v>
      </c>
      <c r="C7" s="687" t="s">
        <v>10961</v>
      </c>
      <c r="D7" s="687" t="s">
        <v>10961</v>
      </c>
      <c r="E7" s="687" t="s">
        <v>10961</v>
      </c>
      <c r="F7" s="687" t="s">
        <v>10961</v>
      </c>
      <c r="G7" s="687" t="s">
        <v>10961</v>
      </c>
      <c r="H7" s="687" t="s">
        <v>10961</v>
      </c>
      <c r="I7" s="687" t="s">
        <v>10961</v>
      </c>
      <c r="J7" s="687" t="s">
        <v>10961</v>
      </c>
      <c r="K7" s="687"/>
      <c r="L7" s="687"/>
      <c r="M7" s="725"/>
      <c r="N7" s="687" t="s">
        <v>10961</v>
      </c>
      <c r="O7" s="687"/>
    </row>
    <row r="8" spans="1:15" ht="24.95" customHeight="1" x14ac:dyDescent="0.2">
      <c r="A8" s="612" t="s">
        <v>10962</v>
      </c>
      <c r="B8" s="693">
        <v>186739</v>
      </c>
      <c r="C8" s="693">
        <v>162509</v>
      </c>
      <c r="D8" s="694">
        <v>164472</v>
      </c>
      <c r="E8" s="694">
        <v>156568</v>
      </c>
      <c r="F8" s="694">
        <v>163303</v>
      </c>
      <c r="G8" s="694">
        <v>165556</v>
      </c>
      <c r="H8" s="693">
        <v>173873</v>
      </c>
      <c r="I8" s="693">
        <v>162881</v>
      </c>
      <c r="J8" s="693">
        <v>164287</v>
      </c>
      <c r="K8" s="693">
        <v>157184</v>
      </c>
      <c r="L8" s="693">
        <v>162867</v>
      </c>
      <c r="M8" s="726">
        <v>115360</v>
      </c>
      <c r="N8" s="728">
        <f>+M8-L8</f>
        <v>-47507</v>
      </c>
      <c r="O8" s="689">
        <f>(N8/L8)</f>
        <v>-0.29169199408106</v>
      </c>
    </row>
    <row r="9" spans="1:15" ht="24.95" customHeight="1" x14ac:dyDescent="0.2">
      <c r="A9" s="612" t="s">
        <v>10963</v>
      </c>
      <c r="B9" s="693">
        <v>337916.04</v>
      </c>
      <c r="C9" s="693">
        <v>302314</v>
      </c>
      <c r="D9" s="694">
        <v>306078</v>
      </c>
      <c r="E9" s="694">
        <v>302203</v>
      </c>
      <c r="F9" s="694">
        <v>300461</v>
      </c>
      <c r="G9" s="694">
        <v>280952</v>
      </c>
      <c r="H9" s="693">
        <v>289028</v>
      </c>
      <c r="I9" s="693">
        <v>300143</v>
      </c>
      <c r="J9" s="693">
        <v>297527</v>
      </c>
      <c r="K9" s="693">
        <v>289552</v>
      </c>
      <c r="L9" s="693">
        <v>281304</v>
      </c>
      <c r="M9" s="726">
        <v>177954</v>
      </c>
      <c r="N9" s="728">
        <f t="shared" ref="N9:N30" si="0">+M9-L9</f>
        <v>-103350</v>
      </c>
      <c r="O9" s="689">
        <f t="shared" ref="O9:O31" si="1">(N9/L9)</f>
        <v>-0.36739612661035748</v>
      </c>
    </row>
    <row r="10" spans="1:15" ht="24.95" customHeight="1" x14ac:dyDescent="0.2">
      <c r="A10" s="612" t="s">
        <v>7469</v>
      </c>
      <c r="B10" s="693">
        <v>109141.3</v>
      </c>
      <c r="C10" s="693">
        <v>90591</v>
      </c>
      <c r="D10" s="694">
        <v>85223</v>
      </c>
      <c r="E10" s="694">
        <v>88880</v>
      </c>
      <c r="F10" s="694">
        <v>88145</v>
      </c>
      <c r="G10" s="694">
        <v>92979</v>
      </c>
      <c r="H10" s="693">
        <v>87014</v>
      </c>
      <c r="I10" s="693">
        <v>85798</v>
      </c>
      <c r="J10" s="693">
        <v>90864</v>
      </c>
      <c r="K10" s="693">
        <v>92051</v>
      </c>
      <c r="L10" s="693">
        <v>92344</v>
      </c>
      <c r="M10" s="726">
        <v>61848</v>
      </c>
      <c r="N10" s="728">
        <f t="shared" si="0"/>
        <v>-30496</v>
      </c>
      <c r="O10" s="689">
        <f t="shared" si="1"/>
        <v>-0.33024343758121805</v>
      </c>
    </row>
    <row r="11" spans="1:15" ht="24.95" customHeight="1" x14ac:dyDescent="0.2">
      <c r="A11" s="612" t="s">
        <v>10964</v>
      </c>
      <c r="B11" s="693">
        <v>109094.75</v>
      </c>
      <c r="C11" s="693">
        <v>106145</v>
      </c>
      <c r="D11" s="694">
        <v>102975</v>
      </c>
      <c r="E11" s="694">
        <v>98731</v>
      </c>
      <c r="F11" s="694">
        <v>98730</v>
      </c>
      <c r="G11" s="694">
        <v>96711</v>
      </c>
      <c r="H11" s="693">
        <v>90748</v>
      </c>
      <c r="I11" s="693">
        <v>95316</v>
      </c>
      <c r="J11" s="693">
        <v>94768</v>
      </c>
      <c r="K11" s="693">
        <v>86331</v>
      </c>
      <c r="L11" s="693">
        <v>91261</v>
      </c>
      <c r="M11" s="726">
        <v>49299</v>
      </c>
      <c r="N11" s="728">
        <f t="shared" si="0"/>
        <v>-41962</v>
      </c>
      <c r="O11" s="689">
        <f t="shared" si="1"/>
        <v>-0.45980210604749017</v>
      </c>
    </row>
    <row r="12" spans="1:15" ht="24.95" customHeight="1" x14ac:dyDescent="0.2">
      <c r="A12" s="612" t="s">
        <v>10965</v>
      </c>
      <c r="B12" s="693">
        <v>124477.27</v>
      </c>
      <c r="C12" s="693">
        <v>108584</v>
      </c>
      <c r="D12" s="694">
        <v>111630</v>
      </c>
      <c r="E12" s="694">
        <v>111828</v>
      </c>
      <c r="F12" s="694">
        <v>112632</v>
      </c>
      <c r="G12" s="694">
        <v>118407</v>
      </c>
      <c r="H12" s="693">
        <v>125779</v>
      </c>
      <c r="I12" s="693">
        <v>123376</v>
      </c>
      <c r="J12" s="693">
        <v>122939</v>
      </c>
      <c r="K12" s="693">
        <v>117214</v>
      </c>
      <c r="L12" s="693">
        <v>114942</v>
      </c>
      <c r="M12" s="726">
        <v>78849</v>
      </c>
      <c r="N12" s="728">
        <f t="shared" si="0"/>
        <v>-36093</v>
      </c>
      <c r="O12" s="689">
        <f t="shared" si="1"/>
        <v>-0.31401054444850446</v>
      </c>
    </row>
    <row r="13" spans="1:15" ht="24.95" customHeight="1" x14ac:dyDescent="0.2">
      <c r="A13" s="612" t="s">
        <v>10966</v>
      </c>
      <c r="B13" s="693">
        <v>46721</v>
      </c>
      <c r="C13" s="693">
        <v>48209</v>
      </c>
      <c r="D13" s="694">
        <v>48464</v>
      </c>
      <c r="E13" s="694">
        <v>50614</v>
      </c>
      <c r="F13" s="694">
        <v>50807</v>
      </c>
      <c r="G13" s="694">
        <v>52017</v>
      </c>
      <c r="H13" s="693">
        <v>49226</v>
      </c>
      <c r="I13" s="693">
        <v>49334</v>
      </c>
      <c r="J13" s="693">
        <v>59338</v>
      </c>
      <c r="K13" s="693">
        <v>59579</v>
      </c>
      <c r="L13" s="693">
        <v>60859</v>
      </c>
      <c r="M13" s="726">
        <v>35077</v>
      </c>
      <c r="N13" s="728">
        <f t="shared" si="0"/>
        <v>-25782</v>
      </c>
      <c r="O13" s="689">
        <f t="shared" si="1"/>
        <v>-0.42363495949654117</v>
      </c>
    </row>
    <row r="14" spans="1:15" ht="24.95" customHeight="1" x14ac:dyDescent="0.2">
      <c r="A14" s="690" t="s">
        <v>10967</v>
      </c>
      <c r="B14" s="695">
        <v>47255.35</v>
      </c>
      <c r="C14" s="695">
        <v>47401</v>
      </c>
      <c r="D14" s="696">
        <v>49965</v>
      </c>
      <c r="E14" s="696">
        <v>48980.19</v>
      </c>
      <c r="F14" s="696">
        <v>43932.19</v>
      </c>
      <c r="G14" s="696">
        <v>46081</v>
      </c>
      <c r="H14" s="695">
        <v>45153</v>
      </c>
      <c r="I14" s="695">
        <f>46470</f>
        <v>46470</v>
      </c>
      <c r="J14" s="695">
        <v>42681</v>
      </c>
      <c r="K14" s="695">
        <v>42081</v>
      </c>
      <c r="L14" s="695">
        <v>43046</v>
      </c>
      <c r="M14" s="727">
        <v>19388</v>
      </c>
      <c r="N14" s="729">
        <f t="shared" si="0"/>
        <v>-23658</v>
      </c>
      <c r="O14" s="691">
        <f t="shared" si="1"/>
        <v>-0.54959810435348233</v>
      </c>
    </row>
    <row r="15" spans="1:15" ht="24.95" customHeight="1" x14ac:dyDescent="0.2">
      <c r="A15" s="690" t="s">
        <v>10968</v>
      </c>
      <c r="B15" s="695">
        <v>267948.2</v>
      </c>
      <c r="C15" s="695">
        <v>262503</v>
      </c>
      <c r="D15" s="696">
        <v>265682</v>
      </c>
      <c r="E15" s="696">
        <v>253843.47</v>
      </c>
      <c r="F15" s="696">
        <v>254449.26</v>
      </c>
      <c r="G15" s="696">
        <v>248731</v>
      </c>
      <c r="H15" s="695">
        <v>242325</v>
      </c>
      <c r="I15" s="695">
        <f>241625</f>
        <v>241625</v>
      </c>
      <c r="J15" s="695">
        <v>233983</v>
      </c>
      <c r="K15" s="695">
        <v>220260</v>
      </c>
      <c r="L15" s="695">
        <v>219624</v>
      </c>
      <c r="M15" s="727">
        <v>126681</v>
      </c>
      <c r="N15" s="729">
        <f t="shared" si="0"/>
        <v>-92943</v>
      </c>
      <c r="O15" s="691">
        <f t="shared" si="1"/>
        <v>-0.42319145448584855</v>
      </c>
    </row>
    <row r="16" spans="1:15" ht="24.95" customHeight="1" x14ac:dyDescent="0.2">
      <c r="A16" s="690" t="s">
        <v>10969</v>
      </c>
      <c r="B16" s="695">
        <v>97245.47</v>
      </c>
      <c r="C16" s="695">
        <v>95034</v>
      </c>
      <c r="D16" s="696">
        <v>98238</v>
      </c>
      <c r="E16" s="696">
        <v>100967.53</v>
      </c>
      <c r="F16" s="696">
        <v>95406.56</v>
      </c>
      <c r="G16" s="696">
        <v>94060</v>
      </c>
      <c r="H16" s="695">
        <v>94172</v>
      </c>
      <c r="I16" s="695">
        <f>92742</f>
        <v>92742</v>
      </c>
      <c r="J16" s="695">
        <v>92901</v>
      </c>
      <c r="K16" s="695">
        <v>83942</v>
      </c>
      <c r="L16" s="695">
        <v>81822</v>
      </c>
      <c r="M16" s="727">
        <v>57089</v>
      </c>
      <c r="N16" s="729">
        <f t="shared" si="0"/>
        <v>-24733</v>
      </c>
      <c r="O16" s="691">
        <f t="shared" si="1"/>
        <v>-0.30227811591014642</v>
      </c>
    </row>
    <row r="17" spans="1:15" ht="24.95" customHeight="1" x14ac:dyDescent="0.2">
      <c r="A17" s="690" t="s">
        <v>10970</v>
      </c>
      <c r="B17" s="695">
        <v>100676.19</v>
      </c>
      <c r="C17" s="695">
        <v>93576</v>
      </c>
      <c r="D17" s="696">
        <v>97781</v>
      </c>
      <c r="E17" s="696">
        <v>106116.2</v>
      </c>
      <c r="F17" s="696">
        <v>95078.080000000002</v>
      </c>
      <c r="G17" s="696">
        <v>94266</v>
      </c>
      <c r="H17" s="695">
        <v>106070</v>
      </c>
      <c r="I17" s="695">
        <f>94874</f>
        <v>94874</v>
      </c>
      <c r="J17" s="695">
        <v>93718</v>
      </c>
      <c r="K17" s="695">
        <v>86358</v>
      </c>
      <c r="L17" s="695">
        <v>81148</v>
      </c>
      <c r="M17" s="727">
        <v>50305</v>
      </c>
      <c r="N17" s="729">
        <f t="shared" si="0"/>
        <v>-30843</v>
      </c>
      <c r="O17" s="691">
        <f t="shared" si="1"/>
        <v>-0.38008330457928724</v>
      </c>
    </row>
    <row r="18" spans="1:15" ht="24.95" customHeight="1" x14ac:dyDescent="0.2">
      <c r="A18" s="690" t="s">
        <v>10971</v>
      </c>
      <c r="B18" s="695">
        <v>433878.18</v>
      </c>
      <c r="C18" s="695">
        <v>402627</v>
      </c>
      <c r="D18" s="696">
        <v>410327</v>
      </c>
      <c r="E18" s="696">
        <v>390795.6</v>
      </c>
      <c r="F18" s="696">
        <v>367177.83</v>
      </c>
      <c r="G18" s="696">
        <v>364242</v>
      </c>
      <c r="H18" s="695">
        <v>353193</v>
      </c>
      <c r="I18" s="695">
        <v>351162</v>
      </c>
      <c r="J18" s="695">
        <v>332340</v>
      </c>
      <c r="K18" s="695">
        <v>323822</v>
      </c>
      <c r="L18" s="695">
        <v>314110</v>
      </c>
      <c r="M18" s="727">
        <v>162918</v>
      </c>
      <c r="N18" s="729">
        <f t="shared" si="0"/>
        <v>-151192</v>
      </c>
      <c r="O18" s="691">
        <f t="shared" si="1"/>
        <v>-0.48133456432459965</v>
      </c>
    </row>
    <row r="19" spans="1:15" ht="24.95" customHeight="1" x14ac:dyDescent="0.2">
      <c r="A19" s="612" t="s">
        <v>10972</v>
      </c>
      <c r="B19" s="693">
        <v>38277.93</v>
      </c>
      <c r="C19" s="693">
        <v>31706</v>
      </c>
      <c r="D19" s="694">
        <v>34261</v>
      </c>
      <c r="E19" s="694">
        <v>31858</v>
      </c>
      <c r="F19" s="694">
        <v>31408</v>
      </c>
      <c r="G19" s="694">
        <v>30986</v>
      </c>
      <c r="H19" s="693">
        <v>29356</v>
      </c>
      <c r="I19" s="693">
        <v>32047</v>
      </c>
      <c r="J19" s="693">
        <v>32042</v>
      </c>
      <c r="K19" s="693">
        <v>31617</v>
      </c>
      <c r="L19" s="693">
        <v>32799</v>
      </c>
      <c r="M19" s="726">
        <v>23634</v>
      </c>
      <c r="N19" s="728">
        <f t="shared" si="0"/>
        <v>-9165</v>
      </c>
      <c r="O19" s="689">
        <f t="shared" si="1"/>
        <v>-0.27942925089179549</v>
      </c>
    </row>
    <row r="20" spans="1:15" ht="24.95" customHeight="1" x14ac:dyDescent="0.2">
      <c r="A20" s="690" t="s">
        <v>10973</v>
      </c>
      <c r="B20" s="695">
        <v>85667.839999999997</v>
      </c>
      <c r="C20" s="695">
        <v>86115</v>
      </c>
      <c r="D20" s="696">
        <v>86765</v>
      </c>
      <c r="E20" s="696">
        <v>79369.119999999995</v>
      </c>
      <c r="F20" s="696">
        <v>74611.92</v>
      </c>
      <c r="G20" s="696">
        <v>75915</v>
      </c>
      <c r="H20" s="695">
        <v>76973</v>
      </c>
      <c r="I20" s="695">
        <f>75724</f>
        <v>75724</v>
      </c>
      <c r="J20" s="695">
        <v>76170</v>
      </c>
      <c r="K20" s="695">
        <v>73945</v>
      </c>
      <c r="L20" s="695">
        <v>71839</v>
      </c>
      <c r="M20" s="727">
        <v>39416</v>
      </c>
      <c r="N20" s="729">
        <f t="shared" si="0"/>
        <v>-32423</v>
      </c>
      <c r="O20" s="691">
        <f t="shared" si="1"/>
        <v>-0.45132866548810535</v>
      </c>
    </row>
    <row r="21" spans="1:15" ht="24.95" customHeight="1" x14ac:dyDescent="0.2">
      <c r="A21" s="612" t="s">
        <v>10974</v>
      </c>
      <c r="B21" s="693">
        <v>83475.19</v>
      </c>
      <c r="C21" s="693">
        <v>57857</v>
      </c>
      <c r="D21" s="694">
        <v>49871</v>
      </c>
      <c r="E21" s="694">
        <v>53515</v>
      </c>
      <c r="F21" s="694">
        <v>54130</v>
      </c>
      <c r="G21" s="694">
        <v>56375</v>
      </c>
      <c r="H21" s="693">
        <v>54806</v>
      </c>
      <c r="I21" s="693">
        <v>65508</v>
      </c>
      <c r="J21" s="693">
        <v>68606</v>
      </c>
      <c r="K21" s="693">
        <v>72485</v>
      </c>
      <c r="L21" s="693">
        <v>80074</v>
      </c>
      <c r="M21" s="726">
        <v>57031</v>
      </c>
      <c r="N21" s="728">
        <f t="shared" si="0"/>
        <v>-23043</v>
      </c>
      <c r="O21" s="689">
        <f t="shared" si="1"/>
        <v>-0.28777131153682844</v>
      </c>
    </row>
    <row r="22" spans="1:15" ht="24.95" customHeight="1" x14ac:dyDescent="0.2">
      <c r="A22" s="612" t="s">
        <v>10975</v>
      </c>
      <c r="B22" s="693">
        <v>76001.61</v>
      </c>
      <c r="C22" s="693">
        <v>69218</v>
      </c>
      <c r="D22" s="694">
        <v>79084</v>
      </c>
      <c r="E22" s="694">
        <v>86879</v>
      </c>
      <c r="F22" s="694">
        <v>88405</v>
      </c>
      <c r="G22" s="694">
        <v>89788</v>
      </c>
      <c r="H22" s="693">
        <v>97496</v>
      </c>
      <c r="I22" s="693">
        <v>101924</v>
      </c>
      <c r="J22" s="693">
        <v>105136</v>
      </c>
      <c r="K22" s="693">
        <v>105157</v>
      </c>
      <c r="L22" s="693">
        <v>99203</v>
      </c>
      <c r="M22" s="726">
        <v>66479</v>
      </c>
      <c r="N22" s="728">
        <f t="shared" si="0"/>
        <v>-32724</v>
      </c>
      <c r="O22" s="689">
        <f t="shared" si="1"/>
        <v>-0.32986905637934338</v>
      </c>
    </row>
    <row r="23" spans="1:15" ht="24.95" customHeight="1" x14ac:dyDescent="0.2">
      <c r="A23" s="612" t="s">
        <v>10976</v>
      </c>
      <c r="B23" s="693">
        <v>93898.53</v>
      </c>
      <c r="C23" s="693">
        <v>79421</v>
      </c>
      <c r="D23" s="694">
        <v>84622</v>
      </c>
      <c r="E23" s="694">
        <v>77669</v>
      </c>
      <c r="F23" s="694">
        <v>82273</v>
      </c>
      <c r="G23" s="694">
        <v>85293</v>
      </c>
      <c r="H23" s="693">
        <v>86417</v>
      </c>
      <c r="I23" s="693">
        <v>104617</v>
      </c>
      <c r="J23" s="693">
        <v>85409</v>
      </c>
      <c r="K23" s="693">
        <v>78060</v>
      </c>
      <c r="L23" s="693">
        <v>85758</v>
      </c>
      <c r="M23" s="726">
        <v>55669</v>
      </c>
      <c r="N23" s="728">
        <f t="shared" si="0"/>
        <v>-30089</v>
      </c>
      <c r="O23" s="689">
        <f t="shared" si="1"/>
        <v>-0.35085939504186198</v>
      </c>
    </row>
    <row r="24" spans="1:15" ht="24.95" customHeight="1" x14ac:dyDescent="0.2">
      <c r="A24" s="612" t="s">
        <v>10977</v>
      </c>
      <c r="B24" s="693">
        <v>148837.01999999999</v>
      </c>
      <c r="C24" s="693">
        <v>141626</v>
      </c>
      <c r="D24" s="694">
        <v>150342</v>
      </c>
      <c r="E24" s="694">
        <v>141309</v>
      </c>
      <c r="F24" s="694">
        <v>145572</v>
      </c>
      <c r="G24" s="694">
        <v>152508</v>
      </c>
      <c r="H24" s="693">
        <v>149417</v>
      </c>
      <c r="I24" s="693">
        <v>151870</v>
      </c>
      <c r="J24" s="693">
        <v>152081</v>
      </c>
      <c r="K24" s="693">
        <v>155523</v>
      </c>
      <c r="L24" s="693">
        <v>153912</v>
      </c>
      <c r="M24" s="726">
        <v>102226</v>
      </c>
      <c r="N24" s="728">
        <f t="shared" si="0"/>
        <v>-51686</v>
      </c>
      <c r="O24" s="689">
        <f t="shared" si="1"/>
        <v>-0.33581527106398462</v>
      </c>
    </row>
    <row r="25" spans="1:15" ht="24.95" customHeight="1" x14ac:dyDescent="0.2">
      <c r="A25" s="690" t="s">
        <v>10978</v>
      </c>
      <c r="B25" s="695">
        <v>300676.87</v>
      </c>
      <c r="C25" s="695">
        <v>280519</v>
      </c>
      <c r="D25" s="696">
        <v>289901</v>
      </c>
      <c r="E25" s="696">
        <v>287801.87</v>
      </c>
      <c r="F25" s="696">
        <v>262828.32</v>
      </c>
      <c r="G25" s="696">
        <v>285911</v>
      </c>
      <c r="H25" s="695">
        <v>270997</v>
      </c>
      <c r="I25" s="695">
        <v>271564</v>
      </c>
      <c r="J25" s="695">
        <v>256311</v>
      </c>
      <c r="K25" s="695">
        <v>249275</v>
      </c>
      <c r="L25" s="695">
        <v>237753</v>
      </c>
      <c r="M25" s="727">
        <v>136966</v>
      </c>
      <c r="N25" s="729">
        <f t="shared" si="0"/>
        <v>-100787</v>
      </c>
      <c r="O25" s="691">
        <f t="shared" si="1"/>
        <v>-0.42391473504014671</v>
      </c>
    </row>
    <row r="26" spans="1:15" ht="24.95" customHeight="1" x14ac:dyDescent="0.2">
      <c r="A26" s="612" t="s">
        <v>10979</v>
      </c>
      <c r="B26" s="693">
        <v>135702.45000000001</v>
      </c>
      <c r="C26" s="693">
        <v>135629</v>
      </c>
      <c r="D26" s="694">
        <v>124892</v>
      </c>
      <c r="E26" s="694">
        <v>126962</v>
      </c>
      <c r="F26" s="694">
        <v>119170</v>
      </c>
      <c r="G26" s="694">
        <v>129975</v>
      </c>
      <c r="H26" s="693">
        <v>124991</v>
      </c>
      <c r="I26" s="693">
        <v>129374</v>
      </c>
      <c r="J26" s="693">
        <v>134153</v>
      </c>
      <c r="K26" s="693">
        <v>130617</v>
      </c>
      <c r="L26" s="693">
        <v>133031</v>
      </c>
      <c r="M26" s="726">
        <v>100141</v>
      </c>
      <c r="N26" s="728">
        <f t="shared" si="0"/>
        <v>-32890</v>
      </c>
      <c r="O26" s="689">
        <f t="shared" si="1"/>
        <v>-0.24723560673827905</v>
      </c>
    </row>
    <row r="27" spans="1:15" ht="24.95" customHeight="1" x14ac:dyDescent="0.2">
      <c r="A27" s="612" t="s">
        <v>10980</v>
      </c>
      <c r="B27" s="693">
        <v>253351</v>
      </c>
      <c r="C27" s="693">
        <v>211106</v>
      </c>
      <c r="D27" s="694">
        <v>205346</v>
      </c>
      <c r="E27" s="694">
        <v>194969</v>
      </c>
      <c r="F27" s="694">
        <v>198070</v>
      </c>
      <c r="G27" s="694">
        <v>203451</v>
      </c>
      <c r="H27" s="693">
        <v>208325</v>
      </c>
      <c r="I27" s="697">
        <v>204869</v>
      </c>
      <c r="J27" s="693">
        <v>209562</v>
      </c>
      <c r="K27" s="693">
        <v>197982</v>
      </c>
      <c r="L27" s="693">
        <v>198766</v>
      </c>
      <c r="M27" s="726">
        <v>138706</v>
      </c>
      <c r="N27" s="728">
        <f t="shared" si="0"/>
        <v>-60060</v>
      </c>
      <c r="O27" s="689">
        <f t="shared" si="1"/>
        <v>-0.30216435406457842</v>
      </c>
    </row>
    <row r="28" spans="1:15" ht="24.95" customHeight="1" x14ac:dyDescent="0.2">
      <c r="A28" s="692" t="s">
        <v>7887</v>
      </c>
      <c r="B28" s="698">
        <v>258804</v>
      </c>
      <c r="C28" s="693">
        <v>233429</v>
      </c>
      <c r="D28" s="694">
        <v>229128</v>
      </c>
      <c r="E28" s="694">
        <v>207607</v>
      </c>
      <c r="F28" s="694">
        <v>207439</v>
      </c>
      <c r="G28" s="694">
        <v>201703</v>
      </c>
      <c r="H28" s="699">
        <v>208968</v>
      </c>
      <c r="I28" s="699">
        <v>219575</v>
      </c>
      <c r="J28" s="693">
        <v>242722</v>
      </c>
      <c r="K28" s="693">
        <v>199284</v>
      </c>
      <c r="L28" s="693">
        <v>179420</v>
      </c>
      <c r="M28" s="726">
        <v>160128</v>
      </c>
      <c r="N28" s="728">
        <f t="shared" si="0"/>
        <v>-19292</v>
      </c>
      <c r="O28" s="689">
        <f t="shared" si="1"/>
        <v>-0.1075242447887638</v>
      </c>
    </row>
    <row r="29" spans="1:15" ht="24.95" customHeight="1" x14ac:dyDescent="0.2">
      <c r="A29" s="612" t="s">
        <v>10981</v>
      </c>
      <c r="B29" s="693">
        <v>29083.08</v>
      </c>
      <c r="C29" s="693">
        <v>21594</v>
      </c>
      <c r="D29" s="694">
        <v>20305</v>
      </c>
      <c r="E29" s="694">
        <v>20897</v>
      </c>
      <c r="F29" s="694">
        <v>21361</v>
      </c>
      <c r="G29" s="694">
        <v>24703</v>
      </c>
      <c r="H29" s="693">
        <v>22511</v>
      </c>
      <c r="I29" s="693">
        <v>22021</v>
      </c>
      <c r="J29" s="693">
        <v>21794</v>
      </c>
      <c r="K29" s="693">
        <v>25839</v>
      </c>
      <c r="L29" s="693">
        <v>27224</v>
      </c>
      <c r="M29" s="726">
        <v>20404</v>
      </c>
      <c r="N29" s="728">
        <f t="shared" si="0"/>
        <v>-6820</v>
      </c>
      <c r="O29" s="689">
        <f t="shared" si="1"/>
        <v>-0.25051425213047313</v>
      </c>
    </row>
    <row r="30" spans="1:15" s="701" customFormat="1" ht="29.25" customHeight="1" x14ac:dyDescent="0.2">
      <c r="A30" s="700" t="s">
        <v>10982</v>
      </c>
      <c r="B30" s="693">
        <v>42412</v>
      </c>
      <c r="C30" s="693">
        <v>63252</v>
      </c>
      <c r="D30" s="694">
        <v>29935</v>
      </c>
      <c r="E30" s="694">
        <v>34322</v>
      </c>
      <c r="F30" s="694">
        <v>37163</v>
      </c>
      <c r="G30" s="694">
        <v>24698</v>
      </c>
      <c r="H30" s="693">
        <f>684+650+4956+75+105+1510-2</f>
        <v>7978</v>
      </c>
      <c r="I30" s="693">
        <f>2739+13978</f>
        <v>16717</v>
      </c>
      <c r="J30" s="693">
        <v>19302</v>
      </c>
      <c r="K30" s="693">
        <v>15538</v>
      </c>
      <c r="L30" s="693">
        <v>25298</v>
      </c>
      <c r="M30" s="726">
        <v>90859</v>
      </c>
      <c r="N30" s="728">
        <f t="shared" si="0"/>
        <v>65561</v>
      </c>
      <c r="O30" s="688">
        <f t="shared" si="1"/>
        <v>2.5915487390307534</v>
      </c>
    </row>
    <row r="31" spans="1:15" ht="24.95" customHeight="1" thickBot="1" x14ac:dyDescent="0.25">
      <c r="A31" s="702" t="s">
        <v>7174</v>
      </c>
      <c r="B31" s="703">
        <f t="shared" ref="B31:N31" si="2">SUM(B8:B30)</f>
        <v>3407280.27</v>
      </c>
      <c r="C31" s="703">
        <f t="shared" si="2"/>
        <v>3130965</v>
      </c>
      <c r="D31" s="704">
        <f t="shared" si="2"/>
        <v>3125287</v>
      </c>
      <c r="E31" s="704">
        <f t="shared" si="2"/>
        <v>3052684.98</v>
      </c>
      <c r="F31" s="704">
        <f t="shared" si="2"/>
        <v>2992553.1599999997</v>
      </c>
      <c r="G31" s="704">
        <f t="shared" si="2"/>
        <v>3015308</v>
      </c>
      <c r="H31" s="703">
        <f t="shared" si="2"/>
        <v>2994816</v>
      </c>
      <c r="I31" s="703">
        <f t="shared" si="2"/>
        <v>3039531</v>
      </c>
      <c r="J31" s="703">
        <f t="shared" si="2"/>
        <v>3028634</v>
      </c>
      <c r="K31" s="703">
        <f t="shared" si="2"/>
        <v>2893696</v>
      </c>
      <c r="L31" s="703">
        <f t="shared" si="2"/>
        <v>2868404</v>
      </c>
      <c r="M31" s="744">
        <f t="shared" si="2"/>
        <v>1926427</v>
      </c>
      <c r="N31" s="730">
        <f t="shared" si="2"/>
        <v>-941977</v>
      </c>
      <c r="O31" s="731">
        <f t="shared" si="1"/>
        <v>-0.32839760368483656</v>
      </c>
    </row>
    <row r="32" spans="1:15" ht="15.75" thickBot="1" x14ac:dyDescent="0.25">
      <c r="A32" s="672"/>
      <c r="B32" s="610"/>
      <c r="C32" s="672"/>
      <c r="D32" s="673"/>
      <c r="E32" s="673"/>
      <c r="F32" s="674"/>
      <c r="G32" s="674"/>
      <c r="H32" s="672"/>
      <c r="I32" s="672"/>
      <c r="J32" s="672"/>
      <c r="K32" s="672"/>
      <c r="L32" s="672"/>
      <c r="M32" s="672"/>
      <c r="N32" s="675"/>
      <c r="O32" s="610"/>
    </row>
    <row r="33" spans="1:15" ht="24.95" customHeight="1" x14ac:dyDescent="0.2">
      <c r="A33" s="705" t="s">
        <v>10983</v>
      </c>
      <c r="B33" s="712">
        <f t="shared" ref="B33:M33" si="3">B28+B8+B9+B10+B11+B12++B13+B19+B21+B22+B23+B24+B26+B27+B29+B30</f>
        <v>2073932.1700000002</v>
      </c>
      <c r="C33" s="712">
        <f t="shared" si="3"/>
        <v>1863190</v>
      </c>
      <c r="D33" s="712">
        <f t="shared" si="3"/>
        <v>1826628</v>
      </c>
      <c r="E33" s="712">
        <f t="shared" si="3"/>
        <v>1784811</v>
      </c>
      <c r="F33" s="712">
        <f t="shared" si="3"/>
        <v>1799069</v>
      </c>
      <c r="G33" s="712">
        <f t="shared" si="3"/>
        <v>1806102</v>
      </c>
      <c r="H33" s="712">
        <f t="shared" si="3"/>
        <v>1805933</v>
      </c>
      <c r="I33" s="712">
        <f t="shared" si="3"/>
        <v>1865370</v>
      </c>
      <c r="J33" s="712">
        <f t="shared" si="3"/>
        <v>1900530</v>
      </c>
      <c r="K33" s="712">
        <f t="shared" si="3"/>
        <v>1814013</v>
      </c>
      <c r="L33" s="712">
        <f t="shared" si="3"/>
        <v>1819062</v>
      </c>
      <c r="M33" s="741">
        <f t="shared" si="3"/>
        <v>1333664</v>
      </c>
      <c r="N33" s="732">
        <f>+M33-L33</f>
        <v>-485398</v>
      </c>
      <c r="O33" s="733">
        <f>(N33/L33)</f>
        <v>-0.2668397228901489</v>
      </c>
    </row>
    <row r="34" spans="1:15" ht="24.95" customHeight="1" x14ac:dyDescent="0.2">
      <c r="A34" s="706" t="s">
        <v>10984</v>
      </c>
      <c r="B34" s="696">
        <f t="shared" ref="B34:M34" si="4">B14+B15+B16+B17+B18+B20+B25</f>
        <v>1333348.1000000001</v>
      </c>
      <c r="C34" s="696">
        <f t="shared" si="4"/>
        <v>1267775</v>
      </c>
      <c r="D34" s="696">
        <f t="shared" si="4"/>
        <v>1298659</v>
      </c>
      <c r="E34" s="696">
        <f t="shared" si="4"/>
        <v>1267873.98</v>
      </c>
      <c r="F34" s="696">
        <f t="shared" si="4"/>
        <v>1193484.1600000001</v>
      </c>
      <c r="G34" s="696">
        <f t="shared" si="4"/>
        <v>1209206</v>
      </c>
      <c r="H34" s="696">
        <f t="shared" si="4"/>
        <v>1188883</v>
      </c>
      <c r="I34" s="696">
        <f t="shared" si="4"/>
        <v>1174161</v>
      </c>
      <c r="J34" s="696">
        <f t="shared" si="4"/>
        <v>1128104</v>
      </c>
      <c r="K34" s="696">
        <f t="shared" si="4"/>
        <v>1079683</v>
      </c>
      <c r="L34" s="696">
        <f t="shared" si="4"/>
        <v>1049342</v>
      </c>
      <c r="M34" s="742">
        <f t="shared" si="4"/>
        <v>592763</v>
      </c>
      <c r="N34" s="734">
        <f>+M34-L34</f>
        <v>-456579</v>
      </c>
      <c r="O34" s="735">
        <f>(N34/L34)</f>
        <v>-0.4351098116724576</v>
      </c>
    </row>
    <row r="35" spans="1:15" ht="24.95" customHeight="1" thickBot="1" x14ac:dyDescent="0.25">
      <c r="A35" s="707" t="s">
        <v>7174</v>
      </c>
      <c r="B35" s="713">
        <f>SUM(B11:B34)</f>
        <v>9588044.4700000007</v>
      </c>
      <c r="C35" s="713">
        <f>SUM(C11:C34)</f>
        <v>8837481</v>
      </c>
      <c r="D35" s="714">
        <f>+D33+D34</f>
        <v>3125287</v>
      </c>
      <c r="E35" s="714">
        <f t="shared" ref="E35:N35" si="5">+E33+E34</f>
        <v>3052684.98</v>
      </c>
      <c r="F35" s="714">
        <f t="shared" si="5"/>
        <v>2992553.16</v>
      </c>
      <c r="G35" s="713">
        <f t="shared" si="5"/>
        <v>3015308</v>
      </c>
      <c r="H35" s="713">
        <f t="shared" si="5"/>
        <v>2994816</v>
      </c>
      <c r="I35" s="713">
        <f t="shared" si="5"/>
        <v>3039531</v>
      </c>
      <c r="J35" s="713">
        <f t="shared" si="5"/>
        <v>3028634</v>
      </c>
      <c r="K35" s="713">
        <f t="shared" si="5"/>
        <v>2893696</v>
      </c>
      <c r="L35" s="713">
        <f t="shared" si="5"/>
        <v>2868404</v>
      </c>
      <c r="M35" s="743">
        <f t="shared" si="5"/>
        <v>1926427</v>
      </c>
      <c r="N35" s="736">
        <f t="shared" si="5"/>
        <v>-941977</v>
      </c>
      <c r="O35" s="737">
        <f>(N35/L35)</f>
        <v>-0.32839760368483656</v>
      </c>
    </row>
    <row r="36" spans="1:15" ht="24.95" customHeight="1" x14ac:dyDescent="0.2">
      <c r="A36" s="708" t="s">
        <v>10985</v>
      </c>
      <c r="B36" s="709"/>
      <c r="C36" s="709"/>
      <c r="D36" s="710">
        <f>+D33/D35</f>
        <v>0.58446728252477298</v>
      </c>
      <c r="E36" s="710">
        <f t="shared" ref="E36:J36" si="6">+E33/E35</f>
        <v>0.58466923763617429</v>
      </c>
      <c r="F36" s="710">
        <f t="shared" si="6"/>
        <v>0.6011819686437917</v>
      </c>
      <c r="G36" s="710">
        <f t="shared" si="6"/>
        <v>0.59897761688026563</v>
      </c>
      <c r="H36" s="710">
        <f t="shared" si="6"/>
        <v>0.60301968468179679</v>
      </c>
      <c r="I36" s="710">
        <f t="shared" si="6"/>
        <v>0.61370323250527792</v>
      </c>
      <c r="J36" s="710">
        <f t="shared" si="6"/>
        <v>0.62752052575517547</v>
      </c>
      <c r="K36" s="710">
        <f>+K33/K35</f>
        <v>0.62688444121289866</v>
      </c>
      <c r="L36" s="710">
        <f>+L33/L35</f>
        <v>0.63417217379420754</v>
      </c>
      <c r="M36" s="738">
        <f>+M33/M35</f>
        <v>0.6922992669849416</v>
      </c>
      <c r="N36" s="738"/>
      <c r="O36" s="739"/>
    </row>
    <row r="37" spans="1:15" ht="24.95" customHeight="1" x14ac:dyDescent="0.2">
      <c r="A37" s="708" t="s">
        <v>10986</v>
      </c>
      <c r="B37" s="711"/>
      <c r="C37" s="711"/>
      <c r="D37" s="710">
        <f>+D34/D35</f>
        <v>0.41553271747522708</v>
      </c>
      <c r="E37" s="710">
        <f>+E34/E35</f>
        <v>0.41533076236382571</v>
      </c>
      <c r="F37" s="710">
        <f>+F34/F35</f>
        <v>0.39881803135620825</v>
      </c>
      <c r="G37" s="710">
        <f>+G34/G35</f>
        <v>0.40102238311973437</v>
      </c>
      <c r="H37" s="710">
        <f>+H34/H35</f>
        <v>0.39698031531820321</v>
      </c>
      <c r="I37" s="710">
        <f>1-I36</f>
        <v>0.38629676749472208</v>
      </c>
      <c r="J37" s="710">
        <f>1-J36</f>
        <v>0.37247947424482453</v>
      </c>
      <c r="K37" s="710">
        <f>1-K36</f>
        <v>0.37311555878710134</v>
      </c>
      <c r="L37" s="710">
        <f>1-L36</f>
        <v>0.36582782620579246</v>
      </c>
      <c r="M37" s="738">
        <f>1-M36</f>
        <v>0.3077007330150584</v>
      </c>
      <c r="N37" s="738"/>
      <c r="O37" s="74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249977111117893"/>
    <pageSetUpPr fitToPage="1"/>
  </sheetPr>
  <dimension ref="A1:W127"/>
  <sheetViews>
    <sheetView zoomScaleNormal="100" zoomScaleSheetLayoutView="80" workbookViewId="0">
      <pane ySplit="2" topLeftCell="A90" activePane="bottomLeft" state="frozen"/>
      <selection pane="bottomLeft" activeCell="A2" sqref="A2"/>
    </sheetView>
  </sheetViews>
  <sheetFormatPr defaultColWidth="9.140625" defaultRowHeight="14.25" outlineLevelCol="1" x14ac:dyDescent="0.2"/>
  <cols>
    <col min="1" max="1" width="24.28515625" style="64" customWidth="1"/>
    <col min="2" max="2" width="43.28515625" style="64" customWidth="1"/>
    <col min="3" max="3" width="57.28515625" style="64" customWidth="1"/>
    <col min="4" max="4" width="15.140625" style="371" hidden="1" customWidth="1" outlineLevel="1"/>
    <col min="5" max="5" width="20.7109375" style="371" hidden="1" customWidth="1" outlineLevel="1"/>
    <col min="6" max="6" width="10.5703125" style="610" hidden="1" customWidth="1" collapsed="1"/>
    <col min="7" max="7" width="11.140625" style="610" hidden="1" customWidth="1"/>
    <col min="8" max="8" width="51.85546875" style="745" hidden="1" customWidth="1"/>
    <col min="9" max="9" width="29.140625" style="610" hidden="1" customWidth="1"/>
    <col min="10" max="10" width="12.5703125" style="610" hidden="1" customWidth="1"/>
    <col min="11" max="11" width="14.28515625" style="746" bestFit="1" customWidth="1"/>
    <col min="12" max="12" width="15.140625" style="746" bestFit="1" customWidth="1"/>
    <col min="13" max="13" width="20" style="746" bestFit="1" customWidth="1"/>
    <col min="14" max="14" width="15.5703125" style="610" hidden="1" customWidth="1"/>
    <col min="15" max="15" width="15.5703125" style="610" customWidth="1"/>
    <col min="16" max="16" width="15.5703125" style="73" hidden="1" customWidth="1" outlineLevel="1"/>
    <col min="17" max="17" width="15.5703125" style="73" customWidth="1" collapsed="1"/>
    <col min="18" max="18" width="15.5703125" style="447" bestFit="1" customWidth="1" collapsed="1"/>
    <col min="19" max="19" width="15.7109375" style="73" bestFit="1" customWidth="1"/>
    <col min="20" max="20" width="15.5703125" style="363" bestFit="1" customWidth="1"/>
    <col min="21" max="16384" width="9.140625" style="64"/>
  </cols>
  <sheetData>
    <row r="1" spans="1:23" ht="34.5" customHeight="1" x14ac:dyDescent="0.25">
      <c r="A1" s="839" t="str">
        <f>"Missio and Mill Hill Red Box Parish Results 2020 - Arundel and Brighton Diocese"</f>
        <v>Missio and Mill Hill Red Box Parish Results 2020 - Arundel and Brighton Diocese</v>
      </c>
      <c r="B1" s="246"/>
      <c r="C1" s="246"/>
      <c r="D1" s="166"/>
      <c r="E1" s="166"/>
      <c r="K1" s="757">
        <v>2020</v>
      </c>
      <c r="L1" s="757">
        <v>2020</v>
      </c>
      <c r="M1" s="757">
        <v>2020</v>
      </c>
      <c r="N1" s="746"/>
      <c r="O1" s="746"/>
      <c r="P1" s="246"/>
      <c r="Q1" s="246"/>
      <c r="R1" s="445"/>
      <c r="S1" s="246"/>
      <c r="T1" s="374"/>
      <c r="U1" s="63"/>
      <c r="V1" s="63"/>
      <c r="W1" s="63"/>
    </row>
    <row r="2" spans="1:23" ht="30.2" customHeight="1" x14ac:dyDescent="0.3">
      <c r="A2" s="622" t="s">
        <v>1</v>
      </c>
      <c r="B2" s="622" t="s">
        <v>2</v>
      </c>
      <c r="C2" s="622" t="s">
        <v>3</v>
      </c>
      <c r="D2" s="622" t="s">
        <v>1</v>
      </c>
      <c r="E2" s="622" t="s">
        <v>8165</v>
      </c>
      <c r="F2" s="622" t="s">
        <v>7809</v>
      </c>
      <c r="G2" s="622" t="s">
        <v>311</v>
      </c>
      <c r="H2" s="622" t="s">
        <v>312</v>
      </c>
      <c r="I2" s="622" t="s">
        <v>2</v>
      </c>
      <c r="J2" s="622" t="s">
        <v>10989</v>
      </c>
      <c r="K2" s="622" t="s">
        <v>308</v>
      </c>
      <c r="L2" s="622" t="s">
        <v>10990</v>
      </c>
      <c r="M2" s="622" t="s">
        <v>10991</v>
      </c>
      <c r="N2" s="622">
        <v>2020</v>
      </c>
      <c r="O2" s="622">
        <v>2020</v>
      </c>
      <c r="P2" s="622">
        <v>2019</v>
      </c>
      <c r="Q2" s="622">
        <v>2019</v>
      </c>
      <c r="R2" s="622">
        <v>2018</v>
      </c>
      <c r="S2" s="622">
        <v>2017</v>
      </c>
      <c r="T2" s="622">
        <v>2016</v>
      </c>
      <c r="U2" s="67"/>
      <c r="V2" s="67"/>
      <c r="W2" s="67"/>
    </row>
    <row r="3" spans="1:23" ht="30.2" customHeight="1" x14ac:dyDescent="0.2">
      <c r="A3" s="597" t="str">
        <f>D3&amp;" / "&amp;E3</f>
        <v>ARU001 / 1674</v>
      </c>
      <c r="B3" s="68" t="s">
        <v>7179</v>
      </c>
      <c r="C3" s="68" t="s">
        <v>7180</v>
      </c>
      <c r="D3" s="369" t="s">
        <v>325</v>
      </c>
      <c r="E3" s="437" t="str">
        <f>VLOOKUP(D:D,'Master Table'!C:D,2,FALSE)</f>
        <v>1674</v>
      </c>
      <c r="F3" s="749" t="s">
        <v>325</v>
      </c>
      <c r="G3" s="749" t="s">
        <v>326</v>
      </c>
      <c r="H3" s="750" t="s">
        <v>327</v>
      </c>
      <c r="I3" s="749" t="s">
        <v>328</v>
      </c>
      <c r="J3" s="749" t="s">
        <v>324</v>
      </c>
      <c r="K3" s="758">
        <v>0</v>
      </c>
      <c r="L3" s="758">
        <v>110</v>
      </c>
      <c r="M3" s="758"/>
      <c r="N3" s="756">
        <f t="shared" ref="N3:N34" si="0">K3+L3+M3</f>
        <v>110</v>
      </c>
      <c r="O3" s="11">
        <v>110</v>
      </c>
      <c r="P3" s="446">
        <f>VLOOKUP(D:D,'Master Table'!C:O,13,FALSE)</f>
        <v>1229.06</v>
      </c>
      <c r="Q3" s="69">
        <v>1229.06</v>
      </c>
      <c r="R3" s="446">
        <v>1480.68</v>
      </c>
      <c r="S3" s="446">
        <v>1820.06</v>
      </c>
      <c r="T3" s="446">
        <v>1723.8600000000001</v>
      </c>
      <c r="U3" s="67"/>
      <c r="V3" s="67"/>
      <c r="W3" s="67"/>
    </row>
    <row r="4" spans="1:23" ht="30.2" customHeight="1" x14ac:dyDescent="0.2">
      <c r="A4" s="597" t="str">
        <f t="shared" ref="A4:A68" si="1">D4&amp;" / "&amp;E4</f>
        <v>ARU002 / 1675</v>
      </c>
      <c r="B4" s="68" t="s">
        <v>336</v>
      </c>
      <c r="C4" s="68" t="s">
        <v>1584</v>
      </c>
      <c r="D4" s="369" t="s">
        <v>333</v>
      </c>
      <c r="E4" s="437" t="str">
        <f>VLOOKUP(D:D,'Master Table'!C:D,2,FALSE)</f>
        <v>1675</v>
      </c>
      <c r="F4" s="749" t="s">
        <v>333</v>
      </c>
      <c r="G4" s="749" t="s">
        <v>334</v>
      </c>
      <c r="H4" s="750" t="s">
        <v>335</v>
      </c>
      <c r="I4" s="749" t="s">
        <v>336</v>
      </c>
      <c r="J4" s="749" t="s">
        <v>324</v>
      </c>
      <c r="K4" s="758">
        <v>346.15</v>
      </c>
      <c r="L4" s="758">
        <v>234.5</v>
      </c>
      <c r="M4" s="758"/>
      <c r="N4" s="756">
        <f t="shared" si="0"/>
        <v>580.65</v>
      </c>
      <c r="O4" s="11">
        <v>580.65</v>
      </c>
      <c r="P4" s="446">
        <f>VLOOKUP(D:D,'Master Table'!C:O,13,FALSE)</f>
        <v>610.72</v>
      </c>
      <c r="Q4" s="69">
        <v>610.72</v>
      </c>
      <c r="R4" s="446">
        <v>577.05999999999995</v>
      </c>
      <c r="S4" s="446">
        <v>416.66999999999996</v>
      </c>
      <c r="T4" s="446">
        <v>792.16000000000008</v>
      </c>
      <c r="U4" s="67"/>
      <c r="V4" s="67"/>
      <c r="W4" s="67"/>
    </row>
    <row r="5" spans="1:23" ht="30.2" customHeight="1" x14ac:dyDescent="0.2">
      <c r="A5" s="597" t="str">
        <f t="shared" si="1"/>
        <v>ARU003 / 1676</v>
      </c>
      <c r="B5" s="68" t="s">
        <v>7181</v>
      </c>
      <c r="C5" s="68" t="s">
        <v>119</v>
      </c>
      <c r="D5" s="369" t="s">
        <v>338</v>
      </c>
      <c r="E5" s="437" t="str">
        <f>VLOOKUP(D:D,'Master Table'!C:D,2,FALSE)</f>
        <v>1676</v>
      </c>
      <c r="F5" s="749" t="s">
        <v>338</v>
      </c>
      <c r="G5" s="749" t="s">
        <v>339</v>
      </c>
      <c r="H5" s="750" t="s">
        <v>119</v>
      </c>
      <c r="I5" s="749" t="s">
        <v>340</v>
      </c>
      <c r="J5" s="749" t="s">
        <v>324</v>
      </c>
      <c r="K5" s="758">
        <v>192.39</v>
      </c>
      <c r="L5" s="758">
        <v>184</v>
      </c>
      <c r="M5" s="758"/>
      <c r="N5" s="756">
        <f t="shared" si="0"/>
        <v>376.39</v>
      </c>
      <c r="O5" s="11">
        <v>376.39</v>
      </c>
      <c r="P5" s="446">
        <f>VLOOKUP(D:D,'Master Table'!C:O,13,FALSE)</f>
        <v>1770.3899999999999</v>
      </c>
      <c r="Q5" s="69">
        <v>1770.3899999999999</v>
      </c>
      <c r="R5" s="446">
        <v>1743.75</v>
      </c>
      <c r="S5" s="446">
        <v>2312.54</v>
      </c>
      <c r="T5" s="446">
        <v>1738.94</v>
      </c>
      <c r="U5" s="67"/>
      <c r="V5" s="67"/>
      <c r="W5" s="67"/>
    </row>
    <row r="6" spans="1:23" ht="30.2" customHeight="1" x14ac:dyDescent="0.2">
      <c r="A6" s="597" t="str">
        <f t="shared" si="1"/>
        <v>ARU004 / 1677</v>
      </c>
      <c r="B6" s="68" t="s">
        <v>7182</v>
      </c>
      <c r="C6" s="68" t="s">
        <v>7183</v>
      </c>
      <c r="D6" s="369" t="s">
        <v>341</v>
      </c>
      <c r="E6" s="437" t="str">
        <f>VLOOKUP(D:D,'Master Table'!C:D,2,FALSE)</f>
        <v>1677</v>
      </c>
      <c r="F6" s="749" t="s">
        <v>341</v>
      </c>
      <c r="G6" s="749" t="s">
        <v>342</v>
      </c>
      <c r="H6" s="750" t="s">
        <v>343</v>
      </c>
      <c r="I6" s="749" t="s">
        <v>25</v>
      </c>
      <c r="J6" s="749" t="s">
        <v>324</v>
      </c>
      <c r="K6" s="758">
        <v>304.8</v>
      </c>
      <c r="L6" s="758">
        <v>240</v>
      </c>
      <c r="M6" s="758"/>
      <c r="N6" s="756">
        <f t="shared" si="0"/>
        <v>544.79999999999995</v>
      </c>
      <c r="O6" s="11">
        <v>544.79999999999995</v>
      </c>
      <c r="P6" s="446">
        <f>VLOOKUP(D:D,'Master Table'!C:O,13,FALSE)</f>
        <v>736.13</v>
      </c>
      <c r="Q6" s="69">
        <v>736.13</v>
      </c>
      <c r="R6" s="446">
        <v>738.04</v>
      </c>
      <c r="S6" s="446">
        <v>866.6</v>
      </c>
      <c r="T6" s="446">
        <v>898</v>
      </c>
      <c r="U6" s="67"/>
      <c r="V6" s="67"/>
      <c r="W6" s="67"/>
    </row>
    <row r="7" spans="1:23" ht="30.2" customHeight="1" x14ac:dyDescent="0.2">
      <c r="A7" s="597" t="str">
        <f t="shared" si="1"/>
        <v>ARU007 / 1678</v>
      </c>
      <c r="B7" s="68" t="s">
        <v>7184</v>
      </c>
      <c r="C7" s="68" t="s">
        <v>7185</v>
      </c>
      <c r="D7" s="369" t="s">
        <v>344</v>
      </c>
      <c r="E7" s="437" t="str">
        <f>VLOOKUP(D:D,'Master Table'!C:D,2,FALSE)</f>
        <v>1678</v>
      </c>
      <c r="F7" s="749" t="s">
        <v>344</v>
      </c>
      <c r="G7" s="749" t="s">
        <v>345</v>
      </c>
      <c r="H7" s="750" t="s">
        <v>10992</v>
      </c>
      <c r="I7" s="749" t="s">
        <v>347</v>
      </c>
      <c r="J7" s="749" t="s">
        <v>351</v>
      </c>
      <c r="K7" s="758">
        <v>0</v>
      </c>
      <c r="L7" s="758">
        <v>30</v>
      </c>
      <c r="M7" s="758"/>
      <c r="N7" s="756">
        <f t="shared" si="0"/>
        <v>30</v>
      </c>
      <c r="O7" s="11">
        <v>30</v>
      </c>
      <c r="P7" s="446">
        <f>VLOOKUP(D:D,'Master Table'!C:O,13,FALSE)</f>
        <v>50</v>
      </c>
      <c r="Q7" s="69">
        <v>50</v>
      </c>
      <c r="R7" s="446">
        <v>60</v>
      </c>
      <c r="S7" s="446">
        <v>70</v>
      </c>
      <c r="T7" s="446">
        <v>70</v>
      </c>
      <c r="U7" s="67"/>
      <c r="V7" s="67"/>
      <c r="W7" s="67"/>
    </row>
    <row r="8" spans="1:23" ht="30.2" customHeight="1" x14ac:dyDescent="0.2">
      <c r="A8" s="597" t="str">
        <f t="shared" si="1"/>
        <v>ARU008 / 1679</v>
      </c>
      <c r="B8" s="68" t="s">
        <v>350</v>
      </c>
      <c r="C8" s="68" t="s">
        <v>1489</v>
      </c>
      <c r="D8" s="369" t="s">
        <v>348</v>
      </c>
      <c r="E8" s="437" t="str">
        <f>VLOOKUP(D:D,'Master Table'!C:D,2,FALSE)</f>
        <v>1679</v>
      </c>
      <c r="F8" s="749" t="s">
        <v>348</v>
      </c>
      <c r="G8" s="749" t="s">
        <v>349</v>
      </c>
      <c r="H8" s="750" t="s">
        <v>252</v>
      </c>
      <c r="I8" s="749" t="s">
        <v>350</v>
      </c>
      <c r="J8" s="749" t="s">
        <v>324</v>
      </c>
      <c r="K8" s="758">
        <v>625.64</v>
      </c>
      <c r="L8" s="758">
        <v>225</v>
      </c>
      <c r="M8" s="758"/>
      <c r="N8" s="756">
        <f t="shared" si="0"/>
        <v>850.64</v>
      </c>
      <c r="O8" s="11">
        <v>850.64</v>
      </c>
      <c r="P8" s="446">
        <f>VLOOKUP(D:D,'Master Table'!C:O,13,FALSE)</f>
        <v>906.93</v>
      </c>
      <c r="Q8" s="69">
        <v>906.93</v>
      </c>
      <c r="R8" s="446">
        <v>1673.52</v>
      </c>
      <c r="S8" s="446">
        <v>1163.74</v>
      </c>
      <c r="T8" s="446">
        <v>1374.3600000000001</v>
      </c>
      <c r="U8" s="67"/>
      <c r="V8" s="67"/>
      <c r="W8" s="67"/>
    </row>
    <row r="9" spans="1:23" ht="30.2" customHeight="1" x14ac:dyDescent="0.2">
      <c r="A9" s="597" t="str">
        <f t="shared" si="1"/>
        <v>ARU009 / 1680</v>
      </c>
      <c r="B9" s="68" t="s">
        <v>7186</v>
      </c>
      <c r="C9" s="68" t="s">
        <v>916</v>
      </c>
      <c r="D9" s="369" t="s">
        <v>352</v>
      </c>
      <c r="E9" s="437" t="str">
        <f>VLOOKUP(D:D,'Master Table'!C:D,2,FALSE)</f>
        <v>1680</v>
      </c>
      <c r="F9" s="749" t="s">
        <v>352</v>
      </c>
      <c r="G9" s="749" t="s">
        <v>353</v>
      </c>
      <c r="H9" s="750" t="s">
        <v>214</v>
      </c>
      <c r="I9" s="749" t="s">
        <v>354</v>
      </c>
      <c r="J9" s="749" t="s">
        <v>351</v>
      </c>
      <c r="K9" s="758">
        <v>566.1</v>
      </c>
      <c r="L9" s="758">
        <v>440</v>
      </c>
      <c r="M9" s="758"/>
      <c r="N9" s="756">
        <f t="shared" si="0"/>
        <v>1006.1</v>
      </c>
      <c r="O9" s="11">
        <v>1006.1</v>
      </c>
      <c r="P9" s="446">
        <f>VLOOKUP(D:D,'Master Table'!C:O,13,FALSE)</f>
        <v>420</v>
      </c>
      <c r="Q9" s="69">
        <v>420</v>
      </c>
      <c r="R9" s="446">
        <v>1012.79</v>
      </c>
      <c r="S9" s="446">
        <v>890.63</v>
      </c>
      <c r="T9" s="446">
        <v>350</v>
      </c>
      <c r="U9" s="67"/>
      <c r="V9" s="67"/>
      <c r="W9" s="67"/>
    </row>
    <row r="10" spans="1:23" ht="30.2" customHeight="1" x14ac:dyDescent="0.2">
      <c r="A10" s="597" t="str">
        <f t="shared" si="1"/>
        <v>ARU010 / 1681</v>
      </c>
      <c r="B10" s="68" t="s">
        <v>358</v>
      </c>
      <c r="C10" s="68" t="s">
        <v>5138</v>
      </c>
      <c r="D10" s="369" t="s">
        <v>355</v>
      </c>
      <c r="E10" s="437" t="str">
        <f>VLOOKUP(D:D,'Master Table'!C:D,2,FALSE)</f>
        <v>1681</v>
      </c>
      <c r="F10" s="749" t="s">
        <v>355</v>
      </c>
      <c r="G10" s="749" t="s">
        <v>356</v>
      </c>
      <c r="H10" s="750" t="s">
        <v>357</v>
      </c>
      <c r="I10" s="749" t="s">
        <v>358</v>
      </c>
      <c r="J10" s="749" t="s">
        <v>324</v>
      </c>
      <c r="K10" s="758">
        <v>0</v>
      </c>
      <c r="L10" s="758">
        <v>672</v>
      </c>
      <c r="M10" s="758">
        <v>350</v>
      </c>
      <c r="N10" s="756">
        <f t="shared" si="0"/>
        <v>1022</v>
      </c>
      <c r="O10" s="11">
        <v>1022</v>
      </c>
      <c r="P10" s="446">
        <f>VLOOKUP(D:D,'Master Table'!C:O,13,FALSE)</f>
        <v>974</v>
      </c>
      <c r="Q10" s="69">
        <v>974</v>
      </c>
      <c r="R10" s="446">
        <v>1146</v>
      </c>
      <c r="S10" s="446">
        <v>1683</v>
      </c>
      <c r="T10" s="446">
        <v>1337</v>
      </c>
      <c r="U10" s="67"/>
      <c r="V10" s="67"/>
      <c r="W10" s="67"/>
    </row>
    <row r="11" spans="1:23" ht="30.2" customHeight="1" x14ac:dyDescent="0.2">
      <c r="A11" s="597" t="str">
        <f t="shared" si="1"/>
        <v>ARU011 / 1682</v>
      </c>
      <c r="B11" s="68" t="s">
        <v>363</v>
      </c>
      <c r="C11" s="68" t="s">
        <v>7187</v>
      </c>
      <c r="D11" s="369" t="s">
        <v>360</v>
      </c>
      <c r="E11" s="437" t="str">
        <f>VLOOKUP(D:D,'Master Table'!C:D,2,FALSE)</f>
        <v>1682</v>
      </c>
      <c r="F11" s="749" t="s">
        <v>360</v>
      </c>
      <c r="G11" s="749" t="s">
        <v>361</v>
      </c>
      <c r="H11" s="750" t="s">
        <v>362</v>
      </c>
      <c r="I11" s="749" t="s">
        <v>363</v>
      </c>
      <c r="J11" s="749" t="s">
        <v>324</v>
      </c>
      <c r="K11" s="758">
        <v>531.03</v>
      </c>
      <c r="L11" s="758">
        <v>920</v>
      </c>
      <c r="M11" s="758"/>
      <c r="N11" s="756">
        <f t="shared" si="0"/>
        <v>1451.03</v>
      </c>
      <c r="O11" s="11">
        <v>1451.03</v>
      </c>
      <c r="P11" s="446">
        <f>VLOOKUP(D:D,'Master Table'!C:O,13,FALSE)</f>
        <v>1332.67</v>
      </c>
      <c r="Q11" s="69">
        <v>1332.67</v>
      </c>
      <c r="R11" s="446">
        <v>1681.6399999999999</v>
      </c>
      <c r="S11" s="446">
        <v>1390.02</v>
      </c>
      <c r="T11" s="446">
        <v>1296.3800000000001</v>
      </c>
      <c r="U11" s="67"/>
      <c r="V11" s="67"/>
      <c r="W11" s="67"/>
    </row>
    <row r="12" spans="1:23" ht="30.2" customHeight="1" x14ac:dyDescent="0.2">
      <c r="A12" s="597" t="str">
        <f t="shared" si="1"/>
        <v>ARU012 / 1683</v>
      </c>
      <c r="B12" s="68" t="s">
        <v>367</v>
      </c>
      <c r="C12" s="68" t="s">
        <v>7188</v>
      </c>
      <c r="D12" s="369" t="s">
        <v>364</v>
      </c>
      <c r="E12" s="437" t="str">
        <f>VLOOKUP(D:D,'Master Table'!C:D,2,FALSE)</f>
        <v>1683</v>
      </c>
      <c r="F12" s="749" t="s">
        <v>364</v>
      </c>
      <c r="G12" s="749" t="s">
        <v>365</v>
      </c>
      <c r="H12" s="750" t="s">
        <v>366</v>
      </c>
      <c r="I12" s="749" t="s">
        <v>367</v>
      </c>
      <c r="J12" s="749" t="s">
        <v>351</v>
      </c>
      <c r="K12" s="758">
        <v>60.53</v>
      </c>
      <c r="L12" s="758">
        <v>764</v>
      </c>
      <c r="M12" s="758"/>
      <c r="N12" s="756">
        <f t="shared" si="0"/>
        <v>824.53</v>
      </c>
      <c r="O12" s="11">
        <v>824.53</v>
      </c>
      <c r="P12" s="446">
        <f>VLOOKUP(D:D,'Master Table'!C:O,13,FALSE)</f>
        <v>1225.26</v>
      </c>
      <c r="Q12" s="69">
        <v>1225.26</v>
      </c>
      <c r="R12" s="446">
        <v>1159.3900000000001</v>
      </c>
      <c r="S12" s="446">
        <v>1364.32</v>
      </c>
      <c r="T12" s="446">
        <v>1418.73</v>
      </c>
      <c r="U12" s="67"/>
      <c r="V12" s="67"/>
      <c r="W12" s="67"/>
    </row>
    <row r="13" spans="1:23" ht="30.2" customHeight="1" x14ac:dyDescent="0.2">
      <c r="A13" s="597" t="str">
        <f t="shared" si="1"/>
        <v>ARU013 / 1684</v>
      </c>
      <c r="B13" s="68" t="s">
        <v>7189</v>
      </c>
      <c r="C13" s="68" t="s">
        <v>378</v>
      </c>
      <c r="D13" s="369" t="s">
        <v>376</v>
      </c>
      <c r="E13" s="437" t="str">
        <f>VLOOKUP(D:D,'Master Table'!C:D,2,FALSE)</f>
        <v>1684</v>
      </c>
      <c r="F13" s="749" t="s">
        <v>376</v>
      </c>
      <c r="G13" s="749" t="s">
        <v>377</v>
      </c>
      <c r="H13" s="750" t="s">
        <v>378</v>
      </c>
      <c r="I13" s="749" t="s">
        <v>379</v>
      </c>
      <c r="J13" s="749" t="s">
        <v>324</v>
      </c>
      <c r="K13" s="758">
        <v>395.04</v>
      </c>
      <c r="L13" s="758">
        <v>1310</v>
      </c>
      <c r="M13" s="758"/>
      <c r="N13" s="756">
        <f t="shared" si="0"/>
        <v>1705.04</v>
      </c>
      <c r="O13" s="11">
        <v>1705.04</v>
      </c>
      <c r="P13" s="446">
        <f>VLOOKUP(D:D,'Master Table'!C:O,13,FALSE)</f>
        <v>4780.37</v>
      </c>
      <c r="Q13" s="69">
        <v>4780.37</v>
      </c>
      <c r="R13" s="446">
        <v>1634.4</v>
      </c>
      <c r="S13" s="446">
        <v>711.63</v>
      </c>
      <c r="T13" s="446">
        <v>696.12</v>
      </c>
      <c r="U13" s="67"/>
      <c r="V13" s="67"/>
      <c r="W13" s="67"/>
    </row>
    <row r="14" spans="1:23" ht="30.2" customHeight="1" x14ac:dyDescent="0.2">
      <c r="A14" s="597" t="str">
        <f t="shared" si="1"/>
        <v>ARU014 / 1685</v>
      </c>
      <c r="B14" s="70" t="s">
        <v>7190</v>
      </c>
      <c r="C14" s="68" t="s">
        <v>382</v>
      </c>
      <c r="D14" s="369" t="s">
        <v>380</v>
      </c>
      <c r="E14" s="437" t="str">
        <f>VLOOKUP(D:D,'Master Table'!C:D,2,FALSE)</f>
        <v>1685</v>
      </c>
      <c r="F14" s="749" t="s">
        <v>380</v>
      </c>
      <c r="G14" s="749" t="s">
        <v>381</v>
      </c>
      <c r="H14" s="750" t="s">
        <v>10993</v>
      </c>
      <c r="I14" s="749" t="s">
        <v>347</v>
      </c>
      <c r="J14" s="749" t="s">
        <v>351</v>
      </c>
      <c r="K14" s="758">
        <v>201.8</v>
      </c>
      <c r="L14" s="758">
        <v>525</v>
      </c>
      <c r="M14" s="758"/>
      <c r="N14" s="756">
        <f t="shared" si="0"/>
        <v>726.8</v>
      </c>
      <c r="O14" s="11">
        <v>726.8</v>
      </c>
      <c r="P14" s="446">
        <f>VLOOKUP(D:D,'Master Table'!C:O,13,FALSE)</f>
        <v>1281.06</v>
      </c>
      <c r="Q14" s="69">
        <v>1281.06</v>
      </c>
      <c r="R14" s="446">
        <v>1380.1799999999998</v>
      </c>
      <c r="S14" s="446">
        <v>1290.81</v>
      </c>
      <c r="T14" s="446">
        <v>1487.12</v>
      </c>
      <c r="U14" s="67"/>
      <c r="V14" s="67"/>
      <c r="W14" s="67"/>
    </row>
    <row r="15" spans="1:23" ht="30.2" customHeight="1" x14ac:dyDescent="0.2">
      <c r="A15" s="597" t="str">
        <f t="shared" si="1"/>
        <v>ARU016 / 1687</v>
      </c>
      <c r="B15" s="68" t="s">
        <v>390</v>
      </c>
      <c r="C15" s="68" t="s">
        <v>1008</v>
      </c>
      <c r="D15" s="369" t="s">
        <v>388</v>
      </c>
      <c r="E15" s="437" t="str">
        <f>VLOOKUP(D:D,'Master Table'!C:D,2,FALSE)</f>
        <v>1687</v>
      </c>
      <c r="F15" s="749" t="s">
        <v>388</v>
      </c>
      <c r="G15" s="749" t="s">
        <v>389</v>
      </c>
      <c r="H15" s="750" t="s">
        <v>10994</v>
      </c>
      <c r="I15" s="749" t="s">
        <v>390</v>
      </c>
      <c r="J15" s="749" t="s">
        <v>351</v>
      </c>
      <c r="K15" s="758">
        <v>774.78</v>
      </c>
      <c r="L15" s="758">
        <v>240</v>
      </c>
      <c r="M15" s="758"/>
      <c r="N15" s="756">
        <f t="shared" si="0"/>
        <v>1014.78</v>
      </c>
      <c r="O15" s="11">
        <v>1014.78</v>
      </c>
      <c r="P15" s="446">
        <f>VLOOKUP(D:D,'Master Table'!C:O,13,FALSE)</f>
        <v>1382.25</v>
      </c>
      <c r="Q15" s="69">
        <v>1382.25</v>
      </c>
      <c r="R15" s="446">
        <v>1056.3599999999999</v>
      </c>
      <c r="S15" s="446">
        <v>1021.37</v>
      </c>
      <c r="T15" s="446">
        <v>809.98</v>
      </c>
      <c r="U15" s="67"/>
      <c r="V15" s="67"/>
      <c r="W15" s="67"/>
    </row>
    <row r="16" spans="1:23" ht="30.2" customHeight="1" x14ac:dyDescent="0.2">
      <c r="A16" s="597" t="str">
        <f t="shared" si="1"/>
        <v>ARU017 / 1688</v>
      </c>
      <c r="B16" s="68" t="s">
        <v>390</v>
      </c>
      <c r="C16" s="68" t="s">
        <v>5610</v>
      </c>
      <c r="D16" s="369" t="s">
        <v>391</v>
      </c>
      <c r="E16" s="437" t="str">
        <f>VLOOKUP(D:D,'Master Table'!C:D,2,FALSE)</f>
        <v>1688</v>
      </c>
      <c r="F16" s="749" t="s">
        <v>391</v>
      </c>
      <c r="G16" s="749" t="s">
        <v>392</v>
      </c>
      <c r="H16" s="750" t="s">
        <v>393</v>
      </c>
      <c r="I16" s="749" t="s">
        <v>390</v>
      </c>
      <c r="J16" s="749" t="s">
        <v>324</v>
      </c>
      <c r="K16" s="758">
        <v>212.64</v>
      </c>
      <c r="L16" s="758">
        <v>40</v>
      </c>
      <c r="M16" s="758">
        <v>200</v>
      </c>
      <c r="N16" s="756">
        <f t="shared" si="0"/>
        <v>452.64</v>
      </c>
      <c r="O16" s="11">
        <v>452.64</v>
      </c>
      <c r="P16" s="446">
        <f>VLOOKUP(D:D,'Master Table'!C:O,13,FALSE)</f>
        <v>523.22</v>
      </c>
      <c r="Q16" s="69">
        <v>523.22</v>
      </c>
      <c r="R16" s="446">
        <v>157</v>
      </c>
      <c r="S16" s="446">
        <v>479</v>
      </c>
      <c r="T16" s="446">
        <v>560.13</v>
      </c>
      <c r="U16" s="67"/>
      <c r="V16" s="67"/>
      <c r="W16" s="67"/>
    </row>
    <row r="17" spans="1:23" ht="30.2" customHeight="1" x14ac:dyDescent="0.2">
      <c r="A17" s="597" t="str">
        <f t="shared" si="1"/>
        <v>ARU018 / 1689</v>
      </c>
      <c r="B17" s="68" t="s">
        <v>390</v>
      </c>
      <c r="C17" s="68" t="s">
        <v>532</v>
      </c>
      <c r="D17" s="369" t="s">
        <v>396</v>
      </c>
      <c r="E17" s="437" t="str">
        <f>VLOOKUP(D:D,'Master Table'!C:D,2,FALSE)</f>
        <v>1689</v>
      </c>
      <c r="F17" s="749" t="s">
        <v>396</v>
      </c>
      <c r="G17" s="749" t="s">
        <v>397</v>
      </c>
      <c r="H17" s="750" t="s">
        <v>10995</v>
      </c>
      <c r="I17" s="749" t="s">
        <v>390</v>
      </c>
      <c r="J17" s="749" t="s">
        <v>351</v>
      </c>
      <c r="K17" s="758">
        <v>49.63</v>
      </c>
      <c r="L17" s="758">
        <v>80</v>
      </c>
      <c r="M17" s="758"/>
      <c r="N17" s="756">
        <f t="shared" si="0"/>
        <v>129.63</v>
      </c>
      <c r="O17" s="11">
        <v>129.63</v>
      </c>
      <c r="P17" s="446">
        <f>VLOOKUP(D:D,'Master Table'!C:O,13,FALSE)</f>
        <v>357.65</v>
      </c>
      <c r="Q17" s="69">
        <v>357.65</v>
      </c>
      <c r="R17" s="446">
        <v>347.44</v>
      </c>
      <c r="S17" s="446">
        <v>310.69</v>
      </c>
      <c r="T17" s="446">
        <v>344.92</v>
      </c>
      <c r="U17" s="67"/>
      <c r="V17" s="67"/>
      <c r="W17" s="67"/>
    </row>
    <row r="18" spans="1:23" ht="30.2" customHeight="1" x14ac:dyDescent="0.2">
      <c r="A18" s="597" t="str">
        <f t="shared" si="1"/>
        <v>ARU019 / 1690</v>
      </c>
      <c r="B18" s="68" t="s">
        <v>390</v>
      </c>
      <c r="C18" s="68" t="s">
        <v>896</v>
      </c>
      <c r="D18" s="369" t="s">
        <v>398</v>
      </c>
      <c r="E18" s="437" t="str">
        <f>VLOOKUP(D:D,'Master Table'!C:D,2,FALSE)</f>
        <v>1690</v>
      </c>
      <c r="F18" s="749" t="s">
        <v>398</v>
      </c>
      <c r="G18" s="749" t="s">
        <v>399</v>
      </c>
      <c r="H18" s="750" t="s">
        <v>400</v>
      </c>
      <c r="I18" s="749" t="s">
        <v>390</v>
      </c>
      <c r="J18" s="749" t="s">
        <v>324</v>
      </c>
      <c r="K18" s="758">
        <v>0</v>
      </c>
      <c r="L18" s="758">
        <v>480</v>
      </c>
      <c r="M18" s="758"/>
      <c r="N18" s="756">
        <f t="shared" si="0"/>
        <v>480</v>
      </c>
      <c r="O18" s="11">
        <v>480</v>
      </c>
      <c r="P18" s="446">
        <f>VLOOKUP(D:D,'Master Table'!C:O,13,FALSE)</f>
        <v>520</v>
      </c>
      <c r="Q18" s="69">
        <v>520</v>
      </c>
      <c r="R18" s="446">
        <v>480</v>
      </c>
      <c r="S18" s="446">
        <v>307.41000000000003</v>
      </c>
      <c r="T18" s="446">
        <v>262.84000000000003</v>
      </c>
      <c r="U18" s="67"/>
      <c r="V18" s="67"/>
      <c r="W18" s="67"/>
    </row>
    <row r="19" spans="1:23" ht="30.2" customHeight="1" x14ac:dyDescent="0.2">
      <c r="A19" s="597" t="str">
        <f t="shared" si="1"/>
        <v>ARU020 / 1691</v>
      </c>
      <c r="B19" s="68" t="s">
        <v>390</v>
      </c>
      <c r="C19" s="68" t="s">
        <v>226</v>
      </c>
      <c r="D19" s="369" t="s">
        <v>401</v>
      </c>
      <c r="E19" s="437" t="str">
        <f>VLOOKUP(D:D,'Master Table'!C:D,2,FALSE)</f>
        <v>1691</v>
      </c>
      <c r="F19" s="749" t="s">
        <v>401</v>
      </c>
      <c r="G19" s="749" t="s">
        <v>402</v>
      </c>
      <c r="H19" s="750" t="s">
        <v>403</v>
      </c>
      <c r="I19" s="749" t="s">
        <v>390</v>
      </c>
      <c r="J19" s="749" t="s">
        <v>324</v>
      </c>
      <c r="K19" s="758">
        <v>0</v>
      </c>
      <c r="L19" s="758">
        <v>135</v>
      </c>
      <c r="M19" s="758"/>
      <c r="N19" s="756">
        <f t="shared" si="0"/>
        <v>135</v>
      </c>
      <c r="O19" s="11">
        <v>135</v>
      </c>
      <c r="P19" s="446">
        <f>VLOOKUP(D:D,'Master Table'!C:O,13,FALSE)</f>
        <v>315.25</v>
      </c>
      <c r="Q19" s="69">
        <v>315.25</v>
      </c>
      <c r="R19" s="446">
        <v>265</v>
      </c>
      <c r="S19" s="446">
        <v>200</v>
      </c>
      <c r="T19" s="446">
        <v>190.72</v>
      </c>
      <c r="U19" s="67"/>
      <c r="V19" s="67"/>
      <c r="W19" s="67"/>
    </row>
    <row r="20" spans="1:23" ht="30.2" customHeight="1" x14ac:dyDescent="0.2">
      <c r="A20" s="597" t="str">
        <f t="shared" si="1"/>
        <v>ARU022 / 1692</v>
      </c>
      <c r="B20" s="68" t="s">
        <v>390</v>
      </c>
      <c r="C20" s="68" t="s">
        <v>453</v>
      </c>
      <c r="D20" s="369" t="s">
        <v>404</v>
      </c>
      <c r="E20" s="437" t="str">
        <f>VLOOKUP(D:D,'Master Table'!C:D,2,FALSE)</f>
        <v>1692</v>
      </c>
      <c r="F20" s="749" t="s">
        <v>404</v>
      </c>
      <c r="G20" s="749" t="s">
        <v>405</v>
      </c>
      <c r="H20" s="750" t="s">
        <v>56</v>
      </c>
      <c r="I20" s="749" t="s">
        <v>390</v>
      </c>
      <c r="J20" s="749" t="s">
        <v>324</v>
      </c>
      <c r="K20" s="758">
        <v>0</v>
      </c>
      <c r="L20" s="758">
        <v>237</v>
      </c>
      <c r="M20" s="758">
        <v>405.6</v>
      </c>
      <c r="N20" s="756">
        <f t="shared" si="0"/>
        <v>642.6</v>
      </c>
      <c r="O20" s="11">
        <v>642.6</v>
      </c>
      <c r="P20" s="446">
        <f>VLOOKUP(D:D,'Master Table'!C:O,13,FALSE)</f>
        <v>323</v>
      </c>
      <c r="Q20" s="69">
        <v>323</v>
      </c>
      <c r="R20" s="446">
        <v>375.34</v>
      </c>
      <c r="S20" s="446">
        <v>177</v>
      </c>
      <c r="T20" s="446">
        <v>579.69000000000005</v>
      </c>
      <c r="U20" s="67"/>
      <c r="V20" s="67"/>
      <c r="W20" s="67"/>
    </row>
    <row r="21" spans="1:23" ht="30.2" customHeight="1" x14ac:dyDescent="0.2">
      <c r="A21" s="597" t="str">
        <f t="shared" si="1"/>
        <v>ARU024 / 1695</v>
      </c>
      <c r="B21" s="68" t="s">
        <v>7191</v>
      </c>
      <c r="C21" s="68" t="s">
        <v>7192</v>
      </c>
      <c r="D21" s="369" t="s">
        <v>406</v>
      </c>
      <c r="E21" s="437" t="str">
        <f>VLOOKUP(D:D,'Master Table'!C:D,2,FALSE)</f>
        <v>1695</v>
      </c>
      <c r="F21" s="749" t="s">
        <v>406</v>
      </c>
      <c r="G21" s="749" t="s">
        <v>407</v>
      </c>
      <c r="H21" s="750" t="s">
        <v>408</v>
      </c>
      <c r="I21" s="749" t="s">
        <v>409</v>
      </c>
      <c r="J21" s="749" t="s">
        <v>324</v>
      </c>
      <c r="K21" s="758">
        <v>0</v>
      </c>
      <c r="L21" s="758">
        <v>125</v>
      </c>
      <c r="M21" s="758"/>
      <c r="N21" s="756">
        <f t="shared" si="0"/>
        <v>125</v>
      </c>
      <c r="O21" s="11">
        <v>125</v>
      </c>
      <c r="P21" s="446">
        <f>VLOOKUP(D:D,'Master Table'!C:O,13,FALSE)</f>
        <v>125</v>
      </c>
      <c r="Q21" s="69">
        <v>125</v>
      </c>
      <c r="R21" s="446">
        <v>125</v>
      </c>
      <c r="S21" s="446">
        <v>125</v>
      </c>
      <c r="T21" s="446">
        <v>150</v>
      </c>
      <c r="U21" s="67"/>
      <c r="V21" s="67"/>
      <c r="W21" s="67"/>
    </row>
    <row r="22" spans="1:23" ht="30.2" customHeight="1" x14ac:dyDescent="0.2">
      <c r="A22" s="597" t="str">
        <f t="shared" si="1"/>
        <v>ARU025 / 1696</v>
      </c>
      <c r="B22" s="68" t="s">
        <v>413</v>
      </c>
      <c r="C22" s="68" t="s">
        <v>7193</v>
      </c>
      <c r="D22" s="369" t="s">
        <v>410</v>
      </c>
      <c r="E22" s="437" t="str">
        <f>VLOOKUP(D:D,'Master Table'!C:D,2,FALSE)</f>
        <v>1696</v>
      </c>
      <c r="F22" s="749" t="s">
        <v>410</v>
      </c>
      <c r="G22" s="749" t="s">
        <v>411</v>
      </c>
      <c r="H22" s="750" t="s">
        <v>10996</v>
      </c>
      <c r="I22" s="749" t="s">
        <v>413</v>
      </c>
      <c r="J22" s="749" t="s">
        <v>324</v>
      </c>
      <c r="K22" s="758">
        <v>0</v>
      </c>
      <c r="L22" s="758">
        <v>110</v>
      </c>
      <c r="M22" s="758"/>
      <c r="N22" s="756">
        <f t="shared" si="0"/>
        <v>110</v>
      </c>
      <c r="O22" s="11">
        <v>110</v>
      </c>
      <c r="P22" s="446">
        <f>VLOOKUP(D:D,'Master Table'!C:O,13,FALSE)</f>
        <v>305</v>
      </c>
      <c r="Q22" s="69">
        <v>305</v>
      </c>
      <c r="R22" s="446">
        <v>232</v>
      </c>
      <c r="S22" s="446">
        <v>197</v>
      </c>
      <c r="T22" s="446">
        <v>378</v>
      </c>
      <c r="U22" s="67"/>
      <c r="V22" s="67"/>
      <c r="W22" s="67"/>
    </row>
    <row r="23" spans="1:23" ht="30.2" customHeight="1" x14ac:dyDescent="0.2">
      <c r="A23" s="597" t="str">
        <f t="shared" si="1"/>
        <v>ARU026 / 147969</v>
      </c>
      <c r="B23" s="68" t="s">
        <v>7194</v>
      </c>
      <c r="C23" s="68" t="s">
        <v>916</v>
      </c>
      <c r="D23" s="369" t="s">
        <v>414</v>
      </c>
      <c r="E23" s="437" t="str">
        <f>VLOOKUP(D:D,'Master Table'!C:D,2,FALSE)</f>
        <v>147969</v>
      </c>
      <c r="F23" s="749" t="s">
        <v>414</v>
      </c>
      <c r="G23" s="749" t="s">
        <v>415</v>
      </c>
      <c r="H23" s="750" t="s">
        <v>416</v>
      </c>
      <c r="I23" s="749" t="s">
        <v>417</v>
      </c>
      <c r="J23" s="749" t="s">
        <v>351</v>
      </c>
      <c r="K23" s="758">
        <v>0</v>
      </c>
      <c r="L23" s="758">
        <v>20</v>
      </c>
      <c r="M23" s="758">
        <v>1323.6</v>
      </c>
      <c r="N23" s="756">
        <f t="shared" si="0"/>
        <v>1343.6</v>
      </c>
      <c r="O23" s="11">
        <v>1343.6</v>
      </c>
      <c r="P23" s="446">
        <f>VLOOKUP(D:D,'Master Table'!C:O,13,FALSE)</f>
        <v>1696.1399999999999</v>
      </c>
      <c r="Q23" s="69">
        <v>1696.1399999999999</v>
      </c>
      <c r="R23" s="446">
        <v>1815.3</v>
      </c>
      <c r="S23" s="446">
        <v>1839.1000000000001</v>
      </c>
      <c r="T23" s="446">
        <v>1902.1100000000001</v>
      </c>
      <c r="U23" s="67"/>
      <c r="V23" s="67"/>
      <c r="W23" s="67"/>
    </row>
    <row r="24" spans="1:23" ht="30.2" customHeight="1" x14ac:dyDescent="0.2">
      <c r="A24" s="597" t="str">
        <f t="shared" si="1"/>
        <v>ARU027 / 1697</v>
      </c>
      <c r="B24" s="68" t="s">
        <v>422</v>
      </c>
      <c r="C24" s="68" t="s">
        <v>7195</v>
      </c>
      <c r="D24" s="369" t="s">
        <v>419</v>
      </c>
      <c r="E24" s="437" t="str">
        <f>VLOOKUP(D:D,'Master Table'!C:D,2,FALSE)</f>
        <v>1697</v>
      </c>
      <c r="F24" s="749" t="s">
        <v>419</v>
      </c>
      <c r="G24" s="749" t="s">
        <v>420</v>
      </c>
      <c r="H24" s="750" t="s">
        <v>421</v>
      </c>
      <c r="I24" s="749" t="s">
        <v>422</v>
      </c>
      <c r="J24" s="749" t="s">
        <v>351</v>
      </c>
      <c r="K24" s="758">
        <v>1039</v>
      </c>
      <c r="L24" s="758">
        <v>505</v>
      </c>
      <c r="M24" s="758"/>
      <c r="N24" s="756">
        <f t="shared" si="0"/>
        <v>1544</v>
      </c>
      <c r="O24" s="11">
        <v>1544</v>
      </c>
      <c r="P24" s="446">
        <f>VLOOKUP(D:D,'Master Table'!C:O,13,FALSE)</f>
        <v>1931</v>
      </c>
      <c r="Q24" s="69">
        <v>1931</v>
      </c>
      <c r="R24" s="446">
        <v>1665.9</v>
      </c>
      <c r="S24" s="446">
        <v>1603</v>
      </c>
      <c r="T24" s="446">
        <v>968</v>
      </c>
      <c r="U24" s="67"/>
      <c r="V24" s="67"/>
      <c r="W24" s="67"/>
    </row>
    <row r="25" spans="1:23" ht="30.2" customHeight="1" x14ac:dyDescent="0.2">
      <c r="A25" s="597" t="str">
        <f t="shared" si="1"/>
        <v>ARU028 / 1698</v>
      </c>
      <c r="B25" s="68" t="s">
        <v>7196</v>
      </c>
      <c r="C25" s="68" t="s">
        <v>7197</v>
      </c>
      <c r="D25" s="369" t="s">
        <v>423</v>
      </c>
      <c r="E25" s="437" t="str">
        <f>VLOOKUP(D:D,'Master Table'!C:D,2,FALSE)</f>
        <v>1698</v>
      </c>
      <c r="F25" s="749" t="s">
        <v>423</v>
      </c>
      <c r="G25" s="749" t="s">
        <v>424</v>
      </c>
      <c r="H25" s="750" t="s">
        <v>425</v>
      </c>
      <c r="I25" s="749" t="s">
        <v>422</v>
      </c>
      <c r="J25" s="749" t="s">
        <v>351</v>
      </c>
      <c r="K25" s="758">
        <v>20.22</v>
      </c>
      <c r="L25" s="758">
        <v>1402</v>
      </c>
      <c r="M25" s="758"/>
      <c r="N25" s="756">
        <f t="shared" si="0"/>
        <v>1422.22</v>
      </c>
      <c r="O25" s="11">
        <v>1422.22</v>
      </c>
      <c r="P25" s="446">
        <f>VLOOKUP(D:D,'Master Table'!C:O,13,FALSE)</f>
        <v>1087.75</v>
      </c>
      <c r="Q25" s="69">
        <v>1087.75</v>
      </c>
      <c r="R25" s="446">
        <v>488.6</v>
      </c>
      <c r="S25" s="446">
        <v>1587.76</v>
      </c>
      <c r="T25" s="446">
        <v>602.45000000000005</v>
      </c>
      <c r="U25" s="67"/>
      <c r="V25" s="67"/>
      <c r="W25" s="67"/>
    </row>
    <row r="26" spans="1:23" ht="30.2" customHeight="1" x14ac:dyDescent="0.2">
      <c r="A26" s="597" t="str">
        <f t="shared" si="1"/>
        <v>ARU029 / 1699</v>
      </c>
      <c r="B26" s="68" t="s">
        <v>429</v>
      </c>
      <c r="C26" s="68" t="s">
        <v>231</v>
      </c>
      <c r="D26" s="369" t="s">
        <v>426</v>
      </c>
      <c r="E26" s="437" t="str">
        <f>VLOOKUP(D:D,'Master Table'!C:D,2,FALSE)</f>
        <v>1699</v>
      </c>
      <c r="F26" s="749" t="s">
        <v>426</v>
      </c>
      <c r="G26" s="749" t="s">
        <v>427</v>
      </c>
      <c r="H26" s="750" t="s">
        <v>428</v>
      </c>
      <c r="I26" s="749" t="s">
        <v>429</v>
      </c>
      <c r="J26" s="749" t="s">
        <v>324</v>
      </c>
      <c r="K26" s="758">
        <v>0</v>
      </c>
      <c r="L26" s="758">
        <v>1244</v>
      </c>
      <c r="M26" s="758">
        <v>282.97000000000003</v>
      </c>
      <c r="N26" s="756">
        <f t="shared" si="0"/>
        <v>1526.97</v>
      </c>
      <c r="O26" s="11">
        <v>1526.97</v>
      </c>
      <c r="P26" s="446">
        <f>VLOOKUP(D:D,'Master Table'!C:O,13,FALSE)</f>
        <v>2392.77</v>
      </c>
      <c r="Q26" s="69">
        <v>2392.77</v>
      </c>
      <c r="R26" s="446">
        <v>1973.82</v>
      </c>
      <c r="S26" s="446">
        <v>1819.28</v>
      </c>
      <c r="T26" s="446">
        <v>1876.58</v>
      </c>
      <c r="U26" s="67"/>
      <c r="V26" s="67"/>
      <c r="W26" s="67"/>
    </row>
    <row r="27" spans="1:23" ht="30.2" customHeight="1" x14ac:dyDescent="0.2">
      <c r="A27" s="597" t="str">
        <f t="shared" si="1"/>
        <v>ARU030 / 1700</v>
      </c>
      <c r="B27" s="68" t="s">
        <v>432</v>
      </c>
      <c r="C27" s="68" t="s">
        <v>839</v>
      </c>
      <c r="D27" s="369" t="s">
        <v>430</v>
      </c>
      <c r="E27" s="437" t="str">
        <f>VLOOKUP(D:D,'Master Table'!C:D,2,FALSE)</f>
        <v>1700</v>
      </c>
      <c r="F27" s="749" t="s">
        <v>430</v>
      </c>
      <c r="G27" s="749" t="s">
        <v>431</v>
      </c>
      <c r="H27" s="750" t="s">
        <v>66</v>
      </c>
      <c r="I27" s="749" t="s">
        <v>432</v>
      </c>
      <c r="J27" s="749" t="s">
        <v>324</v>
      </c>
      <c r="K27" s="758">
        <v>472.84</v>
      </c>
      <c r="L27" s="758">
        <v>587</v>
      </c>
      <c r="M27" s="758"/>
      <c r="N27" s="756">
        <f t="shared" si="0"/>
        <v>1059.8399999999999</v>
      </c>
      <c r="O27" s="11">
        <v>1059.8399999999999</v>
      </c>
      <c r="P27" s="446">
        <f>VLOOKUP(D:D,'Master Table'!C:O,13,FALSE)</f>
        <v>2388.0500000000002</v>
      </c>
      <c r="Q27" s="69">
        <v>2388.0500000000002</v>
      </c>
      <c r="R27" s="446">
        <v>2116.9700000000003</v>
      </c>
      <c r="S27" s="446">
        <v>2482.61</v>
      </c>
      <c r="T27" s="446">
        <v>2827.87</v>
      </c>
      <c r="U27" s="67"/>
      <c r="V27" s="67"/>
      <c r="W27" s="67"/>
    </row>
    <row r="28" spans="1:23" ht="30.2" customHeight="1" x14ac:dyDescent="0.2">
      <c r="A28" s="597" t="str">
        <f t="shared" si="1"/>
        <v>ARU031 / 1701</v>
      </c>
      <c r="B28" s="68" t="s">
        <v>435</v>
      </c>
      <c r="C28" s="68" t="s">
        <v>7185</v>
      </c>
      <c r="D28" s="369" t="s">
        <v>433</v>
      </c>
      <c r="E28" s="437" t="str">
        <f>VLOOKUP(D:D,'Master Table'!C:D,2,FALSE)</f>
        <v>1701</v>
      </c>
      <c r="F28" s="749" t="s">
        <v>433</v>
      </c>
      <c r="G28" s="749" t="s">
        <v>434</v>
      </c>
      <c r="H28" s="750" t="s">
        <v>346</v>
      </c>
      <c r="I28" s="749" t="s">
        <v>435</v>
      </c>
      <c r="J28" s="749" t="s">
        <v>351</v>
      </c>
      <c r="K28" s="758">
        <v>347.56</v>
      </c>
      <c r="L28" s="758">
        <v>622</v>
      </c>
      <c r="M28" s="758"/>
      <c r="N28" s="756">
        <f t="shared" si="0"/>
        <v>969.56</v>
      </c>
      <c r="O28" s="11">
        <v>969.56</v>
      </c>
      <c r="P28" s="446">
        <f>VLOOKUP(D:D,'Master Table'!C:O,13,FALSE)</f>
        <v>2042.78</v>
      </c>
      <c r="Q28" s="69">
        <v>2042.78</v>
      </c>
      <c r="R28" s="446">
        <v>1464.03</v>
      </c>
      <c r="S28" s="446">
        <v>2317.35</v>
      </c>
      <c r="T28" s="446">
        <v>2416.96</v>
      </c>
      <c r="U28" s="67"/>
      <c r="V28" s="67"/>
      <c r="W28" s="67"/>
    </row>
    <row r="29" spans="1:23" ht="30.2" customHeight="1" x14ac:dyDescent="0.2">
      <c r="A29" s="597" t="str">
        <f t="shared" si="1"/>
        <v>ARU032 / 0479425</v>
      </c>
      <c r="B29" s="68" t="s">
        <v>7198</v>
      </c>
      <c r="C29" s="68" t="s">
        <v>7199</v>
      </c>
      <c r="D29" s="369" t="s">
        <v>440</v>
      </c>
      <c r="E29" s="437" t="str">
        <f>VLOOKUP(D:D,'Master Table'!C:D,2,FALSE)</f>
        <v>0479425</v>
      </c>
      <c r="F29" s="749" t="s">
        <v>440</v>
      </c>
      <c r="G29" s="749" t="s">
        <v>441</v>
      </c>
      <c r="H29" s="750" t="s">
        <v>442</v>
      </c>
      <c r="I29" s="749" t="s">
        <v>443</v>
      </c>
      <c r="J29" s="749" t="s">
        <v>324</v>
      </c>
      <c r="K29" s="758">
        <v>0</v>
      </c>
      <c r="L29" s="758"/>
      <c r="M29" s="758"/>
      <c r="N29" s="756">
        <f t="shared" si="0"/>
        <v>0</v>
      </c>
      <c r="O29" s="11">
        <v>0</v>
      </c>
      <c r="P29" s="446">
        <f>VLOOKUP(D:D,'Master Table'!C:O,13,FALSE)</f>
        <v>0</v>
      </c>
      <c r="Q29" s="69">
        <v>0</v>
      </c>
      <c r="R29" s="446">
        <v>100</v>
      </c>
      <c r="S29" s="446">
        <v>250</v>
      </c>
      <c r="T29" s="446">
        <v>0</v>
      </c>
      <c r="U29" s="67"/>
      <c r="V29" s="67"/>
      <c r="W29" s="67"/>
    </row>
    <row r="30" spans="1:23" ht="30.2" customHeight="1" x14ac:dyDescent="0.2">
      <c r="A30" s="597" t="str">
        <f t="shared" si="1"/>
        <v>ARU033 / 1703</v>
      </c>
      <c r="B30" s="68" t="s">
        <v>446</v>
      </c>
      <c r="C30" s="68" t="s">
        <v>231</v>
      </c>
      <c r="D30" s="369" t="s">
        <v>444</v>
      </c>
      <c r="E30" s="437" t="str">
        <f>VLOOKUP(D:D,'Master Table'!C:D,2,FALSE)</f>
        <v>1703</v>
      </c>
      <c r="F30" s="749" t="s">
        <v>444</v>
      </c>
      <c r="G30" s="749" t="s">
        <v>445</v>
      </c>
      <c r="H30" s="750" t="s">
        <v>428</v>
      </c>
      <c r="I30" s="749" t="s">
        <v>446</v>
      </c>
      <c r="J30" s="749" t="s">
        <v>324</v>
      </c>
      <c r="K30" s="758">
        <v>18.41</v>
      </c>
      <c r="L30" s="758">
        <v>1635</v>
      </c>
      <c r="M30" s="758">
        <v>25</v>
      </c>
      <c r="N30" s="756">
        <f t="shared" si="0"/>
        <v>1678.41</v>
      </c>
      <c r="O30" s="11">
        <v>1678.41</v>
      </c>
      <c r="P30" s="446">
        <f>VLOOKUP(D:D,'Master Table'!C:O,13,FALSE)</f>
        <v>1134.68</v>
      </c>
      <c r="Q30" s="69">
        <v>1134.68</v>
      </c>
      <c r="R30" s="446">
        <v>2070.92</v>
      </c>
      <c r="S30" s="446">
        <v>1045.3</v>
      </c>
      <c r="T30" s="446">
        <v>805</v>
      </c>
      <c r="U30" s="67"/>
      <c r="V30" s="67"/>
      <c r="W30" s="67"/>
    </row>
    <row r="31" spans="1:23" ht="30.2" customHeight="1" x14ac:dyDescent="0.2">
      <c r="A31" s="597" t="str">
        <f t="shared" si="1"/>
        <v>ARU034 / 1704</v>
      </c>
      <c r="B31" s="68" t="s">
        <v>7200</v>
      </c>
      <c r="C31" s="68" t="s">
        <v>449</v>
      </c>
      <c r="D31" s="369" t="s">
        <v>447</v>
      </c>
      <c r="E31" s="437" t="str">
        <f>VLOOKUP(D:D,'Master Table'!C:D,2,FALSE)</f>
        <v>1704</v>
      </c>
      <c r="F31" s="749" t="s">
        <v>447</v>
      </c>
      <c r="G31" s="749" t="s">
        <v>448</v>
      </c>
      <c r="H31" s="750" t="s">
        <v>449</v>
      </c>
      <c r="I31" s="749" t="s">
        <v>450</v>
      </c>
      <c r="J31" s="749" t="s">
        <v>324</v>
      </c>
      <c r="K31" s="758">
        <v>1326.09</v>
      </c>
      <c r="L31" s="758">
        <v>295</v>
      </c>
      <c r="M31" s="758"/>
      <c r="N31" s="756">
        <f t="shared" si="0"/>
        <v>1621.09</v>
      </c>
      <c r="O31" s="11">
        <v>1621.09</v>
      </c>
      <c r="P31" s="446">
        <f>VLOOKUP(D:D,'Master Table'!C:O,13,FALSE)</f>
        <v>1586.9499999999998</v>
      </c>
      <c r="Q31" s="69">
        <v>1586.9499999999998</v>
      </c>
      <c r="R31" s="446">
        <v>1565.59</v>
      </c>
      <c r="S31" s="446">
        <v>1263.4000000000001</v>
      </c>
      <c r="T31" s="446">
        <v>1154.5500000000002</v>
      </c>
      <c r="U31" s="67"/>
      <c r="V31" s="67"/>
      <c r="W31" s="67"/>
    </row>
    <row r="32" spans="1:23" ht="30.2" customHeight="1" x14ac:dyDescent="0.2">
      <c r="A32" s="597" t="str">
        <f t="shared" si="1"/>
        <v>ARU035 / 1705</v>
      </c>
      <c r="B32" s="68" t="s">
        <v>409</v>
      </c>
      <c r="C32" s="68" t="s">
        <v>7201</v>
      </c>
      <c r="D32" s="369" t="s">
        <v>455</v>
      </c>
      <c r="E32" s="437" t="str">
        <f>VLOOKUP(D:D,'Master Table'!C:D,2,FALSE)</f>
        <v>1705</v>
      </c>
      <c r="F32" s="749" t="s">
        <v>455</v>
      </c>
      <c r="G32" s="749" t="s">
        <v>456</v>
      </c>
      <c r="H32" s="750" t="s">
        <v>457</v>
      </c>
      <c r="I32" s="749" t="s">
        <v>409</v>
      </c>
      <c r="J32" s="749" t="s">
        <v>324</v>
      </c>
      <c r="K32" s="758">
        <v>0</v>
      </c>
      <c r="L32" s="758">
        <v>445</v>
      </c>
      <c r="M32" s="758">
        <v>334</v>
      </c>
      <c r="N32" s="756">
        <f t="shared" si="0"/>
        <v>779</v>
      </c>
      <c r="O32" s="11">
        <v>779</v>
      </c>
      <c r="P32" s="446">
        <f>VLOOKUP(D:D,'Master Table'!C:O,13,FALSE)</f>
        <v>2405</v>
      </c>
      <c r="Q32" s="69">
        <v>2405</v>
      </c>
      <c r="R32" s="446">
        <v>2537.88</v>
      </c>
      <c r="S32" s="446">
        <v>3208.07</v>
      </c>
      <c r="T32" s="446">
        <v>3337.94</v>
      </c>
      <c r="U32" s="67"/>
      <c r="V32" s="67"/>
      <c r="W32" s="67"/>
    </row>
    <row r="33" spans="1:23" ht="30.2" customHeight="1" x14ac:dyDescent="0.2">
      <c r="A33" s="597" t="str">
        <f t="shared" si="1"/>
        <v>ARU036 / 1706</v>
      </c>
      <c r="B33" s="68" t="s">
        <v>465</v>
      </c>
      <c r="C33" s="68" t="s">
        <v>464</v>
      </c>
      <c r="D33" s="369" t="s">
        <v>462</v>
      </c>
      <c r="E33" s="437" t="str">
        <f>VLOOKUP(D:D,'Master Table'!C:D,2,FALSE)</f>
        <v>1706</v>
      </c>
      <c r="F33" s="749" t="s">
        <v>462</v>
      </c>
      <c r="G33" s="749" t="s">
        <v>463</v>
      </c>
      <c r="H33" s="750" t="s">
        <v>464</v>
      </c>
      <c r="I33" s="749" t="s">
        <v>465</v>
      </c>
      <c r="J33" s="749" t="s">
        <v>324</v>
      </c>
      <c r="K33" s="758">
        <v>261.27999999999997</v>
      </c>
      <c r="L33" s="758">
        <v>250</v>
      </c>
      <c r="M33" s="758">
        <v>5</v>
      </c>
      <c r="N33" s="756">
        <f t="shared" si="0"/>
        <v>516.28</v>
      </c>
      <c r="O33" s="11">
        <v>516.28</v>
      </c>
      <c r="P33" s="446">
        <f>VLOOKUP(D:D,'Master Table'!C:O,13,FALSE)</f>
        <v>778.34</v>
      </c>
      <c r="Q33" s="69">
        <v>778.34</v>
      </c>
      <c r="R33" s="446">
        <v>962.47</v>
      </c>
      <c r="S33" s="446">
        <v>1017.81</v>
      </c>
      <c r="T33" s="446">
        <v>1237.3000000000002</v>
      </c>
      <c r="U33" s="67"/>
      <c r="V33" s="67"/>
      <c r="W33" s="67"/>
    </row>
    <row r="34" spans="1:23" ht="30.2" customHeight="1" x14ac:dyDescent="0.2">
      <c r="A34" s="597" t="str">
        <f t="shared" si="1"/>
        <v>ARU037 / 1707</v>
      </c>
      <c r="B34" s="68" t="s">
        <v>468</v>
      </c>
      <c r="C34" s="68" t="s">
        <v>532</v>
      </c>
      <c r="D34" s="369" t="s">
        <v>466</v>
      </c>
      <c r="E34" s="437" t="str">
        <f>VLOOKUP(D:D,'Master Table'!C:D,2,FALSE)</f>
        <v>1707</v>
      </c>
      <c r="F34" s="749" t="s">
        <v>466</v>
      </c>
      <c r="G34" s="749" t="s">
        <v>467</v>
      </c>
      <c r="H34" s="750" t="s">
        <v>61</v>
      </c>
      <c r="I34" s="749" t="s">
        <v>468</v>
      </c>
      <c r="J34" s="749" t="s">
        <v>324</v>
      </c>
      <c r="K34" s="758">
        <v>867.73</v>
      </c>
      <c r="L34" s="758">
        <v>365</v>
      </c>
      <c r="M34" s="758"/>
      <c r="N34" s="756">
        <f t="shared" si="0"/>
        <v>1232.73</v>
      </c>
      <c r="O34" s="11">
        <v>1232.73</v>
      </c>
      <c r="P34" s="446">
        <f>VLOOKUP(D:D,'Master Table'!C:O,13,FALSE)</f>
        <v>1312.3200000000002</v>
      </c>
      <c r="Q34" s="69">
        <v>1312.3200000000002</v>
      </c>
      <c r="R34" s="446">
        <v>1457.06</v>
      </c>
      <c r="S34" s="446">
        <v>1621.52</v>
      </c>
      <c r="T34" s="446">
        <v>1769.65</v>
      </c>
      <c r="U34" s="67"/>
      <c r="V34" s="67"/>
      <c r="W34" s="67"/>
    </row>
    <row r="35" spans="1:23" ht="30.2" customHeight="1" x14ac:dyDescent="0.2">
      <c r="A35" s="597" t="str">
        <f t="shared" si="1"/>
        <v>ARU038 / 1708</v>
      </c>
      <c r="B35" s="860" t="s">
        <v>473</v>
      </c>
      <c r="C35" s="71" t="s">
        <v>8456</v>
      </c>
      <c r="D35" s="369" t="s">
        <v>470</v>
      </c>
      <c r="E35" s="437" t="str">
        <f>VLOOKUP(D:D,'Master Table'!C:D,2,FALSE)</f>
        <v>1708</v>
      </c>
      <c r="F35" s="749" t="s">
        <v>470</v>
      </c>
      <c r="G35" s="749" t="s">
        <v>471</v>
      </c>
      <c r="H35" s="750" t="s">
        <v>472</v>
      </c>
      <c r="I35" s="749" t="s">
        <v>473</v>
      </c>
      <c r="J35" s="751" t="s">
        <v>324</v>
      </c>
      <c r="K35" s="758">
        <v>1803.45</v>
      </c>
      <c r="L35" s="758">
        <v>1039</v>
      </c>
      <c r="M35" s="758">
        <v>250</v>
      </c>
      <c r="N35" s="756">
        <f t="shared" ref="N35:N66" si="2">K35+L35+M35</f>
        <v>3092.45</v>
      </c>
      <c r="O35" s="11">
        <v>3092.45</v>
      </c>
      <c r="P35" s="446">
        <f>VLOOKUP(D:D,'Master Table'!C:O,13,FALSE)</f>
        <v>4141.3999999999996</v>
      </c>
      <c r="Q35" s="858">
        <f>P35+P36</f>
        <v>4391.3999999999996</v>
      </c>
      <c r="R35" s="856">
        <v>4592.18</v>
      </c>
      <c r="S35" s="446">
        <v>6260.09</v>
      </c>
      <c r="T35" s="446">
        <v>4700.63</v>
      </c>
      <c r="U35" s="67"/>
      <c r="V35" s="67"/>
      <c r="W35" s="67"/>
    </row>
    <row r="36" spans="1:23" ht="30.2" customHeight="1" x14ac:dyDescent="0.2">
      <c r="A36" s="597" t="str">
        <f t="shared" si="1"/>
        <v>ARU039 / 1709</v>
      </c>
      <c r="B36" s="861"/>
      <c r="C36" s="71" t="s">
        <v>8457</v>
      </c>
      <c r="D36" s="369" t="s">
        <v>477</v>
      </c>
      <c r="E36" s="437" t="str">
        <f>VLOOKUP(D:D,'Master Table'!C:D,2,FALSE)</f>
        <v>1709</v>
      </c>
      <c r="F36" s="749" t="s">
        <v>477</v>
      </c>
      <c r="G36" s="749" t="s">
        <v>478</v>
      </c>
      <c r="H36" s="750" t="s">
        <v>479</v>
      </c>
      <c r="I36" s="749" t="s">
        <v>473</v>
      </c>
      <c r="J36" s="751" t="s">
        <v>324</v>
      </c>
      <c r="K36" s="758"/>
      <c r="L36" s="758">
        <v>272</v>
      </c>
      <c r="M36" s="758">
        <v>25</v>
      </c>
      <c r="N36" s="756">
        <f t="shared" si="2"/>
        <v>297</v>
      </c>
      <c r="O36" s="11">
        <v>297</v>
      </c>
      <c r="P36" s="446">
        <f>VLOOKUP(D:D,'Master Table'!C:O,13,FALSE)</f>
        <v>250</v>
      </c>
      <c r="Q36" s="859"/>
      <c r="R36" s="857"/>
      <c r="S36" s="446"/>
      <c r="T36" s="446"/>
      <c r="U36" s="67"/>
      <c r="V36" s="67"/>
      <c r="W36" s="67"/>
    </row>
    <row r="37" spans="1:23" ht="30.2" customHeight="1" x14ac:dyDescent="0.2">
      <c r="A37" s="597" t="str">
        <f t="shared" si="1"/>
        <v>ARU039X / 1710</v>
      </c>
      <c r="B37" s="68" t="s">
        <v>473</v>
      </c>
      <c r="C37" s="68" t="s">
        <v>916</v>
      </c>
      <c r="D37" s="369" t="s">
        <v>480</v>
      </c>
      <c r="E37" s="437" t="str">
        <f>VLOOKUP(D:D,'Master Table'!C:D,2,FALSE)</f>
        <v>1710</v>
      </c>
      <c r="F37" s="749" t="s">
        <v>480</v>
      </c>
      <c r="G37" s="749" t="s">
        <v>481</v>
      </c>
      <c r="H37" s="750" t="s">
        <v>214</v>
      </c>
      <c r="I37" s="749" t="s">
        <v>473</v>
      </c>
      <c r="J37" s="749" t="s">
        <v>324</v>
      </c>
      <c r="K37" s="758">
        <v>0</v>
      </c>
      <c r="L37" s="758">
        <v>150</v>
      </c>
      <c r="M37" s="758">
        <v>209.08</v>
      </c>
      <c r="N37" s="756">
        <f t="shared" si="2"/>
        <v>359.08000000000004</v>
      </c>
      <c r="O37" s="11">
        <v>359.08000000000004</v>
      </c>
      <c r="P37" s="446">
        <f>VLOOKUP(D:D,'Master Table'!C:O,13,FALSE)</f>
        <v>145</v>
      </c>
      <c r="Q37" s="69">
        <v>145</v>
      </c>
      <c r="R37" s="446">
        <v>1132.8400000000001</v>
      </c>
      <c r="S37" s="446">
        <v>812.82</v>
      </c>
      <c r="T37" s="446">
        <v>1033.72</v>
      </c>
      <c r="U37" s="67"/>
      <c r="V37" s="67"/>
      <c r="W37" s="67"/>
    </row>
    <row r="38" spans="1:23" ht="30.2" customHeight="1" x14ac:dyDescent="0.2">
      <c r="A38" s="597" t="str">
        <f t="shared" si="1"/>
        <v>ARU040 / 1711</v>
      </c>
      <c r="B38" s="68" t="s">
        <v>485</v>
      </c>
      <c r="C38" s="68" t="s">
        <v>2816</v>
      </c>
      <c r="D38" s="369" t="s">
        <v>482</v>
      </c>
      <c r="E38" s="437" t="str">
        <f>VLOOKUP(D:D,'Master Table'!C:D,2,FALSE)</f>
        <v>1711</v>
      </c>
      <c r="F38" s="749" t="s">
        <v>482</v>
      </c>
      <c r="G38" s="749" t="s">
        <v>483</v>
      </c>
      <c r="H38" s="750" t="s">
        <v>484</v>
      </c>
      <c r="I38" s="749" t="s">
        <v>485</v>
      </c>
      <c r="J38" s="749" t="s">
        <v>324</v>
      </c>
      <c r="K38" s="758">
        <v>918.98</v>
      </c>
      <c r="L38" s="758">
        <v>1003.75</v>
      </c>
      <c r="M38" s="758"/>
      <c r="N38" s="756">
        <f t="shared" si="2"/>
        <v>1922.73</v>
      </c>
      <c r="O38" s="11">
        <v>1922.73</v>
      </c>
      <c r="P38" s="446">
        <f>VLOOKUP(D:D,'Master Table'!C:O,13,FALSE)</f>
        <v>2659.5</v>
      </c>
      <c r="Q38" s="69">
        <v>2659.5</v>
      </c>
      <c r="R38" s="446">
        <v>2763.63</v>
      </c>
      <c r="S38" s="446">
        <v>2676.07</v>
      </c>
      <c r="T38" s="446">
        <v>2319.71</v>
      </c>
      <c r="U38" s="67"/>
      <c r="V38" s="67"/>
      <c r="W38" s="67"/>
    </row>
    <row r="39" spans="1:23" ht="30.2" customHeight="1" x14ac:dyDescent="0.2">
      <c r="A39" s="597" t="str">
        <f t="shared" si="1"/>
        <v>ARU041 / 1712</v>
      </c>
      <c r="B39" s="68" t="s">
        <v>7204</v>
      </c>
      <c r="C39" s="68" t="s">
        <v>382</v>
      </c>
      <c r="D39" s="369" t="s">
        <v>486</v>
      </c>
      <c r="E39" s="437" t="str">
        <f>VLOOKUP(D:D,'Master Table'!C:D,2,FALSE)</f>
        <v>1712</v>
      </c>
      <c r="F39" s="749" t="s">
        <v>486</v>
      </c>
      <c r="G39" s="749" t="s">
        <v>487</v>
      </c>
      <c r="H39" s="750" t="s">
        <v>488</v>
      </c>
      <c r="I39" s="749" t="s">
        <v>489</v>
      </c>
      <c r="J39" s="749" t="s">
        <v>351</v>
      </c>
      <c r="K39" s="758">
        <v>899.79</v>
      </c>
      <c r="L39" s="758">
        <v>1191.5</v>
      </c>
      <c r="M39" s="758">
        <v>60.5</v>
      </c>
      <c r="N39" s="756">
        <f t="shared" si="2"/>
        <v>2151.79</v>
      </c>
      <c r="O39" s="11">
        <v>2151.79</v>
      </c>
      <c r="P39" s="446">
        <f>VLOOKUP(D:D,'Master Table'!C:O,13,FALSE)</f>
        <v>2756.35</v>
      </c>
      <c r="Q39" s="69">
        <v>2756.35</v>
      </c>
      <c r="R39" s="446">
        <v>1817.77</v>
      </c>
      <c r="S39" s="446">
        <v>1908.61</v>
      </c>
      <c r="T39" s="446">
        <v>1916.6200000000001</v>
      </c>
      <c r="U39" s="67"/>
      <c r="V39" s="67"/>
      <c r="W39" s="67"/>
    </row>
    <row r="40" spans="1:23" ht="30.2" customHeight="1" x14ac:dyDescent="0.2">
      <c r="A40" s="597" t="str">
        <f t="shared" si="1"/>
        <v>ARU042 / 1714</v>
      </c>
      <c r="B40" s="68" t="s">
        <v>7205</v>
      </c>
      <c r="C40" s="68" t="s">
        <v>7206</v>
      </c>
      <c r="D40" s="369" t="s">
        <v>490</v>
      </c>
      <c r="E40" s="437" t="str">
        <f>VLOOKUP(D:D,'Master Table'!C:D,2,FALSE)</f>
        <v>1714</v>
      </c>
      <c r="F40" s="749" t="s">
        <v>490</v>
      </c>
      <c r="G40" s="749" t="s">
        <v>491</v>
      </c>
      <c r="H40" s="750" t="s">
        <v>492</v>
      </c>
      <c r="I40" s="749" t="s">
        <v>10997</v>
      </c>
      <c r="J40" s="751" t="s">
        <v>324</v>
      </c>
      <c r="K40" s="758">
        <v>985.11</v>
      </c>
      <c r="L40" s="758">
        <v>425</v>
      </c>
      <c r="M40" s="758"/>
      <c r="N40" s="756">
        <f t="shared" si="2"/>
        <v>1410.1100000000001</v>
      </c>
      <c r="O40" s="11">
        <v>1410.1100000000001</v>
      </c>
      <c r="P40" s="446">
        <f>VLOOKUP(D:D,'Master Table'!C:O,13,FALSE)</f>
        <v>1869.28</v>
      </c>
      <c r="Q40" s="69">
        <v>1869.28</v>
      </c>
      <c r="R40" s="446">
        <v>1542.2</v>
      </c>
      <c r="S40" s="446">
        <v>1442.51</v>
      </c>
      <c r="T40" s="446">
        <v>2452.1999999999998</v>
      </c>
      <c r="U40" s="67"/>
      <c r="V40" s="67"/>
      <c r="W40" s="67"/>
    </row>
    <row r="41" spans="1:23" ht="30.2" customHeight="1" x14ac:dyDescent="0.2">
      <c r="A41" s="723" t="s">
        <v>11006</v>
      </c>
      <c r="B41" s="68" t="s">
        <v>498</v>
      </c>
      <c r="C41" s="68" t="s">
        <v>497</v>
      </c>
      <c r="D41" s="369" t="s">
        <v>495</v>
      </c>
      <c r="E41" s="755" t="s">
        <v>496</v>
      </c>
      <c r="F41" s="749" t="s">
        <v>495</v>
      </c>
      <c r="G41" s="754" t="s">
        <v>496</v>
      </c>
      <c r="H41" s="750" t="s">
        <v>497</v>
      </c>
      <c r="I41" s="749" t="s">
        <v>498</v>
      </c>
      <c r="J41" s="751" t="s">
        <v>324</v>
      </c>
      <c r="K41" s="758">
        <v>0</v>
      </c>
      <c r="L41" s="758"/>
      <c r="M41" s="758">
        <v>282.02</v>
      </c>
      <c r="N41" s="756">
        <f t="shared" si="2"/>
        <v>282.02</v>
      </c>
      <c r="O41" s="11">
        <v>282.02</v>
      </c>
      <c r="P41" s="446"/>
      <c r="Q41" s="69"/>
      <c r="R41" s="446"/>
      <c r="S41" s="446"/>
      <c r="T41" s="446"/>
      <c r="U41" s="67"/>
      <c r="V41" s="67"/>
      <c r="W41" s="67"/>
    </row>
    <row r="42" spans="1:23" ht="30.2" customHeight="1" x14ac:dyDescent="0.2">
      <c r="A42" s="597" t="str">
        <f t="shared" si="1"/>
        <v>ARU044 / 1717</v>
      </c>
      <c r="B42" s="68" t="s">
        <v>501</v>
      </c>
      <c r="C42" s="68" t="s">
        <v>532</v>
      </c>
      <c r="D42" s="369" t="s">
        <v>499</v>
      </c>
      <c r="E42" s="437" t="str">
        <f>VLOOKUP(D:D,'Master Table'!C:D,2,FALSE)</f>
        <v>1717</v>
      </c>
      <c r="F42" s="749" t="s">
        <v>499</v>
      </c>
      <c r="G42" s="749" t="s">
        <v>500</v>
      </c>
      <c r="H42" s="750" t="s">
        <v>61</v>
      </c>
      <c r="I42" s="749" t="s">
        <v>501</v>
      </c>
      <c r="J42" s="749" t="s">
        <v>324</v>
      </c>
      <c r="K42" s="758">
        <v>1285.08</v>
      </c>
      <c r="L42" s="758">
        <v>1169</v>
      </c>
      <c r="M42" s="758"/>
      <c r="N42" s="756">
        <f t="shared" si="2"/>
        <v>2454.08</v>
      </c>
      <c r="O42" s="11">
        <v>2454.08</v>
      </c>
      <c r="P42" s="446">
        <f>VLOOKUP(D:D,'Master Table'!C:O,13,FALSE)</f>
        <v>6248.89</v>
      </c>
      <c r="Q42" s="69">
        <v>6248.89</v>
      </c>
      <c r="R42" s="446">
        <v>5029.84</v>
      </c>
      <c r="S42" s="446">
        <v>5366.52</v>
      </c>
      <c r="T42" s="446">
        <v>5475.34</v>
      </c>
      <c r="U42" s="67"/>
      <c r="V42" s="67"/>
      <c r="W42" s="67"/>
    </row>
    <row r="43" spans="1:23" ht="30.2" customHeight="1" x14ac:dyDescent="0.2">
      <c r="A43" s="597" t="str">
        <f t="shared" si="1"/>
        <v>ARU045 / 1718</v>
      </c>
      <c r="B43" s="68" t="s">
        <v>505</v>
      </c>
      <c r="C43" s="596" t="s">
        <v>7207</v>
      </c>
      <c r="D43" s="369" t="s">
        <v>502</v>
      </c>
      <c r="E43" s="437" t="str">
        <f>VLOOKUP(D:D,'Master Table'!C:D,2,FALSE)</f>
        <v>1718</v>
      </c>
      <c r="F43" s="749" t="s">
        <v>502</v>
      </c>
      <c r="G43" s="749" t="s">
        <v>503</v>
      </c>
      <c r="H43" s="750" t="s">
        <v>504</v>
      </c>
      <c r="I43" s="749" t="s">
        <v>505</v>
      </c>
      <c r="J43" s="749" t="s">
        <v>324</v>
      </c>
      <c r="K43" s="758">
        <v>976.5</v>
      </c>
      <c r="L43" s="758">
        <v>428</v>
      </c>
      <c r="M43" s="758"/>
      <c r="N43" s="756">
        <f t="shared" si="2"/>
        <v>1404.5</v>
      </c>
      <c r="O43" s="11">
        <v>1404.5</v>
      </c>
      <c r="P43" s="446">
        <f>VLOOKUP(D:D,'Master Table'!C:O,13,FALSE)</f>
        <v>1719.69</v>
      </c>
      <c r="Q43" s="69">
        <v>1719.69</v>
      </c>
      <c r="R43" s="446">
        <v>1354.72</v>
      </c>
      <c r="S43" s="446">
        <v>1353.36</v>
      </c>
      <c r="T43" s="446">
        <v>1770.6200000000001</v>
      </c>
      <c r="U43" s="67"/>
      <c r="V43" s="67"/>
      <c r="W43" s="67"/>
    </row>
    <row r="44" spans="1:23" ht="30.2" customHeight="1" x14ac:dyDescent="0.2">
      <c r="A44" s="597" t="str">
        <f t="shared" si="1"/>
        <v>ARU046 / 1719</v>
      </c>
      <c r="B44" s="432" t="s">
        <v>509</v>
      </c>
      <c r="C44" s="598" t="s">
        <v>7208</v>
      </c>
      <c r="D44" s="369" t="s">
        <v>506</v>
      </c>
      <c r="E44" s="437" t="str">
        <f>VLOOKUP(D:D,'Master Table'!C:D,2,FALSE)</f>
        <v>1719</v>
      </c>
      <c r="F44" s="749" t="s">
        <v>506</v>
      </c>
      <c r="G44" s="749" t="s">
        <v>507</v>
      </c>
      <c r="H44" s="750" t="s">
        <v>508</v>
      </c>
      <c r="I44" s="749" t="s">
        <v>509</v>
      </c>
      <c r="J44" s="749" t="s">
        <v>324</v>
      </c>
      <c r="K44" s="758">
        <v>0</v>
      </c>
      <c r="L44" s="758">
        <v>369</v>
      </c>
      <c r="M44" s="758">
        <v>827.17000000000007</v>
      </c>
      <c r="N44" s="756">
        <f t="shared" si="2"/>
        <v>1196.17</v>
      </c>
      <c r="O44" s="11">
        <v>1196.17</v>
      </c>
      <c r="P44" s="446">
        <f>VLOOKUP(D:D,'Master Table'!C:O,13,FALSE)</f>
        <v>883.67</v>
      </c>
      <c r="Q44" s="69">
        <v>883.67</v>
      </c>
      <c r="R44" s="446">
        <v>940.32</v>
      </c>
      <c r="S44" s="446">
        <v>1243.0900000000001</v>
      </c>
      <c r="T44" s="762">
        <v>1030.53</v>
      </c>
      <c r="U44" s="67"/>
      <c r="V44" s="67"/>
      <c r="W44" s="67"/>
    </row>
    <row r="45" spans="1:23" ht="30.2" customHeight="1" x14ac:dyDescent="0.2">
      <c r="A45" s="597" t="str">
        <f t="shared" si="1"/>
        <v>ARU047 / 1720</v>
      </c>
      <c r="B45" s="436" t="s">
        <v>513</v>
      </c>
      <c r="C45" s="599" t="s">
        <v>6542</v>
      </c>
      <c r="D45" s="369" t="s">
        <v>510</v>
      </c>
      <c r="E45" s="437" t="str">
        <f>VLOOKUP(D:D,'Master Table'!C:D,2,FALSE)</f>
        <v>1720</v>
      </c>
      <c r="F45" s="749" t="s">
        <v>510</v>
      </c>
      <c r="G45" s="749" t="s">
        <v>511</v>
      </c>
      <c r="H45" s="750" t="s">
        <v>512</v>
      </c>
      <c r="I45" s="749" t="s">
        <v>513</v>
      </c>
      <c r="J45" s="749" t="s">
        <v>324</v>
      </c>
      <c r="K45" s="758">
        <v>431.12</v>
      </c>
      <c r="L45" s="758">
        <v>1037</v>
      </c>
      <c r="M45" s="758"/>
      <c r="N45" s="756">
        <f t="shared" si="2"/>
        <v>1468.12</v>
      </c>
      <c r="O45" s="11">
        <v>1468.12</v>
      </c>
      <c r="P45" s="446">
        <f>VLOOKUP(D:D,'Master Table'!C:O,13,FALSE)</f>
        <v>2709.26</v>
      </c>
      <c r="Q45" s="69">
        <v>2709.26</v>
      </c>
      <c r="R45" s="446">
        <v>3892.94</v>
      </c>
      <c r="S45" s="446">
        <v>2840.65</v>
      </c>
      <c r="T45" s="446">
        <v>2786.4300000000003</v>
      </c>
      <c r="U45" s="67"/>
      <c r="V45" s="67"/>
      <c r="W45" s="67"/>
    </row>
    <row r="46" spans="1:23" ht="30.2" customHeight="1" x14ac:dyDescent="0.2">
      <c r="A46" s="597" t="str">
        <f t="shared" si="1"/>
        <v>ARU048 / 1721</v>
      </c>
      <c r="B46" s="68" t="s">
        <v>7209</v>
      </c>
      <c r="C46" s="597" t="s">
        <v>1165</v>
      </c>
      <c r="D46" s="369" t="s">
        <v>515</v>
      </c>
      <c r="E46" s="437" t="str">
        <f>VLOOKUP(D:D,'Master Table'!C:D,2,FALSE)</f>
        <v>1721</v>
      </c>
      <c r="F46" s="749" t="s">
        <v>515</v>
      </c>
      <c r="G46" s="749" t="s">
        <v>516</v>
      </c>
      <c r="H46" s="750" t="s">
        <v>238</v>
      </c>
      <c r="I46" s="749" t="s">
        <v>513</v>
      </c>
      <c r="J46" s="749" t="s">
        <v>324</v>
      </c>
      <c r="K46" s="758">
        <v>127.73</v>
      </c>
      <c r="L46" s="758">
        <v>285</v>
      </c>
      <c r="M46" s="758"/>
      <c r="N46" s="756">
        <f t="shared" si="2"/>
        <v>412.73</v>
      </c>
      <c r="O46" s="11">
        <v>412.73</v>
      </c>
      <c r="P46" s="446">
        <f>VLOOKUP(D:D,'Master Table'!C:O,13,FALSE)</f>
        <v>683.4</v>
      </c>
      <c r="Q46" s="69">
        <v>683.4</v>
      </c>
      <c r="R46" s="446">
        <v>664.75</v>
      </c>
      <c r="S46" s="446">
        <v>723.55</v>
      </c>
      <c r="T46" s="446">
        <v>712.52</v>
      </c>
      <c r="U46" s="67"/>
      <c r="V46" s="67"/>
      <c r="W46" s="67"/>
    </row>
    <row r="47" spans="1:23" ht="30.2" customHeight="1" x14ac:dyDescent="0.2">
      <c r="A47" s="597" t="str">
        <f t="shared" si="1"/>
        <v>ARU049 / 1722</v>
      </c>
      <c r="B47" s="68" t="s">
        <v>7210</v>
      </c>
      <c r="C47" s="68" t="s">
        <v>5270</v>
      </c>
      <c r="D47" s="369" t="s">
        <v>518</v>
      </c>
      <c r="E47" s="437" t="str">
        <f>VLOOKUP(D:D,'Master Table'!C:D,2,FALSE)</f>
        <v>1722</v>
      </c>
      <c r="F47" s="749" t="s">
        <v>518</v>
      </c>
      <c r="G47" s="749" t="s">
        <v>519</v>
      </c>
      <c r="H47" s="750" t="s">
        <v>520</v>
      </c>
      <c r="I47" s="749" t="s">
        <v>489</v>
      </c>
      <c r="J47" s="749" t="s">
        <v>351</v>
      </c>
      <c r="K47" s="758">
        <v>219</v>
      </c>
      <c r="L47" s="758">
        <v>235</v>
      </c>
      <c r="M47" s="758"/>
      <c r="N47" s="756">
        <f t="shared" si="2"/>
        <v>454</v>
      </c>
      <c r="O47" s="11">
        <v>454</v>
      </c>
      <c r="P47" s="446">
        <f>VLOOKUP(D:D,'Master Table'!C:O,13,FALSE)</f>
        <v>774</v>
      </c>
      <c r="Q47" s="69">
        <v>774</v>
      </c>
      <c r="R47" s="446">
        <v>1028</v>
      </c>
      <c r="S47" s="446">
        <v>946</v>
      </c>
      <c r="T47" s="446">
        <v>915.5</v>
      </c>
      <c r="U47" s="67"/>
      <c r="V47" s="67"/>
      <c r="W47" s="67"/>
    </row>
    <row r="48" spans="1:23" ht="30.2" customHeight="1" x14ac:dyDescent="0.2">
      <c r="A48" s="597" t="str">
        <f t="shared" si="1"/>
        <v>ARU051 / 1724</v>
      </c>
      <c r="B48" s="68" t="s">
        <v>7211</v>
      </c>
      <c r="C48" s="68" t="s">
        <v>523</v>
      </c>
      <c r="D48" s="369" t="s">
        <v>521</v>
      </c>
      <c r="E48" s="437" t="str">
        <f>VLOOKUP(D:D,'Master Table'!C:D,2,FALSE)</f>
        <v>1724</v>
      </c>
      <c r="F48" s="749" t="s">
        <v>521</v>
      </c>
      <c r="G48" s="749" t="s">
        <v>522</v>
      </c>
      <c r="H48" s="750" t="s">
        <v>523</v>
      </c>
      <c r="I48" s="749" t="s">
        <v>524</v>
      </c>
      <c r="J48" s="749" t="s">
        <v>324</v>
      </c>
      <c r="K48" s="758">
        <v>457.49</v>
      </c>
      <c r="L48" s="758">
        <v>1045</v>
      </c>
      <c r="M48" s="758"/>
      <c r="N48" s="756">
        <f t="shared" si="2"/>
        <v>1502.49</v>
      </c>
      <c r="O48" s="11">
        <v>1502.49</v>
      </c>
      <c r="P48" s="446">
        <f>VLOOKUP(D:D,'Master Table'!C:O,13,FALSE)</f>
        <v>2489</v>
      </c>
      <c r="Q48" s="69">
        <v>2489</v>
      </c>
      <c r="R48" s="446">
        <v>2596.33</v>
      </c>
      <c r="S48" s="446">
        <v>2871.31</v>
      </c>
      <c r="T48" s="446">
        <v>2436.63</v>
      </c>
      <c r="U48" s="67"/>
      <c r="V48" s="67"/>
      <c r="W48" s="67"/>
    </row>
    <row r="49" spans="1:23" ht="30.2" customHeight="1" x14ac:dyDescent="0.2">
      <c r="A49" s="597" t="str">
        <f t="shared" si="1"/>
        <v>ARU053 / 1726</v>
      </c>
      <c r="B49" s="68" t="s">
        <v>528</v>
      </c>
      <c r="C49" s="68" t="s">
        <v>3029</v>
      </c>
      <c r="D49" s="369" t="s">
        <v>525</v>
      </c>
      <c r="E49" s="437" t="str">
        <f>VLOOKUP(D:D,'Master Table'!C:D,2,FALSE)</f>
        <v>1726</v>
      </c>
      <c r="F49" s="749" t="s">
        <v>525</v>
      </c>
      <c r="G49" s="749" t="s">
        <v>526</v>
      </c>
      <c r="H49" s="750" t="s">
        <v>10998</v>
      </c>
      <c r="I49" s="749" t="s">
        <v>528</v>
      </c>
      <c r="J49" s="749" t="s">
        <v>324</v>
      </c>
      <c r="K49" s="758">
        <v>976.49</v>
      </c>
      <c r="L49" s="758">
        <v>211</v>
      </c>
      <c r="M49" s="758"/>
      <c r="N49" s="756">
        <f t="shared" si="2"/>
        <v>1187.49</v>
      </c>
      <c r="O49" s="11">
        <v>1187.49</v>
      </c>
      <c r="P49" s="446">
        <f>VLOOKUP(D:D,'Master Table'!C:O,13,FALSE)</f>
        <v>2042.42</v>
      </c>
      <c r="Q49" s="69">
        <v>2042.42</v>
      </c>
      <c r="R49" s="446">
        <v>325.61</v>
      </c>
      <c r="S49" s="446">
        <v>1081</v>
      </c>
      <c r="T49" s="446">
        <v>1188.2</v>
      </c>
      <c r="U49" s="67"/>
      <c r="V49" s="67"/>
      <c r="W49" s="67"/>
    </row>
    <row r="50" spans="1:23" ht="30.2" customHeight="1" x14ac:dyDescent="0.2">
      <c r="A50" s="597" t="str">
        <f t="shared" si="1"/>
        <v>ARU054 / 1727</v>
      </c>
      <c r="B50" s="68" t="s">
        <v>7212</v>
      </c>
      <c r="C50" s="68" t="s">
        <v>1047</v>
      </c>
      <c r="D50" s="369" t="s">
        <v>536</v>
      </c>
      <c r="E50" s="437" t="str">
        <f>VLOOKUP(D:D,'Master Table'!C:D,2,FALSE)</f>
        <v>1727</v>
      </c>
      <c r="F50" s="749" t="s">
        <v>536</v>
      </c>
      <c r="G50" s="749" t="s">
        <v>537</v>
      </c>
      <c r="H50" s="750" t="s">
        <v>83</v>
      </c>
      <c r="I50" s="749" t="s">
        <v>538</v>
      </c>
      <c r="J50" s="749" t="s">
        <v>324</v>
      </c>
      <c r="K50" s="758">
        <v>620.9</v>
      </c>
      <c r="L50" s="758">
        <v>235</v>
      </c>
      <c r="M50" s="758"/>
      <c r="N50" s="756">
        <f t="shared" si="2"/>
        <v>855.9</v>
      </c>
      <c r="O50" s="11">
        <v>855.9</v>
      </c>
      <c r="P50" s="446">
        <f>VLOOKUP(D:D,'Master Table'!C:O,13,FALSE)</f>
        <v>1077.3699999999999</v>
      </c>
      <c r="Q50" s="69">
        <v>1077.3699999999999</v>
      </c>
      <c r="R50" s="446">
        <v>1050.96</v>
      </c>
      <c r="S50" s="446">
        <v>1184.1799999999998</v>
      </c>
      <c r="T50" s="446">
        <v>1907</v>
      </c>
      <c r="U50" s="67"/>
      <c r="V50" s="67"/>
      <c r="W50" s="67"/>
    </row>
    <row r="51" spans="1:23" ht="30.2" customHeight="1" x14ac:dyDescent="0.2">
      <c r="A51" s="597" t="str">
        <f t="shared" si="1"/>
        <v>ARU055 / 1728</v>
      </c>
      <c r="B51" s="68" t="s">
        <v>443</v>
      </c>
      <c r="C51" s="68" t="s">
        <v>532</v>
      </c>
      <c r="D51" s="369" t="s">
        <v>539</v>
      </c>
      <c r="E51" s="437" t="str">
        <f>VLOOKUP(D:D,'Master Table'!C:D,2,FALSE)</f>
        <v>1728</v>
      </c>
      <c r="F51" s="749" t="s">
        <v>539</v>
      </c>
      <c r="G51" s="749" t="s">
        <v>540</v>
      </c>
      <c r="H51" s="750" t="s">
        <v>61</v>
      </c>
      <c r="I51" s="749" t="s">
        <v>443</v>
      </c>
      <c r="J51" s="749" t="s">
        <v>324</v>
      </c>
      <c r="K51" s="758">
        <v>0</v>
      </c>
      <c r="L51" s="758">
        <v>360</v>
      </c>
      <c r="M51" s="758"/>
      <c r="N51" s="756">
        <f t="shared" si="2"/>
        <v>360</v>
      </c>
      <c r="O51" s="11">
        <v>360</v>
      </c>
      <c r="P51" s="446">
        <f>VLOOKUP(D:D,'Master Table'!C:O,13,FALSE)</f>
        <v>375.64</v>
      </c>
      <c r="Q51" s="69">
        <v>375.64</v>
      </c>
      <c r="R51" s="446">
        <v>1028.29</v>
      </c>
      <c r="S51" s="446">
        <v>1110.78</v>
      </c>
      <c r="T51" s="446">
        <v>1184.5700000000002</v>
      </c>
      <c r="U51" s="67"/>
      <c r="V51" s="67"/>
      <c r="W51" s="67"/>
    </row>
    <row r="52" spans="1:23" ht="30.2" customHeight="1" x14ac:dyDescent="0.2">
      <c r="A52" s="597" t="str">
        <f t="shared" si="1"/>
        <v>ARU056 / 1729</v>
      </c>
      <c r="B52" s="68" t="s">
        <v>443</v>
      </c>
      <c r="C52" s="68" t="s">
        <v>226</v>
      </c>
      <c r="D52" s="369" t="s">
        <v>541</v>
      </c>
      <c r="E52" s="437" t="str">
        <f>VLOOKUP(D:D,'Master Table'!C:D,2,FALSE)</f>
        <v>1729</v>
      </c>
      <c r="F52" s="749" t="s">
        <v>541</v>
      </c>
      <c r="G52" s="749" t="s">
        <v>542</v>
      </c>
      <c r="H52" s="750" t="s">
        <v>31</v>
      </c>
      <c r="I52" s="749" t="s">
        <v>443</v>
      </c>
      <c r="J52" s="749" t="s">
        <v>324</v>
      </c>
      <c r="K52" s="758">
        <v>0</v>
      </c>
      <c r="L52" s="758">
        <v>369</v>
      </c>
      <c r="M52" s="758"/>
      <c r="N52" s="756">
        <f t="shared" si="2"/>
        <v>369</v>
      </c>
      <c r="O52" s="11">
        <v>369</v>
      </c>
      <c r="P52" s="446">
        <f>VLOOKUP(D:D,'Master Table'!C:O,13,FALSE)</f>
        <v>843.37</v>
      </c>
      <c r="Q52" s="69">
        <v>843.37</v>
      </c>
      <c r="R52" s="446">
        <v>898.14</v>
      </c>
      <c r="S52" s="446">
        <v>1064.29</v>
      </c>
      <c r="T52" s="446">
        <v>1200.3499999999999</v>
      </c>
      <c r="U52" s="67"/>
      <c r="V52" s="67"/>
      <c r="W52" s="67"/>
    </row>
    <row r="53" spans="1:23" ht="30.2" customHeight="1" x14ac:dyDescent="0.2">
      <c r="A53" s="597" t="str">
        <f t="shared" si="1"/>
        <v>ARU058 / 1731</v>
      </c>
      <c r="B53" s="68" t="s">
        <v>545</v>
      </c>
      <c r="C53" s="68" t="s">
        <v>7193</v>
      </c>
      <c r="D53" s="369" t="s">
        <v>543</v>
      </c>
      <c r="E53" s="437" t="str">
        <f>VLOOKUP(D:D,'Master Table'!C:D,2,FALSE)</f>
        <v>1731</v>
      </c>
      <c r="F53" s="749" t="s">
        <v>543</v>
      </c>
      <c r="G53" s="749" t="s">
        <v>544</v>
      </c>
      <c r="H53" s="750" t="s">
        <v>412</v>
      </c>
      <c r="I53" s="749" t="s">
        <v>545</v>
      </c>
      <c r="J53" s="749" t="s">
        <v>324</v>
      </c>
      <c r="K53" s="758">
        <v>617.25</v>
      </c>
      <c r="L53" s="758">
        <v>220</v>
      </c>
      <c r="M53" s="758"/>
      <c r="N53" s="756">
        <f t="shared" si="2"/>
        <v>837.25</v>
      </c>
      <c r="O53" s="11">
        <v>837.25</v>
      </c>
      <c r="P53" s="446">
        <f>VLOOKUP(D:D,'Master Table'!C:O,13,FALSE)</f>
        <v>1108.9099999999999</v>
      </c>
      <c r="Q53" s="69">
        <v>1108.9099999999999</v>
      </c>
      <c r="R53" s="446">
        <v>1617.73</v>
      </c>
      <c r="S53" s="446">
        <v>1458.08</v>
      </c>
      <c r="T53" s="446">
        <v>1242.28</v>
      </c>
      <c r="U53" s="67"/>
      <c r="V53" s="67"/>
      <c r="W53" s="67"/>
    </row>
    <row r="54" spans="1:23" ht="30.2" customHeight="1" x14ac:dyDescent="0.2">
      <c r="A54" s="597" t="str">
        <f t="shared" si="1"/>
        <v>ARU059 / 1732</v>
      </c>
      <c r="B54" s="68" t="s">
        <v>7213</v>
      </c>
      <c r="C54" s="68" t="s">
        <v>7214</v>
      </c>
      <c r="D54" s="369" t="s">
        <v>546</v>
      </c>
      <c r="E54" s="437" t="str">
        <f>VLOOKUP(D:D,'Master Table'!C:D,2,FALSE)</f>
        <v>1732</v>
      </c>
      <c r="F54" s="749" t="s">
        <v>546</v>
      </c>
      <c r="G54" s="749" t="s">
        <v>547</v>
      </c>
      <c r="H54" s="750" t="s">
        <v>548</v>
      </c>
      <c r="I54" s="749" t="s">
        <v>473</v>
      </c>
      <c r="J54" s="749" t="s">
        <v>324</v>
      </c>
      <c r="K54" s="758">
        <v>55</v>
      </c>
      <c r="L54" s="758">
        <v>70</v>
      </c>
      <c r="M54" s="758">
        <v>209.07</v>
      </c>
      <c r="N54" s="756">
        <f t="shared" si="2"/>
        <v>334.07</v>
      </c>
      <c r="O54" s="11">
        <v>334.07</v>
      </c>
      <c r="P54" s="446">
        <f>VLOOKUP(D:D,'Master Table'!C:O,13,FALSE)</f>
        <v>433.18000000000006</v>
      </c>
      <c r="Q54" s="69">
        <v>433.18000000000006</v>
      </c>
      <c r="R54" s="446">
        <v>423.98</v>
      </c>
      <c r="S54" s="446">
        <v>581.32000000000005</v>
      </c>
      <c r="T54" s="446">
        <v>434.27</v>
      </c>
      <c r="U54" s="67"/>
      <c r="V54" s="67"/>
      <c r="W54" s="67"/>
    </row>
    <row r="55" spans="1:23" ht="30.2" customHeight="1" x14ac:dyDescent="0.2">
      <c r="A55" s="597" t="str">
        <f t="shared" si="1"/>
        <v>ARU060 / 1733</v>
      </c>
      <c r="B55" s="68" t="s">
        <v>552</v>
      </c>
      <c r="C55" s="68" t="s">
        <v>1203</v>
      </c>
      <c r="D55" s="369" t="s">
        <v>550</v>
      </c>
      <c r="E55" s="437" t="str">
        <f>VLOOKUP(D:D,'Master Table'!C:D,2,FALSE)</f>
        <v>1733</v>
      </c>
      <c r="F55" s="749" t="s">
        <v>550</v>
      </c>
      <c r="G55" s="749" t="s">
        <v>551</v>
      </c>
      <c r="H55" s="750" t="s">
        <v>10999</v>
      </c>
      <c r="I55" s="749" t="s">
        <v>552</v>
      </c>
      <c r="J55" s="749" t="s">
        <v>351</v>
      </c>
      <c r="K55" s="758">
        <v>200</v>
      </c>
      <c r="L55" s="758">
        <v>614</v>
      </c>
      <c r="M55" s="758">
        <v>20</v>
      </c>
      <c r="N55" s="756">
        <f t="shared" si="2"/>
        <v>834</v>
      </c>
      <c r="O55" s="11">
        <v>834</v>
      </c>
      <c r="P55" s="446">
        <f>VLOOKUP(D:D,'Master Table'!C:O,13,FALSE)</f>
        <v>1203.5</v>
      </c>
      <c r="Q55" s="69">
        <v>1203.5</v>
      </c>
      <c r="R55" s="446">
        <v>532</v>
      </c>
      <c r="S55" s="446">
        <v>850</v>
      </c>
      <c r="T55" s="446">
        <v>1191.0900000000001</v>
      </c>
      <c r="U55" s="67"/>
      <c r="V55" s="67"/>
      <c r="W55" s="67"/>
    </row>
    <row r="56" spans="1:23" ht="30.2" customHeight="1" x14ac:dyDescent="0.2">
      <c r="A56" s="597" t="str">
        <f t="shared" si="1"/>
        <v>ARU061 / 1734</v>
      </c>
      <c r="B56" s="68" t="s">
        <v>561</v>
      </c>
      <c r="C56" s="68" t="s">
        <v>560</v>
      </c>
      <c r="D56" s="369" t="s">
        <v>558</v>
      </c>
      <c r="E56" s="437" t="str">
        <f>VLOOKUP(D:D,'Master Table'!C:D,2,FALSE)</f>
        <v>1734</v>
      </c>
      <c r="F56" s="749" t="s">
        <v>558</v>
      </c>
      <c r="G56" s="749" t="s">
        <v>559</v>
      </c>
      <c r="H56" s="750" t="s">
        <v>560</v>
      </c>
      <c r="I56" s="749" t="s">
        <v>561</v>
      </c>
      <c r="J56" s="749" t="s">
        <v>324</v>
      </c>
      <c r="K56" s="758">
        <v>369.31</v>
      </c>
      <c r="L56" s="758">
        <v>220</v>
      </c>
      <c r="M56" s="758"/>
      <c r="N56" s="756">
        <f t="shared" si="2"/>
        <v>589.30999999999995</v>
      </c>
      <c r="O56" s="11">
        <v>589.30999999999995</v>
      </c>
      <c r="P56" s="446">
        <f>VLOOKUP(D:D,'Master Table'!C:O,13,FALSE)</f>
        <v>427</v>
      </c>
      <c r="Q56" s="69">
        <v>427</v>
      </c>
      <c r="R56" s="446">
        <v>100</v>
      </c>
      <c r="S56" s="446">
        <v>120</v>
      </c>
      <c r="T56" s="446">
        <v>120</v>
      </c>
      <c r="U56" s="67"/>
      <c r="V56" s="67"/>
      <c r="W56" s="67"/>
    </row>
    <row r="57" spans="1:23" ht="30.2" customHeight="1" x14ac:dyDescent="0.2">
      <c r="A57" s="597" t="str">
        <f t="shared" si="1"/>
        <v>ARU062 / 1735</v>
      </c>
      <c r="B57" s="68" t="s">
        <v>565</v>
      </c>
      <c r="C57" s="68" t="s">
        <v>2667</v>
      </c>
      <c r="D57" s="369" t="s">
        <v>562</v>
      </c>
      <c r="E57" s="437" t="str">
        <f>VLOOKUP(D:D,'Master Table'!C:D,2,FALSE)</f>
        <v>1735</v>
      </c>
      <c r="F57" s="749" t="s">
        <v>562</v>
      </c>
      <c r="G57" s="749" t="s">
        <v>563</v>
      </c>
      <c r="H57" s="750" t="s">
        <v>11000</v>
      </c>
      <c r="I57" s="749" t="s">
        <v>565</v>
      </c>
      <c r="J57" s="749" t="s">
        <v>324</v>
      </c>
      <c r="K57" s="758">
        <v>3205.15</v>
      </c>
      <c r="L57" s="758">
        <v>578</v>
      </c>
      <c r="M57" s="758">
        <v>70</v>
      </c>
      <c r="N57" s="756">
        <f t="shared" si="2"/>
        <v>3853.15</v>
      </c>
      <c r="O57" s="11">
        <v>3853.15</v>
      </c>
      <c r="P57" s="446">
        <f>VLOOKUP(D:D,'Master Table'!C:O,13,FALSE)</f>
        <v>5338.4500000000007</v>
      </c>
      <c r="Q57" s="69">
        <v>5338.4500000000007</v>
      </c>
      <c r="R57" s="446">
        <v>5373.33</v>
      </c>
      <c r="S57" s="446">
        <v>6487.84</v>
      </c>
      <c r="T57" s="446">
        <v>6406.26</v>
      </c>
      <c r="U57" s="67"/>
      <c r="V57" s="67"/>
      <c r="W57" s="67"/>
    </row>
    <row r="58" spans="1:23" ht="30.2" customHeight="1" x14ac:dyDescent="0.2">
      <c r="A58" s="597" t="str">
        <f t="shared" si="1"/>
        <v>ARU063 / 1736</v>
      </c>
      <c r="B58" s="68" t="s">
        <v>7215</v>
      </c>
      <c r="C58" s="68" t="s">
        <v>568</v>
      </c>
      <c r="D58" s="369" t="s">
        <v>566</v>
      </c>
      <c r="E58" s="437" t="str">
        <f>VLOOKUP(D:D,'Master Table'!C:D,2,FALSE)</f>
        <v>1736</v>
      </c>
      <c r="F58" s="749" t="s">
        <v>566</v>
      </c>
      <c r="G58" s="749" t="s">
        <v>567</v>
      </c>
      <c r="H58" s="750" t="s">
        <v>568</v>
      </c>
      <c r="I58" s="749" t="s">
        <v>569</v>
      </c>
      <c r="J58" s="749" t="s">
        <v>351</v>
      </c>
      <c r="K58" s="758">
        <v>0</v>
      </c>
      <c r="L58" s="758">
        <v>460</v>
      </c>
      <c r="M58" s="758">
        <v>320.39</v>
      </c>
      <c r="N58" s="756">
        <f t="shared" si="2"/>
        <v>780.39</v>
      </c>
      <c r="O58" s="11">
        <v>780.39</v>
      </c>
      <c r="P58" s="446">
        <f>VLOOKUP(D:D,'Master Table'!C:O,13,FALSE)</f>
        <v>822.51</v>
      </c>
      <c r="Q58" s="69">
        <v>822.51</v>
      </c>
      <c r="R58" s="446">
        <v>753.31</v>
      </c>
      <c r="S58" s="446">
        <v>794.37</v>
      </c>
      <c r="T58" s="446">
        <v>593.54999999999995</v>
      </c>
      <c r="U58" s="67"/>
      <c r="V58" s="67"/>
      <c r="W58" s="67"/>
    </row>
    <row r="59" spans="1:23" ht="30.2" customHeight="1" x14ac:dyDescent="0.2">
      <c r="A59" s="597" t="str">
        <f t="shared" si="1"/>
        <v>ARU064 / 1737</v>
      </c>
      <c r="B59" s="68" t="s">
        <v>573</v>
      </c>
      <c r="C59" s="68" t="s">
        <v>7216</v>
      </c>
      <c r="D59" s="369" t="s">
        <v>571</v>
      </c>
      <c r="E59" s="437" t="str">
        <f>VLOOKUP(D:D,'Master Table'!C:D,2,FALSE)</f>
        <v>1737</v>
      </c>
      <c r="F59" s="749" t="s">
        <v>571</v>
      </c>
      <c r="G59" s="749" t="s">
        <v>572</v>
      </c>
      <c r="H59" s="750" t="s">
        <v>11</v>
      </c>
      <c r="I59" s="749" t="s">
        <v>573</v>
      </c>
      <c r="J59" s="749" t="s">
        <v>324</v>
      </c>
      <c r="K59" s="758">
        <v>7.81</v>
      </c>
      <c r="L59" s="758">
        <v>50</v>
      </c>
      <c r="M59" s="758"/>
      <c r="N59" s="756">
        <f t="shared" si="2"/>
        <v>57.81</v>
      </c>
      <c r="O59" s="11">
        <v>57.81</v>
      </c>
      <c r="P59" s="446">
        <f>VLOOKUP(D:D,'Master Table'!C:O,13,FALSE)</f>
        <v>332.90000000000003</v>
      </c>
      <c r="Q59" s="69">
        <v>332.90000000000003</v>
      </c>
      <c r="R59" s="446">
        <v>431.75</v>
      </c>
      <c r="S59" s="446">
        <v>175.54000000000002</v>
      </c>
      <c r="T59" s="446">
        <v>300.70000000000005</v>
      </c>
      <c r="U59" s="67"/>
      <c r="V59" s="67"/>
      <c r="W59" s="67"/>
    </row>
    <row r="60" spans="1:23" ht="30.2" customHeight="1" x14ac:dyDescent="0.2">
      <c r="A60" s="597" t="str">
        <f t="shared" si="1"/>
        <v>ARU066 / 1739</v>
      </c>
      <c r="B60" s="68" t="s">
        <v>7217</v>
      </c>
      <c r="C60" s="68" t="s">
        <v>1871</v>
      </c>
      <c r="D60" s="369" t="s">
        <v>577</v>
      </c>
      <c r="E60" s="437" t="str">
        <f>VLOOKUP(D:D,'Master Table'!C:D,2,FALSE)</f>
        <v>1739</v>
      </c>
      <c r="F60" s="749" t="s">
        <v>577</v>
      </c>
      <c r="G60" s="749" t="s">
        <v>578</v>
      </c>
      <c r="H60" s="750" t="s">
        <v>579</v>
      </c>
      <c r="I60" s="749" t="s">
        <v>580</v>
      </c>
      <c r="J60" s="749" t="s">
        <v>324</v>
      </c>
      <c r="K60" s="758">
        <v>960.96</v>
      </c>
      <c r="L60" s="758">
        <v>1134</v>
      </c>
      <c r="M60" s="758"/>
      <c r="N60" s="756">
        <f t="shared" si="2"/>
        <v>2094.96</v>
      </c>
      <c r="O60" s="11">
        <v>2094.96</v>
      </c>
      <c r="P60" s="446">
        <f>VLOOKUP(D:D,'Master Table'!C:O,13,FALSE)</f>
        <v>2637.4900000000002</v>
      </c>
      <c r="Q60" s="69">
        <v>2637.4900000000002</v>
      </c>
      <c r="R60" s="446">
        <v>2905.61</v>
      </c>
      <c r="S60" s="446">
        <v>3504.27</v>
      </c>
      <c r="T60" s="446">
        <v>4605.21</v>
      </c>
      <c r="U60" s="67"/>
      <c r="V60" s="67"/>
      <c r="W60" s="67"/>
    </row>
    <row r="61" spans="1:23" ht="30.2" customHeight="1" x14ac:dyDescent="0.2">
      <c r="A61" s="597" t="str">
        <f t="shared" si="1"/>
        <v>ARU067 / 1740</v>
      </c>
      <c r="B61" s="68" t="s">
        <v>7218</v>
      </c>
      <c r="C61" s="68" t="s">
        <v>3659</v>
      </c>
      <c r="D61" s="369" t="s">
        <v>581</v>
      </c>
      <c r="E61" s="437" t="str">
        <f>VLOOKUP(D:D,'Master Table'!C:D,2,FALSE)</f>
        <v>1740</v>
      </c>
      <c r="F61" s="749" t="s">
        <v>581</v>
      </c>
      <c r="G61" s="749" t="s">
        <v>582</v>
      </c>
      <c r="H61" s="750" t="s">
        <v>11001</v>
      </c>
      <c r="I61" s="749" t="s">
        <v>552</v>
      </c>
      <c r="J61" s="749" t="s">
        <v>351</v>
      </c>
      <c r="K61" s="758">
        <v>0</v>
      </c>
      <c r="L61" s="758">
        <v>170</v>
      </c>
      <c r="M61" s="758"/>
      <c r="N61" s="756">
        <f t="shared" si="2"/>
        <v>170</v>
      </c>
      <c r="O61" s="11">
        <v>170</v>
      </c>
      <c r="P61" s="446">
        <f>VLOOKUP(D:D,'Master Table'!C:O,13,FALSE)</f>
        <v>540</v>
      </c>
      <c r="Q61" s="69">
        <v>540</v>
      </c>
      <c r="R61" s="446">
        <v>170</v>
      </c>
      <c r="S61" s="446">
        <v>160</v>
      </c>
      <c r="T61" s="446">
        <v>170</v>
      </c>
      <c r="U61" s="67"/>
      <c r="V61" s="67"/>
      <c r="W61" s="67"/>
    </row>
    <row r="62" spans="1:23" ht="30.2" customHeight="1" x14ac:dyDescent="0.2">
      <c r="A62" s="597" t="str">
        <f t="shared" si="1"/>
        <v>ARU068 / 1741</v>
      </c>
      <c r="B62" s="68" t="s">
        <v>7219</v>
      </c>
      <c r="C62" s="68" t="s">
        <v>7220</v>
      </c>
      <c r="D62" s="369" t="s">
        <v>585</v>
      </c>
      <c r="E62" s="437" t="str">
        <f>VLOOKUP(D:D,'Master Table'!C:D,2,FALSE)</f>
        <v>1741</v>
      </c>
      <c r="F62" s="749" t="s">
        <v>585</v>
      </c>
      <c r="G62" s="749" t="s">
        <v>586</v>
      </c>
      <c r="H62" s="750" t="s">
        <v>130</v>
      </c>
      <c r="I62" s="749" t="s">
        <v>587</v>
      </c>
      <c r="J62" s="749" t="s">
        <v>324</v>
      </c>
      <c r="K62" s="758">
        <v>716.15</v>
      </c>
      <c r="L62" s="758">
        <v>290</v>
      </c>
      <c r="M62" s="758">
        <v>200</v>
      </c>
      <c r="N62" s="756">
        <f t="shared" si="2"/>
        <v>1206.1500000000001</v>
      </c>
      <c r="O62" s="11">
        <v>1206.1500000000001</v>
      </c>
      <c r="P62" s="446">
        <f>VLOOKUP(D:D,'Master Table'!C:O,13,FALSE)</f>
        <v>1548.43</v>
      </c>
      <c r="Q62" s="69">
        <v>1548.43</v>
      </c>
      <c r="R62" s="446">
        <v>1640.37</v>
      </c>
      <c r="S62" s="446">
        <v>1025.73</v>
      </c>
      <c r="T62" s="446">
        <v>866.81000000000006</v>
      </c>
      <c r="U62" s="67"/>
      <c r="V62" s="67"/>
      <c r="W62" s="67"/>
    </row>
    <row r="63" spans="1:23" ht="30.2" customHeight="1" x14ac:dyDescent="0.2">
      <c r="A63" s="597" t="str">
        <f t="shared" si="1"/>
        <v>ARU069 / 1742</v>
      </c>
      <c r="B63" s="68" t="s">
        <v>590</v>
      </c>
      <c r="C63" s="68" t="s">
        <v>1047</v>
      </c>
      <c r="D63" s="369" t="s">
        <v>588</v>
      </c>
      <c r="E63" s="437" t="str">
        <f>VLOOKUP(D:D,'Master Table'!C:D,2,FALSE)</f>
        <v>1742</v>
      </c>
      <c r="F63" s="749" t="s">
        <v>588</v>
      </c>
      <c r="G63" s="749" t="s">
        <v>589</v>
      </c>
      <c r="H63" s="750" t="s">
        <v>83</v>
      </c>
      <c r="I63" s="749" t="s">
        <v>590</v>
      </c>
      <c r="J63" s="749" t="s">
        <v>324</v>
      </c>
      <c r="K63" s="758">
        <v>0</v>
      </c>
      <c r="L63" s="758">
        <v>342.5</v>
      </c>
      <c r="M63" s="758">
        <v>305.51</v>
      </c>
      <c r="N63" s="756">
        <f t="shared" si="2"/>
        <v>648.01</v>
      </c>
      <c r="O63" s="11">
        <v>648.01</v>
      </c>
      <c r="P63" s="446">
        <f>VLOOKUP(D:D,'Master Table'!C:O,13,FALSE)</f>
        <v>929.68</v>
      </c>
      <c r="Q63" s="69">
        <v>929.68</v>
      </c>
      <c r="R63" s="446">
        <v>1324.48</v>
      </c>
      <c r="S63" s="446">
        <v>1339.93</v>
      </c>
      <c r="T63" s="446">
        <v>1134.01</v>
      </c>
      <c r="U63" s="67"/>
      <c r="V63" s="67"/>
      <c r="W63" s="67"/>
    </row>
    <row r="64" spans="1:23" ht="30.2" customHeight="1" x14ac:dyDescent="0.2">
      <c r="A64" s="597" t="str">
        <f t="shared" si="1"/>
        <v>ARU070 / 1743</v>
      </c>
      <c r="B64" s="68" t="s">
        <v>667</v>
      </c>
      <c r="C64" s="68" t="s">
        <v>164</v>
      </c>
      <c r="D64" s="369" t="s">
        <v>591</v>
      </c>
      <c r="E64" s="437" t="str">
        <f>VLOOKUP(D:D,'Master Table'!C:D,2,FALSE)</f>
        <v>1743</v>
      </c>
      <c r="F64" s="749" t="s">
        <v>591</v>
      </c>
      <c r="G64" s="749" t="s">
        <v>592</v>
      </c>
      <c r="H64" s="750" t="s">
        <v>164</v>
      </c>
      <c r="I64" s="749" t="s">
        <v>593</v>
      </c>
      <c r="J64" s="749" t="s">
        <v>324</v>
      </c>
      <c r="K64" s="758">
        <v>0</v>
      </c>
      <c r="L64" s="758">
        <v>921</v>
      </c>
      <c r="M64" s="758">
        <v>960</v>
      </c>
      <c r="N64" s="756">
        <f t="shared" si="2"/>
        <v>1881</v>
      </c>
      <c r="O64" s="11">
        <v>1881</v>
      </c>
      <c r="P64" s="446">
        <f>VLOOKUP(D:D,'Master Table'!C:O,13,FALSE)</f>
        <v>2690.48</v>
      </c>
      <c r="Q64" s="69">
        <v>2690.48</v>
      </c>
      <c r="R64" s="446">
        <v>2101.1</v>
      </c>
      <c r="S64" s="446">
        <v>1599.19</v>
      </c>
      <c r="T64" s="446">
        <v>1837.49</v>
      </c>
      <c r="U64" s="67"/>
      <c r="V64" s="67"/>
      <c r="W64" s="67"/>
    </row>
    <row r="65" spans="1:23" ht="30.2" customHeight="1" x14ac:dyDescent="0.2">
      <c r="A65" s="597" t="str">
        <f t="shared" si="1"/>
        <v>ARU071 / 1744</v>
      </c>
      <c r="B65" s="68" t="s">
        <v>596</v>
      </c>
      <c r="C65" s="68" t="s">
        <v>231</v>
      </c>
      <c r="D65" s="369" t="s">
        <v>594</v>
      </c>
      <c r="E65" s="437" t="str">
        <f>VLOOKUP(D:D,'Master Table'!C:D,2,FALSE)</f>
        <v>1744</v>
      </c>
      <c r="F65" s="749" t="s">
        <v>594</v>
      </c>
      <c r="G65" s="749" t="s">
        <v>595</v>
      </c>
      <c r="H65" s="750" t="s">
        <v>428</v>
      </c>
      <c r="I65" s="749" t="s">
        <v>596</v>
      </c>
      <c r="J65" s="749" t="s">
        <v>324</v>
      </c>
      <c r="K65" s="758">
        <v>135.57</v>
      </c>
      <c r="L65" s="758">
        <v>374</v>
      </c>
      <c r="M65" s="758"/>
      <c r="N65" s="756">
        <f t="shared" si="2"/>
        <v>509.57</v>
      </c>
      <c r="O65" s="11">
        <v>509.57</v>
      </c>
      <c r="P65" s="446">
        <f>VLOOKUP(D:D,'Master Table'!C:O,13,FALSE)</f>
        <v>877.36</v>
      </c>
      <c r="Q65" s="69">
        <v>877.36</v>
      </c>
      <c r="R65" s="446">
        <v>764.27</v>
      </c>
      <c r="S65" s="446">
        <v>702.62</v>
      </c>
      <c r="T65" s="446">
        <v>1406.49</v>
      </c>
      <c r="U65" s="67"/>
      <c r="V65" s="67"/>
      <c r="W65" s="67"/>
    </row>
    <row r="66" spans="1:23" ht="30.2" customHeight="1" x14ac:dyDescent="0.2">
      <c r="A66" s="597" t="str">
        <f t="shared" si="1"/>
        <v>ARU072 / 1745</v>
      </c>
      <c r="B66" s="68" t="s">
        <v>596</v>
      </c>
      <c r="C66" s="68" t="s">
        <v>1065</v>
      </c>
      <c r="D66" s="369" t="s">
        <v>597</v>
      </c>
      <c r="E66" s="437" t="str">
        <f>VLOOKUP(D:D,'Master Table'!C:D,2,FALSE)</f>
        <v>1745</v>
      </c>
      <c r="F66" s="749" t="s">
        <v>597</v>
      </c>
      <c r="G66" s="749" t="s">
        <v>598</v>
      </c>
      <c r="H66" s="750" t="s">
        <v>599</v>
      </c>
      <c r="I66" s="749" t="s">
        <v>596</v>
      </c>
      <c r="J66" s="749" t="s">
        <v>324</v>
      </c>
      <c r="K66" s="758">
        <v>407.38</v>
      </c>
      <c r="L66" s="758">
        <v>665</v>
      </c>
      <c r="M66" s="758"/>
      <c r="N66" s="756">
        <f t="shared" si="2"/>
        <v>1072.3800000000001</v>
      </c>
      <c r="O66" s="11">
        <v>1072.3800000000001</v>
      </c>
      <c r="P66" s="446">
        <f>VLOOKUP(D:D,'Master Table'!C:O,13,FALSE)</f>
        <v>1198.5</v>
      </c>
      <c r="Q66" s="69">
        <v>1198.5</v>
      </c>
      <c r="R66" s="446">
        <v>997.01</v>
      </c>
      <c r="S66" s="446">
        <v>1220.28</v>
      </c>
      <c r="T66" s="446">
        <v>1073.53</v>
      </c>
      <c r="U66" s="67"/>
      <c r="V66" s="67"/>
      <c r="W66" s="67"/>
    </row>
    <row r="67" spans="1:23" ht="30.2" customHeight="1" x14ac:dyDescent="0.2">
      <c r="A67" s="516" t="str">
        <f t="shared" si="1"/>
        <v>ARU073 / 1746</v>
      </c>
      <c r="B67" s="68" t="s">
        <v>596</v>
      </c>
      <c r="C67" s="68" t="s">
        <v>2900</v>
      </c>
      <c r="D67" s="369" t="s">
        <v>600</v>
      </c>
      <c r="E67" s="437" t="str">
        <f>VLOOKUP(D:D,'Master Table'!C:D,2,FALSE)</f>
        <v>1746</v>
      </c>
      <c r="F67" s="749" t="s">
        <v>600</v>
      </c>
      <c r="G67" s="749" t="s">
        <v>601</v>
      </c>
      <c r="H67" s="750" t="s">
        <v>69</v>
      </c>
      <c r="I67" s="749" t="s">
        <v>602</v>
      </c>
      <c r="J67" s="749" t="s">
        <v>324</v>
      </c>
      <c r="K67" s="758">
        <v>156.91</v>
      </c>
      <c r="L67" s="758">
        <v>156.5</v>
      </c>
      <c r="M67" s="758"/>
      <c r="N67" s="756">
        <f t="shared" ref="N67:N98" si="3">K67+L67+M67</f>
        <v>313.40999999999997</v>
      </c>
      <c r="O67" s="11">
        <v>313.40999999999997</v>
      </c>
      <c r="P67" s="446">
        <f>VLOOKUP(D:D,'Master Table'!C:O,13,FALSE)</f>
        <v>700.82</v>
      </c>
      <c r="Q67" s="69">
        <v>700.82</v>
      </c>
      <c r="R67" s="446">
        <v>687.56</v>
      </c>
      <c r="S67" s="446">
        <v>975</v>
      </c>
      <c r="T67" s="446">
        <v>755</v>
      </c>
      <c r="U67" s="67"/>
      <c r="V67" s="67"/>
      <c r="W67" s="67"/>
    </row>
    <row r="68" spans="1:23" ht="30.2" customHeight="1" x14ac:dyDescent="0.2">
      <c r="A68" s="597" t="str">
        <f t="shared" si="1"/>
        <v>ARU074 / 1747</v>
      </c>
      <c r="B68" s="68" t="s">
        <v>7221</v>
      </c>
      <c r="C68" s="68" t="s">
        <v>605</v>
      </c>
      <c r="D68" s="369" t="s">
        <v>603</v>
      </c>
      <c r="E68" s="437" t="str">
        <f>VLOOKUP(D:D,'Master Table'!C:D,2,FALSE)</f>
        <v>1747</v>
      </c>
      <c r="F68" s="749" t="s">
        <v>603</v>
      </c>
      <c r="G68" s="749" t="s">
        <v>604</v>
      </c>
      <c r="H68" s="750" t="s">
        <v>11002</v>
      </c>
      <c r="I68" s="749" t="s">
        <v>413</v>
      </c>
      <c r="J68" s="749" t="s">
        <v>324</v>
      </c>
      <c r="K68" s="758">
        <v>0</v>
      </c>
      <c r="L68" s="758">
        <v>940</v>
      </c>
      <c r="M68" s="758"/>
      <c r="N68" s="756">
        <f t="shared" si="3"/>
        <v>940</v>
      </c>
      <c r="O68" s="11">
        <v>940</v>
      </c>
      <c r="P68" s="446">
        <f>VLOOKUP(D:D,'Master Table'!C:O,13,FALSE)</f>
        <v>1475.33</v>
      </c>
      <c r="Q68" s="69">
        <v>1475.33</v>
      </c>
      <c r="R68" s="446">
        <v>1055</v>
      </c>
      <c r="S68" s="446">
        <v>1165.3899999999999</v>
      </c>
      <c r="T68" s="446">
        <v>867.9</v>
      </c>
      <c r="U68" s="67"/>
      <c r="V68" s="67"/>
      <c r="W68" s="67"/>
    </row>
    <row r="69" spans="1:23" ht="30.2" customHeight="1" x14ac:dyDescent="0.2">
      <c r="A69" s="597" t="str">
        <f t="shared" ref="A69:A120" si="4">D69&amp;" / "&amp;E69</f>
        <v>ARU075 / 1748</v>
      </c>
      <c r="B69" s="68" t="s">
        <v>7222</v>
      </c>
      <c r="C69" s="68" t="s">
        <v>3880</v>
      </c>
      <c r="D69" s="369" t="s">
        <v>610</v>
      </c>
      <c r="E69" s="437" t="str">
        <f>VLOOKUP(D:D,'Master Table'!C:D,2,FALSE)</f>
        <v>1748</v>
      </c>
      <c r="F69" s="749" t="s">
        <v>610</v>
      </c>
      <c r="G69" s="749" t="s">
        <v>611</v>
      </c>
      <c r="H69" s="750" t="s">
        <v>612</v>
      </c>
      <c r="I69" s="749" t="s">
        <v>613</v>
      </c>
      <c r="J69" s="749" t="s">
        <v>324</v>
      </c>
      <c r="K69" s="758">
        <v>138</v>
      </c>
      <c r="L69" s="758">
        <v>1295</v>
      </c>
      <c r="M69" s="758"/>
      <c r="N69" s="756">
        <f t="shared" si="3"/>
        <v>1433</v>
      </c>
      <c r="O69" s="11">
        <v>1433</v>
      </c>
      <c r="P69" s="446">
        <f>VLOOKUP(D:D,'Master Table'!C:O,13,FALSE)</f>
        <v>1105</v>
      </c>
      <c r="Q69" s="69">
        <v>1105</v>
      </c>
      <c r="R69" s="446">
        <v>2193</v>
      </c>
      <c r="S69" s="446">
        <v>1617.3</v>
      </c>
      <c r="T69" s="446">
        <v>650</v>
      </c>
      <c r="U69" s="67"/>
      <c r="V69" s="67"/>
      <c r="W69" s="67"/>
    </row>
    <row r="70" spans="1:23" ht="30.2" customHeight="1" x14ac:dyDescent="0.2">
      <c r="A70" s="597" t="str">
        <f t="shared" si="4"/>
        <v>ARU076 / 1749</v>
      </c>
      <c r="B70" s="864" t="s">
        <v>7224</v>
      </c>
      <c r="C70" s="68" t="s">
        <v>8458</v>
      </c>
      <c r="D70" s="369" t="s">
        <v>614</v>
      </c>
      <c r="E70" s="437" t="str">
        <f>VLOOKUP(D:D,'Master Table'!C:D,2,FALSE)</f>
        <v>1749</v>
      </c>
      <c r="F70" s="749" t="s">
        <v>614</v>
      </c>
      <c r="G70" s="749" t="s">
        <v>615</v>
      </c>
      <c r="H70" s="750" t="s">
        <v>335</v>
      </c>
      <c r="I70" s="749" t="s">
        <v>616</v>
      </c>
      <c r="J70" s="751" t="s">
        <v>324</v>
      </c>
      <c r="K70" s="758">
        <v>0</v>
      </c>
      <c r="L70" s="758">
        <v>450</v>
      </c>
      <c r="M70" s="758"/>
      <c r="N70" s="756">
        <f t="shared" si="3"/>
        <v>450</v>
      </c>
      <c r="O70" s="11">
        <v>450</v>
      </c>
      <c r="P70" s="446">
        <f>VLOOKUP(D:D,'Master Table'!C:O,13,FALSE)</f>
        <v>1024.6300000000001</v>
      </c>
      <c r="Q70" s="858">
        <f>P70+P71</f>
        <v>1224.6300000000001</v>
      </c>
      <c r="R70" s="856">
        <v>1038.31</v>
      </c>
      <c r="S70" s="446">
        <v>1070.3800000000001</v>
      </c>
      <c r="T70" s="446">
        <v>831.42000000000007</v>
      </c>
      <c r="U70" s="67"/>
      <c r="V70" s="67"/>
      <c r="W70" s="67"/>
    </row>
    <row r="71" spans="1:23" ht="30.2" customHeight="1" x14ac:dyDescent="0.2">
      <c r="A71" s="597" t="str">
        <f t="shared" si="4"/>
        <v>ARU130 / 1800</v>
      </c>
      <c r="B71" s="865"/>
      <c r="C71" s="68" t="s">
        <v>8459</v>
      </c>
      <c r="D71" s="369" t="s">
        <v>810</v>
      </c>
      <c r="E71" s="437" t="str">
        <f>VLOOKUP(D:D,'Master Table'!C:D,2,FALSE)</f>
        <v>1800</v>
      </c>
      <c r="F71" s="749" t="s">
        <v>810</v>
      </c>
      <c r="G71" s="749" t="s">
        <v>811</v>
      </c>
      <c r="H71" s="750" t="s">
        <v>812</v>
      </c>
      <c r="I71" s="749" t="s">
        <v>538</v>
      </c>
      <c r="J71" s="749" t="s">
        <v>351</v>
      </c>
      <c r="K71" s="758">
        <v>356.14</v>
      </c>
      <c r="L71" s="758">
        <v>265</v>
      </c>
      <c r="M71" s="758"/>
      <c r="N71" s="756">
        <f t="shared" si="3"/>
        <v>621.14</v>
      </c>
      <c r="O71" s="11">
        <v>621.14</v>
      </c>
      <c r="P71" s="446">
        <f>VLOOKUP(D:D,'Master Table'!C:O,13,FALSE)</f>
        <v>200</v>
      </c>
      <c r="Q71" s="859"/>
      <c r="R71" s="857"/>
      <c r="S71" s="446"/>
      <c r="T71" s="446"/>
      <c r="U71" s="67"/>
      <c r="V71" s="67"/>
      <c r="W71" s="67"/>
    </row>
    <row r="72" spans="1:23" ht="30.2" customHeight="1" x14ac:dyDescent="0.2">
      <c r="A72" s="597" t="str">
        <f t="shared" si="4"/>
        <v>ARU077 / 1750</v>
      </c>
      <c r="B72" s="68" t="s">
        <v>7226</v>
      </c>
      <c r="C72" s="68" t="s">
        <v>620</v>
      </c>
      <c r="D72" s="369" t="s">
        <v>618</v>
      </c>
      <c r="E72" s="437" t="str">
        <f>VLOOKUP(D:D,'Master Table'!C:D,2,FALSE)</f>
        <v>1750</v>
      </c>
      <c r="F72" s="749" t="s">
        <v>618</v>
      </c>
      <c r="G72" s="749" t="s">
        <v>619</v>
      </c>
      <c r="H72" s="750" t="s">
        <v>620</v>
      </c>
      <c r="I72" s="749" t="s">
        <v>409</v>
      </c>
      <c r="J72" s="749" t="s">
        <v>324</v>
      </c>
      <c r="K72" s="758">
        <v>1116.92</v>
      </c>
      <c r="L72" s="758">
        <v>142</v>
      </c>
      <c r="M72" s="758"/>
      <c r="N72" s="756">
        <f t="shared" si="3"/>
        <v>1258.92</v>
      </c>
      <c r="O72" s="11">
        <v>1258.92</v>
      </c>
      <c r="P72" s="446">
        <f>VLOOKUP(D:D,'Master Table'!C:O,13,FALSE)</f>
        <v>2250.8500000000004</v>
      </c>
      <c r="Q72" s="762">
        <v>2250.8500000000004</v>
      </c>
      <c r="R72" s="446">
        <v>2506.6999999999998</v>
      </c>
      <c r="S72" s="446">
        <v>2534.7399999999998</v>
      </c>
      <c r="T72" s="446">
        <v>2667</v>
      </c>
      <c r="U72" s="67"/>
      <c r="V72" s="67"/>
      <c r="W72" s="67"/>
    </row>
    <row r="73" spans="1:23" ht="30.2" customHeight="1" x14ac:dyDescent="0.2">
      <c r="A73" s="597" t="str">
        <f t="shared" si="4"/>
        <v>ARU078 / 1751</v>
      </c>
      <c r="B73" s="68" t="s">
        <v>489</v>
      </c>
      <c r="C73" s="68" t="s">
        <v>2816</v>
      </c>
      <c r="D73" s="369" t="s">
        <v>621</v>
      </c>
      <c r="E73" s="437" t="str">
        <f>VLOOKUP(D:D,'Master Table'!C:D,2,FALSE)</f>
        <v>1751</v>
      </c>
      <c r="F73" s="749" t="s">
        <v>621</v>
      </c>
      <c r="G73" s="749" t="s">
        <v>622</v>
      </c>
      <c r="H73" s="750" t="s">
        <v>484</v>
      </c>
      <c r="I73" s="749" t="s">
        <v>489</v>
      </c>
      <c r="J73" s="749" t="s">
        <v>324</v>
      </c>
      <c r="K73" s="758">
        <v>538</v>
      </c>
      <c r="L73" s="758">
        <v>690</v>
      </c>
      <c r="M73" s="758"/>
      <c r="N73" s="756">
        <f t="shared" si="3"/>
        <v>1228</v>
      </c>
      <c r="O73" s="11">
        <v>1228</v>
      </c>
      <c r="P73" s="446">
        <f>VLOOKUP(D:D,'Master Table'!C:O,13,FALSE)</f>
        <v>1460</v>
      </c>
      <c r="Q73" s="762">
        <v>1460</v>
      </c>
      <c r="R73" s="446">
        <v>1398.76</v>
      </c>
      <c r="S73" s="446">
        <v>1622.4299999999998</v>
      </c>
      <c r="T73" s="446">
        <v>1372.2</v>
      </c>
      <c r="U73" s="67"/>
      <c r="V73" s="67"/>
      <c r="W73" s="67"/>
    </row>
    <row r="74" spans="1:23" ht="30.2" customHeight="1" x14ac:dyDescent="0.2">
      <c r="A74" s="597" t="str">
        <f t="shared" si="4"/>
        <v>ARU079 / 1752</v>
      </c>
      <c r="B74" s="68" t="s">
        <v>626</v>
      </c>
      <c r="C74" s="68" t="s">
        <v>7227</v>
      </c>
      <c r="D74" s="369" t="s">
        <v>623</v>
      </c>
      <c r="E74" s="437" t="str">
        <f>VLOOKUP(D:D,'Master Table'!C:D,2,FALSE)</f>
        <v>1752</v>
      </c>
      <c r="F74" s="749" t="s">
        <v>623</v>
      </c>
      <c r="G74" s="749" t="s">
        <v>624</v>
      </c>
      <c r="H74" s="750" t="s">
        <v>625</v>
      </c>
      <c r="I74" s="749" t="s">
        <v>626</v>
      </c>
      <c r="J74" s="749" t="s">
        <v>324</v>
      </c>
      <c r="K74" s="758">
        <v>50.77</v>
      </c>
      <c r="L74" s="758">
        <v>275</v>
      </c>
      <c r="M74" s="758">
        <v>250</v>
      </c>
      <c r="N74" s="756">
        <f t="shared" si="3"/>
        <v>575.77</v>
      </c>
      <c r="O74" s="11">
        <v>575.77</v>
      </c>
      <c r="P74" s="446">
        <f>VLOOKUP(D:D,'Master Table'!C:O,13,FALSE)</f>
        <v>1275.02</v>
      </c>
      <c r="Q74" s="762">
        <v>1275.02</v>
      </c>
      <c r="R74" s="446">
        <v>1407.82</v>
      </c>
      <c r="S74" s="446">
        <v>1711.27</v>
      </c>
      <c r="T74" s="446">
        <v>1715.13</v>
      </c>
      <c r="U74" s="67"/>
      <c r="V74" s="67"/>
      <c r="W74" s="67"/>
    </row>
    <row r="75" spans="1:23" ht="30.2" customHeight="1" x14ac:dyDescent="0.2">
      <c r="A75" s="597" t="str">
        <f t="shared" si="4"/>
        <v>ARU080 / 1753</v>
      </c>
      <c r="B75" s="68" t="s">
        <v>631</v>
      </c>
      <c r="C75" s="68" t="s">
        <v>6487</v>
      </c>
      <c r="D75" s="369" t="s">
        <v>628</v>
      </c>
      <c r="E75" s="437" t="str">
        <f>VLOOKUP(D:D,'Master Table'!C:D,2,FALSE)</f>
        <v>1753</v>
      </c>
      <c r="F75" s="749" t="s">
        <v>628</v>
      </c>
      <c r="G75" s="749" t="s">
        <v>629</v>
      </c>
      <c r="H75" s="750" t="s">
        <v>630</v>
      </c>
      <c r="I75" s="749" t="s">
        <v>631</v>
      </c>
      <c r="J75" s="749" t="s">
        <v>324</v>
      </c>
      <c r="K75" s="758">
        <v>472.85</v>
      </c>
      <c r="L75" s="758">
        <v>210</v>
      </c>
      <c r="M75" s="758"/>
      <c r="N75" s="756">
        <f t="shared" si="3"/>
        <v>682.85</v>
      </c>
      <c r="O75" s="11">
        <v>682.85</v>
      </c>
      <c r="P75" s="446">
        <f>VLOOKUP(D:D,'Master Table'!C:O,13,FALSE)</f>
        <v>776.91</v>
      </c>
      <c r="Q75" s="762">
        <v>776.91</v>
      </c>
      <c r="R75" s="446">
        <v>680.74</v>
      </c>
      <c r="S75" s="446">
        <v>952.65</v>
      </c>
      <c r="T75" s="446">
        <v>611</v>
      </c>
      <c r="U75" s="67"/>
      <c r="V75" s="67"/>
      <c r="W75" s="67"/>
    </row>
    <row r="76" spans="1:23" ht="30.2" customHeight="1" x14ac:dyDescent="0.2">
      <c r="A76" s="597" t="str">
        <f t="shared" si="4"/>
        <v>ARU081 / 1754</v>
      </c>
      <c r="B76" s="68" t="s">
        <v>340</v>
      </c>
      <c r="C76" s="68" t="s">
        <v>7228</v>
      </c>
      <c r="D76" s="369" t="s">
        <v>632</v>
      </c>
      <c r="E76" s="437" t="str">
        <f>VLOOKUP(D:D,'Master Table'!C:D,2,FALSE)</f>
        <v>1754</v>
      </c>
      <c r="F76" s="749" t="s">
        <v>632</v>
      </c>
      <c r="G76" s="749" t="s">
        <v>633</v>
      </c>
      <c r="H76" s="750" t="s">
        <v>6885</v>
      </c>
      <c r="I76" s="749" t="s">
        <v>340</v>
      </c>
      <c r="J76" s="749" t="s">
        <v>324</v>
      </c>
      <c r="K76" s="758">
        <v>248.7</v>
      </c>
      <c r="L76" s="758">
        <v>265</v>
      </c>
      <c r="M76" s="758"/>
      <c r="N76" s="756">
        <f t="shared" si="3"/>
        <v>513.70000000000005</v>
      </c>
      <c r="O76" s="11">
        <v>513.70000000000005</v>
      </c>
      <c r="P76" s="446">
        <f>VLOOKUP(D:D,'Master Table'!C:O,13,FALSE)</f>
        <v>716.25</v>
      </c>
      <c r="Q76" s="762">
        <v>716.25</v>
      </c>
      <c r="R76" s="446">
        <v>700.47</v>
      </c>
      <c r="S76" s="446">
        <v>621.72</v>
      </c>
      <c r="T76" s="446">
        <v>583.91000000000008</v>
      </c>
      <c r="U76" s="67"/>
      <c r="V76" s="67"/>
      <c r="W76" s="67"/>
    </row>
    <row r="77" spans="1:23" ht="30.2" customHeight="1" x14ac:dyDescent="0.2">
      <c r="A77" s="597" t="str">
        <f t="shared" si="4"/>
        <v>ARU083 / 1756</v>
      </c>
      <c r="B77" s="68" t="s">
        <v>637</v>
      </c>
      <c r="C77" s="68" t="s">
        <v>78</v>
      </c>
      <c r="D77" s="369" t="s">
        <v>635</v>
      </c>
      <c r="E77" s="437" t="str">
        <f>VLOOKUP(D:D,'Master Table'!C:D,2,FALSE)</f>
        <v>1756</v>
      </c>
      <c r="F77" s="749" t="s">
        <v>635</v>
      </c>
      <c r="G77" s="749" t="s">
        <v>636</v>
      </c>
      <c r="H77" s="750" t="s">
        <v>78</v>
      </c>
      <c r="I77" s="749" t="s">
        <v>637</v>
      </c>
      <c r="J77" s="749" t="s">
        <v>324</v>
      </c>
      <c r="K77" s="758">
        <v>0</v>
      </c>
      <c r="L77" s="758">
        <v>561</v>
      </c>
      <c r="M77" s="758"/>
      <c r="N77" s="756">
        <f t="shared" si="3"/>
        <v>561</v>
      </c>
      <c r="O77" s="11">
        <v>561</v>
      </c>
      <c r="P77" s="446">
        <f>VLOOKUP(D:D,'Master Table'!C:O,13,FALSE)</f>
        <v>678.3</v>
      </c>
      <c r="Q77" s="762">
        <v>678.3</v>
      </c>
      <c r="R77" s="446">
        <v>910.77</v>
      </c>
      <c r="S77" s="446">
        <v>447.2</v>
      </c>
      <c r="T77" s="446">
        <v>547</v>
      </c>
      <c r="U77" s="67"/>
      <c r="V77" s="67"/>
      <c r="W77" s="67"/>
    </row>
    <row r="78" spans="1:23" ht="30.2" customHeight="1" x14ac:dyDescent="0.2">
      <c r="A78" s="597" t="str">
        <f t="shared" si="4"/>
        <v>ARU084 / 1757</v>
      </c>
      <c r="B78" s="68" t="s">
        <v>7229</v>
      </c>
      <c r="C78" s="596" t="s">
        <v>5069</v>
      </c>
      <c r="D78" s="369" t="s">
        <v>638</v>
      </c>
      <c r="E78" s="437" t="str">
        <f>VLOOKUP(D:D,'Master Table'!C:D,2,FALSE)</f>
        <v>1757</v>
      </c>
      <c r="F78" s="749" t="s">
        <v>638</v>
      </c>
      <c r="G78" s="749" t="s">
        <v>639</v>
      </c>
      <c r="H78" s="750" t="s">
        <v>640</v>
      </c>
      <c r="I78" s="749" t="s">
        <v>443</v>
      </c>
      <c r="J78" s="749" t="s">
        <v>324</v>
      </c>
      <c r="K78" s="758">
        <v>0</v>
      </c>
      <c r="L78" s="758">
        <v>568.89</v>
      </c>
      <c r="M78" s="758">
        <v>110.44</v>
      </c>
      <c r="N78" s="756">
        <f t="shared" si="3"/>
        <v>679.32999999999993</v>
      </c>
      <c r="O78" s="11">
        <v>679.32999999999993</v>
      </c>
      <c r="P78" s="446">
        <f>VLOOKUP(D:D,'Master Table'!C:O,13,FALSE)</f>
        <v>516</v>
      </c>
      <c r="Q78" s="762">
        <v>516</v>
      </c>
      <c r="R78" s="446">
        <v>701.62</v>
      </c>
      <c r="S78" s="446">
        <v>640.69000000000005</v>
      </c>
      <c r="T78" s="446">
        <v>935.41000000000008</v>
      </c>
      <c r="U78" s="67"/>
      <c r="V78" s="67"/>
      <c r="W78" s="67"/>
    </row>
    <row r="79" spans="1:23" ht="30.2" customHeight="1" x14ac:dyDescent="0.2">
      <c r="A79" s="597" t="str">
        <f t="shared" si="4"/>
        <v>ARU085 / 1758</v>
      </c>
      <c r="B79" s="866" t="s">
        <v>7231</v>
      </c>
      <c r="C79" s="596" t="s">
        <v>8461</v>
      </c>
      <c r="D79" s="574" t="s">
        <v>641</v>
      </c>
      <c r="E79" s="437" t="str">
        <f>VLOOKUP(D:D,'Master Table'!C:D,2,FALSE)</f>
        <v>1758</v>
      </c>
      <c r="F79" s="749" t="s">
        <v>641</v>
      </c>
      <c r="G79" s="749" t="s">
        <v>642</v>
      </c>
      <c r="H79" s="750" t="s">
        <v>694</v>
      </c>
      <c r="I79" s="749" t="s">
        <v>644</v>
      </c>
      <c r="J79" s="749" t="s">
        <v>351</v>
      </c>
      <c r="K79" s="758">
        <v>0</v>
      </c>
      <c r="L79" s="758">
        <v>315</v>
      </c>
      <c r="M79" s="758"/>
      <c r="N79" s="756">
        <f t="shared" si="3"/>
        <v>315</v>
      </c>
      <c r="O79" s="868">
        <f>N79+N80</f>
        <v>1295</v>
      </c>
      <c r="P79" s="446">
        <f>VLOOKUP(D:D,'Master Table'!C:O,13,FALSE)</f>
        <v>1058.6599999999999</v>
      </c>
      <c r="Q79" s="862">
        <f>P79+P80</f>
        <v>3783.66</v>
      </c>
      <c r="R79" s="856">
        <v>2471.36</v>
      </c>
      <c r="S79" s="446">
        <v>2590.75</v>
      </c>
      <c r="T79" s="446">
        <v>2228.08</v>
      </c>
      <c r="U79" s="67"/>
      <c r="V79" s="67"/>
      <c r="W79" s="67"/>
    </row>
    <row r="80" spans="1:23" ht="30.2" customHeight="1" x14ac:dyDescent="0.2">
      <c r="A80" s="597" t="str">
        <f t="shared" si="4"/>
        <v>ARU098 / 1771</v>
      </c>
      <c r="B80" s="867"/>
      <c r="C80" s="597" t="s">
        <v>8460</v>
      </c>
      <c r="D80" s="574" t="s">
        <v>688</v>
      </c>
      <c r="E80" s="437" t="str">
        <f>VLOOKUP(D:D,'Master Table'!C:D,2,FALSE)</f>
        <v>1771</v>
      </c>
      <c r="F80" s="749" t="s">
        <v>688</v>
      </c>
      <c r="G80" s="749" t="s">
        <v>689</v>
      </c>
      <c r="H80" s="750" t="s">
        <v>690</v>
      </c>
      <c r="I80" s="749" t="s">
        <v>644</v>
      </c>
      <c r="J80" s="749" t="s">
        <v>351</v>
      </c>
      <c r="K80" s="758">
        <v>0</v>
      </c>
      <c r="L80" s="758">
        <v>980</v>
      </c>
      <c r="M80" s="758"/>
      <c r="N80" s="756">
        <f t="shared" si="3"/>
        <v>980</v>
      </c>
      <c r="O80" s="868"/>
      <c r="P80" s="446">
        <f>VLOOKUP(D:D,'Master Table'!C:O,13,FALSE)</f>
        <v>2725</v>
      </c>
      <c r="Q80" s="863"/>
      <c r="R80" s="857"/>
      <c r="S80" s="446"/>
      <c r="T80" s="446"/>
      <c r="U80" s="67"/>
      <c r="V80" s="67"/>
      <c r="W80" s="67"/>
    </row>
    <row r="81" spans="1:23" ht="30.2" customHeight="1" x14ac:dyDescent="0.2">
      <c r="A81" s="597" t="str">
        <f t="shared" si="4"/>
        <v>ARU086 / 1759</v>
      </c>
      <c r="B81" s="68" t="s">
        <v>649</v>
      </c>
      <c r="C81" s="597" t="s">
        <v>648</v>
      </c>
      <c r="D81" s="369" t="s">
        <v>646</v>
      </c>
      <c r="E81" s="437" t="str">
        <f>VLOOKUP(D:D,'Master Table'!C:D,2,FALSE)</f>
        <v>1759</v>
      </c>
      <c r="F81" s="749" t="s">
        <v>646</v>
      </c>
      <c r="G81" s="749" t="s">
        <v>647</v>
      </c>
      <c r="H81" s="750" t="s">
        <v>648</v>
      </c>
      <c r="I81" s="749" t="s">
        <v>649</v>
      </c>
      <c r="J81" s="751" t="s">
        <v>324</v>
      </c>
      <c r="K81" s="758">
        <v>1250.1300000000001</v>
      </c>
      <c r="L81" s="758">
        <v>295</v>
      </c>
      <c r="M81" s="758"/>
      <c r="N81" s="756">
        <f t="shared" si="3"/>
        <v>1545.13</v>
      </c>
      <c r="O81" s="11">
        <v>1545.13</v>
      </c>
      <c r="P81" s="446">
        <f>VLOOKUP(D:D,'Master Table'!C:O,13,FALSE)</f>
        <v>1095.6599999999999</v>
      </c>
      <c r="Q81" s="762">
        <v>1095.6599999999999</v>
      </c>
      <c r="R81" s="446">
        <v>1091.8</v>
      </c>
      <c r="S81" s="446">
        <v>978</v>
      </c>
      <c r="T81" s="446">
        <v>1052.2</v>
      </c>
      <c r="U81" s="67"/>
      <c r="V81" s="67"/>
      <c r="W81" s="67"/>
    </row>
    <row r="82" spans="1:23" ht="30.2" customHeight="1" x14ac:dyDescent="0.2">
      <c r="A82" s="597" t="str">
        <f t="shared" si="4"/>
        <v>ARU087 / 1760</v>
      </c>
      <c r="B82" s="68" t="s">
        <v>7233</v>
      </c>
      <c r="C82" s="68" t="s">
        <v>5806</v>
      </c>
      <c r="D82" s="369" t="s">
        <v>650</v>
      </c>
      <c r="E82" s="437" t="str">
        <f>VLOOKUP(D:D,'Master Table'!C:D,2,FALSE)</f>
        <v>1760</v>
      </c>
      <c r="F82" s="749" t="s">
        <v>650</v>
      </c>
      <c r="G82" s="749" t="s">
        <v>651</v>
      </c>
      <c r="H82" s="750" t="s">
        <v>652</v>
      </c>
      <c r="I82" s="749" t="s">
        <v>653</v>
      </c>
      <c r="J82" s="749" t="s">
        <v>324</v>
      </c>
      <c r="K82" s="758">
        <v>0</v>
      </c>
      <c r="L82" s="758">
        <v>436</v>
      </c>
      <c r="M82" s="758"/>
      <c r="N82" s="756">
        <f t="shared" si="3"/>
        <v>436</v>
      </c>
      <c r="O82" s="11">
        <v>436</v>
      </c>
      <c r="P82" s="446">
        <f>VLOOKUP(D:D,'Master Table'!C:O,13,FALSE)</f>
        <v>850.14</v>
      </c>
      <c r="Q82" s="762">
        <v>850.14</v>
      </c>
      <c r="R82" s="446">
        <v>1814.9</v>
      </c>
      <c r="S82" s="446">
        <v>1533.81</v>
      </c>
      <c r="T82" s="446">
        <v>4034.86</v>
      </c>
      <c r="U82" s="67"/>
      <c r="V82" s="67"/>
      <c r="W82" s="67"/>
    </row>
    <row r="83" spans="1:23" ht="30.2" customHeight="1" x14ac:dyDescent="0.2">
      <c r="A83" s="597" t="str">
        <f t="shared" si="4"/>
        <v>ARU088 / 1761</v>
      </c>
      <c r="B83" s="68" t="s">
        <v>7234</v>
      </c>
      <c r="C83" s="68" t="s">
        <v>1284</v>
      </c>
      <c r="D83" s="369" t="s">
        <v>654</v>
      </c>
      <c r="E83" s="437" t="str">
        <f>VLOOKUP(D:D,'Master Table'!C:D,2,FALSE)</f>
        <v>1761</v>
      </c>
      <c r="F83" s="749" t="s">
        <v>654</v>
      </c>
      <c r="G83" s="749" t="s">
        <v>655</v>
      </c>
      <c r="H83" s="750" t="s">
        <v>11003</v>
      </c>
      <c r="I83" s="749" t="s">
        <v>656</v>
      </c>
      <c r="J83" s="749" t="s">
        <v>324</v>
      </c>
      <c r="K83" s="758">
        <v>0</v>
      </c>
      <c r="L83" s="758">
        <v>142</v>
      </c>
      <c r="M83" s="758"/>
      <c r="N83" s="756">
        <f t="shared" si="3"/>
        <v>142</v>
      </c>
      <c r="O83" s="11">
        <v>142</v>
      </c>
      <c r="P83" s="446">
        <f>VLOOKUP(D:D,'Master Table'!C:O,13,FALSE)</f>
        <v>111.26</v>
      </c>
      <c r="Q83" s="762">
        <v>111.26</v>
      </c>
      <c r="R83" s="446">
        <v>233.33</v>
      </c>
      <c r="S83" s="446">
        <v>179.99</v>
      </c>
      <c r="T83" s="446">
        <v>220.35</v>
      </c>
      <c r="U83" s="67"/>
      <c r="V83" s="67"/>
      <c r="W83" s="67"/>
    </row>
    <row r="84" spans="1:23" ht="30.2" customHeight="1" x14ac:dyDescent="0.2">
      <c r="A84" s="597" t="str">
        <f t="shared" si="4"/>
        <v>ARU089 / 1762</v>
      </c>
      <c r="B84" s="68" t="s">
        <v>7235</v>
      </c>
      <c r="C84" s="68" t="s">
        <v>659</v>
      </c>
      <c r="D84" s="369" t="s">
        <v>657</v>
      </c>
      <c r="E84" s="437" t="str">
        <f>VLOOKUP(D:D,'Master Table'!C:D,2,FALSE)</f>
        <v>1762</v>
      </c>
      <c r="F84" s="749" t="s">
        <v>657</v>
      </c>
      <c r="G84" s="749" t="s">
        <v>658</v>
      </c>
      <c r="H84" s="750" t="s">
        <v>659</v>
      </c>
      <c r="I84" s="749" t="s">
        <v>660</v>
      </c>
      <c r="J84" s="749" t="s">
        <v>324</v>
      </c>
      <c r="K84" s="758">
        <v>159.88999999999999</v>
      </c>
      <c r="L84" s="758">
        <v>240</v>
      </c>
      <c r="M84" s="758"/>
      <c r="N84" s="756">
        <f t="shared" si="3"/>
        <v>399.89</v>
      </c>
      <c r="O84" s="11">
        <v>399.89</v>
      </c>
      <c r="P84" s="446">
        <f>VLOOKUP(D:D,'Master Table'!C:O,13,FALSE)</f>
        <v>528.63</v>
      </c>
      <c r="Q84" s="762">
        <v>528.63</v>
      </c>
      <c r="R84" s="446">
        <v>541.79999999999995</v>
      </c>
      <c r="S84" s="446">
        <v>608.27</v>
      </c>
      <c r="T84" s="446">
        <v>616.45000000000005</v>
      </c>
      <c r="U84" s="67"/>
      <c r="V84" s="67"/>
      <c r="W84" s="67"/>
    </row>
    <row r="85" spans="1:23" ht="30.2" customHeight="1" x14ac:dyDescent="0.2">
      <c r="A85" s="597" t="str">
        <f t="shared" si="4"/>
        <v>ARU090 / 1763</v>
      </c>
      <c r="B85" s="68" t="s">
        <v>7236</v>
      </c>
      <c r="C85" s="68" t="s">
        <v>1871</v>
      </c>
      <c r="D85" s="369" t="s">
        <v>661</v>
      </c>
      <c r="E85" s="437" t="str">
        <f>VLOOKUP(D:D,'Master Table'!C:D,2,FALSE)</f>
        <v>1763</v>
      </c>
      <c r="F85" s="749" t="s">
        <v>661</v>
      </c>
      <c r="G85" s="749" t="s">
        <v>662</v>
      </c>
      <c r="H85" s="750" t="s">
        <v>579</v>
      </c>
      <c r="I85" s="749" t="s">
        <v>663</v>
      </c>
      <c r="J85" s="749" t="s">
        <v>324</v>
      </c>
      <c r="K85" s="758">
        <v>0</v>
      </c>
      <c r="L85" s="758">
        <v>355</v>
      </c>
      <c r="M85" s="758"/>
      <c r="N85" s="756">
        <f t="shared" si="3"/>
        <v>355</v>
      </c>
      <c r="O85" s="11">
        <v>355</v>
      </c>
      <c r="P85" s="446">
        <f>VLOOKUP(D:D,'Master Table'!C:O,13,FALSE)</f>
        <v>223.25</v>
      </c>
      <c r="Q85" s="762">
        <v>223.25</v>
      </c>
      <c r="R85" s="446">
        <v>256</v>
      </c>
      <c r="S85" s="446">
        <v>361</v>
      </c>
      <c r="T85" s="446">
        <v>721</v>
      </c>
      <c r="U85" s="67"/>
      <c r="V85" s="67"/>
      <c r="W85" s="67"/>
    </row>
    <row r="86" spans="1:23" ht="30.2" customHeight="1" x14ac:dyDescent="0.2">
      <c r="A86" s="597" t="str">
        <f t="shared" si="4"/>
        <v>ARU092 / 1765</v>
      </c>
      <c r="B86" s="68" t="s">
        <v>671</v>
      </c>
      <c r="C86" s="68" t="s">
        <v>670</v>
      </c>
      <c r="D86" s="369" t="s">
        <v>668</v>
      </c>
      <c r="E86" s="437" t="str">
        <f>VLOOKUP(D:D,'Master Table'!C:D,2,FALSE)</f>
        <v>1765</v>
      </c>
      <c r="F86" s="749" t="s">
        <v>668</v>
      </c>
      <c r="G86" s="749" t="s">
        <v>669</v>
      </c>
      <c r="H86" s="750" t="s">
        <v>670</v>
      </c>
      <c r="I86" s="749" t="s">
        <v>671</v>
      </c>
      <c r="J86" s="749" t="s">
        <v>324</v>
      </c>
      <c r="K86" s="758">
        <v>1223</v>
      </c>
      <c r="L86" s="758">
        <v>165</v>
      </c>
      <c r="M86" s="758"/>
      <c r="N86" s="756">
        <f t="shared" si="3"/>
        <v>1388</v>
      </c>
      <c r="O86" s="11">
        <v>1388</v>
      </c>
      <c r="P86" s="446">
        <f>VLOOKUP(D:D,'Master Table'!C:O,13,FALSE)</f>
        <v>1712</v>
      </c>
      <c r="Q86" s="762">
        <v>1712</v>
      </c>
      <c r="R86" s="446">
        <v>1493.34</v>
      </c>
      <c r="S86" s="446">
        <v>1795.37</v>
      </c>
      <c r="T86" s="446">
        <v>1283.71</v>
      </c>
      <c r="U86" s="67"/>
      <c r="V86" s="67"/>
      <c r="W86" s="67"/>
    </row>
    <row r="87" spans="1:23" ht="30.2" customHeight="1" x14ac:dyDescent="0.2">
      <c r="A87" s="597" t="str">
        <f t="shared" si="4"/>
        <v>ARU093 / 1766</v>
      </c>
      <c r="B87" s="68" t="s">
        <v>7237</v>
      </c>
      <c r="C87" s="68" t="s">
        <v>7238</v>
      </c>
      <c r="D87" s="369" t="s">
        <v>672</v>
      </c>
      <c r="E87" s="437" t="str">
        <f>VLOOKUP(D:D,'Master Table'!C:D,2,FALSE)</f>
        <v>1766</v>
      </c>
      <c r="F87" s="749" t="s">
        <v>672</v>
      </c>
      <c r="G87" s="749" t="s">
        <v>673</v>
      </c>
      <c r="H87" s="750" t="s">
        <v>47</v>
      </c>
      <c r="I87" s="749" t="s">
        <v>674</v>
      </c>
      <c r="J87" s="751" t="s">
        <v>324</v>
      </c>
      <c r="K87" s="758">
        <v>0</v>
      </c>
      <c r="L87" s="758">
        <v>645</v>
      </c>
      <c r="M87" s="758"/>
      <c r="N87" s="756">
        <f t="shared" si="3"/>
        <v>645</v>
      </c>
      <c r="O87" s="11">
        <v>645</v>
      </c>
      <c r="P87" s="446">
        <f>VLOOKUP(D:D,'Master Table'!C:O,13,FALSE)</f>
        <v>888.06999999999994</v>
      </c>
      <c r="Q87" s="762">
        <v>888.06999999999994</v>
      </c>
      <c r="R87" s="446">
        <v>1111.75</v>
      </c>
      <c r="S87" s="446">
        <v>2046.5</v>
      </c>
      <c r="T87" s="446">
        <v>2110</v>
      </c>
      <c r="U87" s="67"/>
      <c r="V87" s="67"/>
      <c r="W87" s="67"/>
    </row>
    <row r="88" spans="1:23" ht="30.2" customHeight="1" x14ac:dyDescent="0.2">
      <c r="A88" s="597" t="str">
        <f t="shared" si="4"/>
        <v>ARU094 / 1767</v>
      </c>
      <c r="B88" s="72" t="s">
        <v>681</v>
      </c>
      <c r="C88" s="72" t="s">
        <v>2900</v>
      </c>
      <c r="D88" s="369" t="s">
        <v>679</v>
      </c>
      <c r="E88" s="437" t="str">
        <f>VLOOKUP(D:D,'Master Table'!C:D,2,FALSE)</f>
        <v>1767</v>
      </c>
      <c r="F88" s="749" t="s">
        <v>679</v>
      </c>
      <c r="G88" s="749" t="s">
        <v>680</v>
      </c>
      <c r="H88" s="750" t="s">
        <v>69</v>
      </c>
      <c r="I88" s="749" t="s">
        <v>681</v>
      </c>
      <c r="J88" s="749" t="s">
        <v>324</v>
      </c>
      <c r="K88" s="758">
        <v>8.94</v>
      </c>
      <c r="L88" s="758">
        <v>175</v>
      </c>
      <c r="M88" s="758">
        <v>79.67</v>
      </c>
      <c r="N88" s="756">
        <f t="shared" si="3"/>
        <v>263.61</v>
      </c>
      <c r="O88" s="11">
        <v>263.61</v>
      </c>
      <c r="P88" s="446">
        <f>VLOOKUP(D:D,'Master Table'!C:O,13,FALSE)</f>
        <v>526.97</v>
      </c>
      <c r="Q88" s="762">
        <v>526.97</v>
      </c>
      <c r="R88" s="446">
        <v>493.3</v>
      </c>
      <c r="S88" s="446">
        <v>526.03</v>
      </c>
      <c r="T88" s="446">
        <v>360.65999999999997</v>
      </c>
      <c r="U88" s="67"/>
      <c r="V88" s="67"/>
      <c r="W88" s="67"/>
    </row>
    <row r="89" spans="1:23" ht="30.2" customHeight="1" x14ac:dyDescent="0.2">
      <c r="A89" s="597" t="str">
        <f t="shared" si="4"/>
        <v>ARU096 / 1769</v>
      </c>
      <c r="B89" s="68" t="s">
        <v>7239</v>
      </c>
      <c r="C89" s="68" t="s">
        <v>72</v>
      </c>
      <c r="D89" s="369" t="s">
        <v>682</v>
      </c>
      <c r="E89" s="437" t="str">
        <f>VLOOKUP(D:D,'Master Table'!C:D,2,FALSE)</f>
        <v>1769</v>
      </c>
      <c r="F89" s="749" t="s">
        <v>682</v>
      </c>
      <c r="G89" s="749" t="s">
        <v>683</v>
      </c>
      <c r="H89" s="750" t="s">
        <v>72</v>
      </c>
      <c r="I89" s="749" t="s">
        <v>409</v>
      </c>
      <c r="J89" s="749" t="s">
        <v>324</v>
      </c>
      <c r="K89" s="758">
        <v>0</v>
      </c>
      <c r="L89" s="758">
        <v>229.62</v>
      </c>
      <c r="M89" s="758"/>
      <c r="N89" s="756">
        <f t="shared" si="3"/>
        <v>229.62</v>
      </c>
      <c r="O89" s="11">
        <v>229.62</v>
      </c>
      <c r="P89" s="446">
        <f>VLOOKUP(D:D,'Master Table'!C:O,13,FALSE)</f>
        <v>2025.94</v>
      </c>
      <c r="Q89" s="762">
        <v>2025.94</v>
      </c>
      <c r="R89" s="446">
        <v>2106.06</v>
      </c>
      <c r="S89" s="446">
        <v>1933.73</v>
      </c>
      <c r="T89" s="446">
        <v>2519.71</v>
      </c>
      <c r="U89" s="67"/>
      <c r="V89" s="67"/>
      <c r="W89" s="67"/>
    </row>
    <row r="90" spans="1:23" ht="30.2" customHeight="1" x14ac:dyDescent="0.2">
      <c r="A90" s="597" t="str">
        <f t="shared" si="4"/>
        <v>ARU097 / 1770</v>
      </c>
      <c r="B90" s="68" t="s">
        <v>687</v>
      </c>
      <c r="C90" s="68" t="s">
        <v>378</v>
      </c>
      <c r="D90" s="369" t="s">
        <v>684</v>
      </c>
      <c r="E90" s="437" t="str">
        <f>VLOOKUP(D:D,'Master Table'!C:D,2,FALSE)</f>
        <v>1770</v>
      </c>
      <c r="F90" s="749" t="s">
        <v>684</v>
      </c>
      <c r="G90" s="749" t="s">
        <v>685</v>
      </c>
      <c r="H90" s="750" t="s">
        <v>686</v>
      </c>
      <c r="I90" s="749" t="s">
        <v>687</v>
      </c>
      <c r="J90" s="749" t="s">
        <v>324</v>
      </c>
      <c r="K90" s="758">
        <v>0</v>
      </c>
      <c r="L90" s="758"/>
      <c r="M90" s="758"/>
      <c r="N90" s="756">
        <f t="shared" si="3"/>
        <v>0</v>
      </c>
      <c r="O90" s="11">
        <v>0</v>
      </c>
      <c r="P90" s="446">
        <f>VLOOKUP(D:D,'Master Table'!C:O,13,FALSE)</f>
        <v>0</v>
      </c>
      <c r="Q90" s="762">
        <v>0</v>
      </c>
      <c r="R90" s="446">
        <v>0</v>
      </c>
      <c r="S90" s="446">
        <v>180</v>
      </c>
      <c r="T90" s="446">
        <v>180</v>
      </c>
      <c r="U90" s="67"/>
      <c r="V90" s="67"/>
      <c r="W90" s="67"/>
    </row>
    <row r="91" spans="1:23" ht="30.2" customHeight="1" x14ac:dyDescent="0.2">
      <c r="A91" s="597" t="str">
        <f t="shared" si="4"/>
        <v>ARU099 / 1772</v>
      </c>
      <c r="B91" s="70" t="s">
        <v>698</v>
      </c>
      <c r="C91" s="68" t="s">
        <v>697</v>
      </c>
      <c r="D91" s="369" t="s">
        <v>695</v>
      </c>
      <c r="E91" s="437" t="str">
        <f>VLOOKUP(D:D,'Master Table'!C:D,2,FALSE)</f>
        <v>1772</v>
      </c>
      <c r="F91" s="749" t="s">
        <v>695</v>
      </c>
      <c r="G91" s="749" t="s">
        <v>696</v>
      </c>
      <c r="H91" s="750" t="s">
        <v>697</v>
      </c>
      <c r="I91" s="749" t="s">
        <v>698</v>
      </c>
      <c r="J91" s="749" t="s">
        <v>351</v>
      </c>
      <c r="K91" s="758">
        <v>457.31</v>
      </c>
      <c r="L91" s="758">
        <v>374</v>
      </c>
      <c r="M91" s="758"/>
      <c r="N91" s="756">
        <f t="shared" si="3"/>
        <v>831.31</v>
      </c>
      <c r="O91" s="11">
        <v>831.31</v>
      </c>
      <c r="P91" s="446">
        <f>VLOOKUP(D:D,'Master Table'!C:O,13,FALSE)</f>
        <v>418.62</v>
      </c>
      <c r="Q91" s="762">
        <v>418.62</v>
      </c>
      <c r="R91" s="446">
        <v>776.51</v>
      </c>
      <c r="S91" s="446">
        <v>776.8</v>
      </c>
      <c r="T91" s="446">
        <v>880.53</v>
      </c>
      <c r="U91" s="67"/>
      <c r="V91" s="67"/>
      <c r="W91" s="67"/>
    </row>
    <row r="92" spans="1:23" ht="30.2" customHeight="1" x14ac:dyDescent="0.2">
      <c r="A92" s="597" t="str">
        <f t="shared" si="4"/>
        <v>ARU100 / 1773</v>
      </c>
      <c r="B92" s="68" t="s">
        <v>7240</v>
      </c>
      <c r="C92" s="68" t="s">
        <v>701</v>
      </c>
      <c r="D92" s="369" t="s">
        <v>699</v>
      </c>
      <c r="E92" s="437" t="str">
        <f>VLOOKUP(D:D,'Master Table'!C:D,2,FALSE)</f>
        <v>1773</v>
      </c>
      <c r="F92" s="749" t="s">
        <v>699</v>
      </c>
      <c r="G92" s="749" t="s">
        <v>700</v>
      </c>
      <c r="H92" s="750" t="s">
        <v>701</v>
      </c>
      <c r="I92" s="749" t="s">
        <v>390</v>
      </c>
      <c r="J92" s="749" t="s">
        <v>324</v>
      </c>
      <c r="K92" s="758">
        <v>517.01</v>
      </c>
      <c r="L92" s="758">
        <v>250</v>
      </c>
      <c r="M92" s="758"/>
      <c r="N92" s="756">
        <f t="shared" si="3"/>
        <v>767.01</v>
      </c>
      <c r="O92" s="11">
        <v>767.01</v>
      </c>
      <c r="P92" s="446">
        <f>VLOOKUP(D:D,'Master Table'!C:O,13,FALSE)</f>
        <v>1197.4499999999998</v>
      </c>
      <c r="Q92" s="762">
        <v>1197.4499999999998</v>
      </c>
      <c r="R92" s="446">
        <v>1097.5</v>
      </c>
      <c r="S92" s="446">
        <v>1193.3200000000002</v>
      </c>
      <c r="T92" s="446">
        <v>1628.52</v>
      </c>
      <c r="U92" s="67"/>
      <c r="V92" s="67"/>
      <c r="W92" s="67"/>
    </row>
    <row r="93" spans="1:23" ht="30.2" customHeight="1" x14ac:dyDescent="0.2">
      <c r="A93" s="597" t="str">
        <f t="shared" si="4"/>
        <v>ARU101 / 1774</v>
      </c>
      <c r="B93" s="68" t="s">
        <v>706</v>
      </c>
      <c r="C93" s="68" t="s">
        <v>532</v>
      </c>
      <c r="D93" s="369" t="s">
        <v>703</v>
      </c>
      <c r="E93" s="437" t="str">
        <f>VLOOKUP(D:D,'Master Table'!C:D,2,FALSE)</f>
        <v>1774</v>
      </c>
      <c r="F93" s="749" t="s">
        <v>703</v>
      </c>
      <c r="G93" s="749" t="s">
        <v>704</v>
      </c>
      <c r="H93" s="750" t="s">
        <v>705</v>
      </c>
      <c r="I93" s="749" t="s">
        <v>706</v>
      </c>
      <c r="J93" s="749" t="s">
        <v>324</v>
      </c>
      <c r="K93" s="758">
        <v>80</v>
      </c>
      <c r="L93" s="758">
        <v>230</v>
      </c>
      <c r="M93" s="758">
        <v>50</v>
      </c>
      <c r="N93" s="756">
        <f t="shared" si="3"/>
        <v>360</v>
      </c>
      <c r="O93" s="11">
        <v>360</v>
      </c>
      <c r="P93" s="446">
        <f>VLOOKUP(D:D,'Master Table'!C:O,13,FALSE)</f>
        <v>673</v>
      </c>
      <c r="Q93" s="762">
        <v>673</v>
      </c>
      <c r="R93" s="446">
        <v>695</v>
      </c>
      <c r="S93" s="446">
        <v>780</v>
      </c>
      <c r="T93" s="446">
        <v>752</v>
      </c>
      <c r="U93" s="67"/>
      <c r="V93" s="67"/>
      <c r="W93" s="67"/>
    </row>
    <row r="94" spans="1:23" ht="30.2" customHeight="1" x14ac:dyDescent="0.2">
      <c r="A94" s="597" t="str">
        <f t="shared" si="4"/>
        <v>ARU102 / 1775</v>
      </c>
      <c r="B94" s="68" t="s">
        <v>660</v>
      </c>
      <c r="C94" s="68" t="s">
        <v>1409</v>
      </c>
      <c r="D94" s="369" t="s">
        <v>707</v>
      </c>
      <c r="E94" s="437" t="str">
        <f>VLOOKUP(D:D,'Master Table'!C:D,2,FALSE)</f>
        <v>1775</v>
      </c>
      <c r="F94" s="749" t="s">
        <v>707</v>
      </c>
      <c r="G94" s="749" t="s">
        <v>708</v>
      </c>
      <c r="H94" s="750" t="s">
        <v>709</v>
      </c>
      <c r="I94" s="749" t="s">
        <v>710</v>
      </c>
      <c r="J94" s="749" t="s">
        <v>324</v>
      </c>
      <c r="K94" s="758">
        <v>0</v>
      </c>
      <c r="L94" s="758">
        <v>125</v>
      </c>
      <c r="M94" s="758"/>
      <c r="N94" s="756">
        <f t="shared" si="3"/>
        <v>125</v>
      </c>
      <c r="O94" s="11">
        <v>125</v>
      </c>
      <c r="P94" s="446">
        <f>VLOOKUP(D:D,'Master Table'!C:O,13,FALSE)</f>
        <v>212.75</v>
      </c>
      <c r="Q94" s="762">
        <v>212.75</v>
      </c>
      <c r="R94" s="446">
        <v>130</v>
      </c>
      <c r="S94" s="446">
        <v>152</v>
      </c>
      <c r="T94" s="446">
        <v>249.34</v>
      </c>
      <c r="U94" s="67"/>
      <c r="V94" s="67"/>
      <c r="W94" s="67"/>
    </row>
    <row r="95" spans="1:23" ht="30.2" customHeight="1" x14ac:dyDescent="0.2">
      <c r="A95" s="597" t="str">
        <f t="shared" si="4"/>
        <v>ARU103 / 1776</v>
      </c>
      <c r="B95" s="68" t="s">
        <v>7241</v>
      </c>
      <c r="C95" s="68" t="s">
        <v>713</v>
      </c>
      <c r="D95" s="369" t="s">
        <v>711</v>
      </c>
      <c r="E95" s="437" t="str">
        <f>VLOOKUP(D:D,'Master Table'!C:D,2,FALSE)</f>
        <v>1776</v>
      </c>
      <c r="F95" s="749" t="s">
        <v>711</v>
      </c>
      <c r="G95" s="749" t="s">
        <v>712</v>
      </c>
      <c r="H95" s="750" t="s">
        <v>713</v>
      </c>
      <c r="I95" s="749" t="s">
        <v>714</v>
      </c>
      <c r="J95" s="749" t="s">
        <v>324</v>
      </c>
      <c r="K95" s="758">
        <v>0</v>
      </c>
      <c r="L95" s="758">
        <v>133</v>
      </c>
      <c r="M95" s="758"/>
      <c r="N95" s="756">
        <f t="shared" si="3"/>
        <v>133</v>
      </c>
      <c r="O95" s="11">
        <v>133</v>
      </c>
      <c r="P95" s="446">
        <f>VLOOKUP(D:D,'Master Table'!C:O,13,FALSE)</f>
        <v>135</v>
      </c>
      <c r="Q95" s="762">
        <v>135</v>
      </c>
      <c r="R95" s="446">
        <v>334</v>
      </c>
      <c r="S95" s="446">
        <v>330</v>
      </c>
      <c r="T95" s="446">
        <v>140</v>
      </c>
      <c r="U95" s="67"/>
      <c r="V95" s="67"/>
      <c r="W95" s="67"/>
    </row>
    <row r="96" spans="1:23" ht="30.2" customHeight="1" x14ac:dyDescent="0.2">
      <c r="A96" s="597" t="str">
        <f t="shared" si="4"/>
        <v>ARU104 / 1777</v>
      </c>
      <c r="B96" s="68" t="s">
        <v>717</v>
      </c>
      <c r="C96" s="68" t="s">
        <v>453</v>
      </c>
      <c r="D96" s="369" t="s">
        <v>715</v>
      </c>
      <c r="E96" s="437" t="str">
        <f>VLOOKUP(D:D,'Master Table'!C:D,2,FALSE)</f>
        <v>1777</v>
      </c>
      <c r="F96" s="749" t="s">
        <v>715</v>
      </c>
      <c r="G96" s="749" t="s">
        <v>716</v>
      </c>
      <c r="H96" s="750" t="s">
        <v>56</v>
      </c>
      <c r="I96" s="749" t="s">
        <v>717</v>
      </c>
      <c r="J96" s="749" t="s">
        <v>324</v>
      </c>
      <c r="K96" s="758">
        <v>0</v>
      </c>
      <c r="L96" s="758">
        <v>850</v>
      </c>
      <c r="M96" s="758"/>
      <c r="N96" s="756">
        <f t="shared" si="3"/>
        <v>850</v>
      </c>
      <c r="O96" s="11">
        <v>850</v>
      </c>
      <c r="P96" s="446">
        <f>VLOOKUP(D:D,'Master Table'!C:O,13,FALSE)</f>
        <v>905</v>
      </c>
      <c r="Q96" s="762">
        <v>905</v>
      </c>
      <c r="R96" s="446">
        <v>1250.9100000000001</v>
      </c>
      <c r="S96" s="446">
        <v>1631.93</v>
      </c>
      <c r="T96" s="446">
        <v>1608.4099999999999</v>
      </c>
      <c r="U96" s="67"/>
      <c r="V96" s="67"/>
      <c r="W96" s="67"/>
    </row>
    <row r="97" spans="1:23" ht="30.2" customHeight="1" x14ac:dyDescent="0.2">
      <c r="A97" s="597" t="str">
        <f t="shared" si="4"/>
        <v>ARU105 / 1778</v>
      </c>
      <c r="B97" s="68" t="s">
        <v>721</v>
      </c>
      <c r="C97" s="68" t="s">
        <v>7242</v>
      </c>
      <c r="D97" s="369" t="s">
        <v>718</v>
      </c>
      <c r="E97" s="437" t="str">
        <f>VLOOKUP(D:D,'Master Table'!C:D,2,FALSE)</f>
        <v>1778</v>
      </c>
      <c r="F97" s="749" t="s">
        <v>718</v>
      </c>
      <c r="G97" s="749" t="s">
        <v>719</v>
      </c>
      <c r="H97" s="750" t="s">
        <v>720</v>
      </c>
      <c r="I97" s="749" t="s">
        <v>721</v>
      </c>
      <c r="J97" s="749" t="s">
        <v>324</v>
      </c>
      <c r="K97" s="758">
        <v>0</v>
      </c>
      <c r="L97" s="758">
        <v>10</v>
      </c>
      <c r="M97" s="758">
        <v>378.12</v>
      </c>
      <c r="N97" s="756">
        <f t="shared" si="3"/>
        <v>388.12</v>
      </c>
      <c r="O97" s="11">
        <v>388.12</v>
      </c>
      <c r="P97" s="446">
        <f>VLOOKUP(D:D,'Master Table'!C:O,13,FALSE)</f>
        <v>404.19</v>
      </c>
      <c r="Q97" s="762">
        <v>404.19</v>
      </c>
      <c r="R97" s="446">
        <v>165.51</v>
      </c>
      <c r="S97" s="446">
        <v>452.03000000000003</v>
      </c>
      <c r="T97" s="446">
        <v>680.18000000000006</v>
      </c>
      <c r="U97" s="67"/>
      <c r="V97" s="67"/>
      <c r="W97" s="67"/>
    </row>
    <row r="98" spans="1:23" ht="30.2" customHeight="1" x14ac:dyDescent="0.2">
      <c r="A98" s="597" t="str">
        <f t="shared" si="4"/>
        <v>ARU105A / 1779</v>
      </c>
      <c r="B98" s="68" t="s">
        <v>7243</v>
      </c>
      <c r="C98" s="68" t="s">
        <v>1065</v>
      </c>
      <c r="D98" s="369" t="s">
        <v>722</v>
      </c>
      <c r="E98" s="437" t="str">
        <f>VLOOKUP(D:D,'Master Table'!C:D,2,FALSE)</f>
        <v>1779</v>
      </c>
      <c r="F98" s="749" t="s">
        <v>722</v>
      </c>
      <c r="G98" s="749" t="s">
        <v>723</v>
      </c>
      <c r="H98" s="750" t="s">
        <v>276</v>
      </c>
      <c r="I98" s="749" t="s">
        <v>435</v>
      </c>
      <c r="J98" s="749" t="s">
        <v>324</v>
      </c>
      <c r="K98" s="758">
        <v>293.17</v>
      </c>
      <c r="L98" s="758"/>
      <c r="M98" s="758"/>
      <c r="N98" s="756">
        <f t="shared" si="3"/>
        <v>293.17</v>
      </c>
      <c r="O98" s="11">
        <v>293.17</v>
      </c>
      <c r="P98" s="446">
        <f>VLOOKUP(D:D,'Master Table'!C:O,13,FALSE)</f>
        <v>449.90999999999997</v>
      </c>
      <c r="Q98" s="762">
        <v>449.90999999999997</v>
      </c>
      <c r="R98" s="446">
        <v>489.49</v>
      </c>
      <c r="S98" s="446">
        <v>485.3</v>
      </c>
      <c r="T98" s="446">
        <v>640.77</v>
      </c>
      <c r="U98" s="67"/>
      <c r="V98" s="67"/>
      <c r="W98" s="67"/>
    </row>
    <row r="99" spans="1:23" ht="30.2" customHeight="1" x14ac:dyDescent="0.2">
      <c r="A99" s="597" t="str">
        <f t="shared" si="4"/>
        <v>ARU107 / 1781</v>
      </c>
      <c r="B99" s="68" t="s">
        <v>7244</v>
      </c>
      <c r="C99" s="68" t="s">
        <v>727</v>
      </c>
      <c r="D99" s="369" t="s">
        <v>725</v>
      </c>
      <c r="E99" s="437" t="str">
        <f>VLOOKUP(D:D,'Master Table'!C:D,2,FALSE)</f>
        <v>1781</v>
      </c>
      <c r="F99" s="749" t="s">
        <v>725</v>
      </c>
      <c r="G99" s="749" t="s">
        <v>726</v>
      </c>
      <c r="H99" s="750" t="s">
        <v>727</v>
      </c>
      <c r="I99" s="749" t="s">
        <v>728</v>
      </c>
      <c r="J99" s="749" t="s">
        <v>324</v>
      </c>
      <c r="K99" s="758">
        <v>0</v>
      </c>
      <c r="L99" s="758">
        <v>120</v>
      </c>
      <c r="M99" s="758"/>
      <c r="N99" s="756">
        <f t="shared" ref="N99:N107" si="5">K99+L99+M99</f>
        <v>120</v>
      </c>
      <c r="O99" s="11">
        <v>120</v>
      </c>
      <c r="P99" s="446">
        <f>VLOOKUP(D:D,'Master Table'!C:O,13,FALSE)</f>
        <v>1820.5</v>
      </c>
      <c r="Q99" s="762">
        <v>1820.5</v>
      </c>
      <c r="R99" s="446">
        <v>2063.02</v>
      </c>
      <c r="S99" s="446">
        <v>2183.8900000000003</v>
      </c>
      <c r="T99" s="446">
        <v>2233.23</v>
      </c>
      <c r="U99" s="67"/>
      <c r="V99" s="67"/>
      <c r="W99" s="67"/>
    </row>
    <row r="100" spans="1:23" ht="30.2" customHeight="1" x14ac:dyDescent="0.2">
      <c r="A100" s="597" t="str">
        <f t="shared" si="4"/>
        <v>ARU109 / 1782</v>
      </c>
      <c r="B100" s="68" t="s">
        <v>7246</v>
      </c>
      <c r="C100" s="68" t="s">
        <v>7247</v>
      </c>
      <c r="D100" s="369" t="s">
        <v>729</v>
      </c>
      <c r="E100" s="437" t="str">
        <f>VLOOKUP(D:D,'Master Table'!C:D,2,FALSE)</f>
        <v>1782</v>
      </c>
      <c r="F100" s="749" t="s">
        <v>729</v>
      </c>
      <c r="G100" s="749" t="s">
        <v>730</v>
      </c>
      <c r="H100" s="750" t="s">
        <v>731</v>
      </c>
      <c r="I100" s="749" t="s">
        <v>732</v>
      </c>
      <c r="J100" s="749" t="s">
        <v>324</v>
      </c>
      <c r="K100" s="758">
        <v>1335.49</v>
      </c>
      <c r="L100" s="758">
        <v>236.5</v>
      </c>
      <c r="M100" s="758"/>
      <c r="N100" s="756">
        <f t="shared" si="5"/>
        <v>1571.99</v>
      </c>
      <c r="O100" s="11">
        <v>1571.99</v>
      </c>
      <c r="P100" s="446">
        <f>VLOOKUP(D:D,'Master Table'!C:O,13,FALSE)</f>
        <v>1448.34</v>
      </c>
      <c r="Q100" s="762">
        <v>1448.34</v>
      </c>
      <c r="R100" s="446">
        <v>1991.51</v>
      </c>
      <c r="S100" s="446">
        <v>2051.96</v>
      </c>
      <c r="T100" s="446">
        <v>1842.44</v>
      </c>
      <c r="U100" s="67"/>
      <c r="V100" s="67"/>
      <c r="W100" s="67"/>
    </row>
    <row r="101" spans="1:23" ht="30.2" customHeight="1" x14ac:dyDescent="0.2">
      <c r="A101" s="597" t="str">
        <f t="shared" si="4"/>
        <v>ARU110 / 1783</v>
      </c>
      <c r="B101" s="68" t="s">
        <v>7248</v>
      </c>
      <c r="C101" s="68" t="s">
        <v>740</v>
      </c>
      <c r="D101" s="369" t="s">
        <v>738</v>
      </c>
      <c r="E101" s="437" t="str">
        <f>VLOOKUP(D:D,'Master Table'!C:D,2,FALSE)</f>
        <v>1783</v>
      </c>
      <c r="F101" s="749" t="s">
        <v>738</v>
      </c>
      <c r="G101" s="749" t="s">
        <v>739</v>
      </c>
      <c r="H101" s="750" t="s">
        <v>11004</v>
      </c>
      <c r="I101" s="749" t="s">
        <v>565</v>
      </c>
      <c r="J101" s="749" t="s">
        <v>324</v>
      </c>
      <c r="K101" s="758">
        <v>128.27000000000001</v>
      </c>
      <c r="L101" s="758">
        <v>193</v>
      </c>
      <c r="M101" s="758"/>
      <c r="N101" s="756">
        <f t="shared" si="5"/>
        <v>321.27</v>
      </c>
      <c r="O101" s="11">
        <v>321.27</v>
      </c>
      <c r="P101" s="446">
        <f>VLOOKUP(D:D,'Master Table'!C:O,13,FALSE)</f>
        <v>325.72000000000003</v>
      </c>
      <c r="Q101" s="762">
        <v>325.72000000000003</v>
      </c>
      <c r="R101" s="446">
        <v>380.48</v>
      </c>
      <c r="S101" s="446">
        <v>457.82</v>
      </c>
      <c r="T101" s="446">
        <v>314.07</v>
      </c>
      <c r="U101" s="67"/>
      <c r="V101" s="67"/>
      <c r="W101" s="67"/>
    </row>
    <row r="102" spans="1:23" ht="30.2" customHeight="1" x14ac:dyDescent="0.2">
      <c r="A102" s="597" t="str">
        <f t="shared" si="4"/>
        <v>ARU111 / 1784</v>
      </c>
      <c r="B102" s="68" t="s">
        <v>7249</v>
      </c>
      <c r="C102" s="68" t="s">
        <v>743</v>
      </c>
      <c r="D102" s="369" t="s">
        <v>741</v>
      </c>
      <c r="E102" s="437" t="str">
        <f>VLOOKUP(D:D,'Master Table'!C:D,2,FALSE)</f>
        <v>1784</v>
      </c>
      <c r="F102" s="749" t="s">
        <v>741</v>
      </c>
      <c r="G102" s="749" t="s">
        <v>742</v>
      </c>
      <c r="H102" s="750" t="s">
        <v>743</v>
      </c>
      <c r="I102" s="749" t="s">
        <v>744</v>
      </c>
      <c r="J102" s="749" t="s">
        <v>324</v>
      </c>
      <c r="K102" s="758">
        <v>0</v>
      </c>
      <c r="L102" s="758">
        <v>140</v>
      </c>
      <c r="M102" s="758">
        <v>430.75</v>
      </c>
      <c r="N102" s="756">
        <f t="shared" si="5"/>
        <v>570.75</v>
      </c>
      <c r="O102" s="11">
        <v>570.75</v>
      </c>
      <c r="P102" s="446">
        <f>VLOOKUP(D:D,'Master Table'!C:O,13,FALSE)</f>
        <v>635</v>
      </c>
      <c r="Q102" s="762">
        <v>635</v>
      </c>
      <c r="R102" s="446">
        <v>378.52</v>
      </c>
      <c r="S102" s="446">
        <v>855.09</v>
      </c>
      <c r="T102" s="446">
        <v>1064.7</v>
      </c>
      <c r="U102" s="67"/>
      <c r="V102" s="67"/>
      <c r="W102" s="67"/>
    </row>
    <row r="103" spans="1:23" ht="30.2" customHeight="1" x14ac:dyDescent="0.2">
      <c r="A103" s="597" t="str">
        <f t="shared" si="4"/>
        <v>ARU112 / 1785</v>
      </c>
      <c r="B103" s="68" t="s">
        <v>7250</v>
      </c>
      <c r="C103" s="68" t="s">
        <v>747</v>
      </c>
      <c r="D103" s="369" t="s">
        <v>745</v>
      </c>
      <c r="E103" s="437" t="str">
        <f>VLOOKUP(D:D,'Master Table'!C:D,2,FALSE)</f>
        <v>1785</v>
      </c>
      <c r="F103" s="749" t="s">
        <v>745</v>
      </c>
      <c r="G103" s="749" t="s">
        <v>746</v>
      </c>
      <c r="H103" s="750" t="s">
        <v>747</v>
      </c>
      <c r="I103" s="749" t="s">
        <v>748</v>
      </c>
      <c r="J103" s="749" t="s">
        <v>324</v>
      </c>
      <c r="K103" s="758">
        <v>1357.37</v>
      </c>
      <c r="L103" s="758">
        <v>710</v>
      </c>
      <c r="M103" s="758"/>
      <c r="N103" s="756">
        <f t="shared" si="5"/>
        <v>2067.37</v>
      </c>
      <c r="O103" s="11">
        <v>2067.37</v>
      </c>
      <c r="P103" s="446">
        <f>VLOOKUP(D:D,'Master Table'!C:O,13,FALSE)</f>
        <v>2780.33</v>
      </c>
      <c r="Q103" s="762">
        <v>2780.33</v>
      </c>
      <c r="R103" s="446">
        <v>2350.9899999999998</v>
      </c>
      <c r="S103" s="446">
        <v>1810.62</v>
      </c>
      <c r="T103" s="446">
        <v>1931.75</v>
      </c>
      <c r="U103" s="67"/>
      <c r="V103" s="67"/>
      <c r="W103" s="67"/>
    </row>
    <row r="104" spans="1:23" ht="30.2" customHeight="1" x14ac:dyDescent="0.2">
      <c r="A104" s="597" t="str">
        <f t="shared" si="4"/>
        <v>ARU113 / 1786</v>
      </c>
      <c r="B104" s="68" t="s">
        <v>7251</v>
      </c>
      <c r="C104" s="68" t="s">
        <v>72</v>
      </c>
      <c r="D104" s="369" t="s">
        <v>749</v>
      </c>
      <c r="E104" s="437" t="str">
        <f>VLOOKUP(D:D,'Master Table'!C:D,2,FALSE)</f>
        <v>1786</v>
      </c>
      <c r="F104" s="749" t="s">
        <v>749</v>
      </c>
      <c r="G104" s="749" t="s">
        <v>750</v>
      </c>
      <c r="H104" s="750" t="s">
        <v>751</v>
      </c>
      <c r="I104" s="749" t="s">
        <v>752</v>
      </c>
      <c r="J104" s="749" t="s">
        <v>324</v>
      </c>
      <c r="K104" s="758">
        <v>0</v>
      </c>
      <c r="L104" s="758">
        <v>130</v>
      </c>
      <c r="M104" s="758"/>
      <c r="N104" s="756">
        <f t="shared" si="5"/>
        <v>130</v>
      </c>
      <c r="O104" s="11">
        <v>130</v>
      </c>
      <c r="P104" s="446">
        <f>VLOOKUP(D:D,'Master Table'!C:O,13,FALSE)</f>
        <v>251.12</v>
      </c>
      <c r="Q104" s="762">
        <v>251.12</v>
      </c>
      <c r="R104" s="446">
        <v>330</v>
      </c>
      <c r="S104" s="446">
        <v>344.2</v>
      </c>
      <c r="T104" s="446">
        <v>337.46</v>
      </c>
      <c r="U104" s="67"/>
      <c r="V104" s="67"/>
      <c r="W104" s="67"/>
    </row>
    <row r="105" spans="1:23" ht="30.2" customHeight="1" x14ac:dyDescent="0.2">
      <c r="A105" s="597" t="str">
        <f t="shared" si="4"/>
        <v>ARU114 / 1787</v>
      </c>
      <c r="B105" s="68" t="s">
        <v>756</v>
      </c>
      <c r="C105" s="68" t="s">
        <v>164</v>
      </c>
      <c r="D105" s="369" t="s">
        <v>753</v>
      </c>
      <c r="E105" s="437" t="str">
        <f>VLOOKUP(D:D,'Master Table'!C:D,2,FALSE)</f>
        <v>1787</v>
      </c>
      <c r="F105" s="749" t="s">
        <v>753</v>
      </c>
      <c r="G105" s="749" t="s">
        <v>754</v>
      </c>
      <c r="H105" s="750" t="s">
        <v>755</v>
      </c>
      <c r="I105" s="749" t="s">
        <v>756</v>
      </c>
      <c r="J105" s="749" t="s">
        <v>324</v>
      </c>
      <c r="K105" s="758">
        <v>1816.66</v>
      </c>
      <c r="L105" s="758">
        <v>130</v>
      </c>
      <c r="M105" s="758"/>
      <c r="N105" s="756">
        <f t="shared" si="5"/>
        <v>1946.66</v>
      </c>
      <c r="O105" s="11">
        <v>1946.66</v>
      </c>
      <c r="P105" s="446">
        <f>VLOOKUP(D:D,'Master Table'!C:O,13,FALSE)</f>
        <v>2434.7799999999997</v>
      </c>
      <c r="Q105" s="762">
        <v>2434.7799999999997</v>
      </c>
      <c r="R105" s="446">
        <v>2675.11</v>
      </c>
      <c r="S105" s="446">
        <v>2125.9499999999998</v>
      </c>
      <c r="T105" s="446">
        <v>2211.08</v>
      </c>
      <c r="U105" s="67"/>
      <c r="V105" s="67"/>
      <c r="W105" s="67"/>
    </row>
    <row r="106" spans="1:23" ht="30.2" customHeight="1" x14ac:dyDescent="0.2">
      <c r="A106" s="597" t="str">
        <f t="shared" si="4"/>
        <v>ARU115 / 1788</v>
      </c>
      <c r="B106" s="68" t="s">
        <v>7252</v>
      </c>
      <c r="C106" s="68" t="s">
        <v>1203</v>
      </c>
      <c r="D106" s="369" t="s">
        <v>758</v>
      </c>
      <c r="E106" s="437" t="str">
        <f>VLOOKUP(D:D,'Master Table'!C:D,2,FALSE)</f>
        <v>1788</v>
      </c>
      <c r="F106" s="437" t="s">
        <v>758</v>
      </c>
      <c r="G106" s="753">
        <v>1788</v>
      </c>
      <c r="H106" s="437"/>
      <c r="I106" s="437"/>
      <c r="J106" s="437"/>
      <c r="K106" s="758">
        <v>526.82000000000005</v>
      </c>
      <c r="L106" s="758">
        <v>1525.33</v>
      </c>
      <c r="M106" s="758"/>
      <c r="N106" s="756">
        <f t="shared" si="5"/>
        <v>2052.15</v>
      </c>
      <c r="O106" s="11">
        <v>2052.15</v>
      </c>
      <c r="P106" s="446">
        <f>VLOOKUP(D:D,'Master Table'!C:O,13,FALSE)</f>
        <v>2437.6799999999998</v>
      </c>
      <c r="Q106" s="762">
        <v>2437.6799999999998</v>
      </c>
      <c r="R106" s="446">
        <v>2362.9300000000003</v>
      </c>
      <c r="S106" s="446">
        <v>2411.7200000000003</v>
      </c>
      <c r="T106" s="446">
        <v>2354.04</v>
      </c>
      <c r="U106" s="67"/>
      <c r="V106" s="67"/>
      <c r="W106" s="67"/>
    </row>
    <row r="107" spans="1:23" ht="30.2" customHeight="1" x14ac:dyDescent="0.2">
      <c r="A107" s="597" t="str">
        <f t="shared" si="4"/>
        <v>ARU117 / 1789</v>
      </c>
      <c r="B107" s="864" t="s">
        <v>7254</v>
      </c>
      <c r="C107" s="68" t="s">
        <v>8462</v>
      </c>
      <c r="D107" s="369" t="s">
        <v>762</v>
      </c>
      <c r="E107" s="437" t="str">
        <f>VLOOKUP(D:D,'Master Table'!C:D,2,FALSE)</f>
        <v>1789</v>
      </c>
      <c r="F107" s="749" t="s">
        <v>762</v>
      </c>
      <c r="G107" s="749" t="s">
        <v>763</v>
      </c>
      <c r="H107" s="750" t="s">
        <v>764</v>
      </c>
      <c r="I107" s="749" t="s">
        <v>576</v>
      </c>
      <c r="J107" s="749" t="s">
        <v>351</v>
      </c>
      <c r="K107" s="758">
        <v>0</v>
      </c>
      <c r="L107" s="758">
        <v>90</v>
      </c>
      <c r="M107" s="758"/>
      <c r="N107" s="756">
        <f t="shared" si="5"/>
        <v>90</v>
      </c>
      <c r="O107" s="868">
        <v>90</v>
      </c>
      <c r="P107" s="446">
        <f>VLOOKUP(D:D,'Master Table'!C:O,13,FALSE)</f>
        <v>1665.37</v>
      </c>
      <c r="Q107" s="862">
        <f>P107+P108</f>
        <v>1665.37</v>
      </c>
      <c r="R107" s="856">
        <v>1361.67</v>
      </c>
      <c r="S107" s="446">
        <v>1561.01</v>
      </c>
      <c r="T107" s="446">
        <v>1429</v>
      </c>
      <c r="U107" s="67"/>
      <c r="V107" s="67"/>
      <c r="W107" s="67"/>
    </row>
    <row r="108" spans="1:23" ht="30.2" customHeight="1" x14ac:dyDescent="0.2">
      <c r="A108" s="597" t="str">
        <f t="shared" si="4"/>
        <v>ARU065 / 1738</v>
      </c>
      <c r="B108" s="865"/>
      <c r="C108" s="68" t="s">
        <v>8463</v>
      </c>
      <c r="D108" s="369" t="s">
        <v>574</v>
      </c>
      <c r="E108" s="437" t="str">
        <f>VLOOKUP(D:D,'Master Table'!C:D,2,FALSE)</f>
        <v>1738</v>
      </c>
      <c r="F108" s="749"/>
      <c r="G108" s="749"/>
      <c r="H108" s="750"/>
      <c r="I108" s="749"/>
      <c r="J108" s="749"/>
      <c r="K108" s="758"/>
      <c r="L108" s="758"/>
      <c r="M108" s="758"/>
      <c r="N108" s="756"/>
      <c r="O108" s="868"/>
      <c r="P108" s="446">
        <f>VLOOKUP(D:D,'Master Table'!C:O,13,FALSE)</f>
        <v>0</v>
      </c>
      <c r="Q108" s="863"/>
      <c r="R108" s="857"/>
      <c r="S108" s="446"/>
      <c r="T108" s="446"/>
      <c r="U108" s="67"/>
      <c r="V108" s="67"/>
      <c r="W108" s="67"/>
    </row>
    <row r="109" spans="1:23" ht="30.2" customHeight="1" x14ac:dyDescent="0.2">
      <c r="A109" s="597" t="str">
        <f t="shared" si="4"/>
        <v>ARU118 / 1790</v>
      </c>
      <c r="B109" s="68" t="s">
        <v>7255</v>
      </c>
      <c r="C109" s="68" t="s">
        <v>1284</v>
      </c>
      <c r="D109" s="369" t="s">
        <v>765</v>
      </c>
      <c r="E109" s="437" t="str">
        <f>VLOOKUP(D:D,'Master Table'!C:D,2,FALSE)</f>
        <v>1790</v>
      </c>
      <c r="F109" s="749" t="s">
        <v>765</v>
      </c>
      <c r="G109" s="749" t="s">
        <v>766</v>
      </c>
      <c r="H109" s="750" t="s">
        <v>767</v>
      </c>
      <c r="I109" s="749" t="s">
        <v>768</v>
      </c>
      <c r="J109" s="749" t="s">
        <v>324</v>
      </c>
      <c r="K109" s="758">
        <v>46.12</v>
      </c>
      <c r="L109" s="758">
        <v>276</v>
      </c>
      <c r="M109" s="758"/>
      <c r="N109" s="756">
        <f t="shared" ref="N109:N120" si="6">K109+L109+M109</f>
        <v>322.12</v>
      </c>
      <c r="O109" s="11">
        <v>322.12</v>
      </c>
      <c r="P109" s="446">
        <f>VLOOKUP(D:D,'Master Table'!C:O,13,FALSE)</f>
        <v>1143.6399999999999</v>
      </c>
      <c r="Q109" s="762">
        <v>1143.6399999999999</v>
      </c>
      <c r="R109" s="446">
        <v>877.75</v>
      </c>
      <c r="S109" s="446">
        <v>1130.0700000000002</v>
      </c>
      <c r="T109" s="446">
        <v>1096.78</v>
      </c>
      <c r="U109" s="67"/>
      <c r="V109" s="67"/>
      <c r="W109" s="67"/>
    </row>
    <row r="110" spans="1:23" ht="30.2" customHeight="1" x14ac:dyDescent="0.2">
      <c r="A110" s="597" t="str">
        <f t="shared" si="4"/>
        <v>ARU119 / 1791</v>
      </c>
      <c r="B110" s="68" t="s">
        <v>776</v>
      </c>
      <c r="C110" s="70" t="s">
        <v>7256</v>
      </c>
      <c r="D110" s="369" t="s">
        <v>773</v>
      </c>
      <c r="E110" s="437" t="str">
        <f>VLOOKUP(D:D,'Master Table'!C:D,2,FALSE)</f>
        <v>1791</v>
      </c>
      <c r="F110" s="749" t="s">
        <v>773</v>
      </c>
      <c r="G110" s="749" t="s">
        <v>774</v>
      </c>
      <c r="H110" s="750" t="s">
        <v>775</v>
      </c>
      <c r="I110" s="749" t="s">
        <v>776</v>
      </c>
      <c r="J110" s="749" t="s">
        <v>324</v>
      </c>
      <c r="K110" s="758">
        <v>303.86</v>
      </c>
      <c r="L110" s="758">
        <v>840</v>
      </c>
      <c r="M110" s="758"/>
      <c r="N110" s="756">
        <f t="shared" si="6"/>
        <v>1143.8600000000001</v>
      </c>
      <c r="O110" s="11">
        <v>1143.8600000000001</v>
      </c>
      <c r="P110" s="446">
        <f>VLOOKUP(D:D,'Master Table'!C:O,13,FALSE)</f>
        <v>1234</v>
      </c>
      <c r="Q110" s="762">
        <v>1234</v>
      </c>
      <c r="R110" s="446">
        <v>1744.95</v>
      </c>
      <c r="S110" s="446">
        <v>2099</v>
      </c>
      <c r="T110" s="446">
        <v>2231</v>
      </c>
      <c r="U110" s="67"/>
      <c r="V110" s="67"/>
      <c r="W110" s="67"/>
    </row>
    <row r="111" spans="1:23" ht="30.2" customHeight="1" x14ac:dyDescent="0.2">
      <c r="A111" s="597" t="str">
        <f t="shared" si="4"/>
        <v>ARU120 / 1792</v>
      </c>
      <c r="B111" s="68" t="s">
        <v>780</v>
      </c>
      <c r="C111" s="68" t="s">
        <v>5371</v>
      </c>
      <c r="D111" s="369" t="s">
        <v>777</v>
      </c>
      <c r="E111" s="437" t="str">
        <f>VLOOKUP(D:D,'Master Table'!C:D,2,FALSE)</f>
        <v>1792</v>
      </c>
      <c r="F111" s="749" t="s">
        <v>777</v>
      </c>
      <c r="G111" s="749" t="s">
        <v>778</v>
      </c>
      <c r="H111" s="750" t="s">
        <v>779</v>
      </c>
      <c r="I111" s="749" t="s">
        <v>780</v>
      </c>
      <c r="J111" s="749" t="s">
        <v>324</v>
      </c>
      <c r="K111" s="758">
        <v>452.03</v>
      </c>
      <c r="L111" s="758">
        <v>270</v>
      </c>
      <c r="M111" s="758"/>
      <c r="N111" s="756">
        <f t="shared" si="6"/>
        <v>722.03</v>
      </c>
      <c r="O111" s="11">
        <v>722.03</v>
      </c>
      <c r="P111" s="446">
        <f>VLOOKUP(D:D,'Master Table'!C:O,13,FALSE)</f>
        <v>1616.3599999999997</v>
      </c>
      <c r="Q111" s="762">
        <v>1616.3599999999997</v>
      </c>
      <c r="R111" s="446">
        <v>1929.83</v>
      </c>
      <c r="S111" s="446">
        <v>1466.29</v>
      </c>
      <c r="T111" s="446">
        <v>1231.8499999999999</v>
      </c>
      <c r="U111" s="67"/>
      <c r="V111" s="67"/>
      <c r="W111" s="67"/>
    </row>
    <row r="112" spans="1:23" ht="30.2" customHeight="1" x14ac:dyDescent="0.2">
      <c r="A112" s="597" t="str">
        <f t="shared" si="4"/>
        <v>ARU121 / 1793</v>
      </c>
      <c r="B112" s="68" t="s">
        <v>784</v>
      </c>
      <c r="C112" s="68" t="s">
        <v>783</v>
      </c>
      <c r="D112" s="369" t="s">
        <v>781</v>
      </c>
      <c r="E112" s="437" t="str">
        <f>VLOOKUP(D:D,'Master Table'!C:D,2,FALSE)</f>
        <v>1793</v>
      </c>
      <c r="F112" s="749" t="s">
        <v>781</v>
      </c>
      <c r="G112" s="749" t="s">
        <v>782</v>
      </c>
      <c r="H112" s="750" t="s">
        <v>783</v>
      </c>
      <c r="I112" s="749" t="s">
        <v>784</v>
      </c>
      <c r="J112" s="749" t="s">
        <v>324</v>
      </c>
      <c r="K112" s="758">
        <v>248.41</v>
      </c>
      <c r="L112" s="758">
        <v>2255</v>
      </c>
      <c r="M112" s="758"/>
      <c r="N112" s="756">
        <f t="shared" si="6"/>
        <v>2503.41</v>
      </c>
      <c r="O112" s="11">
        <v>2503.41</v>
      </c>
      <c r="P112" s="446">
        <f>VLOOKUP(D:D,'Master Table'!C:O,13,FALSE)</f>
        <v>3786.16</v>
      </c>
      <c r="Q112" s="762">
        <v>3786.16</v>
      </c>
      <c r="R112" s="446">
        <v>3386.74</v>
      </c>
      <c r="S112" s="446">
        <v>3306.9</v>
      </c>
      <c r="T112" s="446">
        <v>3500.67</v>
      </c>
      <c r="U112" s="67"/>
      <c r="V112" s="67"/>
      <c r="W112" s="67"/>
    </row>
    <row r="113" spans="1:23" ht="30.2" customHeight="1" x14ac:dyDescent="0.2">
      <c r="A113" s="597" t="str">
        <f t="shared" si="4"/>
        <v>ARU122 / 1794</v>
      </c>
      <c r="B113" s="68" t="s">
        <v>789</v>
      </c>
      <c r="C113" s="68" t="s">
        <v>788</v>
      </c>
      <c r="D113" s="369" t="s">
        <v>786</v>
      </c>
      <c r="E113" s="437" t="str">
        <f>VLOOKUP(D:D,'Master Table'!C:D,2,FALSE)</f>
        <v>1794</v>
      </c>
      <c r="F113" s="749" t="s">
        <v>786</v>
      </c>
      <c r="G113" s="749" t="s">
        <v>787</v>
      </c>
      <c r="H113" s="750" t="s">
        <v>788</v>
      </c>
      <c r="I113" s="749" t="s">
        <v>789</v>
      </c>
      <c r="J113" s="749" t="s">
        <v>324</v>
      </c>
      <c r="K113" s="758">
        <v>0</v>
      </c>
      <c r="L113" s="758">
        <v>277</v>
      </c>
      <c r="M113" s="758">
        <v>417.68</v>
      </c>
      <c r="N113" s="756">
        <f t="shared" si="6"/>
        <v>694.68000000000006</v>
      </c>
      <c r="O113" s="11">
        <v>694.68000000000006</v>
      </c>
      <c r="P113" s="446">
        <f>VLOOKUP(D:D,'Master Table'!C:O,13,FALSE)</f>
        <v>985.49</v>
      </c>
      <c r="Q113" s="762">
        <v>985.49</v>
      </c>
      <c r="R113" s="446">
        <v>1120.03</v>
      </c>
      <c r="S113" s="446">
        <v>1296.21</v>
      </c>
      <c r="T113" s="446">
        <v>1394.28</v>
      </c>
      <c r="U113" s="67"/>
      <c r="V113" s="67"/>
      <c r="W113" s="67"/>
    </row>
    <row r="114" spans="1:23" ht="30.2" customHeight="1" x14ac:dyDescent="0.2">
      <c r="A114" s="597" t="str">
        <f t="shared" si="4"/>
        <v>ARU123 / 1795</v>
      </c>
      <c r="B114" s="68" t="s">
        <v>793</v>
      </c>
      <c r="C114" s="68" t="s">
        <v>792</v>
      </c>
      <c r="D114" s="369" t="s">
        <v>790</v>
      </c>
      <c r="E114" s="437" t="str">
        <f>VLOOKUP(D:D,'Master Table'!C:D,2,FALSE)</f>
        <v>1795</v>
      </c>
      <c r="F114" s="749" t="s">
        <v>790</v>
      </c>
      <c r="G114" s="749" t="s">
        <v>791</v>
      </c>
      <c r="H114" s="750" t="s">
        <v>792</v>
      </c>
      <c r="I114" s="749" t="s">
        <v>793</v>
      </c>
      <c r="J114" s="749" t="s">
        <v>324</v>
      </c>
      <c r="K114" s="758">
        <v>1533.47</v>
      </c>
      <c r="L114" s="758">
        <v>4100</v>
      </c>
      <c r="M114" s="758"/>
      <c r="N114" s="756">
        <f t="shared" si="6"/>
        <v>5633.47</v>
      </c>
      <c r="O114" s="11">
        <v>5633.47</v>
      </c>
      <c r="P114" s="446">
        <f>VLOOKUP(D:D,'Master Table'!C:O,13,FALSE)</f>
        <v>7263.3</v>
      </c>
      <c r="Q114" s="762">
        <v>7263.3</v>
      </c>
      <c r="R114" s="446">
        <v>6964.89</v>
      </c>
      <c r="S114" s="446">
        <v>6525</v>
      </c>
      <c r="T114" s="762">
        <v>6633</v>
      </c>
      <c r="U114" s="67"/>
      <c r="V114" s="67"/>
      <c r="W114" s="67"/>
    </row>
    <row r="115" spans="1:23" ht="30.2" customHeight="1" x14ac:dyDescent="0.2">
      <c r="A115" s="597" t="str">
        <f t="shared" si="4"/>
        <v>ARU126 / 1796</v>
      </c>
      <c r="B115" s="68" t="s">
        <v>613</v>
      </c>
      <c r="C115" s="68" t="s">
        <v>2759</v>
      </c>
      <c r="D115" s="369" t="s">
        <v>794</v>
      </c>
      <c r="E115" s="437" t="str">
        <f>VLOOKUP(D:D,'Master Table'!C:D,2,FALSE)</f>
        <v>1796</v>
      </c>
      <c r="F115" s="749" t="s">
        <v>794</v>
      </c>
      <c r="G115" s="749" t="s">
        <v>795</v>
      </c>
      <c r="H115" s="750" t="s">
        <v>796</v>
      </c>
      <c r="I115" s="749" t="s">
        <v>797</v>
      </c>
      <c r="J115" s="749" t="s">
        <v>324</v>
      </c>
      <c r="K115" s="758">
        <v>3444.23</v>
      </c>
      <c r="L115" s="758">
        <v>1812</v>
      </c>
      <c r="M115" s="758"/>
      <c r="N115" s="756">
        <f t="shared" si="6"/>
        <v>5256.23</v>
      </c>
      <c r="O115" s="11">
        <v>5256.23</v>
      </c>
      <c r="P115" s="446">
        <f>VLOOKUP(D:D,'Master Table'!C:O,13,FALSE)</f>
        <v>9497.27</v>
      </c>
      <c r="Q115" s="762">
        <v>9497.27</v>
      </c>
      <c r="R115" s="446">
        <v>9328.0400000000009</v>
      </c>
      <c r="S115" s="446">
        <v>9898.98</v>
      </c>
      <c r="T115" s="446">
        <v>7967.68</v>
      </c>
      <c r="U115" s="67"/>
      <c r="V115" s="67"/>
      <c r="W115" s="67"/>
    </row>
    <row r="116" spans="1:23" ht="30.2" customHeight="1" x14ac:dyDescent="0.2">
      <c r="A116" s="597" t="str">
        <f t="shared" si="4"/>
        <v>ARU127 / 1797</v>
      </c>
      <c r="B116" s="68" t="s">
        <v>7257</v>
      </c>
      <c r="C116" s="68" t="s">
        <v>158</v>
      </c>
      <c r="D116" s="369" t="s">
        <v>799</v>
      </c>
      <c r="E116" s="437" t="str">
        <f>VLOOKUP(D:D,'Master Table'!C:D,2,FALSE)</f>
        <v>1797</v>
      </c>
      <c r="F116" s="749" t="s">
        <v>799</v>
      </c>
      <c r="G116" s="749" t="s">
        <v>800</v>
      </c>
      <c r="H116" s="750" t="s">
        <v>124</v>
      </c>
      <c r="I116" s="749" t="s">
        <v>390</v>
      </c>
      <c r="J116" s="749" t="s">
        <v>324</v>
      </c>
      <c r="K116" s="758">
        <v>159</v>
      </c>
      <c r="L116" s="758">
        <v>145</v>
      </c>
      <c r="M116" s="758"/>
      <c r="N116" s="756">
        <f t="shared" si="6"/>
        <v>304</v>
      </c>
      <c r="O116" s="11">
        <v>304</v>
      </c>
      <c r="P116" s="446">
        <f>VLOOKUP(D:D,'Master Table'!C:O,13,FALSE)</f>
        <v>677.05</v>
      </c>
      <c r="Q116" s="762">
        <v>677.05</v>
      </c>
      <c r="R116" s="446">
        <v>635</v>
      </c>
      <c r="S116" s="446">
        <v>546.5</v>
      </c>
      <c r="T116" s="446">
        <v>506</v>
      </c>
      <c r="U116" s="67"/>
      <c r="V116" s="67"/>
      <c r="W116" s="67"/>
    </row>
    <row r="117" spans="1:23" ht="30.2" customHeight="1" x14ac:dyDescent="0.2">
      <c r="A117" s="597" t="str">
        <f t="shared" si="4"/>
        <v>ARU128 / 1798</v>
      </c>
      <c r="B117" s="68" t="s">
        <v>7258</v>
      </c>
      <c r="C117" s="68" t="s">
        <v>783</v>
      </c>
      <c r="D117" s="369" t="s">
        <v>802</v>
      </c>
      <c r="E117" s="437" t="str">
        <f>VLOOKUP(D:D,'Master Table'!C:D,2,FALSE)</f>
        <v>1798</v>
      </c>
      <c r="F117" s="749" t="s">
        <v>802</v>
      </c>
      <c r="G117" s="749" t="s">
        <v>803</v>
      </c>
      <c r="H117" s="750" t="s">
        <v>804</v>
      </c>
      <c r="I117" s="749" t="s">
        <v>409</v>
      </c>
      <c r="J117" s="749" t="s">
        <v>324</v>
      </c>
      <c r="K117" s="758">
        <v>0</v>
      </c>
      <c r="L117" s="758">
        <v>160</v>
      </c>
      <c r="M117" s="758"/>
      <c r="N117" s="756">
        <f t="shared" si="6"/>
        <v>160</v>
      </c>
      <c r="O117" s="11">
        <v>160</v>
      </c>
      <c r="P117" s="446">
        <f>VLOOKUP(D:D,'Master Table'!C:O,13,FALSE)</f>
        <v>70</v>
      </c>
      <c r="Q117" s="762">
        <v>70</v>
      </c>
      <c r="R117" s="446">
        <v>75</v>
      </c>
      <c r="S117" s="446">
        <v>205</v>
      </c>
      <c r="T117" s="446">
        <v>25</v>
      </c>
      <c r="U117" s="67"/>
      <c r="V117" s="67"/>
      <c r="W117" s="67"/>
    </row>
    <row r="118" spans="1:23" ht="30.2" customHeight="1" x14ac:dyDescent="0.2">
      <c r="A118" s="597" t="str">
        <f t="shared" si="4"/>
        <v>ARU129 / 1799</v>
      </c>
      <c r="B118" s="68" t="s">
        <v>538</v>
      </c>
      <c r="C118" s="68" t="s">
        <v>1004</v>
      </c>
      <c r="D118" s="369" t="s">
        <v>807</v>
      </c>
      <c r="E118" s="437" t="str">
        <f>VLOOKUP(D:D,'Master Table'!C:D,2,FALSE)</f>
        <v>1799</v>
      </c>
      <c r="F118" s="749" t="s">
        <v>807</v>
      </c>
      <c r="G118" s="749" t="s">
        <v>808</v>
      </c>
      <c r="H118" s="750" t="s">
        <v>809</v>
      </c>
      <c r="I118" s="749" t="s">
        <v>538</v>
      </c>
      <c r="J118" s="749" t="s">
        <v>351</v>
      </c>
      <c r="K118" s="758">
        <v>0</v>
      </c>
      <c r="L118" s="758">
        <v>485</v>
      </c>
      <c r="M118" s="758"/>
      <c r="N118" s="756">
        <f t="shared" si="6"/>
        <v>485</v>
      </c>
      <c r="O118" s="11">
        <v>485</v>
      </c>
      <c r="P118" s="446">
        <f>VLOOKUP(D:D,'Master Table'!C:O,13,FALSE)</f>
        <v>603.4</v>
      </c>
      <c r="Q118" s="762">
        <v>603.4</v>
      </c>
      <c r="R118" s="446">
        <v>540</v>
      </c>
      <c r="S118" s="446">
        <v>780</v>
      </c>
      <c r="T118" s="446">
        <v>655</v>
      </c>
      <c r="U118" s="67"/>
      <c r="V118" s="67"/>
      <c r="W118" s="67"/>
    </row>
    <row r="119" spans="1:23" ht="30.2" customHeight="1" x14ac:dyDescent="0.2">
      <c r="A119" s="597" t="str">
        <f t="shared" si="4"/>
        <v>ARU131 / 1801</v>
      </c>
      <c r="B119" s="68" t="s">
        <v>538</v>
      </c>
      <c r="C119" s="68" t="s">
        <v>1489</v>
      </c>
      <c r="D119" s="369" t="s">
        <v>814</v>
      </c>
      <c r="E119" s="437" t="str">
        <f>VLOOKUP(D:D,'Master Table'!C:D,2,FALSE)</f>
        <v>1801</v>
      </c>
      <c r="F119" s="749" t="s">
        <v>814</v>
      </c>
      <c r="G119" s="749" t="s">
        <v>815</v>
      </c>
      <c r="H119" s="750" t="s">
        <v>252</v>
      </c>
      <c r="I119" s="749" t="s">
        <v>538</v>
      </c>
      <c r="J119" s="749" t="s">
        <v>324</v>
      </c>
      <c r="K119" s="758">
        <v>171.4</v>
      </c>
      <c r="L119" s="758"/>
      <c r="M119" s="758"/>
      <c r="N119" s="756">
        <f t="shared" si="6"/>
        <v>171.4</v>
      </c>
      <c r="O119" s="11">
        <v>171.4</v>
      </c>
      <c r="P119" s="446">
        <f>VLOOKUP(D:D,'Master Table'!C:O,13,FALSE)</f>
        <v>746.81999999999994</v>
      </c>
      <c r="Q119" s="762">
        <v>746.81999999999994</v>
      </c>
      <c r="R119" s="446">
        <v>575.36</v>
      </c>
      <c r="S119" s="446">
        <v>579</v>
      </c>
      <c r="T119" s="446">
        <v>529</v>
      </c>
      <c r="U119" s="67"/>
      <c r="V119" s="67"/>
      <c r="W119" s="67"/>
    </row>
    <row r="120" spans="1:23" ht="15" x14ac:dyDescent="0.2">
      <c r="A120" s="597" t="str">
        <f t="shared" si="4"/>
        <v>ARU999 / 1804</v>
      </c>
      <c r="B120" s="68" t="s">
        <v>7260</v>
      </c>
      <c r="C120" s="68" t="s">
        <v>7261</v>
      </c>
      <c r="D120" s="369" t="s">
        <v>824</v>
      </c>
      <c r="E120" s="437" t="str">
        <f>VLOOKUP(D:D,'Master Table'!C:D,2,FALSE)</f>
        <v>1804</v>
      </c>
      <c r="F120" s="749" t="s">
        <v>824</v>
      </c>
      <c r="G120" s="749" t="s">
        <v>825</v>
      </c>
      <c r="H120" s="750" t="s">
        <v>826</v>
      </c>
      <c r="I120" s="749"/>
      <c r="J120" s="749" t="s">
        <v>324</v>
      </c>
      <c r="K120" s="758">
        <v>38.04</v>
      </c>
      <c r="L120" s="758">
        <v>6604.67</v>
      </c>
      <c r="M120" s="758">
        <v>1097.92</v>
      </c>
      <c r="N120" s="756">
        <f t="shared" si="6"/>
        <v>7740.63</v>
      </c>
      <c r="O120" s="11">
        <v>7740.63</v>
      </c>
      <c r="P120" s="446">
        <f>VLOOKUP(D:D,'Master Table'!C:O,13,FALSE)</f>
        <v>120</v>
      </c>
      <c r="Q120" s="762">
        <v>120</v>
      </c>
      <c r="R120" s="446">
        <v>941</v>
      </c>
      <c r="S120" s="446">
        <v>1001.5699999999999</v>
      </c>
      <c r="T120" s="446">
        <v>180.76</v>
      </c>
    </row>
    <row r="121" spans="1:23" ht="15.75" x14ac:dyDescent="0.25">
      <c r="K121" s="759">
        <f>SUM(K3:K120)</f>
        <v>43618.790000000023</v>
      </c>
      <c r="L121" s="759">
        <f>SUM(L3:L120)</f>
        <v>62671.76</v>
      </c>
      <c r="M121" s="759">
        <f>SUM(M3:M120)</f>
        <v>9479.49</v>
      </c>
      <c r="N121" s="752">
        <f>SUM(N3:N120)</f>
        <v>115770.04</v>
      </c>
      <c r="O121" s="760">
        <v>115770.04</v>
      </c>
    </row>
    <row r="122" spans="1:23" ht="99.75" customHeight="1" thickBot="1" x14ac:dyDescent="0.25">
      <c r="E122" s="371" t="s">
        <v>8375</v>
      </c>
      <c r="L122" s="610"/>
      <c r="M122" s="610"/>
    </row>
    <row r="123" spans="1:23" ht="75" customHeight="1" thickBot="1" x14ac:dyDescent="0.25">
      <c r="A123" s="854" t="s">
        <v>10987</v>
      </c>
      <c r="B123" s="855"/>
      <c r="C123" s="855"/>
      <c r="D123" s="722"/>
      <c r="E123" s="722"/>
      <c r="H123" s="745" t="s">
        <v>11005</v>
      </c>
      <c r="P123" s="761"/>
      <c r="Q123" s="761"/>
      <c r="R123" s="761"/>
      <c r="S123" s="721"/>
    </row>
    <row r="124" spans="1:23" x14ac:dyDescent="0.2">
      <c r="A124" s="718"/>
      <c r="B124" s="718"/>
      <c r="C124" s="718"/>
      <c r="D124" s="716"/>
      <c r="E124" s="716" t="s">
        <v>8311</v>
      </c>
      <c r="P124" s="717"/>
      <c r="Q124" s="719"/>
      <c r="R124" s="720"/>
    </row>
    <row r="125" spans="1:23" ht="30" x14ac:dyDescent="0.2">
      <c r="A125" s="763" t="s">
        <v>7422</v>
      </c>
      <c r="B125" s="764" t="s">
        <v>11007</v>
      </c>
      <c r="C125" s="715"/>
      <c r="D125" s="715"/>
      <c r="E125" s="715"/>
      <c r="P125" s="715"/>
      <c r="Q125" s="715"/>
      <c r="R125" s="715"/>
      <c r="S125" s="64"/>
      <c r="T125" s="64"/>
    </row>
    <row r="126" spans="1:23" ht="60" x14ac:dyDescent="0.2">
      <c r="A126" s="763" t="s">
        <v>10990</v>
      </c>
      <c r="B126" s="764" t="s">
        <v>11008</v>
      </c>
      <c r="C126" s="715"/>
      <c r="D126" s="715"/>
      <c r="E126" s="715"/>
      <c r="P126" s="715"/>
      <c r="Q126" s="715"/>
      <c r="R126" s="715"/>
      <c r="S126" s="64"/>
      <c r="T126" s="64"/>
    </row>
    <row r="127" spans="1:23" ht="45" x14ac:dyDescent="0.2">
      <c r="A127" s="763" t="s">
        <v>10991</v>
      </c>
      <c r="B127" s="764" t="s">
        <v>11009</v>
      </c>
      <c r="C127" s="715"/>
      <c r="D127" s="715"/>
      <c r="E127" s="715"/>
      <c r="P127" s="715"/>
      <c r="Q127" s="715"/>
      <c r="R127" s="715"/>
      <c r="S127" s="64"/>
      <c r="T127" s="64"/>
    </row>
  </sheetData>
  <mergeCells count="15">
    <mergeCell ref="A123:C123"/>
    <mergeCell ref="R35:R36"/>
    <mergeCell ref="Q35:Q36"/>
    <mergeCell ref="B35:B36"/>
    <mergeCell ref="R107:R108"/>
    <mergeCell ref="Q107:Q108"/>
    <mergeCell ref="B107:B108"/>
    <mergeCell ref="R70:R71"/>
    <mergeCell ref="Q70:Q71"/>
    <mergeCell ref="B70:B71"/>
    <mergeCell ref="R79:R80"/>
    <mergeCell ref="Q79:Q80"/>
    <mergeCell ref="B79:B80"/>
    <mergeCell ref="O79:O80"/>
    <mergeCell ref="O107:O108"/>
  </mergeCells>
  <phoneticPr fontId="55" type="noConversion"/>
  <conditionalFormatting sqref="A109:A120 A3:A35 A81:A107 A72:A79 A37:A70">
    <cfRule type="duplicateValues" dxfId="99" priority="8" stopIfTrue="1"/>
  </conditionalFormatting>
  <conditionalFormatting sqref="A108">
    <cfRule type="duplicateValues" dxfId="98" priority="7" stopIfTrue="1"/>
  </conditionalFormatting>
  <conditionalFormatting sqref="A80">
    <cfRule type="duplicateValues" dxfId="97" priority="6" stopIfTrue="1"/>
  </conditionalFormatting>
  <conditionalFormatting sqref="A71">
    <cfRule type="duplicateValues" dxfId="96" priority="5" stopIfTrue="1"/>
  </conditionalFormatting>
  <conditionalFormatting sqref="A36">
    <cfRule type="duplicateValues" dxfId="95" priority="4" stopIfTrue="1"/>
  </conditionalFormatting>
  <conditionalFormatting sqref="J1 J107:J1048576 J3:J105">
    <cfRule type="cellIs" dxfId="94" priority="1" operator="equal">
      <formula>"Yes"</formula>
    </cfRule>
  </conditionalFormatting>
  <pageMargins left="0.23622047244094491" right="0.23622047244094491" top="0.39370078740157483" bottom="0.39370078740157483" header="0.31496062992125984" footer="0.31496062992125984"/>
  <pageSetup paperSize="9" scale="65" fitToHeight="0" orientation="portrait" r:id="rId1"/>
  <headerFooter>
    <oddFooter>&amp;RPage &amp;P of &amp;N</oddFooter>
  </headerFooter>
  <rowBreaks count="3" manualBreakCount="3">
    <brk id="39" max="7" man="1"/>
    <brk id="77" max="7" man="1"/>
    <brk id="115" max="7"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30</vt:i4>
      </vt:variant>
    </vt:vector>
  </HeadingPairs>
  <TitlesOfParts>
    <vt:vector size="60" baseType="lpstr">
      <vt:lpstr>Q and Notes</vt:lpstr>
      <vt:lpstr>Historic Data 2015 - 2018</vt:lpstr>
      <vt:lpstr>Historic Data - working</vt:lpstr>
      <vt:lpstr>Notes</vt:lpstr>
      <vt:lpstr>Direct donation</vt:lpstr>
      <vt:lpstr>Master Table</vt:lpstr>
      <vt:lpstr>Diocese Summary</vt:lpstr>
      <vt:lpstr>Overview</vt:lpstr>
      <vt:lpstr>ARU</vt:lpstr>
      <vt:lpstr>BIR</vt:lpstr>
      <vt:lpstr>BRE</vt:lpstr>
      <vt:lpstr>CAR</vt:lpstr>
      <vt:lpstr>CLF</vt:lpstr>
      <vt:lpstr>EAS</vt:lpstr>
      <vt:lpstr>HAL</vt:lpstr>
      <vt:lpstr>HEX</vt:lpstr>
      <vt:lpstr>LAN</vt:lpstr>
      <vt:lpstr>LEE</vt:lpstr>
      <vt:lpstr>LIV</vt:lpstr>
      <vt:lpstr>MEN</vt:lpstr>
      <vt:lpstr>MID</vt:lpstr>
      <vt:lpstr>NOR</vt:lpstr>
      <vt:lpstr>NOT</vt:lpstr>
      <vt:lpstr>PLY</vt:lpstr>
      <vt:lpstr>POR</vt:lpstr>
      <vt:lpstr>SAL</vt:lpstr>
      <vt:lpstr>SHR</vt:lpstr>
      <vt:lpstr>SOU</vt:lpstr>
      <vt:lpstr>WES</vt:lpstr>
      <vt:lpstr>WRX</vt:lpstr>
      <vt:lpstr>ARU!Print_Area</vt:lpstr>
      <vt:lpstr>BIR!Print_Area</vt:lpstr>
      <vt:lpstr>BRE!Print_Area</vt:lpstr>
      <vt:lpstr>CAR!Print_Area</vt:lpstr>
      <vt:lpstr>CLF!Print_Area</vt:lpstr>
      <vt:lpstr>EAS!Print_Area</vt:lpstr>
      <vt:lpstr>MEN!Print_Area</vt:lpstr>
      <vt:lpstr>NOR!Print_Area</vt:lpstr>
      <vt:lpstr>NOT!Print_Area</vt:lpstr>
      <vt:lpstr>PLY!Print_Area</vt:lpstr>
      <vt:lpstr>POR!Print_Area</vt:lpstr>
      <vt:lpstr>SHR!Print_Area</vt:lpstr>
      <vt:lpstr>SOU!Print_Area</vt:lpstr>
      <vt:lpstr>WES!Print_Area</vt:lpstr>
      <vt:lpstr>WRX!Print_Area</vt:lpstr>
      <vt:lpstr>ARU!Print_Titles</vt:lpstr>
      <vt:lpstr>BIR!Print_Titles</vt:lpstr>
      <vt:lpstr>BRE!Print_Titles</vt:lpstr>
      <vt:lpstr>CAR!Print_Titles</vt:lpstr>
      <vt:lpstr>CLF!Print_Titles</vt:lpstr>
      <vt:lpstr>EAS!Print_Titles</vt:lpstr>
      <vt:lpstr>MEN!Print_Titles</vt:lpstr>
      <vt:lpstr>NOR!Print_Titles</vt:lpstr>
      <vt:lpstr>NOT!Print_Titles</vt:lpstr>
      <vt:lpstr>PLY!Print_Titles</vt:lpstr>
      <vt:lpstr>POR!Print_Titles</vt:lpstr>
      <vt:lpstr>SHR!Print_Titles</vt:lpstr>
      <vt:lpstr>SOU!Print_Titles</vt:lpstr>
      <vt:lpstr>WES!Print_Titles</vt:lpstr>
      <vt:lpstr>WRX!Print_Titles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Missio.Guest3</dc:creator>
  <cp:lastModifiedBy>Stephen.Davies</cp:lastModifiedBy>
  <cp:lastPrinted>2020-03-12T16:29:41Z</cp:lastPrinted>
  <dcterms:created xsi:type="dcterms:W3CDTF">2020-02-19T09:51:26Z</dcterms:created>
  <dcterms:modified xsi:type="dcterms:W3CDTF">2021-03-19T11:28:42Z</dcterms:modified>
  <cp:contentStatus/>
</cp:coreProperties>
</file>